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рок\Desktop\"/>
    </mc:Choice>
  </mc:AlternateContent>
  <bookViews>
    <workbookView xWindow="0" yWindow="0" windowWidth="21570" windowHeight="8085"/>
  </bookViews>
  <sheets>
    <sheet name="Типология" sheetId="7" r:id="rId1"/>
    <sheet name="Рейтинг" sheetId="6" r:id="rId2"/>
    <sheet name="Составляющие рейтинга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5" l="1"/>
  <c r="C39" i="5"/>
  <c r="AA2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C17" i="5"/>
  <c r="C18" i="5"/>
  <c r="C19" i="5"/>
  <c r="C16" i="5"/>
  <c r="J2" i="6"/>
  <c r="K2" i="6" s="1"/>
  <c r="J3" i="6"/>
  <c r="K3" i="6" s="1"/>
  <c r="AB3" i="6" s="1"/>
  <c r="J4" i="6"/>
  <c r="K4" i="6" s="1"/>
  <c r="J5" i="6"/>
  <c r="K5" i="6" s="1"/>
  <c r="J6" i="6"/>
  <c r="K6" i="6" s="1"/>
  <c r="J7" i="6"/>
  <c r="K7" i="6" s="1"/>
  <c r="J8" i="6"/>
  <c r="K8" i="6" s="1"/>
  <c r="AB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AB15" i="6" s="1"/>
  <c r="J16" i="6"/>
  <c r="K16" i="6" s="1"/>
  <c r="J17" i="6"/>
  <c r="K17" i="6" s="1"/>
  <c r="J18" i="6"/>
  <c r="K18" i="6" s="1"/>
  <c r="J19" i="6"/>
  <c r="K19" i="6" s="1"/>
  <c r="J20" i="6"/>
  <c r="K20" i="6" s="1"/>
  <c r="AB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AB27" i="6" s="1"/>
  <c r="J28" i="6"/>
  <c r="K28" i="6" s="1"/>
  <c r="J29" i="6"/>
  <c r="K29" i="6" s="1"/>
  <c r="J30" i="6"/>
  <c r="K30" i="6" s="1"/>
  <c r="J31" i="6"/>
  <c r="K31" i="6" s="1"/>
  <c r="J32" i="6"/>
  <c r="K32" i="6" s="1"/>
  <c r="AB32" i="6" s="1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AB39" i="6" s="1"/>
  <c r="J40" i="6"/>
  <c r="K40" i="6" s="1"/>
  <c r="J41" i="6"/>
  <c r="K41" i="6" s="1"/>
  <c r="J42" i="6"/>
  <c r="K42" i="6" s="1"/>
  <c r="J43" i="6"/>
  <c r="K43" i="6" s="1"/>
  <c r="J44" i="6"/>
  <c r="K44" i="6" s="1"/>
  <c r="AB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AB51" i="6" s="1"/>
  <c r="J52" i="6"/>
  <c r="K52" i="6" s="1"/>
  <c r="J53" i="6"/>
  <c r="K53" i="6" s="1"/>
  <c r="J54" i="6"/>
  <c r="K54" i="6" s="1"/>
  <c r="J55" i="6"/>
  <c r="K55" i="6" s="1"/>
  <c r="J56" i="6"/>
  <c r="K56" i="6" s="1"/>
  <c r="AB56" i="6" s="1"/>
  <c r="J57" i="6"/>
  <c r="K57" i="6" s="1"/>
  <c r="J58" i="6"/>
  <c r="K58" i="6" s="1"/>
  <c r="J60" i="6"/>
  <c r="K60" i="6" s="1"/>
  <c r="J61" i="6"/>
  <c r="K61" i="6" s="1"/>
  <c r="J62" i="6"/>
  <c r="K62" i="6" s="1"/>
  <c r="J63" i="6"/>
  <c r="K63" i="6" s="1"/>
  <c r="AB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AB69" i="6" s="1"/>
  <c r="J71" i="6"/>
  <c r="K71" i="6" s="1"/>
  <c r="J72" i="6"/>
  <c r="K72" i="6" s="1"/>
  <c r="J73" i="6"/>
  <c r="K73" i="6" s="1"/>
  <c r="J74" i="6"/>
  <c r="K74" i="6" s="1"/>
  <c r="J75" i="6"/>
  <c r="K75" i="6" s="1"/>
  <c r="AB75" i="6" s="1"/>
  <c r="J76" i="6"/>
  <c r="K76" i="6" s="1"/>
  <c r="J77" i="6"/>
  <c r="K77" i="6" s="1"/>
  <c r="J78" i="6"/>
  <c r="K78" i="6" s="1"/>
  <c r="J79" i="6"/>
  <c r="K79" i="6" s="1"/>
  <c r="AB50" i="6" l="1"/>
  <c r="AB38" i="6"/>
  <c r="AB26" i="6"/>
  <c r="AB14" i="6"/>
  <c r="AB2" i="6"/>
  <c r="AB68" i="6"/>
  <c r="AB71" i="6"/>
  <c r="AB77" i="6"/>
  <c r="AB57" i="6"/>
  <c r="AB45" i="6"/>
  <c r="AB33" i="6"/>
  <c r="AB21" i="6"/>
  <c r="AB9" i="6"/>
  <c r="AB62" i="6"/>
  <c r="AB74" i="6"/>
  <c r="AB64" i="6"/>
  <c r="AB76" i="6"/>
  <c r="AB58" i="6"/>
  <c r="AB46" i="6"/>
  <c r="AB34" i="6"/>
  <c r="AB22" i="6"/>
  <c r="AB52" i="6"/>
  <c r="AB40" i="6"/>
  <c r="AB28" i="6"/>
  <c r="AB16" i="6"/>
  <c r="AB4" i="6"/>
  <c r="AB10" i="6"/>
  <c r="AB47" i="6"/>
  <c r="AB35" i="6"/>
  <c r="AB23" i="6"/>
  <c r="AB11" i="6"/>
  <c r="AB65" i="6"/>
  <c r="AB79" i="6"/>
  <c r="AB67" i="6"/>
  <c r="AB48" i="6"/>
  <c r="AB36" i="6"/>
  <c r="AB24" i="6"/>
  <c r="AB12" i="6"/>
  <c r="AB60" i="6"/>
  <c r="AB72" i="6"/>
  <c r="AB78" i="6"/>
  <c r="AB66" i="6"/>
  <c r="AB54" i="6"/>
  <c r="AB42" i="6"/>
  <c r="AB30" i="6"/>
  <c r="AB18" i="6"/>
  <c r="AB6" i="6"/>
  <c r="AB43" i="6"/>
  <c r="AB31" i="6"/>
  <c r="AB19" i="6"/>
  <c r="AB7" i="6"/>
  <c r="AB53" i="6"/>
  <c r="AB41" i="6"/>
  <c r="AB29" i="6"/>
  <c r="AB17" i="6"/>
  <c r="AB5" i="6"/>
  <c r="AB55" i="6"/>
  <c r="AB49" i="6"/>
  <c r="AB37" i="6"/>
  <c r="AB25" i="6"/>
  <c r="AB13" i="6"/>
  <c r="AB61" i="6"/>
  <c r="AB73" i="6"/>
  <c r="L79" i="6" l="1"/>
  <c r="L78" i="6"/>
  <c r="L77" i="6"/>
  <c r="L76" i="6"/>
  <c r="L75" i="6"/>
  <c r="L74" i="6"/>
  <c r="L73" i="6"/>
  <c r="L72" i="6"/>
  <c r="L71" i="6"/>
  <c r="I70" i="6"/>
  <c r="L69" i="6"/>
  <c r="L68" i="6"/>
  <c r="L67" i="6"/>
  <c r="L66" i="6"/>
  <c r="L65" i="6"/>
  <c r="L64" i="6"/>
  <c r="L63" i="6"/>
  <c r="L62" i="6"/>
  <c r="L61" i="6"/>
  <c r="L60" i="6"/>
  <c r="I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AJ4" i="5"/>
  <c r="AJ6" i="5"/>
  <c r="AJ7" i="5"/>
  <c r="AJ8" i="5"/>
  <c r="AJ3" i="5"/>
  <c r="AI10" i="5"/>
  <c r="AJ5" i="5" s="1"/>
  <c r="AI8" i="5"/>
  <c r="AI7" i="5"/>
  <c r="AI6" i="5"/>
  <c r="AE12" i="5"/>
  <c r="AF4" i="5" s="1"/>
  <c r="AA9" i="5"/>
  <c r="AA8" i="5"/>
  <c r="AA7" i="5"/>
  <c r="AA11" i="5"/>
  <c r="AB4" i="5" s="1"/>
  <c r="V7" i="5"/>
  <c r="X3" i="5" s="1"/>
  <c r="Q7" i="5"/>
  <c r="X5" i="5" s="1"/>
  <c r="N4" i="5"/>
  <c r="L11" i="5"/>
  <c r="N9" i="5" s="1"/>
  <c r="G14" i="5"/>
  <c r="I8" i="5" s="1"/>
  <c r="H12" i="5"/>
  <c r="H11" i="5"/>
  <c r="H10" i="5"/>
  <c r="H9" i="5"/>
  <c r="C8" i="5"/>
  <c r="D5" i="5" s="1"/>
  <c r="L70" i="6" l="1"/>
  <c r="J70" i="6"/>
  <c r="K70" i="6" s="1"/>
  <c r="AB70" i="6" s="1"/>
  <c r="L59" i="6"/>
  <c r="J59" i="6"/>
  <c r="K59" i="6" s="1"/>
  <c r="AB59" i="6" s="1"/>
  <c r="AB8" i="5"/>
  <c r="AB9" i="5"/>
  <c r="AB7" i="5"/>
  <c r="N5" i="5"/>
  <c r="AB3" i="5"/>
  <c r="AF9" i="5"/>
  <c r="AF8" i="5"/>
  <c r="AF7" i="5"/>
  <c r="N8" i="5"/>
  <c r="AB6" i="5"/>
  <c r="AF6" i="5"/>
  <c r="N7" i="5"/>
  <c r="AB5" i="5"/>
  <c r="AF5" i="5"/>
  <c r="AF3" i="5"/>
  <c r="AF10" i="5"/>
  <c r="N6" i="5"/>
  <c r="S3" i="5"/>
  <c r="S5" i="5"/>
  <c r="S4" i="5"/>
  <c r="D4" i="5"/>
  <c r="X4" i="5"/>
  <c r="D3" i="5"/>
  <c r="N3" i="5"/>
  <c r="D6" i="5"/>
  <c r="I4" i="5"/>
  <c r="I10" i="5"/>
  <c r="I7" i="5"/>
  <c r="I6" i="5"/>
  <c r="I12" i="5"/>
  <c r="I9" i="5"/>
  <c r="I5" i="5"/>
  <c r="I3" i="5"/>
  <c r="I11" i="5"/>
</calcChain>
</file>

<file path=xl/sharedStrings.xml><?xml version="1.0" encoding="utf-8"?>
<sst xmlns="http://schemas.openxmlformats.org/spreadsheetml/2006/main" count="1239" uniqueCount="468">
  <si>
    <t>Показатель</t>
  </si>
  <si>
    <t>№ п/п</t>
  </si>
  <si>
    <t>Бесплатный вход</t>
  </si>
  <si>
    <t>Платный вход</t>
  </si>
  <si>
    <t>Тип конструкции</t>
  </si>
  <si>
    <t>Бетонный</t>
  </si>
  <si>
    <t>Деревянный каркас</t>
  </si>
  <si>
    <t>Металлический каркас</t>
  </si>
  <si>
    <t>Материал основания</t>
  </si>
  <si>
    <t>Фанера</t>
  </si>
  <si>
    <t>Асфальт</t>
  </si>
  <si>
    <t>Бетон</t>
  </si>
  <si>
    <t>Объемно-пространственное решение</t>
  </si>
  <si>
    <t>Под открытым небом</t>
  </si>
  <si>
    <t>Частично крытые</t>
  </si>
  <si>
    <t>Полностью крытый</t>
  </si>
  <si>
    <t>Самокат</t>
  </si>
  <si>
    <t>Скейтборд</t>
  </si>
  <si>
    <t>Ролики</t>
  </si>
  <si>
    <t>Средний + Высокий</t>
  </si>
  <si>
    <t>Air</t>
  </si>
  <si>
    <t>Ramp</t>
  </si>
  <si>
    <t>Минимальное значение</t>
  </si>
  <si>
    <t>Максимальное значение</t>
  </si>
  <si>
    <t>Условия использования</t>
  </si>
  <si>
    <t>BMX Race "Олимпийские надежды"</t>
  </si>
  <si>
    <t>Приморский</t>
  </si>
  <si>
    <t>65-й мунициапальный округ</t>
  </si>
  <si>
    <t>Санкт-Петербург, улица Савушкина, 134к4</t>
  </si>
  <si>
    <t xml:space="preserve">СПб ГБПОУ «Олимпийские надежды» </t>
  </si>
  <si>
    <t>Только для участников секции</t>
  </si>
  <si>
    <t>BMX</t>
  </si>
  <si>
    <t>Race</t>
  </si>
  <si>
    <t>Для всех</t>
  </si>
  <si>
    <t>Бетонный боул и памп-трек под мостом Бетанкура</t>
  </si>
  <si>
    <t>Петроградский</t>
  </si>
  <si>
    <t>Петровский мунициапальный округ</t>
  </si>
  <si>
    <t>Санкт-Петербург, Петроградский район, Петровский пр. 20к4</t>
  </si>
  <si>
    <t>FK-Ramps</t>
  </si>
  <si>
    <t>Частично крытый</t>
  </si>
  <si>
    <t>Все</t>
  </si>
  <si>
    <t>Боул + Плаза + Рампа + Памп-трек + Флоу-парк</t>
  </si>
  <si>
    <t>Скейт-парк на набережной Макарова</t>
  </si>
  <si>
    <t>Василеостровский</t>
  </si>
  <si>
    <t>Мунициапальный округ Остров Декабристов</t>
  </si>
  <si>
    <t>Санкт-Петербург, Василеостровский район, Морская наб., 45</t>
  </si>
  <si>
    <t>Районного масштаба</t>
  </si>
  <si>
    <t>Плаза + Рампа + Флоу-парк</t>
  </si>
  <si>
    <t>Озерки (Ozk Dirt)</t>
  </si>
  <si>
    <t>Выборгский</t>
  </si>
  <si>
    <t>Мунициапальный округ Шувалово-Озерки</t>
  </si>
  <si>
    <t>Санкт-Петербург, проспект Энгельса, 109</t>
  </si>
  <si>
    <t>Самострой</t>
  </si>
  <si>
    <t>Местного значения</t>
  </si>
  <si>
    <t>Дёрт</t>
  </si>
  <si>
    <t>Бетонный скейт-парк в Металлострое</t>
  </si>
  <si>
    <t>Колпинский</t>
  </si>
  <si>
    <t>Поселок Металлострой</t>
  </si>
  <si>
    <t>Санкт-Петербург, Колпинский район, Металлострой, ул. Богайчука, 27А</t>
  </si>
  <si>
    <t>Плаза + Флоу-парк + Памп-трек</t>
  </si>
  <si>
    <t>Экстрим-кластер в Колпино</t>
  </si>
  <si>
    <t>Город Колпино</t>
  </si>
  <si>
    <t>Санкт-Петербург, Колпинский район, Ижорская ул., 33А.</t>
  </si>
  <si>
    <t>Городского масштаба</t>
  </si>
  <si>
    <t>Плаза + Флоу-парк + Памп-трек + Эир</t>
  </si>
  <si>
    <t>Локальная коробка в Ториках</t>
  </si>
  <si>
    <t>Красносельский</t>
  </si>
  <si>
    <t>Мунициапальный округ Горелово</t>
  </si>
  <si>
    <t>Санкт-Петербург, ул. Политрука Пасечника, 10</t>
  </si>
  <si>
    <t>Неизвестно</t>
  </si>
  <si>
    <t>до 2009</t>
  </si>
  <si>
    <t>Флоу-парк</t>
  </si>
  <si>
    <t>Начальный</t>
  </si>
  <si>
    <t>Скейт-парк «Жесть» в Санкт-Петербурге</t>
  </si>
  <si>
    <t>Московский</t>
  </si>
  <si>
    <t>Мунициапальный округ Гагаринское</t>
  </si>
  <si>
    <t>Санкт-Петербург, пр. Космонавтов, д. 38к3, лит. А</t>
  </si>
  <si>
    <t>СПБ ГАУ "Дирекция по управлению
спортивными сооружениями"</t>
  </si>
  <si>
    <t>Флоу-парк + Рампа + Эир</t>
  </si>
  <si>
    <t>Скейт-парк Остров Фортов Кронштадт</t>
  </si>
  <si>
    <t>Кронштадтский</t>
  </si>
  <si>
    <t>Город Кронштадт</t>
  </si>
  <si>
    <t>Санкт-Петербург, Кронштадт, Цитадельское ш., 2.</t>
  </si>
  <si>
    <t>Эир + Рампа + Флоу</t>
  </si>
  <si>
    <t>Скейт-парк на ул. Передовиков СПб</t>
  </si>
  <si>
    <t>Красногвардейский</t>
  </si>
  <si>
    <t>Мунициапальный округ Пороховые</t>
  </si>
  <si>
    <t>Санкт-Петербург, Красногвардейский район, ул. Передовиков д.16</t>
  </si>
  <si>
    <t>Рампа + Плаза</t>
  </si>
  <si>
    <t>Деревянный скейт-парк на пр. Стачек (СПб)</t>
  </si>
  <si>
    <t>Кировский</t>
  </si>
  <si>
    <t>Мунициапальный округ Автово</t>
  </si>
  <si>
    <t>Санкт-Петербург, Кировский район, пр. Стачек, 96</t>
  </si>
  <si>
    <t>Рампа + Плаза + Памп-трек</t>
  </si>
  <si>
    <t>Скейт-парк на Планерной улице</t>
  </si>
  <si>
    <t>Мунициапальный округ Юнтолово</t>
  </si>
  <si>
    <t>Санкт-Петербург, ул. Планерная, 41/2</t>
  </si>
  <si>
    <t>Скейт-парк в Петергофе</t>
  </si>
  <si>
    <t>Петродворцовый</t>
  </si>
  <si>
    <t>Город Петергоф</t>
  </si>
  <si>
    <t>Санкт-Петербург, Петродворцовый район, Петергоф, просп. Санкт-Петербургский, д.4</t>
  </si>
  <si>
    <t>Бетонный скейт парк DC Plaza на ул. Введенская, д.9</t>
  </si>
  <si>
    <t>Введенский мунициапальный округ</t>
  </si>
  <si>
    <t>Россия, Санкт-Петербург, Введенская ул. 9, Памятник Димитру Благоеву</t>
  </si>
  <si>
    <t>Плаза</t>
  </si>
  <si>
    <t>Скейт-парк около метро Парк Победы</t>
  </si>
  <si>
    <t>Мунициапальный округ Московская застава</t>
  </si>
  <si>
    <t>Санкт-Петербург, Московский парк Победы</t>
  </si>
  <si>
    <t>Бетонный парк ул. Железноводская</t>
  </si>
  <si>
    <t>Санкт-Петербург, Железноводская улица, 10</t>
  </si>
  <si>
    <t>до 2019</t>
  </si>
  <si>
    <t>Боул + Плаза</t>
  </si>
  <si>
    <t>Скейт-парк возле Газпром Арены (СПб)</t>
  </si>
  <si>
    <t>Санкт-Петербург, Петроградский район, Южная дорога, д. 25</t>
  </si>
  <si>
    <t>Каркасный скейт-парк в Горелово</t>
  </si>
  <si>
    <t>Санкт-Петербург, Красносельский район, Ул. Коммунаров 133</t>
  </si>
  <si>
    <t>Флоу + Эир + Памп-трек + Рампа</t>
  </si>
  <si>
    <t>Бетонный скейт-парк пр. Ветеранов 58</t>
  </si>
  <si>
    <t>Мунициапальный округ Ульянка</t>
  </si>
  <si>
    <t>Санкт-Петербург, Кировский район, пр. Ветеранов, 58 лит. А</t>
  </si>
  <si>
    <t>Флоу</t>
  </si>
  <si>
    <t>Скейт-парк в Ломоносове</t>
  </si>
  <si>
    <t>Город Ломоносов</t>
  </si>
  <si>
    <t>Санкт-Петербург, Ломоносов, улица Победы, 34к1</t>
  </si>
  <si>
    <t>до 2018</t>
  </si>
  <si>
    <t>Рампа + Флоу + Эир</t>
  </si>
  <si>
    <t>Деревянный скейт-парк в Сертолово</t>
  </si>
  <si>
    <t>Всеволожский</t>
  </si>
  <si>
    <t>Город Сертолово</t>
  </si>
  <si>
    <t>Ленинградская область, Сертолово, Заречная улица, 11</t>
  </si>
  <si>
    <t>Плаза + Флоу + Эир</t>
  </si>
  <si>
    <t>Скейт-парк в Южно-Приморском парке</t>
  </si>
  <si>
    <t>Южно-Приморский мунициапальный округ</t>
  </si>
  <si>
    <t>Санкт-Петербург, Южно-Приморский парк</t>
  </si>
  <si>
    <t>Скейт-парк в парке 300-летия Петербурга</t>
  </si>
  <si>
    <t>Санкт-Петербург, парк 300-летия, Приморский проспект, 74В</t>
  </si>
  <si>
    <t>Бетон + Асфальт</t>
  </si>
  <si>
    <t>Плаза + Флоу + Эир + Памп-трек</t>
  </si>
  <si>
    <t>Скейт-парк в Колпино</t>
  </si>
  <si>
    <t>Санкт-Петербург, Колпино, проспект Ленина, 35к2</t>
  </si>
  <si>
    <t>Бетонный скейт-парк СКА-арена</t>
  </si>
  <si>
    <t>Санкт-Петербург, ст.м. Парк Победы, проспект Космонавтов, 11</t>
  </si>
  <si>
    <t>Плаза + Флоу</t>
  </si>
  <si>
    <t>Бетонный скейт-парк в Мурино</t>
  </si>
  <si>
    <t>Мунициапальный округ Полюстрово</t>
  </si>
  <si>
    <t>Санкт-Петербург, Красногвардейский район, Муринская дорога, 86</t>
  </si>
  <si>
    <t>Бетонный скейт-парк ул. Коммуны 47</t>
  </si>
  <si>
    <t>Мунициапальный округ Ржевка</t>
  </si>
  <si>
    <t>Санкт-Петербург, Красногвардейский район, ул. Коммуны, 47</t>
  </si>
  <si>
    <t>Бетонная плаза на Граничной улице</t>
  </si>
  <si>
    <t>Мунициапальный округ Лахта-Ольгино</t>
  </si>
  <si>
    <t>Санкт-Петербург, Граничная улица, 15</t>
  </si>
  <si>
    <t>Скейт-парк под Поклонногорским мостом СПб</t>
  </si>
  <si>
    <t>Санкт-Петербург, Выборгский район, ст.м. Удельная, Удельный пр., 42</t>
  </si>
  <si>
    <t>Бетонный скейт-парк на ул. Добровольцев (СПб)</t>
  </si>
  <si>
    <t>Мунициапальный округ Урицк</t>
  </si>
  <si>
    <t>Санкт-Петербург, Красносельский р-н, ул. Добровольцев, 32</t>
  </si>
  <si>
    <t>Бетонный скейт-парк в Красном Селе (ул. Спирина 10А)</t>
  </si>
  <si>
    <t>Город Красное Село</t>
  </si>
  <si>
    <t>Санкт-Петербург, Красносельский район, ул. Спирина 10 лит.А</t>
  </si>
  <si>
    <t>Скейт-парк и памп-трек в парке Авиаторов (СПб)</t>
  </si>
  <si>
    <t>Мунициапальный округ Новоизмайловское</t>
  </si>
  <si>
    <t>Санкт-Петербург, Московский р-н, ул. Бассейная, 1</t>
  </si>
  <si>
    <t>Плаза + Флоу + Рампа + Памп-трек</t>
  </si>
  <si>
    <t>Скейт-парк и памп-трек в Пушкине</t>
  </si>
  <si>
    <t>Пушкинский</t>
  </si>
  <si>
    <t>Город Пушкин</t>
  </si>
  <si>
    <t>Санкт-Петербург, г. Пушкин, ул. Железнодорожная, 56</t>
  </si>
  <si>
    <t>Плаза + Памп-трек</t>
  </si>
  <si>
    <t>Скейт-парк под Ушаковским путепроводом</t>
  </si>
  <si>
    <t>Мунициапальный округ Чёрная речка</t>
  </si>
  <si>
    <t>Санкт-Петербург, Ушаковский путепровод</t>
  </si>
  <si>
    <t>до 2010</t>
  </si>
  <si>
    <t>Флоу + Рампа</t>
  </si>
  <si>
    <t>ЮзДёрт</t>
  </si>
  <si>
    <t>Санкт-Петербург, Полежаевский парк</t>
  </si>
  <si>
    <t>Дёрт + Памп-трек</t>
  </si>
  <si>
    <t>Скейт-парк на Школьной улице</t>
  </si>
  <si>
    <t>Санкт-Петербург, Школьная ул., 85</t>
  </si>
  <si>
    <t>Флоу + Рампа + Эир</t>
  </si>
  <si>
    <t>Дёрт парк</t>
  </si>
  <si>
    <t>Мунициапальный округ Комендантский аэродром</t>
  </si>
  <si>
    <t>Санкт-Петербург, проспект Испытателей, 2к7</t>
  </si>
  <si>
    <t>Скейт-плаза в Колпино</t>
  </si>
  <si>
    <t>Санкт-Петербург, Колпино, Харламов сквер</t>
  </si>
  <si>
    <t>После 2017</t>
  </si>
  <si>
    <t>Флоу + Плаза + Памп-трек</t>
  </si>
  <si>
    <t>Бетонный скейтпарк ул. Антонова-Овсеенко 2А</t>
  </si>
  <si>
    <t>Невский</t>
  </si>
  <si>
    <t>54-й мунициапальный округ</t>
  </si>
  <si>
    <t>Санкт-Петербург, улица Антонова-Овсеенко, 2А</t>
  </si>
  <si>
    <t>Скейт-парк в Лисьем носу</t>
  </si>
  <si>
    <t>Поселок Лисий Нос</t>
  </si>
  <si>
    <t xml:space="preserve">Санкт-Петербург, посёлок Лисий Нос, Александровская улица </t>
  </si>
  <si>
    <t>Каркасный скейт-парк в Зеленогорске</t>
  </si>
  <si>
    <t>Курортный</t>
  </si>
  <si>
    <t>Город Зеленогорск</t>
  </si>
  <si>
    <t>Санкт-Петербург, Зеленогорск, Приморское шоссе 536А</t>
  </si>
  <si>
    <t xml:space="preserve">Плаза + Флоу + Эир </t>
  </si>
  <si>
    <t>Двойная рампа на пр. Косыгина (СПб)</t>
  </si>
  <si>
    <t>Санкт-Петербург, проспект Косыгина, 2б</t>
  </si>
  <si>
    <t>Рампа</t>
  </si>
  <si>
    <t>Бетонный скейт-парк в Стрельне СПб</t>
  </si>
  <si>
    <t>Поселок Стрельна</t>
  </si>
  <si>
    <t>Санкт-Петербург, Петродворцовый р-н, Нижняя дорога, 2В</t>
  </si>
  <si>
    <t>Флоу + Плаза</t>
  </si>
  <si>
    <t>Металлический парк в Горелово</t>
  </si>
  <si>
    <t>Санкт-Петербург, территория Горелово, улица Ломоносова, 60</t>
  </si>
  <si>
    <t>Спортивный парк Северный пляж в Сестрорецке</t>
  </si>
  <si>
    <t>Город Сестрорецк</t>
  </si>
  <si>
    <t>Санкт-Петербург, Курортный р-н, Сестрорецк, Северный пер., 2А</t>
  </si>
  <si>
    <t>Экстрим-кластер под мостом Непокоренных</t>
  </si>
  <si>
    <t>Калининский</t>
  </si>
  <si>
    <t>Мунициапальный округ Пискарёвка</t>
  </si>
  <si>
    <t>Санкт-Петербург, Калининский район, Пискаревский проспект - проспект Непокоренных</t>
  </si>
  <si>
    <t>Плаза + Флоу + Рампа</t>
  </si>
  <si>
    <t>Каркасный скейт-парк на Пулковском шоссе</t>
  </si>
  <si>
    <t>Мунициапальный округ Звездное</t>
  </si>
  <si>
    <t>Санкт-Петербург, Московский район, пересечение Пулковского шоссе и Дунайского проспекта</t>
  </si>
  <si>
    <t>Памп-трек + Рампа + Плаза + Флоу</t>
  </si>
  <si>
    <t>Каркасный скейт-парк в Павловске</t>
  </si>
  <si>
    <t>Город Павловск</t>
  </si>
  <si>
    <t>Санкт-Петербург, Пушкинский район, Павловск, ул. Госпитальная, д. 12</t>
  </si>
  <si>
    <t>Асфальтовый памп-трек в Александровской</t>
  </si>
  <si>
    <t>Поселок Александровская</t>
  </si>
  <si>
    <t>Санкт-Петербург, п. Александровская, 5-я лин., 28</t>
  </si>
  <si>
    <t>Памп-трек</t>
  </si>
  <si>
    <t>Деревянный боул SuperStep на Невском</t>
  </si>
  <si>
    <t>Центральный</t>
  </si>
  <si>
    <t>Владимирский мунициапальный округ</t>
  </si>
  <si>
    <t>Санкт-Петербург, ст.м. Маяковская, Невский проспект, 59</t>
  </si>
  <si>
    <t>Боул</t>
  </si>
  <si>
    <t>Каркасный скейт-парк на ул. Разводной в Петергофе</t>
  </si>
  <si>
    <t>Санкт-Петербург, Петродворцовый район, Петергоф, ул. Разводная, 27</t>
  </si>
  <si>
    <t>Эир + Флоу</t>
  </si>
  <si>
    <t>Памп-трек FK-ramps на ул. Оптиков (Петербург)</t>
  </si>
  <si>
    <t>Санкт-Петербург, Приморский р-н, ул. Оптиков, 15</t>
  </si>
  <si>
    <t>Бетонный скейт-парк на ул. Сизова (СПб)</t>
  </si>
  <si>
    <t>Мунициапальный округ Озеро Долгое</t>
  </si>
  <si>
    <t>Санкт-Петербург, Приморский р-н, ул. Сизова, 9</t>
  </si>
  <si>
    <t>Скейт-парк в Петро-Славянке (СПб)</t>
  </si>
  <si>
    <t>Поселок Петро-Славянка</t>
  </si>
  <si>
    <t>Санкт-Петербург, Колпинский район, МО Петро-Славянка, ул. Спортивная, д. 1</t>
  </si>
  <si>
    <t>Плаза + Флоу + Эир + Рампа</t>
  </si>
  <si>
    <t>Мини-рампа в Шушарах (СПб)</t>
  </si>
  <si>
    <t>Поселок Шушары</t>
  </si>
  <si>
    <t>Санкт-Петербург, Пушкинский район, Шушары, ул. Школьная, д. 32</t>
  </si>
  <si>
    <t>Скейт-парк "Легенда"</t>
  </si>
  <si>
    <t>Санкт-Петербург, Уральская ул., 4В</t>
  </si>
  <si>
    <t>Бетонный скейт-парк ул. Джона Рида 8А</t>
  </si>
  <si>
    <t>Правобережный мунициапальный округ</t>
  </si>
  <si>
    <t>Санкт-Петербург, Невский район, ул. Джона Рида, 8, лит. А</t>
  </si>
  <si>
    <t>Учебный скейт-парк в Кудрово</t>
  </si>
  <si>
    <t>Ленинградская область</t>
  </si>
  <si>
    <t>Кудрово</t>
  </si>
  <si>
    <t>Ленинградская область, Кудрово, ул. Центральная, 54/2</t>
  </si>
  <si>
    <t>Боул + Флоу</t>
  </si>
  <si>
    <t>Спортивный кластер СПОТПОДМОСТОМ</t>
  </si>
  <si>
    <t>Санкт-Петербург, Приморский район, Коломяжский пр.10 лит.Д</t>
  </si>
  <si>
    <t>Плаза + Флоу + Боул + Памп-трек</t>
  </si>
  <si>
    <t>Санкт-Петербург, Петродворцовый район, Ломоносов, ул. Жоры Антоненко, 1</t>
  </si>
  <si>
    <t>Плаза + Рампа</t>
  </si>
  <si>
    <t>Скейт-парк в Молодежном СПБ</t>
  </si>
  <si>
    <t>Поселок Молодёжное</t>
  </si>
  <si>
    <t>Санкт-Петербург, Курортный район Молодежное, ул. Правды, 15</t>
  </si>
  <si>
    <t>Флоу + Эир + Рампа</t>
  </si>
  <si>
    <t>Мини-рампа ЖК 4YOU СПб</t>
  </si>
  <si>
    <t>Санкт-Петербург, Московский район, Среднерогатская ул., 12</t>
  </si>
  <si>
    <t>Деревянный скейт-парк в Левашово в Санкт-Петербурге</t>
  </si>
  <si>
    <t>Поселок Левашово</t>
  </si>
  <si>
    <t>Санкт-Петербург, Левашово, проспект Карпова, 68</t>
  </si>
  <si>
    <t>Рампа + Флоу</t>
  </si>
  <si>
    <t>Скейт-парк Парголово в Санкт-Петербурге</t>
  </si>
  <si>
    <t>Санкт-Петербург, МО Левашово, пос. Пригородный, дом 23</t>
  </si>
  <si>
    <t>Скейт-парк в Кронштадте</t>
  </si>
  <si>
    <t>Россия, Санкт-Петербург, Кронштадт, Цитадельское ш., 30</t>
  </si>
  <si>
    <t>Памп-трек в ЖК Граффити, СПб</t>
  </si>
  <si>
    <t>Санкт-Петербург, пр. Королёва, 59 корпус 4</t>
  </si>
  <si>
    <t>Бетонный скейт-парк в Янино</t>
  </si>
  <si>
    <t>Янино</t>
  </si>
  <si>
    <t>Россия, Ленинградская обл., улица Ветряных Мельниц</t>
  </si>
  <si>
    <t>Бетон + Деревянный каркас</t>
  </si>
  <si>
    <t>Металлический скейт-парк в Санкт-Петербурге, в ЦПКиО</t>
  </si>
  <si>
    <t>Мунициапальный округ Чкаловское</t>
  </si>
  <si>
    <t>Санкт-Петербург, Елагин остров, 4 (ЦПКиО им. Кирова)</t>
  </si>
  <si>
    <t>Бетонный скейт-парк и асфальтовый памп-трек в Буграх</t>
  </si>
  <si>
    <t>Бугры</t>
  </si>
  <si>
    <t>Ленинградская область, п. Бугры, улица Парковая, дом 2</t>
  </si>
  <si>
    <t>Плаза + Боул + Флоу</t>
  </si>
  <si>
    <t>Бетонный скейт-парк Новое Девяткино</t>
  </si>
  <si>
    <t>Новое Девяткино</t>
  </si>
  <si>
    <t>Ленинградская область, Новое Девяткино, ул. Флотская, 9</t>
  </si>
  <si>
    <t>Деревянный скейт-парк в Аннино</t>
  </si>
  <si>
    <t>Аннино</t>
  </si>
  <si>
    <t>Россия, Ленинградская обл., Большие Томики, ул. 10 пятилетки</t>
  </si>
  <si>
    <t>Street Sport Academy SSA</t>
  </si>
  <si>
    <t>Санкт-Петербург, ул.Автовская 31Б</t>
  </si>
  <si>
    <t>STREET SPORT ACADEMY</t>
  </si>
  <si>
    <t>Плаза + Флоу + Эир + Рампа + Рези + Боул</t>
  </si>
  <si>
    <t>Скейт-парк Смена СПб</t>
  </si>
  <si>
    <t>Мунициапальный округ Сампсониевское</t>
  </si>
  <si>
    <t>Санкт-Петербург, Полюстровский пр. д 72</t>
  </si>
  <si>
    <t>Inmotion spb</t>
  </si>
  <si>
    <t>Народный мунициапальный округ</t>
  </si>
  <si>
    <t>Санкт-Петербург, Новоселов, 49</t>
  </si>
  <si>
    <t>Скейт-парк Площадь Ленина</t>
  </si>
  <si>
    <t>Мунициапальный округ Гавань</t>
  </si>
  <si>
    <t>Санкт-Петербург, Кожевенная линия 34</t>
  </si>
  <si>
    <t>ПЛОЩАДЬ ЛЕНИНА</t>
  </si>
  <si>
    <t>Скейтборд + Самокат</t>
  </si>
  <si>
    <t>Скейт-парк в ЦДС Московский</t>
  </si>
  <si>
    <t>Санкт-Петербург, Пулковское шоссе, 42к6</t>
  </si>
  <si>
    <t>Скейт-парк под Дунайским путепроводом</t>
  </si>
  <si>
    <t>Фрунзенский</t>
  </si>
  <si>
    <t>Балканский мунициапальный округ</t>
  </si>
  <si>
    <t>Санкт-Петербург, Дунайский путепровод</t>
  </si>
  <si>
    <t>Флоу + Памп-трек</t>
  </si>
  <si>
    <t>Велодром BMX Race СШОР Петергоф</t>
  </si>
  <si>
    <t>Санкт-Петербург, Петергоф, территория Суворовский городок 69к6</t>
  </si>
  <si>
    <t>fid</t>
  </si>
  <si>
    <t>TableID</t>
  </si>
  <si>
    <t>Name</t>
  </si>
  <si>
    <t>Munitipal</t>
  </si>
  <si>
    <t>Address</t>
  </si>
  <si>
    <t>Operator</t>
  </si>
  <si>
    <t>Year</t>
  </si>
  <si>
    <t>Area</t>
  </si>
  <si>
    <t>Dimensional_type</t>
  </si>
  <si>
    <t>Capacity</t>
  </si>
  <si>
    <t>Construction_type</t>
  </si>
  <si>
    <t>Base_material</t>
  </si>
  <si>
    <t>Terms_of_use</t>
  </si>
  <si>
    <t>Dimensional_solution</t>
  </si>
  <si>
    <t>Disciplines</t>
  </si>
  <si>
    <t>Styles</t>
  </si>
  <si>
    <t>Riding_level</t>
  </si>
  <si>
    <t>Rating</t>
  </si>
  <si>
    <t>Менее 300 м2</t>
  </si>
  <si>
    <t>301 - 650 м2</t>
  </si>
  <si>
    <t>651 - 1300 м2</t>
  </si>
  <si>
    <t>более 1300 м2</t>
  </si>
  <si>
    <t>Муниципального масштаба</t>
  </si>
  <si>
    <t>Value</t>
  </si>
  <si>
    <t>Const</t>
  </si>
  <si>
    <t>Final_Value</t>
  </si>
  <si>
    <t>Asphalt</t>
  </si>
  <si>
    <t>Concrete</t>
  </si>
  <si>
    <t>Wooden frame</t>
  </si>
  <si>
    <t>Metal frame</t>
  </si>
  <si>
    <t>Gravel jumps</t>
  </si>
  <si>
    <t>Бетон + Деревянный каркас + Асфальт</t>
  </si>
  <si>
    <t>Деревянный каркас + Асфальт</t>
  </si>
  <si>
    <t>Concrete + Asphalt</t>
  </si>
  <si>
    <t>Concrete + Wooden frame</t>
  </si>
  <si>
    <t>Concrete + Wooden frame + Asphalt</t>
  </si>
  <si>
    <t>Eng_name</t>
  </si>
  <si>
    <t>Wooden frame + Asphalt</t>
  </si>
  <si>
    <t>Асфальт (памп-трек)</t>
  </si>
  <si>
    <t>Бетон (плаза)</t>
  </si>
  <si>
    <t>Деревянный каркас (фигуры)</t>
  </si>
  <si>
    <t>Металлический каркас (фигуры)</t>
  </si>
  <si>
    <t>Насыпные трамплины (памп-трек)</t>
  </si>
  <si>
    <t>Насыпные трамплины (дёрт)</t>
  </si>
  <si>
    <t>Gravel race</t>
  </si>
  <si>
    <t>Грунт (дёрт)</t>
  </si>
  <si>
    <t>Фанера (памп-трек)</t>
  </si>
  <si>
    <t>Фанера (парк)</t>
  </si>
  <si>
    <t>Асфальт + Грунт (памп-трек)</t>
  </si>
  <si>
    <t>Asphalt + Gravel (race)</t>
  </si>
  <si>
    <t>Gravel (dirt)</t>
  </si>
  <si>
    <t>Asphalt (race)</t>
  </si>
  <si>
    <t>Wood (race)</t>
  </si>
  <si>
    <t>Wood (park)</t>
  </si>
  <si>
    <t>Asphalt (park)</t>
  </si>
  <si>
    <t>Paid</t>
  </si>
  <si>
    <t>Free</t>
  </si>
  <si>
    <t>Special</t>
  </si>
  <si>
    <t>Outdoor</t>
  </si>
  <si>
    <t>Indoor</t>
  </si>
  <si>
    <t>Semi-indoor</t>
  </si>
  <si>
    <t>Скейтборд + Самокат + Ролики</t>
  </si>
  <si>
    <t>Bowl</t>
  </si>
  <si>
    <t>Plaza</t>
  </si>
  <si>
    <t>Dirt</t>
  </si>
  <si>
    <t>Flow</t>
  </si>
  <si>
    <t>Resi</t>
  </si>
  <si>
    <t>Средний</t>
  </si>
  <si>
    <t>Высокий</t>
  </si>
  <si>
    <t>Начальный + Средний</t>
  </si>
  <si>
    <t>R1</t>
  </si>
  <si>
    <t>R2</t>
  </si>
  <si>
    <t>R3</t>
  </si>
  <si>
    <t>R4</t>
  </si>
  <si>
    <t>R5</t>
  </si>
  <si>
    <t>R6</t>
  </si>
  <si>
    <t>R7</t>
  </si>
  <si>
    <t>R8</t>
  </si>
  <si>
    <t>Styles_count</t>
  </si>
  <si>
    <t>Количество вариантов значений показателя</t>
  </si>
  <si>
    <t>Размерный тип</t>
  </si>
  <si>
    <t>Количество подходящих дисциплин</t>
  </si>
  <si>
    <t>Количество подходящих стилей катания</t>
  </si>
  <si>
    <t>Подходящий уровень катания</t>
  </si>
  <si>
    <t>Примерная площадь постройки</t>
  </si>
  <si>
    <t>Ремомендуемая пропусканая способность</t>
  </si>
  <si>
    <t xml:space="preserve">квартального значения </t>
  </si>
  <si>
    <r>
      <t>до 200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</si>
  <si>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не более 10 человек одновременно</t>
  </si>
  <si>
    <t xml:space="preserve">районного значения </t>
  </si>
  <si>
    <r>
      <t>от 300 до 1000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</si>
  <si>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не более 40 человек одновременно</t>
  </si>
  <si>
    <t xml:space="preserve">городского значения </t>
  </si>
  <si>
    <r>
      <t>от 10000 до 2000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</si>
  <si>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не более 70 человек одновременно</t>
  </si>
  <si>
    <t xml:space="preserve">регионального значения </t>
  </si>
  <si>
    <r>
      <t>от 2000 до 5000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</si>
  <si>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не более 100 человек одновременно</t>
  </si>
  <si>
    <t xml:space="preserve">мирового масштаба </t>
  </si>
  <si>
    <r>
      <t>превышает 5000 м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</si>
  <si>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более 100 человек одновременно</t>
  </si>
  <si>
    <t>Преимущества</t>
  </si>
  <si>
    <t>Недостатки</t>
  </si>
  <si>
    <t>Мобильность; Высокий срок эксплуатации</t>
  </si>
  <si>
    <t>Наибольший уровень шума, не подходящий для жилой застройки</t>
  </si>
  <si>
    <t>Самое дешевое производство; Невысокий уровень шума; Пригодность для всех дисциплин</t>
  </si>
  <si>
    <t>Наименьший срок службы; Высокие требования к монтажу и демонтажу оборудования</t>
  </si>
  <si>
    <t>Наибольший срок службы; Наименьший уровень шума; Любые формы</t>
  </si>
  <si>
    <t>Стационарное расположение; Наибольший уровень финансовых и трудовых затрат при производстве</t>
  </si>
  <si>
    <t>Наименьшая стоимость; Наименьшие требования при строительстве</t>
  </si>
  <si>
    <t>Невозможность использования на больших площадях; Недолгий срок эксплуатации</t>
  </si>
  <si>
    <t>Невысокая стоимость; Возможность использования на больших площадях</t>
  </si>
  <si>
    <t>Высокие требования к технологии укладки</t>
  </si>
  <si>
    <t>Идеально гладкая поверхность; Сохранность качества на протяжении всего срока эксплуатации</t>
  </si>
  <si>
    <t>Наибольшая стоимость</t>
  </si>
  <si>
    <t>Правила пользования</t>
  </si>
  <si>
    <t>Степень надзора</t>
  </si>
  <si>
    <t>Общественные (мунициальные)</t>
  </si>
  <si>
    <t>Бесплатное использование и круглосуточное использование</t>
  </si>
  <si>
    <t>Публичные (безнадзорные)</t>
  </si>
  <si>
    <t>Частные (коммерческие)</t>
  </si>
  <si>
    <t>Платное использование и ограниченное время работы</t>
  </si>
  <si>
    <t>Администрируемые (с наблюдением)</t>
  </si>
  <si>
    <t>Наибольшая финансовая доступность</t>
  </si>
  <si>
    <t>Подверженность воздействию климата</t>
  </si>
  <si>
    <t>Частичная защита от воздействия климата</t>
  </si>
  <si>
    <t>Ограниченная площадь</t>
  </si>
  <si>
    <t>Полная защита от любых погодных условий</t>
  </si>
  <si>
    <t>Наибольшие затраты при строительстве</t>
  </si>
  <si>
    <t>Подходящие дисциплины</t>
  </si>
  <si>
    <t>Буол (пул)</t>
  </si>
  <si>
    <t>Любительский + Профессиональный</t>
  </si>
  <si>
    <t>Кроме Air BMX/MTB</t>
  </si>
  <si>
    <t>Любой</t>
  </si>
  <si>
    <t>BMX-парк</t>
  </si>
  <si>
    <t>Только Air BMX/MTB</t>
  </si>
  <si>
    <t>Профессиональный</t>
  </si>
  <si>
    <t>Рампа (халф-пайп)</t>
  </si>
  <si>
    <t>Дёрт трассы</t>
  </si>
  <si>
    <t>Флоу-парки</t>
  </si>
  <si>
    <t>Начальный + Любительский</t>
  </si>
  <si>
    <t>Размерный тип (площадь постройки) (Dimensional_type)</t>
  </si>
  <si>
    <t>Тип конструкции (Construction_type)</t>
  </si>
  <si>
    <t>Administrative</t>
  </si>
  <si>
    <t>Материал основания (Base_material)</t>
  </si>
  <si>
    <t>Вид собственности (Terms_of_use)</t>
  </si>
  <si>
    <t>Объемно-пространственное решение (Dimensional_solution)</t>
  </si>
  <si>
    <t>Тип и направление катания (Disciplines + Styles)</t>
  </si>
  <si>
    <t>Уровень катания (сложности) (Riding_level)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</si>
</sst>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rgb="FF434343"/>
      <name val="Roboto"/>
    </font>
    <font>
      <sz val="11"/>
      <color rgb="FF0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indexed="64"/>
      </right>
      <top style="thin">
        <color rgb="FFF8F9FA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3">
    <dxf>
      <numFmt numFmtId="2" formatCode="0.0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Выгружено из OSM-style" pivot="0" count="3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13" displayName="Таблица13" ref="A1:AB79" headerRowDxfId="19" headerRowBorderDxfId="18">
  <autoFilter ref="A1:AB79"/>
  <tableColumns count="28">
    <tableColumn id="1" name="fid"/>
    <tableColumn id="2" name="TableID"/>
    <tableColumn id="3" name="Name"/>
    <tableColumn id="4" name="Administrative"/>
    <tableColumn id="5" name="Munitipal"/>
    <tableColumn id="6" name="Address"/>
    <tableColumn id="7" name="Operator"/>
    <tableColumn id="8" name="Year"/>
    <tableColumn id="9" name="Area"/>
    <tableColumn id="22" name="Dimensional_type" dataDxfId="17">
      <calculatedColumnFormula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calculatedColumnFormula>
    </tableColumn>
    <tableColumn id="30" name="R1" dataDxfId="16">
      <calculatedColumnFormula>VLOOKUP(Таблица13[[#This Row],[Dimensional_type]],'Составляющие рейтинга'!$B$10:$C$13,2,0)</calculatedColumnFormula>
    </tableColumn>
    <tableColumn id="11" name="Capacity" dataDxfId="15">
      <calculatedColumnFormula>QUOTIENT(Таблица13[[#This Row],[Area]],20)</calculatedColumnFormula>
    </tableColumn>
    <tableColumn id="23" name="Construction_type" dataDxfId="14"/>
    <tableColumn id="33" name="R2" dataDxfId="13">
      <calculatedColumnFormula>VLOOKUP(Таблица13[[#This Row],[Construction_type]],'Составляющие рейтинга'!$F$17:$G$26,2,0)</calculatedColumnFormula>
    </tableColumn>
    <tableColumn id="24" name="Base_material" dataDxfId="12"/>
    <tableColumn id="34" name="R3" dataDxfId="11">
      <calculatedColumnFormula>VLOOKUP(Таблица13[[#This Row],[Base_material]],'Составляющие рейтинга'!$K$13:$L$19,2,0)</calculatedColumnFormula>
    </tableColumn>
    <tableColumn id="25" name="Terms_of_use" dataDxfId="10"/>
    <tableColumn id="35" name="R4" dataDxfId="9">
      <calculatedColumnFormula>VLOOKUP(Таблица13[[#This Row],[Terms_of_use]],'Составляющие рейтинга'!$P$9:$Q$11,2,0)</calculatedColumnFormula>
    </tableColumn>
    <tableColumn id="26" name="Dimensional_solution" dataDxfId="8"/>
    <tableColumn id="36" name="R5" dataDxfId="7">
      <calculatedColumnFormula>VLOOKUP(Таблица13[[#This Row],[Dimensional_solution]],'Составляющие рейтинга'!$U$9:$V$11,2,0)</calculatedColumnFormula>
    </tableColumn>
    <tableColumn id="27" name="Disciplines" dataDxfId="6"/>
    <tableColumn id="37" name="R6" dataDxfId="5">
      <calculatedColumnFormula>VLOOKUP(Таблица13[[#This Row],[Disciplines]],'Составляющие рейтинга'!$Z$14:$AA$20,2,0)</calculatedColumnFormula>
    </tableColumn>
    <tableColumn id="17" name="Styles"/>
    <tableColumn id="28" name="Styles_count" dataDxfId="4"/>
    <tableColumn id="38" name="R7" dataDxfId="3">
      <calculatedColumnFormula>VLOOKUP(Таблица13[[#This Row],[Styles_count]],'Составляющие рейтинга'!$AD$14:$AE$21,2,0)</calculatedColumnFormula>
    </tableColumn>
    <tableColumn id="29" name="Riding_level" dataDxfId="2"/>
    <tableColumn id="39" name="R8" dataDxfId="1">
      <calculatedColumnFormula>VLOOKUP(Таблица13[[#This Row],[Riding_level]],'Составляющие рейтинга'!$AH$13:$AI$18,2,0)</calculatedColumnFormula>
    </tableColumn>
    <tableColumn id="19" name="Rating" dataDxfId="0">
      <calculatedColumnFormula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calculatedColumnFormula>
    </tableColumn>
  </tableColumns>
  <tableStyleInfo name="Выгружено из OSM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C35" sqref="C35"/>
    </sheetView>
  </sheetViews>
  <sheetFormatPr defaultRowHeight="15"/>
  <cols>
    <col min="1" max="1" width="39.28515625" style="81" bestFit="1" customWidth="1"/>
    <col min="2" max="2" width="26.28515625" style="81" bestFit="1" customWidth="1"/>
    <col min="3" max="3" width="78.140625" style="81" bestFit="1" customWidth="1"/>
    <col min="4" max="4" width="79.42578125" style="81" bestFit="1" customWidth="1"/>
    <col min="5" max="16384" width="9.140625" style="81"/>
  </cols>
  <sheetData>
    <row r="1" spans="1:4" ht="15.75">
      <c r="A1" s="73" t="s">
        <v>460</v>
      </c>
      <c r="B1" s="74" t="s">
        <v>399</v>
      </c>
      <c r="C1" s="74" t="s">
        <v>403</v>
      </c>
      <c r="D1" s="74" t="s">
        <v>404</v>
      </c>
    </row>
    <row r="2" spans="1:4" ht="18">
      <c r="A2" s="73"/>
      <c r="B2" s="74" t="s">
        <v>405</v>
      </c>
      <c r="C2" s="74" t="s">
        <v>406</v>
      </c>
      <c r="D2" s="74" t="s">
        <v>407</v>
      </c>
    </row>
    <row r="3" spans="1:4" ht="18">
      <c r="A3" s="73"/>
      <c r="B3" s="74" t="s">
        <v>408</v>
      </c>
      <c r="C3" s="74" t="s">
        <v>409</v>
      </c>
      <c r="D3" s="74" t="s">
        <v>410</v>
      </c>
    </row>
    <row r="4" spans="1:4" ht="18">
      <c r="A4" s="73"/>
      <c r="B4" s="74" t="s">
        <v>411</v>
      </c>
      <c r="C4" s="74" t="s">
        <v>412</v>
      </c>
      <c r="D4" s="74" t="s">
        <v>413</v>
      </c>
    </row>
    <row r="5" spans="1:4" ht="18">
      <c r="A5" s="73"/>
      <c r="B5" s="74" t="s">
        <v>414</v>
      </c>
      <c r="C5" s="74" t="s">
        <v>415</v>
      </c>
      <c r="D5" s="74" t="s">
        <v>416</v>
      </c>
    </row>
    <row r="6" spans="1:4" ht="18">
      <c r="A6" s="73"/>
      <c r="B6" s="74" t="s">
        <v>417</v>
      </c>
      <c r="C6" s="74" t="s">
        <v>418</v>
      </c>
      <c r="D6" s="74" t="s">
        <v>419</v>
      </c>
    </row>
    <row r="7" spans="1:4" ht="15.75">
      <c r="A7" s="75"/>
      <c r="B7" s="76"/>
      <c r="C7" s="76"/>
      <c r="D7" s="77"/>
    </row>
    <row r="8" spans="1:4" ht="15.75">
      <c r="A8" s="73" t="s">
        <v>461</v>
      </c>
      <c r="B8" s="74"/>
      <c r="C8" s="74" t="s">
        <v>420</v>
      </c>
      <c r="D8" s="74" t="s">
        <v>421</v>
      </c>
    </row>
    <row r="9" spans="1:4" ht="15.75">
      <c r="A9" s="73"/>
      <c r="B9" s="74" t="s">
        <v>7</v>
      </c>
      <c r="C9" s="74" t="s">
        <v>422</v>
      </c>
      <c r="D9" s="74" t="s">
        <v>423</v>
      </c>
    </row>
    <row r="10" spans="1:4" ht="31.5">
      <c r="A10" s="73"/>
      <c r="B10" s="74" t="s">
        <v>6</v>
      </c>
      <c r="C10" s="74" t="s">
        <v>424</v>
      </c>
      <c r="D10" s="74" t="s">
        <v>425</v>
      </c>
    </row>
    <row r="11" spans="1:4" ht="31.5">
      <c r="A11" s="73"/>
      <c r="B11" s="74" t="s">
        <v>5</v>
      </c>
      <c r="C11" s="74" t="s">
        <v>426</v>
      </c>
      <c r="D11" s="74" t="s">
        <v>427</v>
      </c>
    </row>
    <row r="12" spans="1:4" ht="15.75">
      <c r="A12" s="75"/>
      <c r="B12" s="76"/>
      <c r="C12" s="76"/>
      <c r="D12" s="77"/>
    </row>
    <row r="13" spans="1:4" ht="15.75">
      <c r="A13" s="73" t="s">
        <v>463</v>
      </c>
      <c r="B13" s="74"/>
      <c r="C13" s="74" t="s">
        <v>420</v>
      </c>
      <c r="D13" s="74" t="s">
        <v>421</v>
      </c>
    </row>
    <row r="14" spans="1:4" ht="31.5">
      <c r="A14" s="73"/>
      <c r="B14" s="74" t="s">
        <v>9</v>
      </c>
      <c r="C14" s="74" t="s">
        <v>428</v>
      </c>
      <c r="D14" s="74" t="s">
        <v>429</v>
      </c>
    </row>
    <row r="15" spans="1:4" ht="15.75">
      <c r="A15" s="73"/>
      <c r="B15" s="74" t="s">
        <v>10</v>
      </c>
      <c r="C15" s="74" t="s">
        <v>430</v>
      </c>
      <c r="D15" s="74" t="s">
        <v>431</v>
      </c>
    </row>
    <row r="16" spans="1:4" ht="31.5">
      <c r="A16" s="73"/>
      <c r="B16" s="74" t="s">
        <v>11</v>
      </c>
      <c r="C16" s="74" t="s">
        <v>432</v>
      </c>
      <c r="D16" s="74" t="s">
        <v>433</v>
      </c>
    </row>
    <row r="17" spans="1:4" ht="15.75">
      <c r="A17" s="75"/>
      <c r="B17" s="76"/>
      <c r="C17" s="76"/>
      <c r="D17" s="77"/>
    </row>
    <row r="18" spans="1:4" ht="15.75">
      <c r="A18" s="73" t="s">
        <v>464</v>
      </c>
      <c r="B18" s="74"/>
      <c r="C18" s="74" t="s">
        <v>434</v>
      </c>
      <c r="D18" s="74" t="s">
        <v>435</v>
      </c>
    </row>
    <row r="19" spans="1:4" ht="31.5">
      <c r="A19" s="73"/>
      <c r="B19" s="74" t="s">
        <v>436</v>
      </c>
      <c r="C19" s="74" t="s">
        <v>437</v>
      </c>
      <c r="D19" s="74" t="s">
        <v>438</v>
      </c>
    </row>
    <row r="20" spans="1:4" ht="15.75">
      <c r="A20" s="73"/>
      <c r="B20" s="74" t="s">
        <v>439</v>
      </c>
      <c r="C20" s="74" t="s">
        <v>440</v>
      </c>
      <c r="D20" s="74" t="s">
        <v>441</v>
      </c>
    </row>
    <row r="21" spans="1:4" ht="15.75">
      <c r="A21" s="75"/>
      <c r="B21" s="76"/>
      <c r="C21" s="76"/>
      <c r="D21" s="77"/>
    </row>
    <row r="22" spans="1:4" ht="15.75">
      <c r="A22" s="78" t="s">
        <v>465</v>
      </c>
      <c r="B22" s="74"/>
      <c r="C22" s="74" t="s">
        <v>420</v>
      </c>
      <c r="D22" s="74" t="s">
        <v>421</v>
      </c>
    </row>
    <row r="23" spans="1:4" ht="15.75">
      <c r="A23" s="79"/>
      <c r="B23" s="74" t="s">
        <v>13</v>
      </c>
      <c r="C23" s="74" t="s">
        <v>442</v>
      </c>
      <c r="D23" s="74" t="s">
        <v>443</v>
      </c>
    </row>
    <row r="24" spans="1:4" ht="15.75">
      <c r="A24" s="79"/>
      <c r="B24" s="74" t="s">
        <v>14</v>
      </c>
      <c r="C24" s="74" t="s">
        <v>444</v>
      </c>
      <c r="D24" s="74" t="s">
        <v>445</v>
      </c>
    </row>
    <row r="25" spans="1:4" ht="15.75">
      <c r="A25" s="80"/>
      <c r="B25" s="74" t="s">
        <v>15</v>
      </c>
      <c r="C25" s="74" t="s">
        <v>446</v>
      </c>
      <c r="D25" s="74" t="s">
        <v>447</v>
      </c>
    </row>
    <row r="26" spans="1:4" ht="15.75">
      <c r="A26" s="75"/>
      <c r="B26" s="76"/>
      <c r="C26" s="76"/>
      <c r="D26" s="77"/>
    </row>
    <row r="27" spans="1:4" ht="15.75">
      <c r="A27" s="73" t="s">
        <v>466</v>
      </c>
      <c r="B27" s="74"/>
      <c r="C27" s="74" t="s">
        <v>448</v>
      </c>
      <c r="D27" s="74" t="s">
        <v>467</v>
      </c>
    </row>
    <row r="28" spans="1:4" ht="15.75">
      <c r="A28" s="73"/>
      <c r="B28" s="74" t="s">
        <v>449</v>
      </c>
      <c r="C28" s="74" t="s">
        <v>40</v>
      </c>
      <c r="D28" s="74" t="s">
        <v>450</v>
      </c>
    </row>
    <row r="29" spans="1:4" ht="15.75">
      <c r="A29" s="73"/>
      <c r="B29" s="74" t="s">
        <v>104</v>
      </c>
      <c r="C29" s="74" t="s">
        <v>451</v>
      </c>
      <c r="D29" s="74" t="s">
        <v>452</v>
      </c>
    </row>
    <row r="30" spans="1:4" ht="15.75">
      <c r="A30" s="73"/>
      <c r="B30" s="74" t="s">
        <v>453</v>
      </c>
      <c r="C30" s="74" t="s">
        <v>454</v>
      </c>
      <c r="D30" s="74" t="s">
        <v>455</v>
      </c>
    </row>
    <row r="31" spans="1:4" ht="15.75">
      <c r="A31" s="73"/>
      <c r="B31" s="74" t="s">
        <v>456</v>
      </c>
      <c r="C31" s="74" t="s">
        <v>40</v>
      </c>
      <c r="D31" s="74" t="s">
        <v>452</v>
      </c>
    </row>
    <row r="32" spans="1:4" ht="15.75">
      <c r="A32" s="73"/>
      <c r="B32" s="74" t="s">
        <v>226</v>
      </c>
      <c r="C32" s="74" t="s">
        <v>40</v>
      </c>
      <c r="D32" s="74" t="s">
        <v>452</v>
      </c>
    </row>
    <row r="33" spans="1:4" ht="15.75">
      <c r="A33" s="73"/>
      <c r="B33" s="74" t="s">
        <v>457</v>
      </c>
      <c r="C33" s="74" t="s">
        <v>454</v>
      </c>
      <c r="D33" s="74" t="s">
        <v>455</v>
      </c>
    </row>
    <row r="34" spans="1:4" ht="15.75">
      <c r="A34" s="73"/>
      <c r="B34" s="74" t="s">
        <v>458</v>
      </c>
      <c r="C34" s="74" t="s">
        <v>40</v>
      </c>
      <c r="D34" s="74" t="s">
        <v>459</v>
      </c>
    </row>
    <row r="56" spans="3:3" ht="15.75">
      <c r="C56" s="82"/>
    </row>
  </sheetData>
  <mergeCells count="11">
    <mergeCell ref="A18:A20"/>
    <mergeCell ref="A21:D21"/>
    <mergeCell ref="A22:A25"/>
    <mergeCell ref="A26:D26"/>
    <mergeCell ref="A27:A34"/>
    <mergeCell ref="A1:A6"/>
    <mergeCell ref="A7:D7"/>
    <mergeCell ref="A8:A11"/>
    <mergeCell ref="A12:D12"/>
    <mergeCell ref="A13:A16"/>
    <mergeCell ref="A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zoomScaleNormal="100" workbookViewId="0">
      <selection activeCell="H4" sqref="H4"/>
    </sheetView>
  </sheetViews>
  <sheetFormatPr defaultRowHeight="15"/>
  <cols>
    <col min="3" max="3" width="21.5703125" customWidth="1"/>
    <col min="4" max="4" width="9.140625" customWidth="1"/>
    <col min="5" max="5" width="13.42578125" bestFit="1" customWidth="1"/>
    <col min="6" max="7" width="12.7109375" customWidth="1"/>
    <col min="8" max="9" width="9.140625" customWidth="1"/>
    <col min="10" max="10" width="15.28515625" customWidth="1"/>
    <col min="11" max="11" width="7.5703125" customWidth="1"/>
    <col min="12" max="12" width="9.140625" customWidth="1"/>
    <col min="13" max="13" width="8" customWidth="1"/>
    <col min="14" max="14" width="7.5703125" customWidth="1"/>
    <col min="15" max="15" width="9.140625" customWidth="1"/>
    <col min="16" max="16" width="7.5703125" customWidth="1"/>
    <col min="17" max="17" width="9.140625" customWidth="1"/>
    <col min="18" max="18" width="7.5703125" customWidth="1"/>
    <col min="19" max="19" width="9.140625" customWidth="1"/>
    <col min="20" max="20" width="11.42578125" customWidth="1"/>
    <col min="21" max="26" width="9.140625" customWidth="1"/>
    <col min="27" max="27" width="11.42578125" bestFit="1" customWidth="1"/>
  </cols>
  <sheetData>
    <row r="1" spans="1:28" ht="38.25">
      <c r="A1" s="48" t="s">
        <v>319</v>
      </c>
      <c r="B1" s="49" t="s">
        <v>320</v>
      </c>
      <c r="C1" s="48" t="s">
        <v>321</v>
      </c>
      <c r="D1" s="83" t="s">
        <v>462</v>
      </c>
      <c r="E1" s="48" t="s">
        <v>322</v>
      </c>
      <c r="F1" s="48" t="s">
        <v>323</v>
      </c>
      <c r="G1" s="48" t="s">
        <v>324</v>
      </c>
      <c r="H1" s="48" t="s">
        <v>325</v>
      </c>
      <c r="I1" s="48" t="s">
        <v>326</v>
      </c>
      <c r="J1" s="39" t="s">
        <v>327</v>
      </c>
      <c r="K1" s="39" t="s">
        <v>389</v>
      </c>
      <c r="L1" s="48" t="s">
        <v>328</v>
      </c>
      <c r="M1" s="40" t="s">
        <v>329</v>
      </c>
      <c r="N1" s="40" t="s">
        <v>390</v>
      </c>
      <c r="O1" s="41" t="s">
        <v>330</v>
      </c>
      <c r="P1" s="41" t="s">
        <v>391</v>
      </c>
      <c r="Q1" s="42" t="s">
        <v>331</v>
      </c>
      <c r="R1" s="42" t="s">
        <v>392</v>
      </c>
      <c r="S1" s="43" t="s">
        <v>332</v>
      </c>
      <c r="T1" s="43" t="s">
        <v>393</v>
      </c>
      <c r="U1" s="44" t="s">
        <v>333</v>
      </c>
      <c r="V1" s="44" t="s">
        <v>394</v>
      </c>
      <c r="W1" s="45" t="s">
        <v>334</v>
      </c>
      <c r="X1" s="45" t="s">
        <v>397</v>
      </c>
      <c r="Y1" s="45" t="s">
        <v>395</v>
      </c>
      <c r="Z1" s="46" t="s">
        <v>335</v>
      </c>
      <c r="AA1" s="46" t="s">
        <v>396</v>
      </c>
      <c r="AB1" s="47" t="s">
        <v>336</v>
      </c>
    </row>
    <row r="2" spans="1:28" ht="76.5">
      <c r="A2" s="34">
        <v>1</v>
      </c>
      <c r="B2" s="35">
        <v>1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6">
        <v>2012</v>
      </c>
      <c r="I2" s="35">
        <v>1700</v>
      </c>
      <c r="J2" s="36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2" s="36">
        <f>VLOOKUP(Таблица13[[#This Row],[Dimensional_type]],'Составляющие рейтинга'!$B$10:$C$13,2,0)</f>
        <v>1</v>
      </c>
      <c r="L2" s="35">
        <f>QUOTIENT(Таблица13[[#This Row],[Area]],20)</f>
        <v>85</v>
      </c>
      <c r="M2" s="36" t="s">
        <v>361</v>
      </c>
      <c r="N2" s="36">
        <f>VLOOKUP(Таблица13[[#This Row],[Construction_type]],'Составляющие рейтинга'!$F$17:$G$26,2,0)</f>
        <v>0.4</v>
      </c>
      <c r="O2" s="36" t="s">
        <v>367</v>
      </c>
      <c r="P2" s="37">
        <f>VLOOKUP(Таблица13[[#This Row],[Base_material]],'Составляющие рейтинга'!$K$13:$L$19,2,0)</f>
        <v>1</v>
      </c>
      <c r="Q2" s="36" t="s">
        <v>30</v>
      </c>
      <c r="R2" s="37">
        <f>VLOOKUP(Таблица13[[#This Row],[Terms_of_use]],'Составляющие рейтинга'!$P$9:$Q$11,2,0)</f>
        <v>0.66666666666666663</v>
      </c>
      <c r="S2" s="36" t="s">
        <v>13</v>
      </c>
      <c r="T2" s="37">
        <f>VLOOKUP(Таблица13[[#This Row],[Dimensional_solution]],'Составляющие рейтинга'!$U$9:$V$11,2,0)</f>
        <v>0.33333333333333331</v>
      </c>
      <c r="U2" s="36" t="s">
        <v>31</v>
      </c>
      <c r="V2" s="37">
        <f>VLOOKUP(Таблица13[[#This Row],[Disciplines]],'Составляющие рейтинга'!$Z$14:$AA$20,2,0)</f>
        <v>0.25</v>
      </c>
      <c r="W2" s="36" t="s">
        <v>32</v>
      </c>
      <c r="X2" s="36">
        <v>1</v>
      </c>
      <c r="Y2" s="36">
        <f>VLOOKUP(Таблица13[[#This Row],[Styles_count]],'Составляющие рейтинга'!$AD$14:$AE$21,2,0)</f>
        <v>0.125</v>
      </c>
      <c r="Z2" s="36" t="s">
        <v>33</v>
      </c>
      <c r="AA2" s="36">
        <f>VLOOKUP(Таблица13[[#This Row],[Riding_level]],'Составляющие рейтинга'!$AH$13:$AI$18,2,0)</f>
        <v>1</v>
      </c>
      <c r="AB2" s="38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4.7750000000000004</v>
      </c>
    </row>
    <row r="3" spans="1:28" ht="89.25">
      <c r="A3" s="8">
        <v>2</v>
      </c>
      <c r="B3" s="9">
        <v>2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>
        <v>2021</v>
      </c>
      <c r="I3" s="9">
        <v>3200</v>
      </c>
      <c r="J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" s="10">
        <f>VLOOKUP(Таблица13[[#This Row],[Dimensional_type]],'Составляющие рейтинга'!$B$10:$C$13,2,0)</f>
        <v>1</v>
      </c>
      <c r="L3" s="9">
        <f>QUOTIENT(Таблица13[[#This Row],[Area]],20)</f>
        <v>160</v>
      </c>
      <c r="M3" s="10" t="s">
        <v>281</v>
      </c>
      <c r="N3" s="10">
        <f>VLOOKUP(Таблица13[[#This Row],[Construction_type]],'Составляющие рейтинга'!$F$17:$G$26,2,0)</f>
        <v>1</v>
      </c>
      <c r="O3" s="10" t="s">
        <v>11</v>
      </c>
      <c r="P3" s="21">
        <f>VLOOKUP(Таблица13[[#This Row],[Base_material]],'Составляющие рейтинга'!$K$13:$L$19,2,0)</f>
        <v>1</v>
      </c>
      <c r="Q3" s="10" t="s">
        <v>2</v>
      </c>
      <c r="R3" s="21">
        <f>VLOOKUP(Таблица13[[#This Row],[Terms_of_use]],'Составляющие рейтинга'!$P$9:$Q$11,2,0)</f>
        <v>1</v>
      </c>
      <c r="S3" s="10" t="s">
        <v>39</v>
      </c>
      <c r="T3" s="21">
        <f>VLOOKUP(Таблица13[[#This Row],[Dimensional_solution]],'Составляющие рейтинга'!$U$9:$V$11,2,0)</f>
        <v>0.66666666666666663</v>
      </c>
      <c r="U3" s="10" t="s">
        <v>40</v>
      </c>
      <c r="V3" s="21">
        <f>VLOOKUP(Таблица13[[#This Row],[Disciplines]],'Составляющие рейтинга'!$Z$14:$AA$20,2,0)</f>
        <v>1</v>
      </c>
      <c r="W3" s="10" t="s">
        <v>41</v>
      </c>
      <c r="X3" s="10">
        <v>5</v>
      </c>
      <c r="Y3" s="10">
        <f>VLOOKUP(Таблица13[[#This Row],[Styles_count]],'Составляющие рейтинга'!$AD$14:$AE$21,2,0)</f>
        <v>0.625</v>
      </c>
      <c r="Z3" s="7" t="s">
        <v>33</v>
      </c>
      <c r="AA3" s="10">
        <f>VLOOKUP(Таблица13[[#This Row],[Riding_level]],'Составляющие рейтинга'!$AH$13:$AI$18,2,0)</f>
        <v>1</v>
      </c>
      <c r="AB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7.291666666666667</v>
      </c>
    </row>
    <row r="4" spans="1:28" ht="76.5">
      <c r="A4" s="5">
        <v>3</v>
      </c>
      <c r="B4" s="6">
        <v>3</v>
      </c>
      <c r="C4" s="7" t="s">
        <v>42</v>
      </c>
      <c r="D4" s="7" t="s">
        <v>43</v>
      </c>
      <c r="E4" s="7" t="s">
        <v>44</v>
      </c>
      <c r="F4" s="7" t="s">
        <v>45</v>
      </c>
      <c r="G4" s="7" t="s">
        <v>38</v>
      </c>
      <c r="H4" s="7">
        <v>2022</v>
      </c>
      <c r="I4" s="6">
        <v>2100</v>
      </c>
      <c r="J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4" s="7">
        <f>VLOOKUP(Таблица13[[#This Row],[Dimensional_type]],'Составляющие рейтинга'!$B$10:$C$13,2,0)</f>
        <v>1</v>
      </c>
      <c r="L4" s="6">
        <f>QUOTIENT(Таблица13[[#This Row],[Area]],20)</f>
        <v>105</v>
      </c>
      <c r="M4" s="7" t="s">
        <v>281</v>
      </c>
      <c r="N4" s="7">
        <f>VLOOKUP(Таблица13[[#This Row],[Construction_type]],'Составляющие рейтинга'!$F$17:$G$26,2,0)</f>
        <v>1</v>
      </c>
      <c r="O4" s="7" t="s">
        <v>11</v>
      </c>
      <c r="P4" s="20">
        <f>VLOOKUP(Таблица13[[#This Row],[Base_material]],'Составляющие рейтинга'!$K$13:$L$19,2,0)</f>
        <v>1</v>
      </c>
      <c r="Q4" s="10" t="s">
        <v>2</v>
      </c>
      <c r="R4" s="20">
        <f>VLOOKUP(Таблица13[[#This Row],[Terms_of_use]],'Составляющие рейтинга'!$P$9:$Q$11,2,0)</f>
        <v>1</v>
      </c>
      <c r="S4" s="10" t="s">
        <v>39</v>
      </c>
      <c r="T4" s="20">
        <f>VLOOKUP(Таблица13[[#This Row],[Dimensional_solution]],'Составляющие рейтинга'!$U$9:$V$11,2,0)</f>
        <v>0.66666666666666663</v>
      </c>
      <c r="U4" s="10" t="s">
        <v>40</v>
      </c>
      <c r="V4" s="20">
        <f>VLOOKUP(Таблица13[[#This Row],[Disciplines]],'Составляющие рейтинга'!$Z$14:$AA$20,2,0)</f>
        <v>1</v>
      </c>
      <c r="W4" s="7" t="s">
        <v>47</v>
      </c>
      <c r="X4" s="7">
        <v>3</v>
      </c>
      <c r="Y4" s="7">
        <f>VLOOKUP(Таблица13[[#This Row],[Styles_count]],'Составляющие рейтинга'!$AD$14:$AE$21,2,0)</f>
        <v>0.375</v>
      </c>
      <c r="Z4" s="7" t="s">
        <v>33</v>
      </c>
      <c r="AA4" s="7">
        <f>VLOOKUP(Таблица13[[#This Row],[Riding_level]],'Составляющие рейтинга'!$AH$13:$AI$18,2,0)</f>
        <v>1</v>
      </c>
      <c r="AB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7.041666666666667</v>
      </c>
    </row>
    <row r="5" spans="1:28" ht="63.75">
      <c r="A5" s="8">
        <v>4</v>
      </c>
      <c r="B5" s="9">
        <v>4</v>
      </c>
      <c r="C5" s="10" t="s">
        <v>48</v>
      </c>
      <c r="D5" s="10" t="s">
        <v>49</v>
      </c>
      <c r="E5" s="10" t="s">
        <v>50</v>
      </c>
      <c r="F5" s="10" t="s">
        <v>51</v>
      </c>
      <c r="G5" s="10" t="s">
        <v>52</v>
      </c>
      <c r="H5" s="10">
        <v>2001</v>
      </c>
      <c r="I5" s="9">
        <v>265</v>
      </c>
      <c r="J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5" s="10">
        <f>VLOOKUP(Таблица13[[#This Row],[Dimensional_type]],'Составляющие рейтинга'!$B$10:$C$13,2,0)</f>
        <v>0.25</v>
      </c>
      <c r="L5" s="9">
        <f>QUOTIENT(Таблица13[[#This Row],[Area]],20)</f>
        <v>13</v>
      </c>
      <c r="M5" s="16" t="s">
        <v>362</v>
      </c>
      <c r="N5" s="16">
        <f>VLOOKUP(Таблица13[[#This Row],[Construction_type]],'Составляющие рейтинга'!$F$17:$G$26,2,0)</f>
        <v>0.60000000000000009</v>
      </c>
      <c r="O5" s="10" t="s">
        <v>364</v>
      </c>
      <c r="P5" s="21">
        <f>VLOOKUP(Таблица13[[#This Row],[Base_material]],'Составляющие рейтинга'!$K$13:$L$19,2,0)</f>
        <v>1</v>
      </c>
      <c r="Q5" s="10" t="s">
        <v>2</v>
      </c>
      <c r="R5" s="21">
        <f>VLOOKUP(Таблица13[[#This Row],[Terms_of_use]],'Составляющие рейтинга'!$P$9:$Q$11,2,0)</f>
        <v>1</v>
      </c>
      <c r="S5" s="7" t="s">
        <v>13</v>
      </c>
      <c r="T5" s="21">
        <f>VLOOKUP(Таблица13[[#This Row],[Dimensional_solution]],'Составляющие рейтинга'!$U$9:$V$11,2,0)</f>
        <v>0.33333333333333331</v>
      </c>
      <c r="U5" s="7" t="s">
        <v>31</v>
      </c>
      <c r="V5" s="21">
        <f>VLOOKUP(Таблица13[[#This Row],[Disciplines]],'Составляющие рейтинга'!$Z$14:$AA$20,2,0)</f>
        <v>0.25</v>
      </c>
      <c r="W5" s="10" t="s">
        <v>54</v>
      </c>
      <c r="X5" s="10">
        <v>1</v>
      </c>
      <c r="Y5" s="10">
        <f>VLOOKUP(Таблица13[[#This Row],[Styles_count]],'Составляющие рейтинга'!$AD$14:$AE$21,2,0)</f>
        <v>0.125</v>
      </c>
      <c r="Z5" s="10" t="s">
        <v>19</v>
      </c>
      <c r="AA5" s="10">
        <f>VLOOKUP(Таблица13[[#This Row],[Riding_level]],'Составляющие рейтинга'!$AH$13:$AI$18,2,0)</f>
        <v>0.66666666666666663</v>
      </c>
      <c r="AB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4.2250000000000005</v>
      </c>
    </row>
    <row r="6" spans="1:28" ht="102">
      <c r="A6" s="5">
        <v>5</v>
      </c>
      <c r="B6" s="6">
        <v>5</v>
      </c>
      <c r="C6" s="7" t="s">
        <v>55</v>
      </c>
      <c r="D6" s="7" t="s">
        <v>56</v>
      </c>
      <c r="E6" s="7" t="s">
        <v>57</v>
      </c>
      <c r="F6" s="7" t="s">
        <v>58</v>
      </c>
      <c r="G6" s="7" t="s">
        <v>38</v>
      </c>
      <c r="H6" s="7">
        <v>2021</v>
      </c>
      <c r="I6" s="6">
        <v>1600</v>
      </c>
      <c r="J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6" s="7">
        <f>VLOOKUP(Таблица13[[#This Row],[Dimensional_type]],'Составляющие рейтинга'!$B$10:$C$13,2,0)</f>
        <v>1</v>
      </c>
      <c r="L6" s="6">
        <f>QUOTIENT(Таблица13[[#This Row],[Area]],20)</f>
        <v>80</v>
      </c>
      <c r="M6" s="7" t="s">
        <v>136</v>
      </c>
      <c r="N6" s="7">
        <f>VLOOKUP(Таблица13[[#This Row],[Construction_type]],'Составляющие рейтинга'!$F$17:$G$26,2,0)</f>
        <v>1</v>
      </c>
      <c r="O6" s="7" t="s">
        <v>11</v>
      </c>
      <c r="P6" s="20">
        <f>VLOOKUP(Таблица13[[#This Row],[Base_material]],'Составляющие рейтинга'!$K$13:$L$19,2,0)</f>
        <v>1</v>
      </c>
      <c r="Q6" s="10" t="s">
        <v>2</v>
      </c>
      <c r="R6" s="20">
        <f>VLOOKUP(Таблица13[[#This Row],[Terms_of_use]],'Составляющие рейтинга'!$P$9:$Q$11,2,0)</f>
        <v>1</v>
      </c>
      <c r="S6" s="7" t="s">
        <v>13</v>
      </c>
      <c r="T6" s="20">
        <f>VLOOKUP(Таблица13[[#This Row],[Dimensional_solution]],'Составляющие рейтинга'!$U$9:$V$11,2,0)</f>
        <v>0.33333333333333331</v>
      </c>
      <c r="U6" s="10" t="s">
        <v>40</v>
      </c>
      <c r="V6" s="20">
        <f>VLOOKUP(Таблица13[[#This Row],[Disciplines]],'Составляющие рейтинга'!$Z$14:$AA$20,2,0)</f>
        <v>1</v>
      </c>
      <c r="W6" s="7" t="s">
        <v>59</v>
      </c>
      <c r="X6" s="7">
        <v>3</v>
      </c>
      <c r="Y6" s="7">
        <f>VLOOKUP(Таблица13[[#This Row],[Styles_count]],'Составляющие рейтинга'!$AD$14:$AE$21,2,0)</f>
        <v>0.375</v>
      </c>
      <c r="Z6" s="7" t="s">
        <v>33</v>
      </c>
      <c r="AA6" s="7">
        <f>VLOOKUP(Таблица13[[#This Row],[Riding_level]],'Составляющие рейтинга'!$AH$13:$AI$18,2,0)</f>
        <v>1</v>
      </c>
      <c r="AB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6.708333333333333</v>
      </c>
    </row>
    <row r="7" spans="1:28" ht="76.5">
      <c r="A7" s="8">
        <v>6</v>
      </c>
      <c r="B7" s="9">
        <v>6</v>
      </c>
      <c r="C7" s="10" t="s">
        <v>60</v>
      </c>
      <c r="D7" s="10" t="s">
        <v>56</v>
      </c>
      <c r="E7" s="10" t="s">
        <v>61</v>
      </c>
      <c r="F7" s="10" t="s">
        <v>62</v>
      </c>
      <c r="G7" s="10" t="s">
        <v>38</v>
      </c>
      <c r="H7" s="10">
        <v>2024</v>
      </c>
      <c r="I7" s="9">
        <v>3753</v>
      </c>
      <c r="J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7" s="10">
        <f>VLOOKUP(Таблица13[[#This Row],[Dimensional_type]],'Составляющие рейтинга'!$B$10:$C$13,2,0)</f>
        <v>1</v>
      </c>
      <c r="L7" s="9">
        <f>QUOTIENT(Таблица13[[#This Row],[Area]],20)</f>
        <v>187</v>
      </c>
      <c r="M7" s="10" t="s">
        <v>350</v>
      </c>
      <c r="N7" s="10">
        <f>VLOOKUP(Таблица13[[#This Row],[Construction_type]],'Составляющие рейтинга'!$F$17:$G$26,2,0)</f>
        <v>1.6</v>
      </c>
      <c r="O7" s="7" t="s">
        <v>11</v>
      </c>
      <c r="P7" s="21">
        <f>VLOOKUP(Таблица13[[#This Row],[Base_material]],'Составляющие рейтинга'!$K$13:$L$19,2,0)</f>
        <v>1</v>
      </c>
      <c r="Q7" s="10" t="s">
        <v>2</v>
      </c>
      <c r="R7" s="21">
        <f>VLOOKUP(Таблица13[[#This Row],[Terms_of_use]],'Составляющие рейтинга'!$P$9:$Q$11,2,0)</f>
        <v>1</v>
      </c>
      <c r="S7" s="7" t="s">
        <v>13</v>
      </c>
      <c r="T7" s="21">
        <f>VLOOKUP(Таблица13[[#This Row],[Dimensional_solution]],'Составляющие рейтинга'!$U$9:$V$11,2,0)</f>
        <v>0.33333333333333331</v>
      </c>
      <c r="U7" s="10" t="s">
        <v>40</v>
      </c>
      <c r="V7" s="21">
        <f>VLOOKUP(Таблица13[[#This Row],[Disciplines]],'Составляющие рейтинга'!$Z$14:$AA$20,2,0)</f>
        <v>1</v>
      </c>
      <c r="W7" s="10" t="s">
        <v>64</v>
      </c>
      <c r="X7" s="10">
        <v>4</v>
      </c>
      <c r="Y7" s="10">
        <f>VLOOKUP(Таблица13[[#This Row],[Styles_count]],'Составляющие рейтинга'!$AD$14:$AE$21,2,0)</f>
        <v>0.5</v>
      </c>
      <c r="Z7" s="7" t="s">
        <v>33</v>
      </c>
      <c r="AA7" s="10">
        <f>VLOOKUP(Таблица13[[#This Row],[Riding_level]],'Составляющие рейтинга'!$AH$13:$AI$18,2,0)</f>
        <v>1</v>
      </c>
      <c r="AB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7.4333333333333327</v>
      </c>
    </row>
    <row r="8" spans="1:28" ht="63.75">
      <c r="A8" s="5">
        <v>7</v>
      </c>
      <c r="B8" s="6">
        <v>7</v>
      </c>
      <c r="C8" s="7" t="s">
        <v>65</v>
      </c>
      <c r="D8" s="7" t="s">
        <v>66</v>
      </c>
      <c r="E8" s="7" t="s">
        <v>67</v>
      </c>
      <c r="F8" s="7" t="s">
        <v>68</v>
      </c>
      <c r="G8" s="7" t="s">
        <v>69</v>
      </c>
      <c r="H8" s="7" t="s">
        <v>70</v>
      </c>
      <c r="I8" s="6">
        <v>700</v>
      </c>
      <c r="J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8" s="7">
        <f>VLOOKUP(Таблица13[[#This Row],[Dimensional_type]],'Составляющие рейтинга'!$B$10:$C$13,2,0)</f>
        <v>0.75</v>
      </c>
      <c r="L8" s="6">
        <f>QUOTIENT(Таблица13[[#This Row],[Area]],20)</f>
        <v>35</v>
      </c>
      <c r="M8" s="7" t="s">
        <v>360</v>
      </c>
      <c r="N8" s="7">
        <f>VLOOKUP(Таблица13[[#This Row],[Construction_type]],'Составляющие рейтинга'!$F$17:$G$26,2,0)</f>
        <v>0.2</v>
      </c>
      <c r="O8" s="7" t="s">
        <v>10</v>
      </c>
      <c r="P8" s="20">
        <f>VLOOKUP(Таблица13[[#This Row],[Base_material]],'Составляющие рейтинга'!$K$13:$L$19,2,0)</f>
        <v>0.66666666666666663</v>
      </c>
      <c r="Q8" s="10" t="s">
        <v>2</v>
      </c>
      <c r="R8" s="20">
        <f>VLOOKUP(Таблица13[[#This Row],[Terms_of_use]],'Составляющие рейтинга'!$P$9:$Q$11,2,0)</f>
        <v>1</v>
      </c>
      <c r="S8" s="7" t="s">
        <v>13</v>
      </c>
      <c r="T8" s="20">
        <f>VLOOKUP(Таблица13[[#This Row],[Dimensional_solution]],'Составляющие рейтинга'!$U$9:$V$11,2,0)</f>
        <v>0.33333333333333331</v>
      </c>
      <c r="U8" s="10" t="s">
        <v>40</v>
      </c>
      <c r="V8" s="20">
        <f>VLOOKUP(Таблица13[[#This Row],[Disciplines]],'Составляющие рейтинга'!$Z$14:$AA$20,2,0)</f>
        <v>1</v>
      </c>
      <c r="W8" s="7" t="s">
        <v>71</v>
      </c>
      <c r="X8" s="7">
        <v>1</v>
      </c>
      <c r="Y8" s="7">
        <f>VLOOKUP(Таблица13[[#This Row],[Styles_count]],'Составляющие рейтинга'!$AD$14:$AE$21,2,0)</f>
        <v>0.125</v>
      </c>
      <c r="Z8" s="7" t="s">
        <v>72</v>
      </c>
      <c r="AA8" s="7">
        <f>VLOOKUP(Таблица13[[#This Row],[Riding_level]],'Составляющие рейтинга'!$AH$13:$AI$18,2,0)</f>
        <v>0.33333333333333331</v>
      </c>
      <c r="AB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4.4083333333333332</v>
      </c>
    </row>
    <row r="9" spans="1:28" ht="76.5">
      <c r="A9" s="8">
        <v>8</v>
      </c>
      <c r="B9" s="9">
        <v>8</v>
      </c>
      <c r="C9" s="10" t="s">
        <v>73</v>
      </c>
      <c r="D9" s="10" t="s">
        <v>74</v>
      </c>
      <c r="E9" s="10" t="s">
        <v>75</v>
      </c>
      <c r="F9" s="10" t="s">
        <v>76</v>
      </c>
      <c r="G9" s="10" t="s">
        <v>77</v>
      </c>
      <c r="H9" s="10">
        <v>2009</v>
      </c>
      <c r="I9" s="9">
        <v>1600</v>
      </c>
      <c r="J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9" s="10">
        <f>VLOOKUP(Таблица13[[#This Row],[Dimensional_type]],'Составляющие рейтинга'!$B$10:$C$13,2,0)</f>
        <v>1</v>
      </c>
      <c r="L9" s="9">
        <f>QUOTIENT(Таблица13[[#This Row],[Area]],20)</f>
        <v>80</v>
      </c>
      <c r="M9" s="7" t="s">
        <v>360</v>
      </c>
      <c r="N9" s="16">
        <f>VLOOKUP(Таблица13[[#This Row],[Construction_type]],'Составляющие рейтинга'!$F$17:$G$26,2,0)</f>
        <v>0.2</v>
      </c>
      <c r="O9" s="10" t="s">
        <v>11</v>
      </c>
      <c r="P9" s="21">
        <f>VLOOKUP(Таблица13[[#This Row],[Base_material]],'Составляющие рейтинга'!$K$13:$L$19,2,0)</f>
        <v>1</v>
      </c>
      <c r="Q9" s="10" t="s">
        <v>3</v>
      </c>
      <c r="R9" s="21">
        <f>VLOOKUP(Таблица13[[#This Row],[Terms_of_use]],'Составляющие рейтинга'!$P$9:$Q$11,2,0)</f>
        <v>0.33333333333333331</v>
      </c>
      <c r="S9" s="10" t="s">
        <v>15</v>
      </c>
      <c r="T9" s="21">
        <f>VLOOKUP(Таблица13[[#This Row],[Dimensional_solution]],'Составляющие рейтинга'!$U$9:$V$11,2,0)</f>
        <v>1</v>
      </c>
      <c r="U9" s="10" t="s">
        <v>40</v>
      </c>
      <c r="V9" s="21">
        <f>VLOOKUP(Таблица13[[#This Row],[Disciplines]],'Составляющие рейтинга'!$Z$14:$AA$20,2,0)</f>
        <v>1</v>
      </c>
      <c r="W9" s="10" t="s">
        <v>78</v>
      </c>
      <c r="X9" s="10">
        <v>3</v>
      </c>
      <c r="Y9" s="10">
        <f>VLOOKUP(Таблица13[[#This Row],[Styles_count]],'Составляющие рейтинга'!$AD$14:$AE$21,2,0)</f>
        <v>0.375</v>
      </c>
      <c r="Z9" s="7" t="s">
        <v>33</v>
      </c>
      <c r="AA9" s="10">
        <f>VLOOKUP(Таблица13[[#This Row],[Riding_level]],'Составляющие рейтинга'!$AH$13:$AI$18,2,0)</f>
        <v>1</v>
      </c>
      <c r="AB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5.9083333333333332</v>
      </c>
    </row>
    <row r="10" spans="1:28" ht="63.75">
      <c r="A10" s="5">
        <v>9</v>
      </c>
      <c r="B10" s="6">
        <v>9</v>
      </c>
      <c r="C10" s="7" t="s">
        <v>79</v>
      </c>
      <c r="D10" s="7" t="s">
        <v>80</v>
      </c>
      <c r="E10" s="7" t="s">
        <v>81</v>
      </c>
      <c r="F10" s="7" t="s">
        <v>82</v>
      </c>
      <c r="G10" s="7" t="s">
        <v>38</v>
      </c>
      <c r="H10" s="7">
        <v>2021</v>
      </c>
      <c r="I10" s="6">
        <v>650</v>
      </c>
      <c r="J1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0" s="7">
        <f>VLOOKUP(Таблица13[[#This Row],[Dimensional_type]],'Составляющие рейтинга'!$B$10:$C$13,2,0)</f>
        <v>0.5</v>
      </c>
      <c r="L10" s="6">
        <f>QUOTIENT(Таблица13[[#This Row],[Area]],20)</f>
        <v>32</v>
      </c>
      <c r="M10" s="7" t="s">
        <v>359</v>
      </c>
      <c r="N10" s="7">
        <f>VLOOKUP(Таблица13[[#This Row],[Construction_type]],'Составляющие рейтинга'!$F$17:$G$26,2,0)</f>
        <v>0.4</v>
      </c>
      <c r="O10" s="10" t="s">
        <v>11</v>
      </c>
      <c r="P10" s="20">
        <f>VLOOKUP(Таблица13[[#This Row],[Base_material]],'Составляющие рейтинга'!$K$13:$L$19,2,0)</f>
        <v>1</v>
      </c>
      <c r="Q10" s="10" t="s">
        <v>2</v>
      </c>
      <c r="R10" s="20">
        <f>VLOOKUP(Таблица13[[#This Row],[Terms_of_use]],'Составляющие рейтинга'!$P$9:$Q$11,2,0)</f>
        <v>1</v>
      </c>
      <c r="S10" s="7" t="s">
        <v>13</v>
      </c>
      <c r="T10" s="20">
        <f>VLOOKUP(Таблица13[[#This Row],[Dimensional_solution]],'Составляющие рейтинга'!$U$9:$V$11,2,0)</f>
        <v>0.33333333333333331</v>
      </c>
      <c r="U10" s="10" t="s">
        <v>40</v>
      </c>
      <c r="V10" s="20">
        <f>VLOOKUP(Таблица13[[#This Row],[Disciplines]],'Составляющие рейтинга'!$Z$14:$AA$20,2,0)</f>
        <v>1</v>
      </c>
      <c r="W10" s="7" t="s">
        <v>83</v>
      </c>
      <c r="X10" s="7">
        <v>3</v>
      </c>
      <c r="Y10" s="7">
        <f>VLOOKUP(Таблица13[[#This Row],[Styles_count]],'Составляющие рейтинга'!$AD$14:$AE$21,2,0)</f>
        <v>0.375</v>
      </c>
      <c r="Z10" s="7" t="s">
        <v>33</v>
      </c>
      <c r="AA10" s="7">
        <f>VLOOKUP(Таблица13[[#This Row],[Riding_level]],'Составляющие рейтинга'!$AH$13:$AI$18,2,0)</f>
        <v>1</v>
      </c>
      <c r="AB1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5.6083333333333334</v>
      </c>
    </row>
    <row r="11" spans="1:28" ht="89.25">
      <c r="A11" s="8">
        <v>10</v>
      </c>
      <c r="B11" s="9">
        <v>10</v>
      </c>
      <c r="C11" s="10" t="s">
        <v>84</v>
      </c>
      <c r="D11" s="10" t="s">
        <v>85</v>
      </c>
      <c r="E11" s="10" t="s">
        <v>86</v>
      </c>
      <c r="F11" s="10" t="s">
        <v>87</v>
      </c>
      <c r="G11" s="10" t="s">
        <v>38</v>
      </c>
      <c r="H11" s="10">
        <v>2020</v>
      </c>
      <c r="I11" s="9">
        <v>800</v>
      </c>
      <c r="J1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11" s="10">
        <f>VLOOKUP(Таблица13[[#This Row],[Dimensional_type]],'Составляющие рейтинга'!$B$10:$C$13,2,0)</f>
        <v>0.75</v>
      </c>
      <c r="L11" s="9">
        <f>QUOTIENT(Таблица13[[#This Row],[Area]],20)</f>
        <v>40</v>
      </c>
      <c r="M11" s="7" t="s">
        <v>359</v>
      </c>
      <c r="N11" s="16">
        <f>VLOOKUP(Таблица13[[#This Row],[Construction_type]],'Составляющие рейтинга'!$F$17:$G$26,2,0)</f>
        <v>0.4</v>
      </c>
      <c r="O11" s="7" t="s">
        <v>10</v>
      </c>
      <c r="P11" s="21">
        <f>VLOOKUP(Таблица13[[#This Row],[Base_material]],'Составляющие рейтинга'!$K$13:$L$19,2,0)</f>
        <v>0.66666666666666663</v>
      </c>
      <c r="Q11" s="10" t="s">
        <v>2</v>
      </c>
      <c r="R11" s="21">
        <f>VLOOKUP(Таблица13[[#This Row],[Terms_of_use]],'Составляющие рейтинга'!$P$9:$Q$11,2,0)</f>
        <v>1</v>
      </c>
      <c r="S11" s="7" t="s">
        <v>13</v>
      </c>
      <c r="T11" s="21">
        <f>VLOOKUP(Таблица13[[#This Row],[Dimensional_solution]],'Составляющие рейтинга'!$U$9:$V$11,2,0)</f>
        <v>0.33333333333333331</v>
      </c>
      <c r="U11" s="10" t="s">
        <v>40</v>
      </c>
      <c r="V11" s="21">
        <f>VLOOKUP(Таблица13[[#This Row],[Disciplines]],'Составляющие рейтинга'!$Z$14:$AA$20,2,0)</f>
        <v>1</v>
      </c>
      <c r="W11" s="10" t="s">
        <v>88</v>
      </c>
      <c r="X11" s="10">
        <v>2</v>
      </c>
      <c r="Y11" s="10">
        <f>VLOOKUP(Таблица13[[#This Row],[Styles_count]],'Составляющие рейтинга'!$AD$14:$AE$21,2,0)</f>
        <v>0.25</v>
      </c>
      <c r="Z11" s="7" t="s">
        <v>33</v>
      </c>
      <c r="AA11" s="10">
        <f>VLOOKUP(Таблица13[[#This Row],[Riding_level]],'Составляющие рейтинга'!$AH$13:$AI$18,2,0)</f>
        <v>1</v>
      </c>
      <c r="AB1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5.4</v>
      </c>
    </row>
    <row r="12" spans="1:28" ht="63.75">
      <c r="A12" s="5">
        <v>11</v>
      </c>
      <c r="B12" s="6">
        <v>11</v>
      </c>
      <c r="C12" s="7" t="s">
        <v>89</v>
      </c>
      <c r="D12" s="7" t="s">
        <v>90</v>
      </c>
      <c r="E12" s="7" t="s">
        <v>91</v>
      </c>
      <c r="F12" s="7" t="s">
        <v>92</v>
      </c>
      <c r="G12" s="7" t="s">
        <v>38</v>
      </c>
      <c r="H12" s="7">
        <v>2022</v>
      </c>
      <c r="I12" s="6">
        <v>900</v>
      </c>
      <c r="J1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12" s="7">
        <f>VLOOKUP(Таблица13[[#This Row],[Dimensional_type]],'Составляющие рейтинга'!$B$10:$C$13,2,0)</f>
        <v>0.75</v>
      </c>
      <c r="L12" s="6">
        <f>QUOTIENT(Таблица13[[#This Row],[Area]],20)</f>
        <v>45</v>
      </c>
      <c r="M12" s="7" t="s">
        <v>359</v>
      </c>
      <c r="N12" s="7">
        <f>VLOOKUP(Таблица13[[#This Row],[Construction_type]],'Составляющие рейтинга'!$F$17:$G$26,2,0)</f>
        <v>0.4</v>
      </c>
      <c r="O12" s="7" t="s">
        <v>10</v>
      </c>
      <c r="P12" s="20">
        <f>VLOOKUP(Таблица13[[#This Row],[Base_material]],'Составляющие рейтинга'!$K$13:$L$19,2,0)</f>
        <v>0.66666666666666663</v>
      </c>
      <c r="Q12" s="10" t="s">
        <v>2</v>
      </c>
      <c r="R12" s="20">
        <f>VLOOKUP(Таблица13[[#This Row],[Terms_of_use]],'Составляющие рейтинга'!$P$9:$Q$11,2,0)</f>
        <v>1</v>
      </c>
      <c r="S12" s="10" t="s">
        <v>39</v>
      </c>
      <c r="T12" s="20">
        <f>VLOOKUP(Таблица13[[#This Row],[Dimensional_solution]],'Составляющие рейтинга'!$U$9:$V$11,2,0)</f>
        <v>0.66666666666666663</v>
      </c>
      <c r="U12" s="10" t="s">
        <v>40</v>
      </c>
      <c r="V12" s="20">
        <f>VLOOKUP(Таблица13[[#This Row],[Disciplines]],'Составляющие рейтинга'!$Z$14:$AA$20,2,0)</f>
        <v>1</v>
      </c>
      <c r="W12" s="7" t="s">
        <v>93</v>
      </c>
      <c r="X12" s="7">
        <v>3</v>
      </c>
      <c r="Y12" s="7">
        <f>VLOOKUP(Таблица13[[#This Row],[Styles_count]],'Составляющие рейтинга'!$AD$14:$AE$21,2,0)</f>
        <v>0.375</v>
      </c>
      <c r="Z12" s="7" t="s">
        <v>33</v>
      </c>
      <c r="AA12" s="7">
        <f>VLOOKUP(Таблица13[[#This Row],[Riding_level]],'Составляющие рейтинга'!$AH$13:$AI$18,2,0)</f>
        <v>1</v>
      </c>
      <c r="AB1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5.8583333333333325</v>
      </c>
    </row>
    <row r="13" spans="1:28" ht="63.75">
      <c r="A13" s="8">
        <v>12</v>
      </c>
      <c r="B13" s="9">
        <v>12</v>
      </c>
      <c r="C13" s="10" t="s">
        <v>94</v>
      </c>
      <c r="D13" s="10" t="s">
        <v>26</v>
      </c>
      <c r="E13" s="10" t="s">
        <v>95</v>
      </c>
      <c r="F13" s="10" t="s">
        <v>96</v>
      </c>
      <c r="G13" s="10" t="s">
        <v>38</v>
      </c>
      <c r="H13" s="10">
        <v>2017</v>
      </c>
      <c r="I13" s="9">
        <v>550</v>
      </c>
      <c r="J1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3" s="10">
        <f>VLOOKUP(Таблица13[[#This Row],[Dimensional_type]],'Составляющие рейтинга'!$B$10:$C$13,2,0)</f>
        <v>0.5</v>
      </c>
      <c r="L13" s="9">
        <f>QUOTIENT(Таблица13[[#This Row],[Area]],20)</f>
        <v>27</v>
      </c>
      <c r="M13" s="7" t="s">
        <v>359</v>
      </c>
      <c r="N13" s="16">
        <f>VLOOKUP(Таблица13[[#This Row],[Construction_type]],'Составляющие рейтинга'!$F$17:$G$26,2,0)</f>
        <v>0.4</v>
      </c>
      <c r="O13" s="7" t="s">
        <v>10</v>
      </c>
      <c r="P13" s="21">
        <f>VLOOKUP(Таблица13[[#This Row],[Base_material]],'Составляющие рейтинга'!$K$13:$L$19,2,0)</f>
        <v>0.66666666666666663</v>
      </c>
      <c r="Q13" s="10" t="s">
        <v>2</v>
      </c>
      <c r="R13" s="21">
        <f>VLOOKUP(Таблица13[[#This Row],[Terms_of_use]],'Составляющие рейтинга'!$P$9:$Q$11,2,0)</f>
        <v>1</v>
      </c>
      <c r="S13" s="7" t="s">
        <v>13</v>
      </c>
      <c r="T13" s="21">
        <f>VLOOKUP(Таблица13[[#This Row],[Dimensional_solution]],'Составляющие рейтинга'!$U$9:$V$11,2,0)</f>
        <v>0.33333333333333331</v>
      </c>
      <c r="U13" s="10" t="s">
        <v>40</v>
      </c>
      <c r="V13" s="21">
        <f>VLOOKUP(Таблица13[[#This Row],[Disciplines]],'Составляющие рейтинга'!$Z$14:$AA$20,2,0)</f>
        <v>1</v>
      </c>
      <c r="W13" s="10" t="s">
        <v>71</v>
      </c>
      <c r="X13" s="10">
        <v>1</v>
      </c>
      <c r="Y13" s="10">
        <f>VLOOKUP(Таблица13[[#This Row],[Styles_count]],'Составляющие рейтинга'!$AD$14:$AE$21,2,0)</f>
        <v>0.125</v>
      </c>
      <c r="Z13" s="7" t="s">
        <v>33</v>
      </c>
      <c r="AA13" s="10">
        <f>VLOOKUP(Таблица13[[#This Row],[Riding_level]],'Составляющие рейтинга'!$AH$13:$AI$18,2,0)</f>
        <v>1</v>
      </c>
      <c r="AB1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5.0250000000000004</v>
      </c>
    </row>
    <row r="14" spans="1:28" ht="102">
      <c r="A14" s="5">
        <v>13</v>
      </c>
      <c r="B14" s="6">
        <v>13</v>
      </c>
      <c r="C14" s="7" t="s">
        <v>97</v>
      </c>
      <c r="D14" s="7" t="s">
        <v>98</v>
      </c>
      <c r="E14" s="7" t="s">
        <v>99</v>
      </c>
      <c r="F14" s="7" t="s">
        <v>100</v>
      </c>
      <c r="G14" s="7" t="s">
        <v>38</v>
      </c>
      <c r="H14" s="7">
        <v>2020</v>
      </c>
      <c r="I14" s="6">
        <v>400</v>
      </c>
      <c r="J1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4" s="7">
        <f>VLOOKUP(Таблица13[[#This Row],[Dimensional_type]],'Составляющие рейтинга'!$B$10:$C$13,2,0)</f>
        <v>0.5</v>
      </c>
      <c r="L14" s="6">
        <f>QUOTIENT(Таблица13[[#This Row],[Area]],20)</f>
        <v>20</v>
      </c>
      <c r="M14" s="7" t="s">
        <v>359</v>
      </c>
      <c r="N14" s="7">
        <f>VLOOKUP(Таблица13[[#This Row],[Construction_type]],'Составляющие рейтинга'!$F$17:$G$26,2,0)</f>
        <v>0.4</v>
      </c>
      <c r="O14" s="7" t="s">
        <v>10</v>
      </c>
      <c r="P14" s="20">
        <f>VLOOKUP(Таблица13[[#This Row],[Base_material]],'Составляющие рейтинга'!$K$13:$L$19,2,0)</f>
        <v>0.66666666666666663</v>
      </c>
      <c r="Q14" s="10" t="s">
        <v>2</v>
      </c>
      <c r="R14" s="20">
        <f>VLOOKUP(Таблица13[[#This Row],[Terms_of_use]],'Составляющие рейтинга'!$P$9:$Q$11,2,0)</f>
        <v>1</v>
      </c>
      <c r="S14" s="7" t="s">
        <v>13</v>
      </c>
      <c r="T14" s="20">
        <f>VLOOKUP(Таблица13[[#This Row],[Dimensional_solution]],'Составляющие рейтинга'!$U$9:$V$11,2,0)</f>
        <v>0.33333333333333331</v>
      </c>
      <c r="U14" s="10" t="s">
        <v>40</v>
      </c>
      <c r="V14" s="20">
        <f>VLOOKUP(Таблица13[[#This Row],[Disciplines]],'Составляющие рейтинга'!$Z$14:$AA$20,2,0)</f>
        <v>1</v>
      </c>
      <c r="W14" s="7" t="s">
        <v>71</v>
      </c>
      <c r="X14" s="10">
        <v>1</v>
      </c>
      <c r="Y14" s="7">
        <f>VLOOKUP(Таблица13[[#This Row],[Styles_count]],'Составляющие рейтинга'!$AD$14:$AE$21,2,0)</f>
        <v>0.125</v>
      </c>
      <c r="Z14" s="7" t="s">
        <v>33</v>
      </c>
      <c r="AA14" s="7">
        <f>VLOOKUP(Таблица13[[#This Row],[Riding_level]],'Составляющие рейтинга'!$AH$13:$AI$18,2,0)</f>
        <v>1</v>
      </c>
      <c r="AB1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5.0250000000000004</v>
      </c>
    </row>
    <row r="15" spans="1:28" ht="89.25">
      <c r="A15" s="8">
        <v>14</v>
      </c>
      <c r="B15" s="9">
        <v>14</v>
      </c>
      <c r="C15" s="10" t="s">
        <v>101</v>
      </c>
      <c r="D15" s="10" t="s">
        <v>35</v>
      </c>
      <c r="E15" s="10" t="s">
        <v>102</v>
      </c>
      <c r="F15" s="10" t="s">
        <v>103</v>
      </c>
      <c r="G15" s="10" t="s">
        <v>38</v>
      </c>
      <c r="H15" s="10">
        <v>2015</v>
      </c>
      <c r="I15" s="9">
        <v>600</v>
      </c>
      <c r="J1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5" s="10">
        <f>VLOOKUP(Таблица13[[#This Row],[Dimensional_type]],'Составляющие рейтинга'!$B$10:$C$13,2,0)</f>
        <v>0.5</v>
      </c>
      <c r="L15" s="9">
        <f>QUOTIENT(Таблица13[[#This Row],[Area]],20)</f>
        <v>30</v>
      </c>
      <c r="M15" s="10" t="s">
        <v>358</v>
      </c>
      <c r="N15" s="10">
        <f>VLOOKUP(Таблица13[[#This Row],[Construction_type]],'Составляющие рейтинга'!$F$17:$G$26,2,0)</f>
        <v>0.60000000000000009</v>
      </c>
      <c r="O15" s="10" t="s">
        <v>11</v>
      </c>
      <c r="P15" s="21">
        <f>VLOOKUP(Таблица13[[#This Row],[Base_material]],'Составляющие рейтинга'!$K$13:$L$19,2,0)</f>
        <v>1</v>
      </c>
      <c r="Q15" s="10" t="s">
        <v>2</v>
      </c>
      <c r="R15" s="21">
        <f>VLOOKUP(Таблица13[[#This Row],[Terms_of_use]],'Составляющие рейтинга'!$P$9:$Q$11,2,0)</f>
        <v>1</v>
      </c>
      <c r="S15" s="7" t="s">
        <v>13</v>
      </c>
      <c r="T15" s="21">
        <f>VLOOKUP(Таблица13[[#This Row],[Dimensional_solution]],'Составляющие рейтинга'!$U$9:$V$11,2,0)</f>
        <v>0.33333333333333331</v>
      </c>
      <c r="U15" s="10" t="s">
        <v>40</v>
      </c>
      <c r="V15" s="21">
        <f>VLOOKUP(Таблица13[[#This Row],[Disciplines]],'Составляющие рейтинга'!$Z$14:$AA$20,2,0)</f>
        <v>1</v>
      </c>
      <c r="W15" s="10" t="s">
        <v>104</v>
      </c>
      <c r="X15" s="10">
        <v>1</v>
      </c>
      <c r="Y15" s="10">
        <f>VLOOKUP(Таблица13[[#This Row],[Styles_count]],'Составляющие рейтинга'!$AD$14:$AE$21,2,0)</f>
        <v>0.125</v>
      </c>
      <c r="Z15" s="7" t="s">
        <v>33</v>
      </c>
      <c r="AA15" s="10">
        <f>VLOOKUP(Таблица13[[#This Row],[Riding_level]],'Составляющие рейтинга'!$AH$13:$AI$18,2,0)</f>
        <v>1</v>
      </c>
      <c r="AB1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5.5583333333333336</v>
      </c>
    </row>
    <row r="16" spans="1:28" ht="76.5">
      <c r="A16" s="5">
        <v>15</v>
      </c>
      <c r="B16" s="6">
        <v>15</v>
      </c>
      <c r="C16" s="7" t="s">
        <v>105</v>
      </c>
      <c r="D16" s="7" t="s">
        <v>74</v>
      </c>
      <c r="E16" s="7" t="s">
        <v>106</v>
      </c>
      <c r="F16" s="7" t="s">
        <v>107</v>
      </c>
      <c r="G16" s="7" t="s">
        <v>69</v>
      </c>
      <c r="H16" s="7" t="s">
        <v>70</v>
      </c>
      <c r="I16" s="6">
        <v>700</v>
      </c>
      <c r="J1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16" s="7">
        <f>VLOOKUP(Таблица13[[#This Row],[Dimensional_type]],'Составляющие рейтинга'!$B$10:$C$13,2,0)</f>
        <v>0.75</v>
      </c>
      <c r="L16" s="6">
        <f>QUOTIENT(Таблица13[[#This Row],[Area]],20)</f>
        <v>35</v>
      </c>
      <c r="M16" s="7" t="s">
        <v>360</v>
      </c>
      <c r="N16" s="7">
        <f>VLOOKUP(Таблица13[[#This Row],[Construction_type]],'Составляющие рейтинга'!$F$17:$G$26,2,0)</f>
        <v>0.2</v>
      </c>
      <c r="O16" s="7" t="s">
        <v>10</v>
      </c>
      <c r="P16" s="20">
        <f>VLOOKUP(Таблица13[[#This Row],[Base_material]],'Составляющие рейтинга'!$K$13:$L$19,2,0)</f>
        <v>0.66666666666666663</v>
      </c>
      <c r="Q16" s="10" t="s">
        <v>2</v>
      </c>
      <c r="R16" s="20">
        <f>VLOOKUP(Таблица13[[#This Row],[Terms_of_use]],'Составляющие рейтинга'!$P$9:$Q$11,2,0)</f>
        <v>1</v>
      </c>
      <c r="S16" s="7" t="s">
        <v>13</v>
      </c>
      <c r="T16" s="20">
        <f>VLOOKUP(Таблица13[[#This Row],[Dimensional_solution]],'Составляющие рейтинга'!$U$9:$V$11,2,0)</f>
        <v>0.33333333333333331</v>
      </c>
      <c r="U16" s="10" t="s">
        <v>40</v>
      </c>
      <c r="V16" s="20">
        <f>VLOOKUP(Таблица13[[#This Row],[Disciplines]],'Составляющие рейтинга'!$Z$14:$AA$20,2,0)</f>
        <v>1</v>
      </c>
      <c r="W16" s="7" t="s">
        <v>71</v>
      </c>
      <c r="X16" s="10">
        <v>1</v>
      </c>
      <c r="Y16" s="7">
        <f>VLOOKUP(Таблица13[[#This Row],[Styles_count]],'Составляющие рейтинга'!$AD$14:$AE$21,2,0)</f>
        <v>0.125</v>
      </c>
      <c r="Z16" s="7" t="s">
        <v>33</v>
      </c>
      <c r="AA16" s="7">
        <f>VLOOKUP(Таблица13[[#This Row],[Riding_level]],'Составляющие рейтинга'!$AH$13:$AI$18,2,0)</f>
        <v>1</v>
      </c>
      <c r="AB1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5.0750000000000002</v>
      </c>
    </row>
    <row r="17" spans="1:28" ht="76.5">
      <c r="A17" s="8">
        <v>16</v>
      </c>
      <c r="B17" s="9">
        <v>16</v>
      </c>
      <c r="C17" s="10" t="s">
        <v>108</v>
      </c>
      <c r="D17" s="10" t="s">
        <v>43</v>
      </c>
      <c r="E17" s="10" t="s">
        <v>44</v>
      </c>
      <c r="F17" s="10" t="s">
        <v>109</v>
      </c>
      <c r="G17" s="10" t="s">
        <v>69</v>
      </c>
      <c r="H17" s="10" t="s">
        <v>110</v>
      </c>
      <c r="I17" s="9">
        <v>430</v>
      </c>
      <c r="J1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7" s="10">
        <f>VLOOKUP(Таблица13[[#This Row],[Dimensional_type]],'Составляющие рейтинга'!$B$10:$C$13,2,0)</f>
        <v>0.5</v>
      </c>
      <c r="L17" s="9">
        <f>QUOTIENT(Таблица13[[#This Row],[Area]],20)</f>
        <v>21</v>
      </c>
      <c r="M17" s="10" t="s">
        <v>358</v>
      </c>
      <c r="N17" s="10">
        <f>VLOOKUP(Таблица13[[#This Row],[Construction_type]],'Составляющие рейтинга'!$F$17:$G$26,2,0)</f>
        <v>0.60000000000000009</v>
      </c>
      <c r="O17" s="10" t="s">
        <v>11</v>
      </c>
      <c r="P17" s="21">
        <f>VLOOKUP(Таблица13[[#This Row],[Base_material]],'Составляющие рейтинга'!$K$13:$L$19,2,0)</f>
        <v>1</v>
      </c>
      <c r="Q17" s="10" t="s">
        <v>2</v>
      </c>
      <c r="R17" s="21">
        <f>VLOOKUP(Таблица13[[#This Row],[Terms_of_use]],'Составляющие рейтинга'!$P$9:$Q$11,2,0)</f>
        <v>1</v>
      </c>
      <c r="S17" s="7" t="s">
        <v>13</v>
      </c>
      <c r="T17" s="21">
        <f>VLOOKUP(Таблица13[[#This Row],[Dimensional_solution]],'Составляющие рейтинга'!$U$9:$V$11,2,0)</f>
        <v>0.33333333333333331</v>
      </c>
      <c r="U17" s="10" t="s">
        <v>40</v>
      </c>
      <c r="V17" s="21">
        <f>VLOOKUP(Таблица13[[#This Row],[Disciplines]],'Составляющие рейтинга'!$Z$14:$AA$20,2,0)</f>
        <v>1</v>
      </c>
      <c r="W17" s="10" t="s">
        <v>111</v>
      </c>
      <c r="X17" s="10">
        <v>2</v>
      </c>
      <c r="Y17" s="10">
        <f>VLOOKUP(Таблица13[[#This Row],[Styles_count]],'Составляющие рейтинга'!$AD$14:$AE$21,2,0)</f>
        <v>0.25</v>
      </c>
      <c r="Z17" s="7" t="s">
        <v>33</v>
      </c>
      <c r="AA17" s="10">
        <f>VLOOKUP(Таблица13[[#This Row],[Riding_level]],'Составляющие рейтинга'!$AH$13:$AI$18,2,0)</f>
        <v>1</v>
      </c>
      <c r="AB1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5.6833333333333336</v>
      </c>
    </row>
    <row r="18" spans="1:28" ht="76.5">
      <c r="A18" s="5">
        <v>17</v>
      </c>
      <c r="B18" s="6">
        <v>17</v>
      </c>
      <c r="C18" s="7" t="s">
        <v>112</v>
      </c>
      <c r="D18" s="7" t="s">
        <v>35</v>
      </c>
      <c r="E18" s="7" t="s">
        <v>36</v>
      </c>
      <c r="F18" s="7" t="s">
        <v>113</v>
      </c>
      <c r="G18" s="7" t="s">
        <v>38</v>
      </c>
      <c r="H18" s="7">
        <v>2021</v>
      </c>
      <c r="I18" s="6">
        <v>600</v>
      </c>
      <c r="J1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18" s="7">
        <f>VLOOKUP(Таблица13[[#This Row],[Dimensional_type]],'Составляющие рейтинга'!$B$10:$C$13,2,0)</f>
        <v>0.5</v>
      </c>
      <c r="L18" s="6">
        <f>QUOTIENT(Таблица13[[#This Row],[Area]],20)</f>
        <v>30</v>
      </c>
      <c r="M18" s="7" t="s">
        <v>359</v>
      </c>
      <c r="N18" s="7">
        <f>VLOOKUP(Таблица13[[#This Row],[Construction_type]],'Составляющие рейтинга'!$F$17:$G$26,2,0)</f>
        <v>0.4</v>
      </c>
      <c r="O18" s="7" t="s">
        <v>10</v>
      </c>
      <c r="P18" s="20">
        <f>VLOOKUP(Таблица13[[#This Row],[Base_material]],'Составляющие рейтинга'!$K$13:$L$19,2,0)</f>
        <v>0.66666666666666663</v>
      </c>
      <c r="Q18" s="10" t="s">
        <v>2</v>
      </c>
      <c r="R18" s="20">
        <f>VLOOKUP(Таблица13[[#This Row],[Terms_of_use]],'Составляющие рейтинга'!$P$9:$Q$11,2,0)</f>
        <v>1</v>
      </c>
      <c r="S18" s="10" t="s">
        <v>39</v>
      </c>
      <c r="T18" s="20">
        <f>VLOOKUP(Таблица13[[#This Row],[Dimensional_solution]],'Составляющие рейтинга'!$U$9:$V$11,2,0)</f>
        <v>0.66666666666666663</v>
      </c>
      <c r="U18" s="10" t="s">
        <v>40</v>
      </c>
      <c r="V18" s="20">
        <f>VLOOKUP(Таблица13[[#This Row],[Disciplines]],'Составляющие рейтинга'!$Z$14:$AA$20,2,0)</f>
        <v>1</v>
      </c>
      <c r="W18" s="7" t="s">
        <v>104</v>
      </c>
      <c r="X18" s="10">
        <v>1</v>
      </c>
      <c r="Y18" s="7">
        <f>VLOOKUP(Таблица13[[#This Row],[Styles_count]],'Составляющие рейтинга'!$AD$14:$AE$21,2,0)</f>
        <v>0.125</v>
      </c>
      <c r="Z18" s="7" t="s">
        <v>33</v>
      </c>
      <c r="AA18" s="7">
        <f>VLOOKUP(Таблица13[[#This Row],[Riding_level]],'Составляющие рейтинга'!$AH$13:$AI$18,2,0)</f>
        <v>1</v>
      </c>
      <c r="AB1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5.3583333333333325</v>
      </c>
    </row>
    <row r="19" spans="1:28" ht="76.5">
      <c r="A19" s="8">
        <v>18</v>
      </c>
      <c r="B19" s="9">
        <v>18</v>
      </c>
      <c r="C19" s="10" t="s">
        <v>114</v>
      </c>
      <c r="D19" s="10" t="s">
        <v>66</v>
      </c>
      <c r="E19" s="10" t="s">
        <v>67</v>
      </c>
      <c r="F19" s="10" t="s">
        <v>115</v>
      </c>
      <c r="G19" s="10" t="s">
        <v>38</v>
      </c>
      <c r="H19" s="10">
        <v>2024</v>
      </c>
      <c r="I19" s="9">
        <v>2700</v>
      </c>
      <c r="J1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19" s="10">
        <f>VLOOKUP(Таблица13[[#This Row],[Dimensional_type]],'Составляющие рейтинга'!$B$10:$C$13,2,0)</f>
        <v>1</v>
      </c>
      <c r="L19" s="9">
        <f>QUOTIENT(Таблица13[[#This Row],[Area]],20)</f>
        <v>135</v>
      </c>
      <c r="M19" s="7" t="s">
        <v>359</v>
      </c>
      <c r="N19" s="16">
        <f>VLOOKUP(Таблица13[[#This Row],[Construction_type]],'Составляющие рейтинга'!$F$17:$G$26,2,0)</f>
        <v>0.4</v>
      </c>
      <c r="O19" s="10" t="s">
        <v>11</v>
      </c>
      <c r="P19" s="21">
        <f>VLOOKUP(Таблица13[[#This Row],[Base_material]],'Составляющие рейтинга'!$K$13:$L$19,2,0)</f>
        <v>1</v>
      </c>
      <c r="Q19" s="10" t="s">
        <v>2</v>
      </c>
      <c r="R19" s="21">
        <f>VLOOKUP(Таблица13[[#This Row],[Terms_of_use]],'Составляющие рейтинга'!$P$9:$Q$11,2,0)</f>
        <v>1</v>
      </c>
      <c r="S19" s="7" t="s">
        <v>13</v>
      </c>
      <c r="T19" s="21">
        <f>VLOOKUP(Таблица13[[#This Row],[Dimensional_solution]],'Составляющие рейтинга'!$U$9:$V$11,2,0)</f>
        <v>0.33333333333333331</v>
      </c>
      <c r="U19" s="10" t="s">
        <v>40</v>
      </c>
      <c r="V19" s="21">
        <f>VLOOKUP(Таблица13[[#This Row],[Disciplines]],'Составляющие рейтинга'!$Z$14:$AA$20,2,0)</f>
        <v>1</v>
      </c>
      <c r="W19" s="10" t="s">
        <v>116</v>
      </c>
      <c r="X19" s="10">
        <v>4</v>
      </c>
      <c r="Y19" s="10">
        <f>VLOOKUP(Таблица13[[#This Row],[Styles_count]],'Составляющие рейтинга'!$AD$14:$AE$21,2,0)</f>
        <v>0.5</v>
      </c>
      <c r="Z19" s="7" t="s">
        <v>33</v>
      </c>
      <c r="AA19" s="10">
        <f>VLOOKUP(Таблица13[[#This Row],[Riding_level]],'Составляющие рейтинга'!$AH$13:$AI$18,2,0)</f>
        <v>1</v>
      </c>
      <c r="AB1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6.2333333333333334</v>
      </c>
    </row>
    <row r="20" spans="1:28" ht="76.5">
      <c r="A20" s="5">
        <v>19</v>
      </c>
      <c r="B20" s="6">
        <v>19</v>
      </c>
      <c r="C20" s="7" t="s">
        <v>117</v>
      </c>
      <c r="D20" s="7" t="s">
        <v>90</v>
      </c>
      <c r="E20" s="7" t="s">
        <v>118</v>
      </c>
      <c r="F20" s="7" t="s">
        <v>119</v>
      </c>
      <c r="G20" s="7" t="s">
        <v>38</v>
      </c>
      <c r="H20" s="7">
        <v>2021</v>
      </c>
      <c r="I20" s="6">
        <v>1800</v>
      </c>
      <c r="J2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20" s="7">
        <f>VLOOKUP(Таблица13[[#This Row],[Dimensional_type]],'Составляющие рейтинга'!$B$10:$C$13,2,0)</f>
        <v>1</v>
      </c>
      <c r="L20" s="6">
        <f>QUOTIENT(Таблица13[[#This Row],[Area]],20)</f>
        <v>90</v>
      </c>
      <c r="M20" s="10" t="s">
        <v>358</v>
      </c>
      <c r="N20" s="16">
        <f>VLOOKUP(Таблица13[[#This Row],[Construction_type]],'Составляющие рейтинга'!$F$17:$G$26,2,0)</f>
        <v>0.60000000000000009</v>
      </c>
      <c r="O20" s="10" t="s">
        <v>11</v>
      </c>
      <c r="P20" s="20">
        <f>VLOOKUP(Таблица13[[#This Row],[Base_material]],'Составляющие рейтинга'!$K$13:$L$19,2,0)</f>
        <v>1</v>
      </c>
      <c r="Q20" s="10" t="s">
        <v>2</v>
      </c>
      <c r="R20" s="20">
        <f>VLOOKUP(Таблица13[[#This Row],[Terms_of_use]],'Составляющие рейтинга'!$P$9:$Q$11,2,0)</f>
        <v>1</v>
      </c>
      <c r="S20" s="7" t="s">
        <v>13</v>
      </c>
      <c r="T20" s="20">
        <f>VLOOKUP(Таблица13[[#This Row],[Dimensional_solution]],'Составляющие рейтинга'!$U$9:$V$11,2,0)</f>
        <v>0.33333333333333331</v>
      </c>
      <c r="U20" s="10" t="s">
        <v>40</v>
      </c>
      <c r="V20" s="20">
        <f>VLOOKUP(Таблица13[[#This Row],[Disciplines]],'Составляющие рейтинга'!$Z$14:$AA$20,2,0)</f>
        <v>1</v>
      </c>
      <c r="W20" s="7" t="s">
        <v>120</v>
      </c>
      <c r="X20" s="10">
        <v>1</v>
      </c>
      <c r="Y20" s="7">
        <f>VLOOKUP(Таблица13[[#This Row],[Styles_count]],'Составляющие рейтинга'!$AD$14:$AE$21,2,0)</f>
        <v>0.125</v>
      </c>
      <c r="Z20" s="7" t="s">
        <v>33</v>
      </c>
      <c r="AA20" s="7">
        <f>VLOOKUP(Таблица13[[#This Row],[Riding_level]],'Составляющие рейтинга'!$AH$13:$AI$18,2,0)</f>
        <v>1</v>
      </c>
      <c r="AB2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6.0583333333333336</v>
      </c>
    </row>
    <row r="21" spans="1:28" ht="63.75">
      <c r="A21" s="8">
        <v>20</v>
      </c>
      <c r="B21" s="9">
        <v>20</v>
      </c>
      <c r="C21" s="10" t="s">
        <v>121</v>
      </c>
      <c r="D21" s="10" t="s">
        <v>98</v>
      </c>
      <c r="E21" s="10" t="s">
        <v>122</v>
      </c>
      <c r="F21" s="10" t="s">
        <v>123</v>
      </c>
      <c r="G21" s="10" t="s">
        <v>38</v>
      </c>
      <c r="H21" s="10" t="s">
        <v>124</v>
      </c>
      <c r="I21" s="9">
        <v>900</v>
      </c>
      <c r="J2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21" s="10">
        <f>VLOOKUP(Таблица13[[#This Row],[Dimensional_type]],'Составляющие рейтинга'!$B$10:$C$13,2,0)</f>
        <v>0.75</v>
      </c>
      <c r="L21" s="9">
        <f>QUOTIENT(Таблица13[[#This Row],[Area]],20)</f>
        <v>45</v>
      </c>
      <c r="M21" s="7" t="s">
        <v>359</v>
      </c>
      <c r="N21" s="16">
        <f>VLOOKUP(Таблица13[[#This Row],[Construction_type]],'Составляющие рейтинга'!$F$17:$G$26,2,0)</f>
        <v>0.4</v>
      </c>
      <c r="O21" s="7" t="s">
        <v>10</v>
      </c>
      <c r="P21" s="21">
        <f>VLOOKUP(Таблица13[[#This Row],[Base_material]],'Составляющие рейтинга'!$K$13:$L$19,2,0)</f>
        <v>0.66666666666666663</v>
      </c>
      <c r="Q21" s="10" t="s">
        <v>2</v>
      </c>
      <c r="R21" s="21">
        <f>VLOOKUP(Таблица13[[#This Row],[Terms_of_use]],'Составляющие рейтинга'!$P$9:$Q$11,2,0)</f>
        <v>1</v>
      </c>
      <c r="S21" s="7" t="s">
        <v>13</v>
      </c>
      <c r="T21" s="21">
        <f>VLOOKUP(Таблица13[[#This Row],[Dimensional_solution]],'Составляющие рейтинга'!$U$9:$V$11,2,0)</f>
        <v>0.33333333333333331</v>
      </c>
      <c r="U21" s="10" t="s">
        <v>40</v>
      </c>
      <c r="V21" s="21">
        <f>VLOOKUP(Таблица13[[#This Row],[Disciplines]],'Составляющие рейтинга'!$Z$14:$AA$20,2,0)</f>
        <v>1</v>
      </c>
      <c r="W21" s="10" t="s">
        <v>125</v>
      </c>
      <c r="X21" s="10">
        <v>3</v>
      </c>
      <c r="Y21" s="10">
        <f>VLOOKUP(Таблица13[[#This Row],[Styles_count]],'Составляющие рейтинга'!$AD$14:$AE$21,2,0)</f>
        <v>0.375</v>
      </c>
      <c r="Z21" s="7" t="s">
        <v>33</v>
      </c>
      <c r="AA21" s="10">
        <f>VLOOKUP(Таблица13[[#This Row],[Riding_level]],'Составляющие рейтинга'!$AH$13:$AI$18,2,0)</f>
        <v>1</v>
      </c>
      <c r="AB2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5.5250000000000004</v>
      </c>
    </row>
    <row r="22" spans="1:28" ht="63.75">
      <c r="A22" s="5">
        <v>21</v>
      </c>
      <c r="B22" s="6">
        <v>21</v>
      </c>
      <c r="C22" s="7" t="s">
        <v>126</v>
      </c>
      <c r="D22" s="7" t="s">
        <v>127</v>
      </c>
      <c r="E22" s="7" t="s">
        <v>128</v>
      </c>
      <c r="F22" s="7" t="s">
        <v>129</v>
      </c>
      <c r="G22" s="7" t="s">
        <v>38</v>
      </c>
      <c r="H22" s="7">
        <v>2016</v>
      </c>
      <c r="I22" s="6">
        <v>750</v>
      </c>
      <c r="J2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22" s="7">
        <f>VLOOKUP(Таблица13[[#This Row],[Dimensional_type]],'Составляющие рейтинга'!$B$10:$C$13,2,0)</f>
        <v>0.75</v>
      </c>
      <c r="L22" s="6">
        <f>QUOTIENT(Таблица13[[#This Row],[Area]],20)</f>
        <v>37</v>
      </c>
      <c r="M22" s="7" t="s">
        <v>359</v>
      </c>
      <c r="N22" s="7">
        <f>VLOOKUP(Таблица13[[#This Row],[Construction_type]],'Составляющие рейтинга'!$F$17:$G$26,2,0)</f>
        <v>0.4</v>
      </c>
      <c r="O22" s="7" t="s">
        <v>10</v>
      </c>
      <c r="P22" s="20">
        <f>VLOOKUP(Таблица13[[#This Row],[Base_material]],'Составляющие рейтинга'!$K$13:$L$19,2,0)</f>
        <v>0.66666666666666663</v>
      </c>
      <c r="Q22" s="10" t="s">
        <v>2</v>
      </c>
      <c r="R22" s="20">
        <f>VLOOKUP(Таблица13[[#This Row],[Terms_of_use]],'Составляющие рейтинга'!$P$9:$Q$11,2,0)</f>
        <v>1</v>
      </c>
      <c r="S22" s="7" t="s">
        <v>13</v>
      </c>
      <c r="T22" s="20">
        <f>VLOOKUP(Таблица13[[#This Row],[Dimensional_solution]],'Составляющие рейтинга'!$U$9:$V$11,2,0)</f>
        <v>0.33333333333333331</v>
      </c>
      <c r="U22" s="10" t="s">
        <v>40</v>
      </c>
      <c r="V22" s="20">
        <f>VLOOKUP(Таблица13[[#This Row],[Disciplines]],'Составляющие рейтинга'!$Z$14:$AA$20,2,0)</f>
        <v>1</v>
      </c>
      <c r="W22" s="7" t="s">
        <v>130</v>
      </c>
      <c r="X22" s="7">
        <v>3</v>
      </c>
      <c r="Y22" s="7">
        <f>VLOOKUP(Таблица13[[#This Row],[Styles_count]],'Составляющие рейтинга'!$AD$14:$AE$21,2,0)</f>
        <v>0.375</v>
      </c>
      <c r="Z22" s="7" t="s">
        <v>33</v>
      </c>
      <c r="AA22" s="7">
        <f>VLOOKUP(Таблица13[[#This Row],[Riding_level]],'Составляющие рейтинга'!$AH$13:$AI$18,2,0)</f>
        <v>1</v>
      </c>
      <c r="AB2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5.5250000000000004</v>
      </c>
    </row>
    <row r="23" spans="1:28" ht="76.5">
      <c r="A23" s="8">
        <v>22</v>
      </c>
      <c r="B23" s="9">
        <v>22</v>
      </c>
      <c r="C23" s="10" t="s">
        <v>131</v>
      </c>
      <c r="D23" s="10" t="s">
        <v>66</v>
      </c>
      <c r="E23" s="10" t="s">
        <v>132</v>
      </c>
      <c r="F23" s="10" t="s">
        <v>133</v>
      </c>
      <c r="G23" s="10" t="s">
        <v>52</v>
      </c>
      <c r="H23" s="10" t="s">
        <v>70</v>
      </c>
      <c r="I23" s="9">
        <v>1200</v>
      </c>
      <c r="J2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23" s="10">
        <f>VLOOKUP(Таблица13[[#This Row],[Dimensional_type]],'Составляющие рейтинга'!$B$10:$C$13,2,0)</f>
        <v>0.75</v>
      </c>
      <c r="L23" s="9">
        <f>QUOTIENT(Таблица13[[#This Row],[Area]],20)</f>
        <v>60</v>
      </c>
      <c r="M23" s="7" t="s">
        <v>281</v>
      </c>
      <c r="N23" s="16">
        <f>VLOOKUP(Таблица13[[#This Row],[Construction_type]],'Составляющие рейтинга'!$F$17:$G$26,2,0)</f>
        <v>1</v>
      </c>
      <c r="O23" s="7" t="s">
        <v>10</v>
      </c>
      <c r="P23" s="21">
        <f>VLOOKUP(Таблица13[[#This Row],[Base_material]],'Составляющие рейтинга'!$K$13:$L$19,2,0)</f>
        <v>0.66666666666666663</v>
      </c>
      <c r="Q23" s="10" t="s">
        <v>2</v>
      </c>
      <c r="R23" s="21">
        <f>VLOOKUP(Таблица13[[#This Row],[Terms_of_use]],'Составляющие рейтинга'!$P$9:$Q$11,2,0)</f>
        <v>1</v>
      </c>
      <c r="S23" s="7" t="s">
        <v>13</v>
      </c>
      <c r="T23" s="21">
        <f>VLOOKUP(Таблица13[[#This Row],[Dimensional_solution]],'Составляющие рейтинга'!$U$9:$V$11,2,0)</f>
        <v>0.33333333333333331</v>
      </c>
      <c r="U23" s="10" t="s">
        <v>40</v>
      </c>
      <c r="V23" s="21">
        <f>VLOOKUP(Таблица13[[#This Row],[Disciplines]],'Составляющие рейтинга'!$Z$14:$AA$20,2,0)</f>
        <v>1</v>
      </c>
      <c r="W23" s="10" t="s">
        <v>125</v>
      </c>
      <c r="X23" s="10">
        <v>3</v>
      </c>
      <c r="Y23" s="10">
        <f>VLOOKUP(Таблица13[[#This Row],[Styles_count]],'Составляющие рейтинга'!$AD$14:$AE$21,2,0)</f>
        <v>0.375</v>
      </c>
      <c r="Z23" s="7" t="s">
        <v>33</v>
      </c>
      <c r="AA23" s="10">
        <f>VLOOKUP(Таблица13[[#This Row],[Riding_level]],'Составляющие рейтинга'!$AH$13:$AI$18,2,0)</f>
        <v>1</v>
      </c>
      <c r="AB2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6.125</v>
      </c>
    </row>
    <row r="24" spans="1:28" ht="76.5">
      <c r="A24" s="5">
        <v>23</v>
      </c>
      <c r="B24" s="6">
        <v>23</v>
      </c>
      <c r="C24" s="7" t="s">
        <v>134</v>
      </c>
      <c r="D24" s="7" t="s">
        <v>26</v>
      </c>
      <c r="E24" s="7" t="s">
        <v>27</v>
      </c>
      <c r="F24" s="7" t="s">
        <v>135</v>
      </c>
      <c r="G24" s="7" t="s">
        <v>38</v>
      </c>
      <c r="H24" s="7">
        <v>2023</v>
      </c>
      <c r="I24" s="6">
        <v>5400</v>
      </c>
      <c r="J2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24" s="7">
        <f>VLOOKUP(Таблица13[[#This Row],[Dimensional_type]],'Составляющие рейтинга'!$B$10:$C$13,2,0)</f>
        <v>1</v>
      </c>
      <c r="L24" s="6">
        <f>QUOTIENT(Таблица13[[#This Row],[Area]],20)</f>
        <v>270</v>
      </c>
      <c r="M24" s="10" t="s">
        <v>350</v>
      </c>
      <c r="N24" s="16">
        <f>VLOOKUP(Таблица13[[#This Row],[Construction_type]],'Составляющие рейтинга'!$F$17:$G$26,2,0)</f>
        <v>1.6</v>
      </c>
      <c r="O24" s="7" t="s">
        <v>11</v>
      </c>
      <c r="P24" s="20">
        <f>VLOOKUP(Таблица13[[#This Row],[Base_material]],'Составляющие рейтинга'!$K$13:$L$19,2,0)</f>
        <v>1</v>
      </c>
      <c r="Q24" s="10" t="s">
        <v>2</v>
      </c>
      <c r="R24" s="20">
        <f>VLOOKUP(Таблица13[[#This Row],[Terms_of_use]],'Составляющие рейтинга'!$P$9:$Q$11,2,0)</f>
        <v>1</v>
      </c>
      <c r="S24" s="7" t="s">
        <v>13</v>
      </c>
      <c r="T24" s="20">
        <f>VLOOKUP(Таблица13[[#This Row],[Dimensional_solution]],'Составляющие рейтинга'!$U$9:$V$11,2,0)</f>
        <v>0.33333333333333331</v>
      </c>
      <c r="U24" s="10" t="s">
        <v>40</v>
      </c>
      <c r="V24" s="20">
        <f>VLOOKUP(Таблица13[[#This Row],[Disciplines]],'Составляющие рейтинга'!$Z$14:$AA$20,2,0)</f>
        <v>1</v>
      </c>
      <c r="W24" s="7" t="s">
        <v>137</v>
      </c>
      <c r="X24" s="7">
        <v>4</v>
      </c>
      <c r="Y24" s="7">
        <f>VLOOKUP(Таблица13[[#This Row],[Styles_count]],'Составляющие рейтинга'!$AD$14:$AE$21,2,0)</f>
        <v>0.5</v>
      </c>
      <c r="Z24" s="7" t="s">
        <v>33</v>
      </c>
      <c r="AA24" s="7">
        <f>VLOOKUP(Таблица13[[#This Row],[Riding_level]],'Составляющие рейтинга'!$AH$13:$AI$18,2,0)</f>
        <v>1</v>
      </c>
      <c r="AB2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7.4333333333333327</v>
      </c>
    </row>
    <row r="25" spans="1:28" ht="63.75">
      <c r="A25" s="8">
        <v>24</v>
      </c>
      <c r="B25" s="9">
        <v>24</v>
      </c>
      <c r="C25" s="10" t="s">
        <v>138</v>
      </c>
      <c r="D25" s="10" t="s">
        <v>56</v>
      </c>
      <c r="E25" s="10" t="s">
        <v>61</v>
      </c>
      <c r="F25" s="10" t="s">
        <v>139</v>
      </c>
      <c r="G25" s="10" t="s">
        <v>38</v>
      </c>
      <c r="H25" s="10">
        <v>2019</v>
      </c>
      <c r="I25" s="9">
        <v>270</v>
      </c>
      <c r="J2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25" s="10">
        <f>VLOOKUP(Таблица13[[#This Row],[Dimensional_type]],'Составляющие рейтинга'!$B$10:$C$13,2,0)</f>
        <v>0.25</v>
      </c>
      <c r="L25" s="9">
        <f>QUOTIENT(Таблица13[[#This Row],[Area]],20)</f>
        <v>13</v>
      </c>
      <c r="M25" s="7" t="s">
        <v>359</v>
      </c>
      <c r="N25" s="16">
        <f>VLOOKUP(Таблица13[[#This Row],[Construction_type]],'Составляющие рейтинга'!$F$17:$G$26,2,0)</f>
        <v>0.4</v>
      </c>
      <c r="O25" s="7" t="s">
        <v>10</v>
      </c>
      <c r="P25" s="21">
        <f>VLOOKUP(Таблица13[[#This Row],[Base_material]],'Составляющие рейтинга'!$K$13:$L$19,2,0)</f>
        <v>0.66666666666666663</v>
      </c>
      <c r="Q25" s="10" t="s">
        <v>2</v>
      </c>
      <c r="R25" s="21">
        <f>VLOOKUP(Таблица13[[#This Row],[Terms_of_use]],'Составляющие рейтинга'!$P$9:$Q$11,2,0)</f>
        <v>1</v>
      </c>
      <c r="S25" s="7" t="s">
        <v>13</v>
      </c>
      <c r="T25" s="21">
        <f>VLOOKUP(Таблица13[[#This Row],[Dimensional_solution]],'Составляющие рейтинга'!$U$9:$V$11,2,0)</f>
        <v>0.33333333333333331</v>
      </c>
      <c r="U25" s="10" t="s">
        <v>40</v>
      </c>
      <c r="V25" s="21">
        <f>VLOOKUP(Таблица13[[#This Row],[Disciplines]],'Составляющие рейтинга'!$Z$14:$AA$20,2,0)</f>
        <v>1</v>
      </c>
      <c r="W25" s="10" t="s">
        <v>120</v>
      </c>
      <c r="X25" s="10">
        <v>1</v>
      </c>
      <c r="Y25" s="10">
        <f>VLOOKUP(Таблица13[[#This Row],[Styles_count]],'Составляющие рейтинга'!$AD$14:$AE$21,2,0)</f>
        <v>0.125</v>
      </c>
      <c r="Z25" s="10" t="s">
        <v>388</v>
      </c>
      <c r="AA25" s="10">
        <f>VLOOKUP(Таблица13[[#This Row],[Riding_level]],'Составляющие рейтинга'!$AH$13:$AI$18,2,0)</f>
        <v>0.66666666666666663</v>
      </c>
      <c r="AB2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4.4416666666666664</v>
      </c>
    </row>
    <row r="26" spans="1:28" ht="89.25">
      <c r="A26" s="5">
        <v>25</v>
      </c>
      <c r="B26" s="6">
        <v>25</v>
      </c>
      <c r="C26" s="7" t="s">
        <v>140</v>
      </c>
      <c r="D26" s="7" t="s">
        <v>74</v>
      </c>
      <c r="E26" s="7" t="s">
        <v>75</v>
      </c>
      <c r="F26" s="7" t="s">
        <v>141</v>
      </c>
      <c r="G26" s="7" t="s">
        <v>38</v>
      </c>
      <c r="H26" s="7">
        <v>2024</v>
      </c>
      <c r="I26" s="6">
        <v>1000</v>
      </c>
      <c r="J2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26" s="7">
        <f>VLOOKUP(Таблица13[[#This Row],[Dimensional_type]],'Составляющие рейтинга'!$B$10:$C$13,2,0)</f>
        <v>0.75</v>
      </c>
      <c r="L26" s="6">
        <f>QUOTIENT(Таблица13[[#This Row],[Area]],20)</f>
        <v>50</v>
      </c>
      <c r="M26" s="10" t="s">
        <v>358</v>
      </c>
      <c r="N26" s="16">
        <f>VLOOKUP(Таблица13[[#This Row],[Construction_type]],'Составляющие рейтинга'!$F$17:$G$26,2,0)</f>
        <v>0.60000000000000009</v>
      </c>
      <c r="O26" s="10" t="s">
        <v>11</v>
      </c>
      <c r="P26" s="20">
        <f>VLOOKUP(Таблица13[[#This Row],[Base_material]],'Составляющие рейтинга'!$K$13:$L$19,2,0)</f>
        <v>1</v>
      </c>
      <c r="Q26" s="10" t="s">
        <v>2</v>
      </c>
      <c r="R26" s="20">
        <f>VLOOKUP(Таблица13[[#This Row],[Terms_of_use]],'Составляющие рейтинга'!$P$9:$Q$11,2,0)</f>
        <v>1</v>
      </c>
      <c r="S26" s="7" t="s">
        <v>13</v>
      </c>
      <c r="T26" s="20">
        <f>VLOOKUP(Таблица13[[#This Row],[Dimensional_solution]],'Составляющие рейтинга'!$U$9:$V$11,2,0)</f>
        <v>0.33333333333333331</v>
      </c>
      <c r="U26" s="10" t="s">
        <v>40</v>
      </c>
      <c r="V26" s="20">
        <f>VLOOKUP(Таблица13[[#This Row],[Disciplines]],'Составляющие рейтинга'!$Z$14:$AA$20,2,0)</f>
        <v>1</v>
      </c>
      <c r="W26" s="7" t="s">
        <v>142</v>
      </c>
      <c r="X26" s="7">
        <v>2</v>
      </c>
      <c r="Y26" s="7">
        <f>VLOOKUP(Таблица13[[#This Row],[Styles_count]],'Составляющие рейтинга'!$AD$14:$AE$21,2,0)</f>
        <v>0.25</v>
      </c>
      <c r="Z26" s="7" t="s">
        <v>33</v>
      </c>
      <c r="AA26" s="7">
        <f>VLOOKUP(Таблица13[[#This Row],[Riding_level]],'Составляющие рейтинга'!$AH$13:$AI$18,2,0)</f>
        <v>1</v>
      </c>
      <c r="AB2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5.9333333333333336</v>
      </c>
    </row>
    <row r="27" spans="1:28" ht="76.5">
      <c r="A27" s="8">
        <v>26</v>
      </c>
      <c r="B27" s="9">
        <v>26</v>
      </c>
      <c r="C27" s="10" t="s">
        <v>143</v>
      </c>
      <c r="D27" s="10" t="s">
        <v>85</v>
      </c>
      <c r="E27" s="10" t="s">
        <v>144</v>
      </c>
      <c r="F27" s="10" t="s">
        <v>145</v>
      </c>
      <c r="G27" s="10" t="s">
        <v>38</v>
      </c>
      <c r="H27" s="10">
        <v>2022</v>
      </c>
      <c r="I27" s="9">
        <v>1470</v>
      </c>
      <c r="J2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27" s="10">
        <f>VLOOKUP(Таблица13[[#This Row],[Dimensional_type]],'Составляющие рейтинга'!$B$10:$C$13,2,0)</f>
        <v>1</v>
      </c>
      <c r="L27" s="9">
        <f>QUOTIENT(Таблица13[[#This Row],[Area]],20)</f>
        <v>73</v>
      </c>
      <c r="M27" s="10" t="s">
        <v>358</v>
      </c>
      <c r="N27" s="10">
        <f>VLOOKUP(Таблица13[[#This Row],[Construction_type]],'Составляющие рейтинга'!$F$17:$G$26,2,0)</f>
        <v>0.60000000000000009</v>
      </c>
      <c r="O27" s="10" t="s">
        <v>11</v>
      </c>
      <c r="P27" s="21">
        <f>VLOOKUP(Таблица13[[#This Row],[Base_material]],'Составляющие рейтинга'!$K$13:$L$19,2,0)</f>
        <v>1</v>
      </c>
      <c r="Q27" s="10" t="s">
        <v>2</v>
      </c>
      <c r="R27" s="21">
        <f>VLOOKUP(Таблица13[[#This Row],[Terms_of_use]],'Составляющие рейтинга'!$P$9:$Q$11,2,0)</f>
        <v>1</v>
      </c>
      <c r="S27" s="7" t="s">
        <v>13</v>
      </c>
      <c r="T27" s="21">
        <f>VLOOKUP(Таблица13[[#This Row],[Dimensional_solution]],'Составляющие рейтинга'!$U$9:$V$11,2,0)</f>
        <v>0.33333333333333331</v>
      </c>
      <c r="U27" s="10" t="s">
        <v>40</v>
      </c>
      <c r="V27" s="21">
        <f>VLOOKUP(Таблица13[[#This Row],[Disciplines]],'Составляющие рейтинга'!$Z$14:$AA$20,2,0)</f>
        <v>1</v>
      </c>
      <c r="W27" s="10" t="s">
        <v>142</v>
      </c>
      <c r="X27" s="7">
        <v>2</v>
      </c>
      <c r="Y27" s="10">
        <f>VLOOKUP(Таблица13[[#This Row],[Styles_count]],'Составляющие рейтинга'!$AD$14:$AE$21,2,0)</f>
        <v>0.25</v>
      </c>
      <c r="Z27" s="7" t="s">
        <v>33</v>
      </c>
      <c r="AA27" s="10">
        <f>VLOOKUP(Таблица13[[#This Row],[Riding_level]],'Составляющие рейтинга'!$AH$13:$AI$18,2,0)</f>
        <v>1</v>
      </c>
      <c r="AB2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28" spans="1:28" ht="76.5">
      <c r="A28" s="5">
        <v>27</v>
      </c>
      <c r="B28" s="6">
        <v>27</v>
      </c>
      <c r="C28" s="7" t="s">
        <v>146</v>
      </c>
      <c r="D28" s="7" t="s">
        <v>85</v>
      </c>
      <c r="E28" s="7" t="s">
        <v>147</v>
      </c>
      <c r="F28" s="7" t="s">
        <v>148</v>
      </c>
      <c r="G28" s="7" t="s">
        <v>38</v>
      </c>
      <c r="H28" s="7">
        <v>2021</v>
      </c>
      <c r="I28" s="6">
        <v>1700</v>
      </c>
      <c r="J2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28" s="7">
        <f>VLOOKUP(Таблица13[[#This Row],[Dimensional_type]],'Составляющие рейтинга'!$B$10:$C$13,2,0)</f>
        <v>1</v>
      </c>
      <c r="L28" s="6">
        <f>QUOTIENT(Таблица13[[#This Row],[Area]],20)</f>
        <v>85</v>
      </c>
      <c r="M28" s="10" t="s">
        <v>358</v>
      </c>
      <c r="N28" s="16">
        <f>VLOOKUP(Таблица13[[#This Row],[Construction_type]],'Составляющие рейтинга'!$F$17:$G$26,2,0)</f>
        <v>0.60000000000000009</v>
      </c>
      <c r="O28" s="10" t="s">
        <v>11</v>
      </c>
      <c r="P28" s="20">
        <f>VLOOKUP(Таблица13[[#This Row],[Base_material]],'Составляющие рейтинга'!$K$13:$L$19,2,0)</f>
        <v>1</v>
      </c>
      <c r="Q28" s="10" t="s">
        <v>2</v>
      </c>
      <c r="R28" s="20">
        <f>VLOOKUP(Таблица13[[#This Row],[Terms_of_use]],'Составляющие рейтинга'!$P$9:$Q$11,2,0)</f>
        <v>1</v>
      </c>
      <c r="S28" s="7" t="s">
        <v>13</v>
      </c>
      <c r="T28" s="20">
        <f>VLOOKUP(Таблица13[[#This Row],[Dimensional_solution]],'Составляющие рейтинга'!$U$9:$V$11,2,0)</f>
        <v>0.33333333333333331</v>
      </c>
      <c r="U28" s="10" t="s">
        <v>40</v>
      </c>
      <c r="V28" s="20">
        <f>VLOOKUP(Таблица13[[#This Row],[Disciplines]],'Составляющие рейтинга'!$Z$14:$AA$20,2,0)</f>
        <v>1</v>
      </c>
      <c r="W28" s="7" t="s">
        <v>142</v>
      </c>
      <c r="X28" s="7">
        <v>2</v>
      </c>
      <c r="Y28" s="7">
        <f>VLOOKUP(Таблица13[[#This Row],[Styles_count]],'Составляющие рейтинга'!$AD$14:$AE$21,2,0)</f>
        <v>0.25</v>
      </c>
      <c r="Z28" s="7" t="s">
        <v>33</v>
      </c>
      <c r="AA28" s="7">
        <f>VLOOKUP(Таблица13[[#This Row],[Riding_level]],'Составляющие рейтинга'!$AH$13:$AI$18,2,0)</f>
        <v>1</v>
      </c>
      <c r="AB2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29" spans="1:28" ht="63.75">
      <c r="A29" s="8">
        <v>28</v>
      </c>
      <c r="B29" s="9">
        <v>28</v>
      </c>
      <c r="C29" s="10" t="s">
        <v>149</v>
      </c>
      <c r="D29" s="10" t="s">
        <v>26</v>
      </c>
      <c r="E29" s="10" t="s">
        <v>150</v>
      </c>
      <c r="F29" s="10" t="s">
        <v>151</v>
      </c>
      <c r="G29" s="10" t="s">
        <v>69</v>
      </c>
      <c r="H29" s="10">
        <v>2019</v>
      </c>
      <c r="I29" s="9">
        <v>1200</v>
      </c>
      <c r="J2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29" s="10">
        <f>VLOOKUP(Таблица13[[#This Row],[Dimensional_type]],'Составляющие рейтинга'!$B$10:$C$13,2,0)</f>
        <v>0.75</v>
      </c>
      <c r="L29" s="9">
        <f>QUOTIENT(Таблица13[[#This Row],[Area]],20)</f>
        <v>60</v>
      </c>
      <c r="M29" s="10" t="s">
        <v>358</v>
      </c>
      <c r="N29" s="10">
        <f>VLOOKUP(Таблица13[[#This Row],[Construction_type]],'Составляющие рейтинга'!$F$17:$G$26,2,0)</f>
        <v>0.60000000000000009</v>
      </c>
      <c r="O29" s="10" t="s">
        <v>11</v>
      </c>
      <c r="P29" s="21">
        <f>VLOOKUP(Таблица13[[#This Row],[Base_material]],'Составляющие рейтинга'!$K$13:$L$19,2,0)</f>
        <v>1</v>
      </c>
      <c r="Q29" s="10" t="s">
        <v>2</v>
      </c>
      <c r="R29" s="21">
        <f>VLOOKUP(Таблица13[[#This Row],[Terms_of_use]],'Составляющие рейтинга'!$P$9:$Q$11,2,0)</f>
        <v>1</v>
      </c>
      <c r="S29" s="7" t="s">
        <v>13</v>
      </c>
      <c r="T29" s="21">
        <f>VLOOKUP(Таблица13[[#This Row],[Dimensional_solution]],'Составляющие рейтинга'!$U$9:$V$11,2,0)</f>
        <v>0.33333333333333331</v>
      </c>
      <c r="U29" s="10" t="s">
        <v>40</v>
      </c>
      <c r="V29" s="21">
        <f>VLOOKUP(Таблица13[[#This Row],[Disciplines]],'Составляющие рейтинга'!$Z$14:$AA$20,2,0)</f>
        <v>1</v>
      </c>
      <c r="W29" s="10" t="s">
        <v>104</v>
      </c>
      <c r="X29" s="10">
        <v>1</v>
      </c>
      <c r="Y29" s="10">
        <f>VLOOKUP(Таблица13[[#This Row],[Styles_count]],'Составляющие рейтинга'!$AD$14:$AE$21,2,0)</f>
        <v>0.125</v>
      </c>
      <c r="Z29" s="7" t="s">
        <v>33</v>
      </c>
      <c r="AA29" s="10">
        <f>VLOOKUP(Таблица13[[#This Row],[Riding_level]],'Составляющие рейтинга'!$AH$13:$AI$18,2,0)</f>
        <v>1</v>
      </c>
      <c r="AB2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5.8083333333333336</v>
      </c>
    </row>
    <row r="30" spans="1:28" ht="89.25">
      <c r="A30" s="5">
        <v>29</v>
      </c>
      <c r="B30" s="6">
        <v>29</v>
      </c>
      <c r="C30" s="7" t="s">
        <v>152</v>
      </c>
      <c r="D30" s="7" t="s">
        <v>49</v>
      </c>
      <c r="E30" s="7" t="s">
        <v>50</v>
      </c>
      <c r="F30" s="7" t="s">
        <v>153</v>
      </c>
      <c r="G30" s="7" t="s">
        <v>38</v>
      </c>
      <c r="H30" s="7">
        <v>2023</v>
      </c>
      <c r="I30" s="6">
        <v>2000</v>
      </c>
      <c r="J3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0" s="7">
        <f>VLOOKUP(Таблица13[[#This Row],[Dimensional_type]],'Составляющие рейтинга'!$B$10:$C$13,2,0)</f>
        <v>1</v>
      </c>
      <c r="L30" s="6">
        <f>QUOTIENT(Таблица13[[#This Row],[Area]],20)</f>
        <v>100</v>
      </c>
      <c r="M30" s="7" t="s">
        <v>359</v>
      </c>
      <c r="N30" s="7">
        <f>VLOOKUP(Таблица13[[#This Row],[Construction_type]],'Составляющие рейтинга'!$F$17:$G$26,2,0)</f>
        <v>0.4</v>
      </c>
      <c r="O30" s="7" t="s">
        <v>10</v>
      </c>
      <c r="P30" s="20">
        <f>VLOOKUP(Таблица13[[#This Row],[Base_material]],'Составляющие рейтинга'!$K$13:$L$19,2,0)</f>
        <v>0.66666666666666663</v>
      </c>
      <c r="Q30" s="10" t="s">
        <v>2</v>
      </c>
      <c r="R30" s="20">
        <f>VLOOKUP(Таблица13[[#This Row],[Terms_of_use]],'Составляющие рейтинга'!$P$9:$Q$11,2,0)</f>
        <v>1</v>
      </c>
      <c r="S30" s="10" t="s">
        <v>39</v>
      </c>
      <c r="T30" s="20">
        <f>VLOOKUP(Таблица13[[#This Row],[Dimensional_solution]],'Составляющие рейтинга'!$U$9:$V$11,2,0)</f>
        <v>0.66666666666666663</v>
      </c>
      <c r="U30" s="10" t="s">
        <v>40</v>
      </c>
      <c r="V30" s="20">
        <f>VLOOKUP(Таблица13[[#This Row],[Disciplines]],'Составляющие рейтинга'!$Z$14:$AA$20,2,0)</f>
        <v>1</v>
      </c>
      <c r="W30" s="7" t="s">
        <v>137</v>
      </c>
      <c r="X30" s="7">
        <v>4</v>
      </c>
      <c r="Y30" s="7">
        <f>VLOOKUP(Таблица13[[#This Row],[Styles_count]],'Составляющие рейтинга'!$AD$14:$AE$21,2,0)</f>
        <v>0.5</v>
      </c>
      <c r="Z30" s="7" t="s">
        <v>33</v>
      </c>
      <c r="AA30" s="7">
        <f>VLOOKUP(Таблица13[[#This Row],[Riding_level]],'Составляющие рейтинга'!$AH$13:$AI$18,2,0)</f>
        <v>1</v>
      </c>
      <c r="AB3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6.2333333333333325</v>
      </c>
    </row>
    <row r="31" spans="1:28" ht="76.5">
      <c r="A31" s="8">
        <v>30</v>
      </c>
      <c r="B31" s="9">
        <v>30</v>
      </c>
      <c r="C31" s="10" t="s">
        <v>154</v>
      </c>
      <c r="D31" s="10" t="s">
        <v>66</v>
      </c>
      <c r="E31" s="10" t="s">
        <v>155</v>
      </c>
      <c r="F31" s="10" t="s">
        <v>156</v>
      </c>
      <c r="G31" s="10" t="s">
        <v>38</v>
      </c>
      <c r="H31" s="10">
        <v>2022</v>
      </c>
      <c r="I31" s="9">
        <v>1450</v>
      </c>
      <c r="J3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1" s="10">
        <f>VLOOKUP(Таблица13[[#This Row],[Dimensional_type]],'Составляющие рейтинга'!$B$10:$C$13,2,0)</f>
        <v>1</v>
      </c>
      <c r="L31" s="9">
        <f>QUOTIENT(Таблица13[[#This Row],[Area]],20)</f>
        <v>72</v>
      </c>
      <c r="M31" s="10" t="s">
        <v>358</v>
      </c>
      <c r="N31" s="10">
        <f>VLOOKUP(Таблица13[[#This Row],[Construction_type]],'Составляющие рейтинга'!$F$17:$G$26,2,0)</f>
        <v>0.60000000000000009</v>
      </c>
      <c r="O31" s="10" t="s">
        <v>11</v>
      </c>
      <c r="P31" s="21">
        <f>VLOOKUP(Таблица13[[#This Row],[Base_material]],'Составляющие рейтинга'!$K$13:$L$19,2,0)</f>
        <v>1</v>
      </c>
      <c r="Q31" s="10" t="s">
        <v>2</v>
      </c>
      <c r="R31" s="21">
        <f>VLOOKUP(Таблица13[[#This Row],[Terms_of_use]],'Составляющие рейтинга'!$P$9:$Q$11,2,0)</f>
        <v>1</v>
      </c>
      <c r="S31" s="7" t="s">
        <v>13</v>
      </c>
      <c r="T31" s="21">
        <f>VLOOKUP(Таблица13[[#This Row],[Dimensional_solution]],'Составляющие рейтинга'!$U$9:$V$11,2,0)</f>
        <v>0.33333333333333331</v>
      </c>
      <c r="U31" s="10" t="s">
        <v>40</v>
      </c>
      <c r="V31" s="21">
        <f>VLOOKUP(Таблица13[[#This Row],[Disciplines]],'Составляющие рейтинга'!$Z$14:$AA$20,2,0)</f>
        <v>1</v>
      </c>
      <c r="W31" s="10" t="s">
        <v>142</v>
      </c>
      <c r="X31" s="7">
        <v>2</v>
      </c>
      <c r="Y31" s="10">
        <f>VLOOKUP(Таблица13[[#This Row],[Styles_count]],'Составляющие рейтинга'!$AD$14:$AE$21,2,0)</f>
        <v>0.25</v>
      </c>
      <c r="Z31" s="7" t="s">
        <v>33</v>
      </c>
      <c r="AA31" s="10">
        <f>VLOOKUP(Таблица13[[#This Row],[Riding_level]],'Составляющие рейтинга'!$AH$13:$AI$18,2,0)</f>
        <v>1</v>
      </c>
      <c r="AB3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32" spans="1:28" ht="76.5">
      <c r="A32" s="5">
        <v>31</v>
      </c>
      <c r="B32" s="6">
        <v>31</v>
      </c>
      <c r="C32" s="7" t="s">
        <v>157</v>
      </c>
      <c r="D32" s="7" t="s">
        <v>66</v>
      </c>
      <c r="E32" s="7" t="s">
        <v>158</v>
      </c>
      <c r="F32" s="7" t="s">
        <v>159</v>
      </c>
      <c r="G32" s="7" t="s">
        <v>38</v>
      </c>
      <c r="H32" s="7">
        <v>2021</v>
      </c>
      <c r="I32" s="6">
        <v>1700</v>
      </c>
      <c r="J3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2" s="7">
        <f>VLOOKUP(Таблица13[[#This Row],[Dimensional_type]],'Составляющие рейтинга'!$B$10:$C$13,2,0)</f>
        <v>1</v>
      </c>
      <c r="L32" s="6">
        <f>QUOTIENT(Таблица13[[#This Row],[Area]],20)</f>
        <v>85</v>
      </c>
      <c r="M32" s="10" t="s">
        <v>358</v>
      </c>
      <c r="N32" s="16">
        <f>VLOOKUP(Таблица13[[#This Row],[Construction_type]],'Составляющие рейтинга'!$F$17:$G$26,2,0)</f>
        <v>0.60000000000000009</v>
      </c>
      <c r="O32" s="10" t="s">
        <v>11</v>
      </c>
      <c r="P32" s="20">
        <f>VLOOKUP(Таблица13[[#This Row],[Base_material]],'Составляющие рейтинга'!$K$13:$L$19,2,0)</f>
        <v>1</v>
      </c>
      <c r="Q32" s="10" t="s">
        <v>2</v>
      </c>
      <c r="R32" s="20">
        <f>VLOOKUP(Таблица13[[#This Row],[Terms_of_use]],'Составляющие рейтинга'!$P$9:$Q$11,2,0)</f>
        <v>1</v>
      </c>
      <c r="S32" s="7" t="s">
        <v>13</v>
      </c>
      <c r="T32" s="20">
        <f>VLOOKUP(Таблица13[[#This Row],[Dimensional_solution]],'Составляющие рейтинга'!$U$9:$V$11,2,0)</f>
        <v>0.33333333333333331</v>
      </c>
      <c r="U32" s="10" t="s">
        <v>40</v>
      </c>
      <c r="V32" s="20">
        <f>VLOOKUP(Таблица13[[#This Row],[Disciplines]],'Составляющие рейтинга'!$Z$14:$AA$20,2,0)</f>
        <v>1</v>
      </c>
      <c r="W32" s="7" t="s">
        <v>142</v>
      </c>
      <c r="X32" s="7">
        <v>2</v>
      </c>
      <c r="Y32" s="7">
        <f>VLOOKUP(Таблица13[[#This Row],[Styles_count]],'Составляющие рейтинга'!$AD$14:$AE$21,2,0)</f>
        <v>0.25</v>
      </c>
      <c r="Z32" s="7" t="s">
        <v>33</v>
      </c>
      <c r="AA32" s="7">
        <f>VLOOKUP(Таблица13[[#This Row],[Riding_level]],'Составляющие рейтинга'!$AH$13:$AI$18,2,0)</f>
        <v>1</v>
      </c>
      <c r="AB3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33" spans="1:28" ht="63.75">
      <c r="A33" s="8">
        <v>32</v>
      </c>
      <c r="B33" s="9">
        <v>32</v>
      </c>
      <c r="C33" s="10" t="s">
        <v>160</v>
      </c>
      <c r="D33" s="10" t="s">
        <v>74</v>
      </c>
      <c r="E33" s="10" t="s">
        <v>161</v>
      </c>
      <c r="F33" s="10" t="s">
        <v>162</v>
      </c>
      <c r="G33" s="10" t="s">
        <v>38</v>
      </c>
      <c r="H33" s="10">
        <v>2023</v>
      </c>
      <c r="I33" s="9">
        <v>1970</v>
      </c>
      <c r="J3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3" s="10">
        <f>VLOOKUP(Таблица13[[#This Row],[Dimensional_type]],'Составляющие рейтинга'!$B$10:$C$13,2,0)</f>
        <v>1</v>
      </c>
      <c r="L33" s="9">
        <f>QUOTIENT(Таблица13[[#This Row],[Area]],20)</f>
        <v>98</v>
      </c>
      <c r="M33" s="10" t="s">
        <v>351</v>
      </c>
      <c r="N33" s="10">
        <f>VLOOKUP(Таблица13[[#This Row],[Construction_type]],'Составляющие рейтинга'!$F$17:$G$26,2,0)</f>
        <v>1</v>
      </c>
      <c r="O33" s="7" t="s">
        <v>10</v>
      </c>
      <c r="P33" s="21">
        <f>VLOOKUP(Таблица13[[#This Row],[Base_material]],'Составляющие рейтинга'!$K$13:$L$19,2,0)</f>
        <v>0.66666666666666663</v>
      </c>
      <c r="Q33" s="10" t="s">
        <v>2</v>
      </c>
      <c r="R33" s="21">
        <f>VLOOKUP(Таблица13[[#This Row],[Terms_of_use]],'Составляющие рейтинга'!$P$9:$Q$11,2,0)</f>
        <v>1</v>
      </c>
      <c r="S33" s="7" t="s">
        <v>13</v>
      </c>
      <c r="T33" s="21">
        <f>VLOOKUP(Таблица13[[#This Row],[Dimensional_solution]],'Составляющие рейтинга'!$U$9:$V$11,2,0)</f>
        <v>0.33333333333333331</v>
      </c>
      <c r="U33" s="10" t="s">
        <v>40</v>
      </c>
      <c r="V33" s="21">
        <f>VLOOKUP(Таблица13[[#This Row],[Disciplines]],'Составляющие рейтинга'!$Z$14:$AA$20,2,0)</f>
        <v>1</v>
      </c>
      <c r="W33" s="10" t="s">
        <v>163</v>
      </c>
      <c r="X33" s="10">
        <v>4</v>
      </c>
      <c r="Y33" s="10">
        <f>VLOOKUP(Таблица13[[#This Row],[Styles_count]],'Составляющие рейтинга'!$AD$14:$AE$21,2,0)</f>
        <v>0.5</v>
      </c>
      <c r="Z33" s="7" t="s">
        <v>33</v>
      </c>
      <c r="AA33" s="10">
        <f>VLOOKUP(Таблица13[[#This Row],[Riding_level]],'Составляющие рейтинга'!$AH$13:$AI$18,2,0)</f>
        <v>1</v>
      </c>
      <c r="AB3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6.5</v>
      </c>
    </row>
    <row r="34" spans="1:28" ht="63.75">
      <c r="A34" s="5">
        <v>33</v>
      </c>
      <c r="B34" s="6">
        <v>33</v>
      </c>
      <c r="C34" s="7" t="s">
        <v>164</v>
      </c>
      <c r="D34" s="7" t="s">
        <v>165</v>
      </c>
      <c r="E34" s="7" t="s">
        <v>166</v>
      </c>
      <c r="F34" s="7" t="s">
        <v>167</v>
      </c>
      <c r="G34" s="7" t="s">
        <v>38</v>
      </c>
      <c r="H34" s="7">
        <v>2022</v>
      </c>
      <c r="I34" s="6">
        <v>1485</v>
      </c>
      <c r="J3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4" s="7">
        <f>VLOOKUP(Таблица13[[#This Row],[Dimensional_type]],'Составляющие рейтинга'!$B$10:$C$13,2,0)</f>
        <v>1</v>
      </c>
      <c r="L34" s="6">
        <f>QUOTIENT(Таблица13[[#This Row],[Area]],20)</f>
        <v>74</v>
      </c>
      <c r="M34" s="7" t="s">
        <v>136</v>
      </c>
      <c r="N34" s="7">
        <f>VLOOKUP(Таблица13[[#This Row],[Construction_type]],'Составляющие рейтинга'!$F$17:$G$26,2,0)</f>
        <v>1</v>
      </c>
      <c r="O34" s="7" t="s">
        <v>11</v>
      </c>
      <c r="P34" s="20">
        <f>VLOOKUP(Таблица13[[#This Row],[Base_material]],'Составляющие рейтинга'!$K$13:$L$19,2,0)</f>
        <v>1</v>
      </c>
      <c r="Q34" s="10" t="s">
        <v>2</v>
      </c>
      <c r="R34" s="20">
        <f>VLOOKUP(Таблица13[[#This Row],[Terms_of_use]],'Составляющие рейтинга'!$P$9:$Q$11,2,0)</f>
        <v>1</v>
      </c>
      <c r="S34" s="7" t="s">
        <v>13</v>
      </c>
      <c r="T34" s="20">
        <f>VLOOKUP(Таблица13[[#This Row],[Dimensional_solution]],'Составляющие рейтинга'!$U$9:$V$11,2,0)</f>
        <v>0.33333333333333331</v>
      </c>
      <c r="U34" s="10" t="s">
        <v>40</v>
      </c>
      <c r="V34" s="20">
        <f>VLOOKUP(Таблица13[[#This Row],[Disciplines]],'Составляющие рейтинга'!$Z$14:$AA$20,2,0)</f>
        <v>1</v>
      </c>
      <c r="W34" s="7" t="s">
        <v>168</v>
      </c>
      <c r="X34" s="7">
        <v>2</v>
      </c>
      <c r="Y34" s="7">
        <f>VLOOKUP(Таблица13[[#This Row],[Styles_count]],'Составляющие рейтинга'!$AD$14:$AE$21,2,0)</f>
        <v>0.25</v>
      </c>
      <c r="Z34" s="7" t="s">
        <v>33</v>
      </c>
      <c r="AA34" s="7">
        <f>VLOOKUP(Таблица13[[#This Row],[Riding_level]],'Составляющие рейтинга'!$AH$13:$AI$18,2,0)</f>
        <v>1</v>
      </c>
      <c r="AB3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6.583333333333333</v>
      </c>
    </row>
    <row r="35" spans="1:28" ht="63.75">
      <c r="A35" s="8">
        <v>34</v>
      </c>
      <c r="B35" s="9">
        <v>34</v>
      </c>
      <c r="C35" s="10" t="s">
        <v>169</v>
      </c>
      <c r="D35" s="10" t="s">
        <v>26</v>
      </c>
      <c r="E35" s="10" t="s">
        <v>170</v>
      </c>
      <c r="F35" s="10" t="s">
        <v>171</v>
      </c>
      <c r="G35" s="10" t="s">
        <v>52</v>
      </c>
      <c r="H35" s="10" t="s">
        <v>172</v>
      </c>
      <c r="I35" s="9">
        <v>2000</v>
      </c>
      <c r="J3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5" s="10">
        <f>VLOOKUP(Таблица13[[#This Row],[Dimensional_type]],'Составляющие рейтинга'!$B$10:$C$13,2,0)</f>
        <v>1</v>
      </c>
      <c r="L35" s="9">
        <f>QUOTIENT(Таблица13[[#This Row],[Area]],20)</f>
        <v>100</v>
      </c>
      <c r="M35" s="7" t="s">
        <v>359</v>
      </c>
      <c r="N35" s="16">
        <f>VLOOKUP(Таблица13[[#This Row],[Construction_type]],'Составляющие рейтинга'!$F$17:$G$26,2,0)</f>
        <v>0.4</v>
      </c>
      <c r="O35" s="7" t="s">
        <v>10</v>
      </c>
      <c r="P35" s="21">
        <f>VLOOKUP(Таблица13[[#This Row],[Base_material]],'Составляющие рейтинга'!$K$13:$L$19,2,0)</f>
        <v>0.66666666666666663</v>
      </c>
      <c r="Q35" s="10" t="s">
        <v>2</v>
      </c>
      <c r="R35" s="21">
        <f>VLOOKUP(Таблица13[[#This Row],[Terms_of_use]],'Составляющие рейтинга'!$P$9:$Q$11,2,0)</f>
        <v>1</v>
      </c>
      <c r="S35" s="10" t="s">
        <v>39</v>
      </c>
      <c r="T35" s="21">
        <f>VLOOKUP(Таблица13[[#This Row],[Dimensional_solution]],'Составляющие рейтинга'!$U$9:$V$11,2,0)</f>
        <v>0.66666666666666663</v>
      </c>
      <c r="U35" s="10" t="s">
        <v>40</v>
      </c>
      <c r="V35" s="21">
        <f>VLOOKUP(Таблица13[[#This Row],[Disciplines]],'Составляющие рейтинга'!$Z$14:$AA$20,2,0)</f>
        <v>1</v>
      </c>
      <c r="W35" s="10" t="s">
        <v>173</v>
      </c>
      <c r="X35" s="7">
        <v>2</v>
      </c>
      <c r="Y35" s="10">
        <f>VLOOKUP(Таблица13[[#This Row],[Styles_count]],'Составляющие рейтинга'!$AD$14:$AE$21,2,0)</f>
        <v>0.25</v>
      </c>
      <c r="Z35" s="7" t="s">
        <v>33</v>
      </c>
      <c r="AA35" s="10">
        <f>VLOOKUP(Таблица13[[#This Row],[Riding_level]],'Составляющие рейтинга'!$AH$13:$AI$18,2,0)</f>
        <v>1</v>
      </c>
      <c r="AB3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5.9833333333333325</v>
      </c>
    </row>
    <row r="36" spans="1:28" ht="63.75">
      <c r="A36" s="5">
        <v>35</v>
      </c>
      <c r="B36" s="6">
        <v>35</v>
      </c>
      <c r="C36" s="7" t="s">
        <v>174</v>
      </c>
      <c r="D36" s="7" t="s">
        <v>66</v>
      </c>
      <c r="E36" s="7" t="s">
        <v>155</v>
      </c>
      <c r="F36" s="7" t="s">
        <v>175</v>
      </c>
      <c r="G36" s="7" t="s">
        <v>52</v>
      </c>
      <c r="H36" s="7" t="s">
        <v>172</v>
      </c>
      <c r="I36" s="6">
        <v>1000</v>
      </c>
      <c r="J3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36" s="7">
        <f>VLOOKUP(Таблица13[[#This Row],[Dimensional_type]],'Составляющие рейтинга'!$B$10:$C$13,2,0)</f>
        <v>0.75</v>
      </c>
      <c r="L36" s="6">
        <f>QUOTIENT(Таблица13[[#This Row],[Area]],20)</f>
        <v>50</v>
      </c>
      <c r="M36" s="7" t="s">
        <v>362</v>
      </c>
      <c r="N36" s="7">
        <f>VLOOKUP(Таблица13[[#This Row],[Construction_type]],'Составляющие рейтинга'!$F$17:$G$26,2,0)</f>
        <v>0.60000000000000009</v>
      </c>
      <c r="O36" s="7" t="s">
        <v>364</v>
      </c>
      <c r="P36" s="20">
        <f>VLOOKUP(Таблица13[[#This Row],[Base_material]],'Составляющие рейтинга'!$K$13:$L$19,2,0)</f>
        <v>1</v>
      </c>
      <c r="Q36" s="10" t="s">
        <v>2</v>
      </c>
      <c r="R36" s="20">
        <f>VLOOKUP(Таблица13[[#This Row],[Terms_of_use]],'Составляющие рейтинга'!$P$9:$Q$11,2,0)</f>
        <v>1</v>
      </c>
      <c r="S36" s="7" t="s">
        <v>13</v>
      </c>
      <c r="T36" s="20">
        <f>VLOOKUP(Таблица13[[#This Row],[Dimensional_solution]],'Составляющие рейтинга'!$U$9:$V$11,2,0)</f>
        <v>0.33333333333333331</v>
      </c>
      <c r="U36" s="7" t="s">
        <v>31</v>
      </c>
      <c r="V36" s="20">
        <f>VLOOKUP(Таблица13[[#This Row],[Disciplines]],'Составляющие рейтинга'!$Z$14:$AA$20,2,0)</f>
        <v>0.25</v>
      </c>
      <c r="W36" s="7" t="s">
        <v>176</v>
      </c>
      <c r="X36" s="7">
        <v>2</v>
      </c>
      <c r="Y36" s="7">
        <f>VLOOKUP(Таблица13[[#This Row],[Styles_count]],'Составляющие рейтинга'!$AD$14:$AE$21,2,0)</f>
        <v>0.25</v>
      </c>
      <c r="Z36" s="10" t="s">
        <v>19</v>
      </c>
      <c r="AA36" s="7">
        <f>VLOOKUP(Таблица13[[#This Row],[Riding_level]],'Составляющие рейтинга'!$AH$13:$AI$18,2,0)</f>
        <v>0.66666666666666663</v>
      </c>
      <c r="AB3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4.8500000000000005</v>
      </c>
    </row>
    <row r="37" spans="1:28" ht="63.75">
      <c r="A37" s="8">
        <v>36</v>
      </c>
      <c r="B37" s="9">
        <v>36</v>
      </c>
      <c r="C37" s="10" t="s">
        <v>177</v>
      </c>
      <c r="D37" s="10" t="s">
        <v>26</v>
      </c>
      <c r="E37" s="10" t="s">
        <v>27</v>
      </c>
      <c r="F37" s="10" t="s">
        <v>178</v>
      </c>
      <c r="G37" s="10" t="s">
        <v>69</v>
      </c>
      <c r="H37" s="10">
        <v>2022</v>
      </c>
      <c r="I37" s="9">
        <v>1700</v>
      </c>
      <c r="J3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7" s="10">
        <f>VLOOKUP(Таблица13[[#This Row],[Dimensional_type]],'Составляющие рейтинга'!$B$10:$C$13,2,0)</f>
        <v>1</v>
      </c>
      <c r="L37" s="9">
        <f>QUOTIENT(Таблица13[[#This Row],[Area]],20)</f>
        <v>85</v>
      </c>
      <c r="M37" s="7" t="s">
        <v>360</v>
      </c>
      <c r="N37" s="16">
        <f>VLOOKUP(Таблица13[[#This Row],[Construction_type]],'Составляющие рейтинга'!$F$17:$G$26,2,0)</f>
        <v>0.2</v>
      </c>
      <c r="O37" s="7" t="s">
        <v>10</v>
      </c>
      <c r="P37" s="21">
        <f>VLOOKUP(Таблица13[[#This Row],[Base_material]],'Составляющие рейтинга'!$K$13:$L$19,2,0)</f>
        <v>0.66666666666666663</v>
      </c>
      <c r="Q37" s="10" t="s">
        <v>2</v>
      </c>
      <c r="R37" s="21">
        <f>VLOOKUP(Таблица13[[#This Row],[Terms_of_use]],'Составляющие рейтинга'!$P$9:$Q$11,2,0)</f>
        <v>1</v>
      </c>
      <c r="S37" s="7" t="s">
        <v>13</v>
      </c>
      <c r="T37" s="21">
        <f>VLOOKUP(Таблица13[[#This Row],[Dimensional_solution]],'Составляющие рейтинга'!$U$9:$V$11,2,0)</f>
        <v>0.33333333333333331</v>
      </c>
      <c r="U37" s="10" t="s">
        <v>40</v>
      </c>
      <c r="V37" s="21">
        <f>VLOOKUP(Таблица13[[#This Row],[Disciplines]],'Составляющие рейтинга'!$Z$14:$AA$20,2,0)</f>
        <v>1</v>
      </c>
      <c r="W37" s="10" t="s">
        <v>179</v>
      </c>
      <c r="X37" s="10">
        <v>3</v>
      </c>
      <c r="Y37" s="10">
        <f>VLOOKUP(Таблица13[[#This Row],[Styles_count]],'Составляющие рейтинга'!$AD$14:$AE$21,2,0)</f>
        <v>0.375</v>
      </c>
      <c r="Z37" s="7" t="s">
        <v>33</v>
      </c>
      <c r="AA37" s="10">
        <f>VLOOKUP(Таблица13[[#This Row],[Riding_level]],'Составляющие рейтинга'!$AH$13:$AI$18,2,0)</f>
        <v>1</v>
      </c>
      <c r="AB3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5.5750000000000002</v>
      </c>
    </row>
    <row r="38" spans="1:28" ht="76.5">
      <c r="A38" s="5">
        <v>37</v>
      </c>
      <c r="B38" s="6">
        <v>37</v>
      </c>
      <c r="C38" s="7" t="s">
        <v>180</v>
      </c>
      <c r="D38" s="7" t="s">
        <v>26</v>
      </c>
      <c r="E38" s="7" t="s">
        <v>181</v>
      </c>
      <c r="F38" s="7" t="s">
        <v>182</v>
      </c>
      <c r="G38" s="7" t="s">
        <v>52</v>
      </c>
      <c r="H38" s="7" t="s">
        <v>69</v>
      </c>
      <c r="I38" s="6">
        <v>600</v>
      </c>
      <c r="J3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38" s="7">
        <f>VLOOKUP(Таблица13[[#This Row],[Dimensional_type]],'Составляющие рейтинга'!$B$10:$C$13,2,0)</f>
        <v>0.5</v>
      </c>
      <c r="L38" s="6">
        <f>QUOTIENT(Таблица13[[#This Row],[Area]],20)</f>
        <v>30</v>
      </c>
      <c r="M38" s="7" t="s">
        <v>362</v>
      </c>
      <c r="N38" s="7">
        <f>VLOOKUP(Таблица13[[#This Row],[Construction_type]],'Составляющие рейтинга'!$F$17:$G$26,2,0)</f>
        <v>0.60000000000000009</v>
      </c>
      <c r="O38" s="7" t="s">
        <v>364</v>
      </c>
      <c r="P38" s="20">
        <f>VLOOKUP(Таблица13[[#This Row],[Base_material]],'Составляющие рейтинга'!$K$13:$L$19,2,0)</f>
        <v>1</v>
      </c>
      <c r="Q38" s="10" t="s">
        <v>2</v>
      </c>
      <c r="R38" s="20">
        <f>VLOOKUP(Таблица13[[#This Row],[Terms_of_use]],'Составляющие рейтинга'!$P$9:$Q$11,2,0)</f>
        <v>1</v>
      </c>
      <c r="S38" s="7" t="s">
        <v>13</v>
      </c>
      <c r="T38" s="20">
        <f>VLOOKUP(Таблица13[[#This Row],[Dimensional_solution]],'Составляющие рейтинга'!$U$9:$V$11,2,0)</f>
        <v>0.33333333333333331</v>
      </c>
      <c r="U38" s="7" t="s">
        <v>31</v>
      </c>
      <c r="V38" s="20">
        <f>VLOOKUP(Таблица13[[#This Row],[Disciplines]],'Составляющие рейтинга'!$Z$14:$AA$20,2,0)</f>
        <v>0.25</v>
      </c>
      <c r="W38" s="7" t="s">
        <v>54</v>
      </c>
      <c r="X38" s="10">
        <v>1</v>
      </c>
      <c r="Y38" s="7">
        <f>VLOOKUP(Таблица13[[#This Row],[Styles_count]],'Составляющие рейтинга'!$AD$14:$AE$21,2,0)</f>
        <v>0.125</v>
      </c>
      <c r="Z38" s="10" t="s">
        <v>19</v>
      </c>
      <c r="AA38" s="7">
        <f>VLOOKUP(Таблица13[[#This Row],[Riding_level]],'Составляющие рейтинга'!$AH$13:$AI$18,2,0)</f>
        <v>0.66666666666666663</v>
      </c>
      <c r="AB3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4.4750000000000005</v>
      </c>
    </row>
    <row r="39" spans="1:28" ht="63.75">
      <c r="A39" s="8">
        <v>38</v>
      </c>
      <c r="B39" s="9">
        <v>38</v>
      </c>
      <c r="C39" s="10" t="s">
        <v>183</v>
      </c>
      <c r="D39" s="10" t="s">
        <v>56</v>
      </c>
      <c r="E39" s="10" t="s">
        <v>61</v>
      </c>
      <c r="F39" s="10" t="s">
        <v>184</v>
      </c>
      <c r="G39" s="10" t="s">
        <v>69</v>
      </c>
      <c r="H39" s="10" t="s">
        <v>185</v>
      </c>
      <c r="I39" s="9">
        <v>2800</v>
      </c>
      <c r="J3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39" s="10">
        <f>VLOOKUP(Таблица13[[#This Row],[Dimensional_type]],'Составляющие рейтинга'!$B$10:$C$13,2,0)</f>
        <v>1</v>
      </c>
      <c r="L39" s="9">
        <f>QUOTIENT(Таблица13[[#This Row],[Area]],20)</f>
        <v>140</v>
      </c>
      <c r="M39" s="7" t="s">
        <v>136</v>
      </c>
      <c r="N39" s="16">
        <f>VLOOKUP(Таблица13[[#This Row],[Construction_type]],'Составляющие рейтинга'!$F$17:$G$26,2,0)</f>
        <v>1</v>
      </c>
      <c r="O39" s="7" t="s">
        <v>11</v>
      </c>
      <c r="P39" s="21">
        <f>VLOOKUP(Таблица13[[#This Row],[Base_material]],'Составляющие рейтинга'!$K$13:$L$19,2,0)</f>
        <v>1</v>
      </c>
      <c r="Q39" s="10" t="s">
        <v>2</v>
      </c>
      <c r="R39" s="21">
        <f>VLOOKUP(Таблица13[[#This Row],[Terms_of_use]],'Составляющие рейтинга'!$P$9:$Q$11,2,0)</f>
        <v>1</v>
      </c>
      <c r="S39" s="7" t="s">
        <v>13</v>
      </c>
      <c r="T39" s="21">
        <f>VLOOKUP(Таблица13[[#This Row],[Dimensional_solution]],'Составляющие рейтинга'!$U$9:$V$11,2,0)</f>
        <v>0.33333333333333331</v>
      </c>
      <c r="U39" s="10" t="s">
        <v>40</v>
      </c>
      <c r="V39" s="21">
        <f>VLOOKUP(Таблица13[[#This Row],[Disciplines]],'Составляющие рейтинга'!$Z$14:$AA$20,2,0)</f>
        <v>1</v>
      </c>
      <c r="W39" s="10" t="s">
        <v>186</v>
      </c>
      <c r="X39" s="10">
        <v>3</v>
      </c>
      <c r="Y39" s="10">
        <f>VLOOKUP(Таблица13[[#This Row],[Styles_count]],'Составляющие рейтинга'!$AD$14:$AE$21,2,0)</f>
        <v>0.375</v>
      </c>
      <c r="Z39" s="7" t="s">
        <v>33</v>
      </c>
      <c r="AA39" s="10">
        <f>VLOOKUP(Таблица13[[#This Row],[Riding_level]],'Составляющие рейтинга'!$AH$13:$AI$18,2,0)</f>
        <v>1</v>
      </c>
      <c r="AB3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6.708333333333333</v>
      </c>
    </row>
    <row r="40" spans="1:28" ht="63.75">
      <c r="A40" s="5">
        <v>39</v>
      </c>
      <c r="B40" s="6">
        <v>39</v>
      </c>
      <c r="C40" s="7" t="s">
        <v>187</v>
      </c>
      <c r="D40" s="7" t="s">
        <v>188</v>
      </c>
      <c r="E40" s="7" t="s">
        <v>189</v>
      </c>
      <c r="F40" s="7" t="s">
        <v>190</v>
      </c>
      <c r="G40" s="7" t="s">
        <v>38</v>
      </c>
      <c r="H40" s="7">
        <v>2021</v>
      </c>
      <c r="I40" s="6">
        <v>1800</v>
      </c>
      <c r="J4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40" s="7">
        <f>VLOOKUP(Таблица13[[#This Row],[Dimensional_type]],'Составляющие рейтинга'!$B$10:$C$13,2,0)</f>
        <v>1</v>
      </c>
      <c r="L40" s="6">
        <f>QUOTIENT(Таблица13[[#This Row],[Area]],20)</f>
        <v>90</v>
      </c>
      <c r="M40" s="10" t="s">
        <v>358</v>
      </c>
      <c r="N40" s="16">
        <f>VLOOKUP(Таблица13[[#This Row],[Construction_type]],'Составляющие рейтинга'!$F$17:$G$26,2,0)</f>
        <v>0.60000000000000009</v>
      </c>
      <c r="O40" s="10" t="s">
        <v>11</v>
      </c>
      <c r="P40" s="20">
        <f>VLOOKUP(Таблица13[[#This Row],[Base_material]],'Составляющие рейтинга'!$K$13:$L$19,2,0)</f>
        <v>1</v>
      </c>
      <c r="Q40" s="10" t="s">
        <v>2</v>
      </c>
      <c r="R40" s="20">
        <f>VLOOKUP(Таблица13[[#This Row],[Terms_of_use]],'Составляющие рейтинга'!$P$9:$Q$11,2,0)</f>
        <v>1</v>
      </c>
      <c r="S40" s="7" t="s">
        <v>13</v>
      </c>
      <c r="T40" s="20">
        <f>VLOOKUP(Таблица13[[#This Row],[Dimensional_solution]],'Составляющие рейтинга'!$U$9:$V$11,2,0)</f>
        <v>0.33333333333333331</v>
      </c>
      <c r="U40" s="10" t="s">
        <v>40</v>
      </c>
      <c r="V40" s="20">
        <f>VLOOKUP(Таблица13[[#This Row],[Disciplines]],'Составляющие рейтинга'!$Z$14:$AA$20,2,0)</f>
        <v>1</v>
      </c>
      <c r="W40" s="7" t="s">
        <v>120</v>
      </c>
      <c r="X40" s="10">
        <v>1</v>
      </c>
      <c r="Y40" s="7">
        <f>VLOOKUP(Таблица13[[#This Row],[Styles_count]],'Составляющие рейтинга'!$AD$14:$AE$21,2,0)</f>
        <v>0.125</v>
      </c>
      <c r="Z40" s="7" t="s">
        <v>33</v>
      </c>
      <c r="AA40" s="7">
        <f>VLOOKUP(Таблица13[[#This Row],[Riding_level]],'Составляющие рейтинга'!$AH$13:$AI$18,2,0)</f>
        <v>1</v>
      </c>
      <c r="AB4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6.0583333333333336</v>
      </c>
    </row>
    <row r="41" spans="1:28" ht="76.5">
      <c r="A41" s="8">
        <v>40</v>
      </c>
      <c r="B41" s="9">
        <v>40</v>
      </c>
      <c r="C41" s="10" t="s">
        <v>191</v>
      </c>
      <c r="D41" s="10" t="s">
        <v>26</v>
      </c>
      <c r="E41" s="10" t="s">
        <v>192</v>
      </c>
      <c r="F41" s="10" t="s">
        <v>193</v>
      </c>
      <c r="G41" s="10" t="s">
        <v>69</v>
      </c>
      <c r="H41" s="10">
        <v>2021</v>
      </c>
      <c r="I41" s="9">
        <v>600</v>
      </c>
      <c r="J4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41" s="10">
        <f>VLOOKUP(Таблица13[[#This Row],[Dimensional_type]],'Составляющие рейтинга'!$B$10:$C$13,2,0)</f>
        <v>0.5</v>
      </c>
      <c r="L41" s="9">
        <f>QUOTIENT(Таблица13[[#This Row],[Area]],20)</f>
        <v>30</v>
      </c>
      <c r="M41" s="7" t="s">
        <v>359</v>
      </c>
      <c r="N41" s="16">
        <f>VLOOKUP(Таблица13[[#This Row],[Construction_type]],'Составляющие рейтинга'!$F$17:$G$26,2,0)</f>
        <v>0.4</v>
      </c>
      <c r="O41" s="7" t="s">
        <v>10</v>
      </c>
      <c r="P41" s="21">
        <f>VLOOKUP(Таблица13[[#This Row],[Base_material]],'Составляющие рейтинга'!$K$13:$L$19,2,0)</f>
        <v>0.66666666666666663</v>
      </c>
      <c r="Q41" s="10" t="s">
        <v>2</v>
      </c>
      <c r="R41" s="21">
        <f>VLOOKUP(Таблица13[[#This Row],[Terms_of_use]],'Составляющие рейтинга'!$P$9:$Q$11,2,0)</f>
        <v>1</v>
      </c>
      <c r="S41" s="7" t="s">
        <v>13</v>
      </c>
      <c r="T41" s="21">
        <f>VLOOKUP(Таблица13[[#This Row],[Dimensional_solution]],'Составляющие рейтинга'!$U$9:$V$11,2,0)</f>
        <v>0.33333333333333331</v>
      </c>
      <c r="U41" s="10" t="s">
        <v>40</v>
      </c>
      <c r="V41" s="21">
        <f>VLOOKUP(Таблица13[[#This Row],[Disciplines]],'Составляющие рейтинга'!$Z$14:$AA$20,2,0)</f>
        <v>1</v>
      </c>
      <c r="W41" s="10" t="s">
        <v>120</v>
      </c>
      <c r="X41" s="10">
        <v>1</v>
      </c>
      <c r="Y41" s="10">
        <f>VLOOKUP(Таблица13[[#This Row],[Styles_count]],'Составляющие рейтинга'!$AD$14:$AE$21,2,0)</f>
        <v>0.125</v>
      </c>
      <c r="Z41" s="10" t="s">
        <v>388</v>
      </c>
      <c r="AA41" s="10">
        <f>VLOOKUP(Таблица13[[#This Row],[Riding_level]],'Составляющие рейтинга'!$AH$13:$AI$18,2,0)</f>
        <v>0.66666666666666663</v>
      </c>
      <c r="AB4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4.6916666666666673</v>
      </c>
    </row>
    <row r="42" spans="1:28" ht="63.75">
      <c r="A42" s="5">
        <v>41</v>
      </c>
      <c r="B42" s="6">
        <v>41</v>
      </c>
      <c r="C42" s="7" t="s">
        <v>194</v>
      </c>
      <c r="D42" s="7" t="s">
        <v>195</v>
      </c>
      <c r="E42" s="7" t="s">
        <v>196</v>
      </c>
      <c r="F42" s="7" t="s">
        <v>197</v>
      </c>
      <c r="G42" s="7" t="s">
        <v>38</v>
      </c>
      <c r="H42" s="7">
        <v>2024</v>
      </c>
      <c r="I42" s="6">
        <v>500</v>
      </c>
      <c r="J4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42" s="7">
        <f>VLOOKUP(Таблица13[[#This Row],[Dimensional_type]],'Составляющие рейтинга'!$B$10:$C$13,2,0)</f>
        <v>0.5</v>
      </c>
      <c r="L42" s="6">
        <f>QUOTIENT(Таблица13[[#This Row],[Area]],20)</f>
        <v>25</v>
      </c>
      <c r="M42" s="7" t="s">
        <v>359</v>
      </c>
      <c r="N42" s="7">
        <f>VLOOKUP(Таблица13[[#This Row],[Construction_type]],'Составляющие рейтинга'!$F$17:$G$26,2,0)</f>
        <v>0.4</v>
      </c>
      <c r="O42" s="7" t="s">
        <v>10</v>
      </c>
      <c r="P42" s="20">
        <f>VLOOKUP(Таблица13[[#This Row],[Base_material]],'Составляющие рейтинга'!$K$13:$L$19,2,0)</f>
        <v>0.66666666666666663</v>
      </c>
      <c r="Q42" s="10" t="s">
        <v>2</v>
      </c>
      <c r="R42" s="20">
        <f>VLOOKUP(Таблица13[[#This Row],[Terms_of_use]],'Составляющие рейтинга'!$P$9:$Q$11,2,0)</f>
        <v>1</v>
      </c>
      <c r="S42" s="7" t="s">
        <v>13</v>
      </c>
      <c r="T42" s="20">
        <f>VLOOKUP(Таблица13[[#This Row],[Dimensional_solution]],'Составляющие рейтинга'!$U$9:$V$11,2,0)</f>
        <v>0.33333333333333331</v>
      </c>
      <c r="U42" s="10" t="s">
        <v>40</v>
      </c>
      <c r="V42" s="20">
        <f>VLOOKUP(Таблица13[[#This Row],[Disciplines]],'Составляющие рейтинга'!$Z$14:$AA$20,2,0)</f>
        <v>1</v>
      </c>
      <c r="W42" s="7" t="s">
        <v>198</v>
      </c>
      <c r="X42" s="10">
        <v>3</v>
      </c>
      <c r="Y42" s="7">
        <f>VLOOKUP(Таблица13[[#This Row],[Styles_count]],'Составляющие рейтинга'!$AD$14:$AE$21,2,0)</f>
        <v>0.375</v>
      </c>
      <c r="Z42" s="7" t="s">
        <v>33</v>
      </c>
      <c r="AA42" s="7">
        <f>VLOOKUP(Таблица13[[#This Row],[Riding_level]],'Составляющие рейтинга'!$AH$13:$AI$18,2,0)</f>
        <v>1</v>
      </c>
      <c r="AB4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5.2750000000000004</v>
      </c>
    </row>
    <row r="43" spans="1:28" ht="63.75">
      <c r="A43" s="8">
        <v>42</v>
      </c>
      <c r="B43" s="9">
        <v>42</v>
      </c>
      <c r="C43" s="10" t="s">
        <v>199</v>
      </c>
      <c r="D43" s="10" t="s">
        <v>85</v>
      </c>
      <c r="E43" s="10" t="s">
        <v>86</v>
      </c>
      <c r="F43" s="10" t="s">
        <v>200</v>
      </c>
      <c r="G43" s="10" t="s">
        <v>38</v>
      </c>
      <c r="H43" s="10">
        <v>2021</v>
      </c>
      <c r="I43" s="9">
        <v>300</v>
      </c>
      <c r="J4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43" s="10">
        <f>VLOOKUP(Таблица13[[#This Row],[Dimensional_type]],'Составляющие рейтинга'!$B$10:$C$13,2,0)</f>
        <v>0.25</v>
      </c>
      <c r="L43" s="9">
        <f>QUOTIENT(Таблица13[[#This Row],[Area]],20)</f>
        <v>15</v>
      </c>
      <c r="M43" s="7" t="s">
        <v>359</v>
      </c>
      <c r="N43" s="16">
        <f>VLOOKUP(Таблица13[[#This Row],[Construction_type]],'Составляющие рейтинга'!$F$17:$G$26,2,0)</f>
        <v>0.4</v>
      </c>
      <c r="O43" s="7" t="s">
        <v>10</v>
      </c>
      <c r="P43" s="21">
        <f>VLOOKUP(Таблица13[[#This Row],[Base_material]],'Составляющие рейтинга'!$K$13:$L$19,2,0)</f>
        <v>0.66666666666666663</v>
      </c>
      <c r="Q43" s="10" t="s">
        <v>2</v>
      </c>
      <c r="R43" s="21">
        <f>VLOOKUP(Таблица13[[#This Row],[Terms_of_use]],'Составляющие рейтинга'!$P$9:$Q$11,2,0)</f>
        <v>1</v>
      </c>
      <c r="S43" s="7" t="s">
        <v>13</v>
      </c>
      <c r="T43" s="21">
        <f>VLOOKUP(Таблица13[[#This Row],[Dimensional_solution]],'Составляющие рейтинга'!$U$9:$V$11,2,0)</f>
        <v>0.33333333333333331</v>
      </c>
      <c r="U43" s="10" t="s">
        <v>40</v>
      </c>
      <c r="V43" s="21">
        <f>VLOOKUP(Таблица13[[#This Row],[Disciplines]],'Составляющие рейтинга'!$Z$14:$AA$20,2,0)</f>
        <v>1</v>
      </c>
      <c r="W43" s="10" t="s">
        <v>201</v>
      </c>
      <c r="X43" s="10">
        <v>1</v>
      </c>
      <c r="Y43" s="10">
        <f>VLOOKUP(Таблица13[[#This Row],[Styles_count]],'Составляющие рейтинга'!$AD$14:$AE$21,2,0)</f>
        <v>0.125</v>
      </c>
      <c r="Z43" s="10" t="s">
        <v>19</v>
      </c>
      <c r="AA43" s="10">
        <f>VLOOKUP(Таблица13[[#This Row],[Riding_level]],'Составляющие рейтинга'!$AH$13:$AI$18,2,0)</f>
        <v>0.66666666666666663</v>
      </c>
      <c r="AB4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4.4416666666666664</v>
      </c>
    </row>
    <row r="44" spans="1:28" ht="76.5">
      <c r="A44" s="5">
        <v>43</v>
      </c>
      <c r="B44" s="6">
        <v>43</v>
      </c>
      <c r="C44" s="7" t="s">
        <v>202</v>
      </c>
      <c r="D44" s="7" t="s">
        <v>98</v>
      </c>
      <c r="E44" s="7" t="s">
        <v>203</v>
      </c>
      <c r="F44" s="7" t="s">
        <v>204</v>
      </c>
      <c r="G44" s="7" t="s">
        <v>38</v>
      </c>
      <c r="H44" s="7">
        <v>2023</v>
      </c>
      <c r="I44" s="6">
        <v>600</v>
      </c>
      <c r="J4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44" s="7">
        <f>VLOOKUP(Таблица13[[#This Row],[Dimensional_type]],'Составляющие рейтинга'!$B$10:$C$13,2,0)</f>
        <v>0.5</v>
      </c>
      <c r="L44" s="6">
        <f>QUOTIENT(Таблица13[[#This Row],[Area]],20)</f>
        <v>30</v>
      </c>
      <c r="M44" s="10" t="s">
        <v>358</v>
      </c>
      <c r="N44" s="16">
        <f>VLOOKUP(Таблица13[[#This Row],[Construction_type]],'Составляющие рейтинга'!$F$17:$G$26,2,0)</f>
        <v>0.60000000000000009</v>
      </c>
      <c r="O44" s="10" t="s">
        <v>11</v>
      </c>
      <c r="P44" s="20">
        <f>VLOOKUP(Таблица13[[#This Row],[Base_material]],'Составляющие рейтинга'!$K$13:$L$19,2,0)</f>
        <v>1</v>
      </c>
      <c r="Q44" s="10" t="s">
        <v>2</v>
      </c>
      <c r="R44" s="20">
        <f>VLOOKUP(Таблица13[[#This Row],[Terms_of_use]],'Составляющие рейтинга'!$P$9:$Q$11,2,0)</f>
        <v>1</v>
      </c>
      <c r="S44" s="7" t="s">
        <v>13</v>
      </c>
      <c r="T44" s="20">
        <f>VLOOKUP(Таблица13[[#This Row],[Dimensional_solution]],'Составляющие рейтинга'!$U$9:$V$11,2,0)</f>
        <v>0.33333333333333331</v>
      </c>
      <c r="U44" s="10" t="s">
        <v>40</v>
      </c>
      <c r="V44" s="20">
        <f>VLOOKUP(Таблица13[[#This Row],[Disciplines]],'Составляющие рейтинга'!$Z$14:$AA$20,2,0)</f>
        <v>1</v>
      </c>
      <c r="W44" s="7" t="s">
        <v>205</v>
      </c>
      <c r="X44" s="7">
        <v>2</v>
      </c>
      <c r="Y44" s="7">
        <f>VLOOKUP(Таблица13[[#This Row],[Styles_count]],'Составляющие рейтинга'!$AD$14:$AE$21,2,0)</f>
        <v>0.25</v>
      </c>
      <c r="Z44" s="7" t="s">
        <v>33</v>
      </c>
      <c r="AA44" s="7">
        <f>VLOOKUP(Таблица13[[#This Row],[Riding_level]],'Составляющие рейтинга'!$AH$13:$AI$18,2,0)</f>
        <v>1</v>
      </c>
      <c r="AB4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5.6833333333333336</v>
      </c>
    </row>
    <row r="45" spans="1:28" ht="89.25">
      <c r="A45" s="8">
        <v>44</v>
      </c>
      <c r="B45" s="9">
        <v>44</v>
      </c>
      <c r="C45" s="10" t="s">
        <v>206</v>
      </c>
      <c r="D45" s="10" t="s">
        <v>66</v>
      </c>
      <c r="E45" s="10" t="s">
        <v>67</v>
      </c>
      <c r="F45" s="10" t="s">
        <v>207</v>
      </c>
      <c r="G45" s="10" t="s">
        <v>69</v>
      </c>
      <c r="H45" s="10" t="s">
        <v>70</v>
      </c>
      <c r="I45" s="9">
        <v>600</v>
      </c>
      <c r="J4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45" s="10">
        <f>VLOOKUP(Таблица13[[#This Row],[Dimensional_type]],'Составляющие рейтинга'!$B$10:$C$13,2,0)</f>
        <v>0.5</v>
      </c>
      <c r="L45" s="9">
        <f>QUOTIENT(Таблица13[[#This Row],[Area]],20)</f>
        <v>30</v>
      </c>
      <c r="M45" s="7" t="s">
        <v>360</v>
      </c>
      <c r="N45" s="16">
        <f>VLOOKUP(Таблица13[[#This Row],[Construction_type]],'Составляющие рейтинга'!$F$17:$G$26,2,0)</f>
        <v>0.2</v>
      </c>
      <c r="O45" s="7" t="s">
        <v>10</v>
      </c>
      <c r="P45" s="21">
        <f>VLOOKUP(Таблица13[[#This Row],[Base_material]],'Составляющие рейтинга'!$K$13:$L$19,2,0)</f>
        <v>0.66666666666666663</v>
      </c>
      <c r="Q45" s="10" t="s">
        <v>2</v>
      </c>
      <c r="R45" s="21">
        <f>VLOOKUP(Таблица13[[#This Row],[Terms_of_use]],'Составляющие рейтинга'!$P$9:$Q$11,2,0)</f>
        <v>1</v>
      </c>
      <c r="S45" s="7" t="s">
        <v>13</v>
      </c>
      <c r="T45" s="21">
        <f>VLOOKUP(Таблица13[[#This Row],[Dimensional_solution]],'Составляющие рейтинга'!$U$9:$V$11,2,0)</f>
        <v>0.33333333333333331</v>
      </c>
      <c r="U45" s="10" t="s">
        <v>40</v>
      </c>
      <c r="V45" s="21">
        <f>VLOOKUP(Таблица13[[#This Row],[Disciplines]],'Составляющие рейтинга'!$Z$14:$AA$20,2,0)</f>
        <v>1</v>
      </c>
      <c r="W45" s="10" t="s">
        <v>71</v>
      </c>
      <c r="X45" s="10">
        <v>1</v>
      </c>
      <c r="Y45" s="10">
        <f>VLOOKUP(Таблица13[[#This Row],[Styles_count]],'Составляющие рейтинга'!$AD$14:$AE$21,2,0)</f>
        <v>0.125</v>
      </c>
      <c r="Z45" s="10" t="s">
        <v>72</v>
      </c>
      <c r="AA45" s="10">
        <f>VLOOKUP(Таблица13[[#This Row],[Riding_level]],'Составляющие рейтинга'!$AH$13:$AI$18,2,0)</f>
        <v>0.33333333333333331</v>
      </c>
      <c r="AB4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4.1583333333333332</v>
      </c>
    </row>
    <row r="46" spans="1:28" ht="76.5">
      <c r="A46" s="5">
        <v>45</v>
      </c>
      <c r="B46" s="6">
        <v>45</v>
      </c>
      <c r="C46" s="7" t="s">
        <v>208</v>
      </c>
      <c r="D46" s="7" t="s">
        <v>195</v>
      </c>
      <c r="E46" s="7" t="s">
        <v>209</v>
      </c>
      <c r="F46" s="7" t="s">
        <v>210</v>
      </c>
      <c r="G46" s="7" t="s">
        <v>38</v>
      </c>
      <c r="H46" s="7">
        <v>2024</v>
      </c>
      <c r="I46" s="6">
        <v>2200</v>
      </c>
      <c r="J4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46" s="7">
        <f>VLOOKUP(Таблица13[[#This Row],[Dimensional_type]],'Составляющие рейтинга'!$B$10:$C$13,2,0)</f>
        <v>1</v>
      </c>
      <c r="L46" s="6">
        <f>QUOTIENT(Таблица13[[#This Row],[Area]],20)</f>
        <v>110</v>
      </c>
      <c r="M46" s="10" t="s">
        <v>350</v>
      </c>
      <c r="N46" s="16">
        <f>VLOOKUP(Таблица13[[#This Row],[Construction_type]],'Составляющие рейтинга'!$F$17:$G$26,2,0)</f>
        <v>1.6</v>
      </c>
      <c r="O46" s="7" t="s">
        <v>11</v>
      </c>
      <c r="P46" s="20">
        <f>VLOOKUP(Таблица13[[#This Row],[Base_material]],'Составляющие рейтинга'!$K$13:$L$19,2,0)</f>
        <v>1</v>
      </c>
      <c r="Q46" s="10" t="s">
        <v>2</v>
      </c>
      <c r="R46" s="20">
        <f>VLOOKUP(Таблица13[[#This Row],[Terms_of_use]],'Составляющие рейтинга'!$P$9:$Q$11,2,0)</f>
        <v>1</v>
      </c>
      <c r="S46" s="7" t="s">
        <v>13</v>
      </c>
      <c r="T46" s="20">
        <f>VLOOKUP(Таблица13[[#This Row],[Dimensional_solution]],'Составляющие рейтинга'!$U$9:$V$11,2,0)</f>
        <v>0.33333333333333331</v>
      </c>
      <c r="U46" s="10" t="s">
        <v>40</v>
      </c>
      <c r="V46" s="20">
        <f>VLOOKUP(Таблица13[[#This Row],[Disciplines]],'Составляющие рейтинга'!$Z$14:$AA$20,2,0)</f>
        <v>1</v>
      </c>
      <c r="W46" s="7" t="s">
        <v>163</v>
      </c>
      <c r="X46" s="7">
        <v>4</v>
      </c>
      <c r="Y46" s="7">
        <f>VLOOKUP(Таблица13[[#This Row],[Styles_count]],'Составляющие рейтинга'!$AD$14:$AE$21,2,0)</f>
        <v>0.5</v>
      </c>
      <c r="Z46" s="7" t="s">
        <v>33</v>
      </c>
      <c r="AA46" s="7">
        <f>VLOOKUP(Таблица13[[#This Row],[Riding_level]],'Составляющие рейтинга'!$AH$13:$AI$18,2,0)</f>
        <v>1</v>
      </c>
      <c r="AB4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7.4333333333333327</v>
      </c>
    </row>
    <row r="47" spans="1:28" ht="114.75">
      <c r="A47" s="8">
        <v>46</v>
      </c>
      <c r="B47" s="9">
        <v>46</v>
      </c>
      <c r="C47" s="10" t="s">
        <v>211</v>
      </c>
      <c r="D47" s="10" t="s">
        <v>212</v>
      </c>
      <c r="E47" s="10" t="s">
        <v>213</v>
      </c>
      <c r="F47" s="10" t="s">
        <v>214</v>
      </c>
      <c r="G47" s="10" t="s">
        <v>38</v>
      </c>
      <c r="H47" s="10">
        <v>2024</v>
      </c>
      <c r="I47" s="9">
        <v>3100</v>
      </c>
      <c r="J4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47" s="10">
        <f>VLOOKUP(Таблица13[[#This Row],[Dimensional_type]],'Составляющие рейтинга'!$B$10:$C$13,2,0)</f>
        <v>1</v>
      </c>
      <c r="L47" s="9">
        <f>QUOTIENT(Таблица13[[#This Row],[Area]],20)</f>
        <v>155</v>
      </c>
      <c r="M47" s="7" t="s">
        <v>281</v>
      </c>
      <c r="N47" s="16">
        <f>VLOOKUP(Таблица13[[#This Row],[Construction_type]],'Составляющие рейтинга'!$F$17:$G$26,2,0)</f>
        <v>1</v>
      </c>
      <c r="O47" s="10" t="s">
        <v>11</v>
      </c>
      <c r="P47" s="21">
        <f>VLOOKUP(Таблица13[[#This Row],[Base_material]],'Составляющие рейтинга'!$K$13:$L$19,2,0)</f>
        <v>1</v>
      </c>
      <c r="Q47" s="10" t="s">
        <v>2</v>
      </c>
      <c r="R47" s="21">
        <f>VLOOKUP(Таблица13[[#This Row],[Terms_of_use]],'Составляющие рейтинга'!$P$9:$Q$11,2,0)</f>
        <v>1</v>
      </c>
      <c r="S47" s="10" t="s">
        <v>39</v>
      </c>
      <c r="T47" s="21">
        <f>VLOOKUP(Таблица13[[#This Row],[Dimensional_solution]],'Составляющие рейтинга'!$U$9:$V$11,2,0)</f>
        <v>0.66666666666666663</v>
      </c>
      <c r="U47" s="10" t="s">
        <v>40</v>
      </c>
      <c r="V47" s="21">
        <f>VLOOKUP(Таблица13[[#This Row],[Disciplines]],'Составляющие рейтинга'!$Z$14:$AA$20,2,0)</f>
        <v>1</v>
      </c>
      <c r="W47" s="10" t="s">
        <v>215</v>
      </c>
      <c r="X47" s="10">
        <v>3</v>
      </c>
      <c r="Y47" s="10">
        <f>VLOOKUP(Таблица13[[#This Row],[Styles_count]],'Составляющие рейтинга'!$AD$14:$AE$21,2,0)</f>
        <v>0.375</v>
      </c>
      <c r="Z47" s="7" t="s">
        <v>33</v>
      </c>
      <c r="AA47" s="10">
        <f>VLOOKUP(Таблица13[[#This Row],[Riding_level]],'Составляющие рейтинга'!$AH$13:$AI$18,2,0)</f>
        <v>1</v>
      </c>
      <c r="AB4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7.041666666666667</v>
      </c>
    </row>
    <row r="48" spans="1:28" ht="114.75">
      <c r="A48" s="5">
        <v>47</v>
      </c>
      <c r="B48" s="6">
        <v>47</v>
      </c>
      <c r="C48" s="7" t="s">
        <v>216</v>
      </c>
      <c r="D48" s="7" t="s">
        <v>74</v>
      </c>
      <c r="E48" s="7" t="s">
        <v>217</v>
      </c>
      <c r="F48" s="7" t="s">
        <v>218</v>
      </c>
      <c r="G48" s="7" t="s">
        <v>38</v>
      </c>
      <c r="H48" s="7">
        <v>2024</v>
      </c>
      <c r="I48" s="6">
        <v>1900</v>
      </c>
      <c r="J4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48" s="7">
        <f>VLOOKUP(Таблица13[[#This Row],[Dimensional_type]],'Составляющие рейтинга'!$B$10:$C$13,2,0)</f>
        <v>1</v>
      </c>
      <c r="L48" s="6">
        <f>QUOTIENT(Таблица13[[#This Row],[Area]],20)</f>
        <v>95</v>
      </c>
      <c r="M48" s="7" t="s">
        <v>359</v>
      </c>
      <c r="N48" s="7">
        <f>VLOOKUP(Таблица13[[#This Row],[Construction_type]],'Составляющие рейтинга'!$F$17:$G$26,2,0)</f>
        <v>0.4</v>
      </c>
      <c r="O48" s="10" t="s">
        <v>11</v>
      </c>
      <c r="P48" s="20">
        <f>VLOOKUP(Таблица13[[#This Row],[Base_material]],'Составляющие рейтинга'!$K$13:$L$19,2,0)</f>
        <v>1</v>
      </c>
      <c r="Q48" s="10" t="s">
        <v>2</v>
      </c>
      <c r="R48" s="20">
        <f>VLOOKUP(Таблица13[[#This Row],[Terms_of_use]],'Составляющие рейтинга'!$P$9:$Q$11,2,0)</f>
        <v>1</v>
      </c>
      <c r="S48" s="10" t="s">
        <v>39</v>
      </c>
      <c r="T48" s="20">
        <f>VLOOKUP(Таблица13[[#This Row],[Dimensional_solution]],'Составляющие рейтинга'!$U$9:$V$11,2,0)</f>
        <v>0.66666666666666663</v>
      </c>
      <c r="U48" s="10" t="s">
        <v>40</v>
      </c>
      <c r="V48" s="20">
        <f>VLOOKUP(Таблица13[[#This Row],[Disciplines]],'Составляющие рейтинга'!$Z$14:$AA$20,2,0)</f>
        <v>1</v>
      </c>
      <c r="W48" s="7" t="s">
        <v>219</v>
      </c>
      <c r="X48" s="7">
        <v>4</v>
      </c>
      <c r="Y48" s="7">
        <f>VLOOKUP(Таблица13[[#This Row],[Styles_count]],'Составляющие рейтинга'!$AD$14:$AE$21,2,0)</f>
        <v>0.5</v>
      </c>
      <c r="Z48" s="7" t="s">
        <v>33</v>
      </c>
      <c r="AA48" s="7">
        <f>VLOOKUP(Таблица13[[#This Row],[Riding_level]],'Составляющие рейтинга'!$AH$13:$AI$18,2,0)</f>
        <v>1</v>
      </c>
      <c r="AB4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6.5666666666666664</v>
      </c>
    </row>
    <row r="49" spans="1:28" ht="89.25">
      <c r="A49" s="8">
        <v>48</v>
      </c>
      <c r="B49" s="9">
        <v>48</v>
      </c>
      <c r="C49" s="10" t="s">
        <v>220</v>
      </c>
      <c r="D49" s="10" t="s">
        <v>165</v>
      </c>
      <c r="E49" s="10" t="s">
        <v>221</v>
      </c>
      <c r="F49" s="10" t="s">
        <v>222</v>
      </c>
      <c r="G49" s="10" t="s">
        <v>38</v>
      </c>
      <c r="H49" s="10">
        <v>2024</v>
      </c>
      <c r="I49" s="9">
        <v>400</v>
      </c>
      <c r="J4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49" s="10">
        <f>VLOOKUP(Таблица13[[#This Row],[Dimensional_type]],'Составляющие рейтинга'!$B$10:$C$13,2,0)</f>
        <v>0.5</v>
      </c>
      <c r="L49" s="9">
        <f>QUOTIENT(Таблица13[[#This Row],[Area]],20)</f>
        <v>20</v>
      </c>
      <c r="M49" s="7" t="s">
        <v>359</v>
      </c>
      <c r="N49" s="16">
        <f>VLOOKUP(Таблица13[[#This Row],[Construction_type]],'Составляющие рейтинга'!$F$17:$G$26,2,0)</f>
        <v>0.4</v>
      </c>
      <c r="O49" s="7" t="s">
        <v>10</v>
      </c>
      <c r="P49" s="21">
        <f>VLOOKUP(Таблица13[[#This Row],[Base_material]],'Составляющие рейтинга'!$K$13:$L$19,2,0)</f>
        <v>0.66666666666666663</v>
      </c>
      <c r="Q49" s="10" t="s">
        <v>2</v>
      </c>
      <c r="R49" s="21">
        <f>VLOOKUP(Таблица13[[#This Row],[Terms_of_use]],'Составляющие рейтинга'!$P$9:$Q$11,2,0)</f>
        <v>1</v>
      </c>
      <c r="S49" s="7" t="s">
        <v>13</v>
      </c>
      <c r="T49" s="21">
        <f>VLOOKUP(Таблица13[[#This Row],[Dimensional_solution]],'Составляющие рейтинга'!$U$9:$V$11,2,0)</f>
        <v>0.33333333333333331</v>
      </c>
      <c r="U49" s="10" t="s">
        <v>40</v>
      </c>
      <c r="V49" s="21">
        <f>VLOOKUP(Таблица13[[#This Row],[Disciplines]],'Составляющие рейтинга'!$Z$14:$AA$20,2,0)</f>
        <v>1</v>
      </c>
      <c r="W49" s="10" t="s">
        <v>173</v>
      </c>
      <c r="X49" s="7">
        <v>2</v>
      </c>
      <c r="Y49" s="10">
        <f>VLOOKUP(Таблица13[[#This Row],[Styles_count]],'Составляющие рейтинга'!$AD$14:$AE$21,2,0)</f>
        <v>0.25</v>
      </c>
      <c r="Z49" s="7" t="s">
        <v>33</v>
      </c>
      <c r="AA49" s="10">
        <f>VLOOKUP(Таблица13[[#This Row],[Riding_level]],'Составляющие рейтинга'!$AH$13:$AI$18,2,0)</f>
        <v>1</v>
      </c>
      <c r="AB4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5.15</v>
      </c>
    </row>
    <row r="50" spans="1:28" ht="63.75">
      <c r="A50" s="5">
        <v>49</v>
      </c>
      <c r="B50" s="6">
        <v>49</v>
      </c>
      <c r="C50" s="7" t="s">
        <v>223</v>
      </c>
      <c r="D50" s="7" t="s">
        <v>165</v>
      </c>
      <c r="E50" s="7" t="s">
        <v>224</v>
      </c>
      <c r="F50" s="7" t="s">
        <v>225</v>
      </c>
      <c r="G50" s="7" t="s">
        <v>38</v>
      </c>
      <c r="H50" s="7">
        <v>2024</v>
      </c>
      <c r="I50" s="6">
        <v>510</v>
      </c>
      <c r="J5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50" s="7">
        <f>VLOOKUP(Таблица13[[#This Row],[Dimensional_type]],'Составляющие рейтинга'!$B$10:$C$13,2,0)</f>
        <v>0.5</v>
      </c>
      <c r="L50" s="6">
        <f>QUOTIENT(Таблица13[[#This Row],[Area]],20)</f>
        <v>25</v>
      </c>
      <c r="M50" s="7" t="s">
        <v>357</v>
      </c>
      <c r="N50" s="7">
        <f>VLOOKUP(Таблица13[[#This Row],[Construction_type]],'Составляющие рейтинга'!$F$17:$G$26,2,0)</f>
        <v>0.60000000000000009</v>
      </c>
      <c r="O50" s="7" t="s">
        <v>357</v>
      </c>
      <c r="P50" s="20">
        <f>VLOOKUP(Таблица13[[#This Row],[Base_material]],'Составляющие рейтинга'!$K$13:$L$19,2,0)</f>
        <v>0.66666666666666663</v>
      </c>
      <c r="Q50" s="10" t="s">
        <v>2</v>
      </c>
      <c r="R50" s="20">
        <f>VLOOKUP(Таблица13[[#This Row],[Terms_of_use]],'Составляющие рейтинга'!$P$9:$Q$11,2,0)</f>
        <v>1</v>
      </c>
      <c r="S50" s="7" t="s">
        <v>13</v>
      </c>
      <c r="T50" s="20">
        <f>VLOOKUP(Таблица13[[#This Row],[Dimensional_solution]],'Составляющие рейтинга'!$U$9:$V$11,2,0)</f>
        <v>0.33333333333333331</v>
      </c>
      <c r="U50" s="10" t="s">
        <v>40</v>
      </c>
      <c r="V50" s="20">
        <f>VLOOKUP(Таблица13[[#This Row],[Disciplines]],'Составляющие рейтинга'!$Z$14:$AA$20,2,0)</f>
        <v>1</v>
      </c>
      <c r="W50" s="7" t="s">
        <v>226</v>
      </c>
      <c r="X50" s="10">
        <v>1</v>
      </c>
      <c r="Y50" s="7">
        <f>VLOOKUP(Таблица13[[#This Row],[Styles_count]],'Составляющие рейтинга'!$AD$14:$AE$21,2,0)</f>
        <v>0.125</v>
      </c>
      <c r="Z50" s="7" t="s">
        <v>33</v>
      </c>
      <c r="AA50" s="7">
        <f>VLOOKUP(Таблица13[[#This Row],[Riding_level]],'Составляющие рейтинга'!$AH$13:$AI$18,2,0)</f>
        <v>1</v>
      </c>
      <c r="AB5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5.2249999999999996</v>
      </c>
    </row>
    <row r="51" spans="1:28" ht="76.5">
      <c r="A51" s="8">
        <v>50</v>
      </c>
      <c r="B51" s="9">
        <v>50</v>
      </c>
      <c r="C51" s="10" t="s">
        <v>227</v>
      </c>
      <c r="D51" s="10" t="s">
        <v>228</v>
      </c>
      <c r="E51" s="10" t="s">
        <v>229</v>
      </c>
      <c r="F51" s="10" t="s">
        <v>230</v>
      </c>
      <c r="G51" s="10" t="s">
        <v>38</v>
      </c>
      <c r="H51" s="10">
        <v>2024</v>
      </c>
      <c r="I51" s="9">
        <v>72</v>
      </c>
      <c r="J5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51" s="10">
        <f>VLOOKUP(Таблица13[[#This Row],[Dimensional_type]],'Составляющие рейтинга'!$B$10:$C$13,2,0)</f>
        <v>0.25</v>
      </c>
      <c r="L51" s="9">
        <f>QUOTIENT(Таблица13[[#This Row],[Area]],20)</f>
        <v>3</v>
      </c>
      <c r="M51" s="7" t="s">
        <v>359</v>
      </c>
      <c r="N51" s="16">
        <f>VLOOKUP(Таблица13[[#This Row],[Construction_type]],'Составляющие рейтинга'!$F$17:$G$26,2,0)</f>
        <v>0.4</v>
      </c>
      <c r="O51" s="10" t="s">
        <v>366</v>
      </c>
      <c r="P51" s="21">
        <f>VLOOKUP(Таблица13[[#This Row],[Base_material]],'Составляющие рейтинга'!$K$13:$L$19,2,0)</f>
        <v>0.33333333333333331</v>
      </c>
      <c r="Q51" s="10" t="s">
        <v>3</v>
      </c>
      <c r="R51" s="21">
        <f>VLOOKUP(Таблица13[[#This Row],[Terms_of_use]],'Составляющие рейтинга'!$P$9:$Q$11,2,0)</f>
        <v>0.33333333333333331</v>
      </c>
      <c r="S51" s="10" t="s">
        <v>15</v>
      </c>
      <c r="T51" s="21">
        <f>VLOOKUP(Таблица13[[#This Row],[Dimensional_solution]],'Составляющие рейтинга'!$U$9:$V$11,2,0)</f>
        <v>1</v>
      </c>
      <c r="U51" s="10" t="s">
        <v>17</v>
      </c>
      <c r="V51" s="21">
        <f>VLOOKUP(Таблица13[[#This Row],[Disciplines]],'Составляющие рейтинга'!$Z$14:$AA$20,2,0)</f>
        <v>0.25</v>
      </c>
      <c r="W51" s="10" t="s">
        <v>231</v>
      </c>
      <c r="X51" s="10">
        <v>1</v>
      </c>
      <c r="Y51" s="10">
        <f>VLOOKUP(Таблица13[[#This Row],[Styles_count]],'Составляющие рейтинга'!$AD$14:$AE$21,2,0)</f>
        <v>0.125</v>
      </c>
      <c r="Z51" s="7" t="s">
        <v>33</v>
      </c>
      <c r="AA51" s="10">
        <f>VLOOKUP(Таблица13[[#This Row],[Riding_level]],'Составляющие рейтинга'!$AH$13:$AI$18,2,0)</f>
        <v>1</v>
      </c>
      <c r="AB5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3.6916666666666664</v>
      </c>
    </row>
    <row r="52" spans="1:28" ht="76.5">
      <c r="A52" s="5">
        <v>51</v>
      </c>
      <c r="B52" s="6">
        <v>51</v>
      </c>
      <c r="C52" s="7" t="s">
        <v>232</v>
      </c>
      <c r="D52" s="7" t="s">
        <v>98</v>
      </c>
      <c r="E52" s="7" t="s">
        <v>99</v>
      </c>
      <c r="F52" s="7" t="s">
        <v>233</v>
      </c>
      <c r="G52" s="7" t="s">
        <v>38</v>
      </c>
      <c r="H52" s="7">
        <v>2023</v>
      </c>
      <c r="I52" s="6">
        <v>650</v>
      </c>
      <c r="J5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52" s="7">
        <f>VLOOKUP(Таблица13[[#This Row],[Dimensional_type]],'Составляющие рейтинга'!$B$10:$C$13,2,0)</f>
        <v>0.5</v>
      </c>
      <c r="L52" s="6">
        <f>QUOTIENT(Таблица13[[#This Row],[Area]],20)</f>
        <v>32</v>
      </c>
      <c r="M52" s="7" t="s">
        <v>359</v>
      </c>
      <c r="N52" s="7">
        <f>VLOOKUP(Таблица13[[#This Row],[Construction_type]],'Составляющие рейтинга'!$F$17:$G$26,2,0)</f>
        <v>0.4</v>
      </c>
      <c r="O52" s="7" t="s">
        <v>10</v>
      </c>
      <c r="P52" s="20">
        <f>VLOOKUP(Таблица13[[#This Row],[Base_material]],'Составляющие рейтинга'!$K$13:$L$19,2,0)</f>
        <v>0.66666666666666663</v>
      </c>
      <c r="Q52" s="10" t="s">
        <v>2</v>
      </c>
      <c r="R52" s="20">
        <f>VLOOKUP(Таблица13[[#This Row],[Terms_of_use]],'Составляющие рейтинга'!$P$9:$Q$11,2,0)</f>
        <v>1</v>
      </c>
      <c r="S52" s="7" t="s">
        <v>13</v>
      </c>
      <c r="T52" s="20">
        <f>VLOOKUP(Таблица13[[#This Row],[Dimensional_solution]],'Составляющие рейтинга'!$U$9:$V$11,2,0)</f>
        <v>0.33333333333333331</v>
      </c>
      <c r="U52" s="10" t="s">
        <v>40</v>
      </c>
      <c r="V52" s="20">
        <f>VLOOKUP(Таблица13[[#This Row],[Disciplines]],'Составляющие рейтинга'!$Z$14:$AA$20,2,0)</f>
        <v>1</v>
      </c>
      <c r="W52" s="7" t="s">
        <v>234</v>
      </c>
      <c r="X52" s="7">
        <v>2</v>
      </c>
      <c r="Y52" s="7">
        <f>VLOOKUP(Таблица13[[#This Row],[Styles_count]],'Составляющие рейтинга'!$AD$14:$AE$21,2,0)</f>
        <v>0.25</v>
      </c>
      <c r="Z52" s="7" t="s">
        <v>33</v>
      </c>
      <c r="AA52" s="7">
        <f>VLOOKUP(Таблица13[[#This Row],[Riding_level]],'Составляющие рейтинга'!$AH$13:$AI$18,2,0)</f>
        <v>1</v>
      </c>
      <c r="AB5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5.15</v>
      </c>
    </row>
    <row r="53" spans="1:28" ht="63.75">
      <c r="A53" s="8">
        <v>52</v>
      </c>
      <c r="B53" s="9">
        <v>52</v>
      </c>
      <c r="C53" s="10" t="s">
        <v>235</v>
      </c>
      <c r="D53" s="10" t="s">
        <v>26</v>
      </c>
      <c r="E53" s="10" t="s">
        <v>27</v>
      </c>
      <c r="F53" s="10" t="s">
        <v>236</v>
      </c>
      <c r="G53" s="10" t="s">
        <v>38</v>
      </c>
      <c r="H53" s="10">
        <v>2023</v>
      </c>
      <c r="I53" s="9">
        <v>1400</v>
      </c>
      <c r="J5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53" s="10">
        <f>VLOOKUP(Таблица13[[#This Row],[Dimensional_type]],'Составляющие рейтинга'!$B$10:$C$13,2,0)</f>
        <v>1</v>
      </c>
      <c r="L53" s="9">
        <f>QUOTIENT(Таблица13[[#This Row],[Area]],20)</f>
        <v>70</v>
      </c>
      <c r="M53" s="10" t="s">
        <v>357</v>
      </c>
      <c r="N53" s="10">
        <f>VLOOKUP(Таблица13[[#This Row],[Construction_type]],'Составляющие рейтинга'!$F$17:$G$26,2,0)</f>
        <v>0.60000000000000009</v>
      </c>
      <c r="O53" s="7" t="s">
        <v>357</v>
      </c>
      <c r="P53" s="21">
        <f>VLOOKUP(Таблица13[[#This Row],[Base_material]],'Составляющие рейтинга'!$K$13:$L$19,2,0)</f>
        <v>0.66666666666666663</v>
      </c>
      <c r="Q53" s="10" t="s">
        <v>2</v>
      </c>
      <c r="R53" s="21">
        <f>VLOOKUP(Таблица13[[#This Row],[Terms_of_use]],'Составляющие рейтинга'!$P$9:$Q$11,2,0)</f>
        <v>1</v>
      </c>
      <c r="S53" s="7" t="s">
        <v>13</v>
      </c>
      <c r="T53" s="21">
        <f>VLOOKUP(Таблица13[[#This Row],[Dimensional_solution]],'Составляющие рейтинга'!$U$9:$V$11,2,0)</f>
        <v>0.33333333333333331</v>
      </c>
      <c r="U53" s="10" t="s">
        <v>40</v>
      </c>
      <c r="V53" s="21">
        <f>VLOOKUP(Таблица13[[#This Row],[Disciplines]],'Составляющие рейтинга'!$Z$14:$AA$20,2,0)</f>
        <v>1</v>
      </c>
      <c r="W53" s="10" t="s">
        <v>226</v>
      </c>
      <c r="X53" s="10">
        <v>1</v>
      </c>
      <c r="Y53" s="10">
        <f>VLOOKUP(Таблица13[[#This Row],[Styles_count]],'Составляющие рейтинга'!$AD$14:$AE$21,2,0)</f>
        <v>0.125</v>
      </c>
      <c r="Z53" s="10" t="s">
        <v>19</v>
      </c>
      <c r="AA53" s="10">
        <f>VLOOKUP(Таблица13[[#This Row],[Riding_level]],'Составляющие рейтинга'!$AH$13:$AI$18,2,0)</f>
        <v>0.66666666666666663</v>
      </c>
      <c r="AB5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5.3916666666666666</v>
      </c>
    </row>
    <row r="54" spans="1:28" ht="63.75">
      <c r="A54" s="5">
        <v>53</v>
      </c>
      <c r="B54" s="6">
        <v>53</v>
      </c>
      <c r="C54" s="7" t="s">
        <v>237</v>
      </c>
      <c r="D54" s="7" t="s">
        <v>26</v>
      </c>
      <c r="E54" s="7" t="s">
        <v>238</v>
      </c>
      <c r="F54" s="7" t="s">
        <v>239</v>
      </c>
      <c r="G54" s="7" t="s">
        <v>38</v>
      </c>
      <c r="H54" s="7">
        <v>2022</v>
      </c>
      <c r="I54" s="6">
        <v>540</v>
      </c>
      <c r="J5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54" s="7">
        <f>VLOOKUP(Таблица13[[#This Row],[Dimensional_type]],'Составляющие рейтинга'!$B$10:$C$13,2,0)</f>
        <v>0.5</v>
      </c>
      <c r="L54" s="6">
        <f>QUOTIENT(Таблица13[[#This Row],[Area]],20)</f>
        <v>27</v>
      </c>
      <c r="M54" s="10" t="s">
        <v>358</v>
      </c>
      <c r="N54" s="16">
        <f>VLOOKUP(Таблица13[[#This Row],[Construction_type]],'Составляющие рейтинга'!$F$17:$G$26,2,0)</f>
        <v>0.60000000000000009</v>
      </c>
      <c r="O54" s="10" t="s">
        <v>11</v>
      </c>
      <c r="P54" s="20">
        <f>VLOOKUP(Таблица13[[#This Row],[Base_material]],'Составляющие рейтинга'!$K$13:$L$19,2,0)</f>
        <v>1</v>
      </c>
      <c r="Q54" s="10" t="s">
        <v>2</v>
      </c>
      <c r="R54" s="20">
        <f>VLOOKUP(Таблица13[[#This Row],[Terms_of_use]],'Составляющие рейтинга'!$P$9:$Q$11,2,0)</f>
        <v>1</v>
      </c>
      <c r="S54" s="7" t="s">
        <v>13</v>
      </c>
      <c r="T54" s="20">
        <f>VLOOKUP(Таблица13[[#This Row],[Dimensional_solution]],'Составляющие рейтинга'!$U$9:$V$11,2,0)</f>
        <v>0.33333333333333331</v>
      </c>
      <c r="U54" s="10" t="s">
        <v>40</v>
      </c>
      <c r="V54" s="20">
        <f>VLOOKUP(Таблица13[[#This Row],[Disciplines]],'Составляющие рейтинга'!$Z$14:$AA$20,2,0)</f>
        <v>1</v>
      </c>
      <c r="W54" s="7" t="s">
        <v>104</v>
      </c>
      <c r="X54" s="10">
        <v>1</v>
      </c>
      <c r="Y54" s="7">
        <f>VLOOKUP(Таблица13[[#This Row],[Styles_count]],'Составляющие рейтинга'!$AD$14:$AE$21,2,0)</f>
        <v>0.125</v>
      </c>
      <c r="Z54" s="7" t="s">
        <v>33</v>
      </c>
      <c r="AA54" s="7">
        <f>VLOOKUP(Таблица13[[#This Row],[Riding_level]],'Составляющие рейтинга'!$AH$13:$AI$18,2,0)</f>
        <v>1</v>
      </c>
      <c r="AB5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5.5583333333333336</v>
      </c>
    </row>
    <row r="55" spans="1:28" ht="102">
      <c r="A55" s="8">
        <v>54</v>
      </c>
      <c r="B55" s="9">
        <v>54</v>
      </c>
      <c r="C55" s="10" t="s">
        <v>240</v>
      </c>
      <c r="D55" s="10" t="s">
        <v>56</v>
      </c>
      <c r="E55" s="10" t="s">
        <v>241</v>
      </c>
      <c r="F55" s="10" t="s">
        <v>242</v>
      </c>
      <c r="G55" s="10" t="s">
        <v>38</v>
      </c>
      <c r="H55" s="10">
        <v>2022</v>
      </c>
      <c r="I55" s="9">
        <v>600</v>
      </c>
      <c r="J5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55" s="10">
        <f>VLOOKUP(Таблица13[[#This Row],[Dimensional_type]],'Составляющие рейтинга'!$B$10:$C$13,2,0)</f>
        <v>0.5</v>
      </c>
      <c r="L55" s="9">
        <f>QUOTIENT(Таблица13[[#This Row],[Area]],20)</f>
        <v>30</v>
      </c>
      <c r="M55" s="7" t="s">
        <v>359</v>
      </c>
      <c r="N55" s="16">
        <f>VLOOKUP(Таблица13[[#This Row],[Construction_type]],'Составляющие рейтинга'!$F$17:$G$26,2,0)</f>
        <v>0.4</v>
      </c>
      <c r="O55" s="7" t="s">
        <v>10</v>
      </c>
      <c r="P55" s="21">
        <f>VLOOKUP(Таблица13[[#This Row],[Base_material]],'Составляющие рейтинга'!$K$13:$L$19,2,0)</f>
        <v>0.66666666666666663</v>
      </c>
      <c r="Q55" s="10" t="s">
        <v>2</v>
      </c>
      <c r="R55" s="21">
        <f>VLOOKUP(Таблица13[[#This Row],[Terms_of_use]],'Составляющие рейтинга'!$P$9:$Q$11,2,0)</f>
        <v>1</v>
      </c>
      <c r="S55" s="7" t="s">
        <v>13</v>
      </c>
      <c r="T55" s="21">
        <f>VLOOKUP(Таблица13[[#This Row],[Dimensional_solution]],'Составляющие рейтинга'!$U$9:$V$11,2,0)</f>
        <v>0.33333333333333331</v>
      </c>
      <c r="U55" s="10" t="s">
        <v>40</v>
      </c>
      <c r="V55" s="21">
        <f>VLOOKUP(Таблица13[[#This Row],[Disciplines]],'Составляющие рейтинга'!$Z$14:$AA$20,2,0)</f>
        <v>1</v>
      </c>
      <c r="W55" s="10" t="s">
        <v>243</v>
      </c>
      <c r="X55" s="10">
        <v>4</v>
      </c>
      <c r="Y55" s="10">
        <f>VLOOKUP(Таблица13[[#This Row],[Styles_count]],'Составляющие рейтинга'!$AD$14:$AE$21,2,0)</f>
        <v>0.5</v>
      </c>
      <c r="Z55" s="7" t="s">
        <v>33</v>
      </c>
      <c r="AA55" s="10">
        <f>VLOOKUP(Таблица13[[#This Row],[Riding_level]],'Составляющие рейтинга'!$AH$13:$AI$18,2,0)</f>
        <v>1</v>
      </c>
      <c r="AB5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5.4</v>
      </c>
    </row>
    <row r="56" spans="1:28" ht="89.25">
      <c r="A56" s="5">
        <v>55</v>
      </c>
      <c r="B56" s="6">
        <v>55</v>
      </c>
      <c r="C56" s="7" t="s">
        <v>244</v>
      </c>
      <c r="D56" s="7" t="s">
        <v>165</v>
      </c>
      <c r="E56" s="7" t="s">
        <v>245</v>
      </c>
      <c r="F56" s="7" t="s">
        <v>246</v>
      </c>
      <c r="G56" s="7" t="s">
        <v>38</v>
      </c>
      <c r="H56" s="7">
        <v>2022</v>
      </c>
      <c r="I56" s="6">
        <v>80</v>
      </c>
      <c r="J5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56" s="7">
        <f>VLOOKUP(Таблица13[[#This Row],[Dimensional_type]],'Составляющие рейтинга'!$B$10:$C$13,2,0)</f>
        <v>0.25</v>
      </c>
      <c r="L56" s="6">
        <f>QUOTIENT(Таблица13[[#This Row],[Area]],20)</f>
        <v>4</v>
      </c>
      <c r="M56" s="7" t="s">
        <v>359</v>
      </c>
      <c r="N56" s="7">
        <f>VLOOKUP(Таблица13[[#This Row],[Construction_type]],'Составляющие рейтинга'!$F$17:$G$26,2,0)</f>
        <v>0.4</v>
      </c>
      <c r="O56" s="7" t="s">
        <v>10</v>
      </c>
      <c r="P56" s="20">
        <f>VLOOKUP(Таблица13[[#This Row],[Base_material]],'Составляющие рейтинга'!$K$13:$L$19,2,0)</f>
        <v>0.66666666666666663</v>
      </c>
      <c r="Q56" s="10" t="s">
        <v>2</v>
      </c>
      <c r="R56" s="20">
        <f>VLOOKUP(Таблица13[[#This Row],[Terms_of_use]],'Составляющие рейтинга'!$P$9:$Q$11,2,0)</f>
        <v>1</v>
      </c>
      <c r="S56" s="7" t="s">
        <v>13</v>
      </c>
      <c r="T56" s="20">
        <f>VLOOKUP(Таблица13[[#This Row],[Dimensional_solution]],'Составляющие рейтинга'!$U$9:$V$11,2,0)</f>
        <v>0.33333333333333331</v>
      </c>
      <c r="U56" s="10" t="s">
        <v>40</v>
      </c>
      <c r="V56" s="20">
        <f>VLOOKUP(Таблица13[[#This Row],[Disciplines]],'Составляющие рейтинга'!$Z$14:$AA$20,2,0)</f>
        <v>1</v>
      </c>
      <c r="W56" s="7" t="s">
        <v>201</v>
      </c>
      <c r="X56" s="10">
        <v>1</v>
      </c>
      <c r="Y56" s="7">
        <f>VLOOKUP(Таблица13[[#This Row],[Styles_count]],'Составляющие рейтинга'!$AD$14:$AE$21,2,0)</f>
        <v>0.125</v>
      </c>
      <c r="Z56" s="7" t="s">
        <v>33</v>
      </c>
      <c r="AA56" s="7">
        <f>VLOOKUP(Таблица13[[#This Row],[Riding_level]],'Составляющие рейтинга'!$AH$13:$AI$18,2,0)</f>
        <v>1</v>
      </c>
      <c r="AB5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4.7750000000000004</v>
      </c>
    </row>
    <row r="57" spans="1:28" ht="76.5">
      <c r="A57" s="8">
        <v>56</v>
      </c>
      <c r="B57" s="9">
        <v>56</v>
      </c>
      <c r="C57" s="10" t="s">
        <v>247</v>
      </c>
      <c r="D57" s="10" t="s">
        <v>43</v>
      </c>
      <c r="E57" s="10" t="s">
        <v>44</v>
      </c>
      <c r="F57" s="10" t="s">
        <v>248</v>
      </c>
      <c r="G57" s="10" t="s">
        <v>38</v>
      </c>
      <c r="H57" s="10">
        <v>2022</v>
      </c>
      <c r="I57" s="9">
        <v>500</v>
      </c>
      <c r="J57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57" s="10">
        <f>VLOOKUP(Таблица13[[#This Row],[Dimensional_type]],'Составляющие рейтинга'!$B$10:$C$13,2,0)</f>
        <v>0.5</v>
      </c>
      <c r="L57" s="9">
        <f>QUOTIENT(Таблица13[[#This Row],[Area]],20)</f>
        <v>25</v>
      </c>
      <c r="M57" s="7" t="s">
        <v>359</v>
      </c>
      <c r="N57" s="16">
        <f>VLOOKUP(Таблица13[[#This Row],[Construction_type]],'Составляющие рейтинга'!$F$17:$G$26,2,0)</f>
        <v>0.4</v>
      </c>
      <c r="O57" s="10" t="s">
        <v>11</v>
      </c>
      <c r="P57" s="21">
        <f>VLOOKUP(Таблица13[[#This Row],[Base_material]],'Составляющие рейтинга'!$K$13:$L$19,2,0)</f>
        <v>1</v>
      </c>
      <c r="Q57" s="10" t="s">
        <v>3</v>
      </c>
      <c r="R57" s="21">
        <f>VLOOKUP(Таблица13[[#This Row],[Terms_of_use]],'Составляющие рейтинга'!$P$9:$Q$11,2,0)</f>
        <v>0.33333333333333331</v>
      </c>
      <c r="S57" s="10" t="s">
        <v>15</v>
      </c>
      <c r="T57" s="21">
        <f>VLOOKUP(Таблица13[[#This Row],[Dimensional_solution]],'Составляющие рейтинга'!$U$9:$V$11,2,0)</f>
        <v>1</v>
      </c>
      <c r="U57" s="10" t="s">
        <v>380</v>
      </c>
      <c r="V57" s="21">
        <f>VLOOKUP(Таблица13[[#This Row],[Disciplines]],'Составляющие рейтинга'!$Z$14:$AA$20,2,0)</f>
        <v>0.75</v>
      </c>
      <c r="W57" s="10" t="s">
        <v>83</v>
      </c>
      <c r="X57" s="10">
        <v>3</v>
      </c>
      <c r="Y57" s="10">
        <f>VLOOKUP(Таблица13[[#This Row],[Styles_count]],'Составляющие рейтинга'!$AD$14:$AE$21,2,0)</f>
        <v>0.375</v>
      </c>
      <c r="Z57" s="7" t="s">
        <v>33</v>
      </c>
      <c r="AA57" s="10">
        <f>VLOOKUP(Таблица13[[#This Row],[Riding_level]],'Составляющие рейтинга'!$AH$13:$AI$18,2,0)</f>
        <v>1</v>
      </c>
      <c r="AB5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5.3583333333333334</v>
      </c>
    </row>
    <row r="58" spans="1:28" ht="76.5">
      <c r="A58" s="5">
        <v>57</v>
      </c>
      <c r="B58" s="6">
        <v>57</v>
      </c>
      <c r="C58" s="7" t="s">
        <v>249</v>
      </c>
      <c r="D58" s="7" t="s">
        <v>188</v>
      </c>
      <c r="E58" s="7" t="s">
        <v>250</v>
      </c>
      <c r="F58" s="7" t="s">
        <v>251</v>
      </c>
      <c r="G58" s="7" t="s">
        <v>38</v>
      </c>
      <c r="H58" s="7">
        <v>2021</v>
      </c>
      <c r="I58" s="6">
        <v>3000</v>
      </c>
      <c r="J58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58" s="7">
        <f>VLOOKUP(Таблица13[[#This Row],[Dimensional_type]],'Составляющие рейтинга'!$B$10:$C$13,2,0)</f>
        <v>1</v>
      </c>
      <c r="L58" s="6">
        <f>QUOTIENT(Таблица13[[#This Row],[Area]],20)</f>
        <v>150</v>
      </c>
      <c r="M58" s="10" t="s">
        <v>358</v>
      </c>
      <c r="N58" s="16">
        <f>VLOOKUP(Таблица13[[#This Row],[Construction_type]],'Составляющие рейтинга'!$F$17:$G$26,2,0)</f>
        <v>0.60000000000000009</v>
      </c>
      <c r="O58" s="10" t="s">
        <v>11</v>
      </c>
      <c r="P58" s="20">
        <f>VLOOKUP(Таблица13[[#This Row],[Base_material]],'Составляющие рейтинга'!$K$13:$L$19,2,0)</f>
        <v>1</v>
      </c>
      <c r="Q58" s="10" t="s">
        <v>2</v>
      </c>
      <c r="R58" s="20">
        <f>VLOOKUP(Таблица13[[#This Row],[Terms_of_use]],'Составляющие рейтинга'!$P$9:$Q$11,2,0)</f>
        <v>1</v>
      </c>
      <c r="S58" s="7" t="s">
        <v>13</v>
      </c>
      <c r="T58" s="20">
        <f>VLOOKUP(Таблица13[[#This Row],[Dimensional_solution]],'Составляющие рейтинга'!$U$9:$V$11,2,0)</f>
        <v>0.33333333333333331</v>
      </c>
      <c r="U58" s="10" t="s">
        <v>40</v>
      </c>
      <c r="V58" s="20">
        <f>VLOOKUP(Таблица13[[#This Row],[Disciplines]],'Составляющие рейтинга'!$Z$14:$AA$20,2,0)</f>
        <v>1</v>
      </c>
      <c r="W58" s="7" t="s">
        <v>142</v>
      </c>
      <c r="X58" s="7">
        <v>2</v>
      </c>
      <c r="Y58" s="7">
        <f>VLOOKUP(Таблица13[[#This Row],[Styles_count]],'Составляющие рейтинга'!$AD$14:$AE$21,2,0)</f>
        <v>0.25</v>
      </c>
      <c r="Z58" s="7" t="s">
        <v>33</v>
      </c>
      <c r="AA58" s="7">
        <f>VLOOKUP(Таблица13[[#This Row],[Riding_level]],'Составляющие рейтинга'!$AH$13:$AI$18,2,0)</f>
        <v>1</v>
      </c>
      <c r="AB5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59" spans="1:28" ht="63.75">
      <c r="A59" s="8">
        <v>58</v>
      </c>
      <c r="B59" s="9">
        <v>58</v>
      </c>
      <c r="C59" s="7" t="s">
        <v>252</v>
      </c>
      <c r="D59" s="10" t="s">
        <v>253</v>
      </c>
      <c r="E59" s="10" t="s">
        <v>254</v>
      </c>
      <c r="F59" s="10" t="s">
        <v>255</v>
      </c>
      <c r="G59" s="10" t="s">
        <v>38</v>
      </c>
      <c r="H59" s="10">
        <v>2018</v>
      </c>
      <c r="I59" s="9">
        <f>500+850</f>
        <v>1350</v>
      </c>
      <c r="J59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59" s="10">
        <f>VLOOKUP(Таблица13[[#This Row],[Dimensional_type]],'Составляющие рейтинга'!$B$10:$C$13,2,0)</f>
        <v>1</v>
      </c>
      <c r="L59" s="9">
        <f>QUOTIENT(Таблица13[[#This Row],[Area]],20)</f>
        <v>67</v>
      </c>
      <c r="M59" s="10" t="s">
        <v>358</v>
      </c>
      <c r="N59" s="10">
        <f>VLOOKUP(Таблица13[[#This Row],[Construction_type]],'Составляющие рейтинга'!$F$17:$G$26,2,0)</f>
        <v>0.60000000000000009</v>
      </c>
      <c r="O59" s="10" t="s">
        <v>11</v>
      </c>
      <c r="P59" s="21">
        <f>VLOOKUP(Таблица13[[#This Row],[Base_material]],'Составляющие рейтинга'!$K$13:$L$19,2,0)</f>
        <v>1</v>
      </c>
      <c r="Q59" s="10" t="s">
        <v>2</v>
      </c>
      <c r="R59" s="21">
        <f>VLOOKUP(Таблица13[[#This Row],[Terms_of_use]],'Составляющие рейтинга'!$P$9:$Q$11,2,0)</f>
        <v>1</v>
      </c>
      <c r="S59" s="7" t="s">
        <v>13</v>
      </c>
      <c r="T59" s="21">
        <f>VLOOKUP(Таблица13[[#This Row],[Dimensional_solution]],'Составляющие рейтинга'!$U$9:$V$11,2,0)</f>
        <v>0.33333333333333331</v>
      </c>
      <c r="U59" s="10" t="s">
        <v>40</v>
      </c>
      <c r="V59" s="21">
        <f>VLOOKUP(Таблица13[[#This Row],[Disciplines]],'Составляющие рейтинга'!$Z$14:$AA$20,2,0)</f>
        <v>1</v>
      </c>
      <c r="W59" s="10" t="s">
        <v>256</v>
      </c>
      <c r="X59" s="7">
        <v>2</v>
      </c>
      <c r="Y59" s="10">
        <f>VLOOKUP(Таблица13[[#This Row],[Styles_count]],'Составляющие рейтинга'!$AD$14:$AE$21,2,0)</f>
        <v>0.25</v>
      </c>
      <c r="Z59" s="7" t="s">
        <v>33</v>
      </c>
      <c r="AA59" s="10">
        <f>VLOOKUP(Таблица13[[#This Row],[Riding_level]],'Составляющие рейтинга'!$AH$13:$AI$18,2,0)</f>
        <v>1</v>
      </c>
      <c r="AB5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6.1833333333333336</v>
      </c>
    </row>
    <row r="60" spans="1:28" ht="76.5">
      <c r="A60" s="5">
        <v>59</v>
      </c>
      <c r="B60" s="6">
        <v>59</v>
      </c>
      <c r="C60" s="7" t="s">
        <v>257</v>
      </c>
      <c r="D60" s="7" t="s">
        <v>26</v>
      </c>
      <c r="E60" s="7" t="s">
        <v>170</v>
      </c>
      <c r="F60" s="7" t="s">
        <v>258</v>
      </c>
      <c r="G60" s="7" t="s">
        <v>38</v>
      </c>
      <c r="H60" s="7">
        <v>2020</v>
      </c>
      <c r="I60" s="6">
        <v>3000</v>
      </c>
      <c r="J60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60" s="7">
        <f>VLOOKUP(Таблица13[[#This Row],[Dimensional_type]],'Составляющие рейтинга'!$B$10:$C$13,2,0)</f>
        <v>1</v>
      </c>
      <c r="L60" s="6">
        <f>QUOTIENT(Таблица13[[#This Row],[Area]],20)</f>
        <v>150</v>
      </c>
      <c r="M60" s="7" t="s">
        <v>136</v>
      </c>
      <c r="N60" s="7">
        <f>VLOOKUP(Таблица13[[#This Row],[Construction_type]],'Составляющие рейтинга'!$F$17:$G$26,2,0)</f>
        <v>1</v>
      </c>
      <c r="O60" s="7" t="s">
        <v>11</v>
      </c>
      <c r="P60" s="20">
        <f>VLOOKUP(Таблица13[[#This Row],[Base_material]],'Составляющие рейтинга'!$K$13:$L$19,2,0)</f>
        <v>1</v>
      </c>
      <c r="Q60" s="10" t="s">
        <v>2</v>
      </c>
      <c r="R60" s="20">
        <f>VLOOKUP(Таблица13[[#This Row],[Terms_of_use]],'Составляющие рейтинга'!$P$9:$Q$11,2,0)</f>
        <v>1</v>
      </c>
      <c r="S60" s="10" t="s">
        <v>39</v>
      </c>
      <c r="T60" s="20">
        <f>VLOOKUP(Таблица13[[#This Row],[Dimensional_solution]],'Составляющие рейтинга'!$U$9:$V$11,2,0)</f>
        <v>0.66666666666666663</v>
      </c>
      <c r="U60" s="10" t="s">
        <v>40</v>
      </c>
      <c r="V60" s="20">
        <f>VLOOKUP(Таблица13[[#This Row],[Disciplines]],'Составляющие рейтинга'!$Z$14:$AA$20,2,0)</f>
        <v>1</v>
      </c>
      <c r="W60" s="7" t="s">
        <v>259</v>
      </c>
      <c r="X60" s="7">
        <v>4</v>
      </c>
      <c r="Y60" s="7">
        <f>VLOOKUP(Таблица13[[#This Row],[Styles_count]],'Составляющие рейтинга'!$AD$14:$AE$21,2,0)</f>
        <v>0.5</v>
      </c>
      <c r="Z60" s="7" t="s">
        <v>33</v>
      </c>
      <c r="AA60" s="7">
        <f>VLOOKUP(Таблица13[[#This Row],[Riding_level]],'Составляющие рейтинга'!$AH$13:$AI$18,2,0)</f>
        <v>1</v>
      </c>
      <c r="AB6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7.166666666666667</v>
      </c>
    </row>
    <row r="61" spans="1:28" ht="89.25">
      <c r="A61" s="8">
        <v>60</v>
      </c>
      <c r="B61" s="9">
        <v>60</v>
      </c>
      <c r="C61" s="10" t="s">
        <v>121</v>
      </c>
      <c r="D61" s="10" t="s">
        <v>98</v>
      </c>
      <c r="E61" s="10" t="s">
        <v>122</v>
      </c>
      <c r="F61" s="10" t="s">
        <v>260</v>
      </c>
      <c r="G61" s="10" t="s">
        <v>38</v>
      </c>
      <c r="H61" s="10">
        <v>2020</v>
      </c>
      <c r="I61" s="9">
        <v>600</v>
      </c>
      <c r="J61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61" s="10">
        <f>VLOOKUP(Таблица13[[#This Row],[Dimensional_type]],'Составляющие рейтинга'!$B$10:$C$13,2,0)</f>
        <v>0.5</v>
      </c>
      <c r="L61" s="9">
        <f>QUOTIENT(Таблица13[[#This Row],[Area]],20)</f>
        <v>30</v>
      </c>
      <c r="M61" s="7" t="s">
        <v>359</v>
      </c>
      <c r="N61" s="16">
        <f>VLOOKUP(Таблица13[[#This Row],[Construction_type]],'Составляющие рейтинга'!$F$17:$G$26,2,0)</f>
        <v>0.4</v>
      </c>
      <c r="O61" s="7" t="s">
        <v>10</v>
      </c>
      <c r="P61" s="21">
        <f>VLOOKUP(Таблица13[[#This Row],[Base_material]],'Составляющие рейтинга'!$K$13:$L$19,2,0)</f>
        <v>0.66666666666666663</v>
      </c>
      <c r="Q61" s="10" t="s">
        <v>2</v>
      </c>
      <c r="R61" s="21">
        <f>VLOOKUP(Таблица13[[#This Row],[Terms_of_use]],'Составляющие рейтинга'!$P$9:$Q$11,2,0)</f>
        <v>1</v>
      </c>
      <c r="S61" s="7" t="s">
        <v>13</v>
      </c>
      <c r="T61" s="21">
        <f>VLOOKUP(Таблица13[[#This Row],[Dimensional_solution]],'Составляющие рейтинга'!$U$9:$V$11,2,0)</f>
        <v>0.33333333333333331</v>
      </c>
      <c r="U61" s="10" t="s">
        <v>40</v>
      </c>
      <c r="V61" s="21">
        <f>VLOOKUP(Таблица13[[#This Row],[Disciplines]],'Составляющие рейтинга'!$Z$14:$AA$20,2,0)</f>
        <v>1</v>
      </c>
      <c r="W61" s="10" t="s">
        <v>261</v>
      </c>
      <c r="X61" s="7">
        <v>2</v>
      </c>
      <c r="Y61" s="10">
        <f>VLOOKUP(Таблица13[[#This Row],[Styles_count]],'Составляющие рейтинга'!$AD$14:$AE$21,2,0)</f>
        <v>0.25</v>
      </c>
      <c r="Z61" s="7" t="s">
        <v>33</v>
      </c>
      <c r="AA61" s="10">
        <f>VLOOKUP(Таблица13[[#This Row],[Riding_level]],'Составляющие рейтинга'!$AH$13:$AI$18,2,0)</f>
        <v>1</v>
      </c>
      <c r="AB6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5.15</v>
      </c>
    </row>
    <row r="62" spans="1:28" ht="89.25">
      <c r="A62" s="5">
        <v>61</v>
      </c>
      <c r="B62" s="6">
        <v>61</v>
      </c>
      <c r="C62" s="7" t="s">
        <v>262</v>
      </c>
      <c r="D62" s="7" t="s">
        <v>195</v>
      </c>
      <c r="E62" s="7" t="s">
        <v>263</v>
      </c>
      <c r="F62" s="7" t="s">
        <v>264</v>
      </c>
      <c r="G62" s="7" t="s">
        <v>38</v>
      </c>
      <c r="H62" s="7">
        <v>2020</v>
      </c>
      <c r="I62" s="6">
        <v>800</v>
      </c>
      <c r="J62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62" s="7">
        <f>VLOOKUP(Таблица13[[#This Row],[Dimensional_type]],'Составляющие рейтинга'!$B$10:$C$13,2,0)</f>
        <v>0.75</v>
      </c>
      <c r="L62" s="6">
        <f>QUOTIENT(Таблица13[[#This Row],[Area]],20)</f>
        <v>40</v>
      </c>
      <c r="M62" s="7" t="s">
        <v>359</v>
      </c>
      <c r="N62" s="7">
        <f>VLOOKUP(Таблица13[[#This Row],[Construction_type]],'Составляющие рейтинга'!$F$17:$G$26,2,0)</f>
        <v>0.4</v>
      </c>
      <c r="O62" s="7" t="s">
        <v>10</v>
      </c>
      <c r="P62" s="20">
        <f>VLOOKUP(Таблица13[[#This Row],[Base_material]],'Составляющие рейтинга'!$K$13:$L$19,2,0)</f>
        <v>0.66666666666666663</v>
      </c>
      <c r="Q62" s="10" t="s">
        <v>2</v>
      </c>
      <c r="R62" s="20">
        <f>VLOOKUP(Таблица13[[#This Row],[Terms_of_use]],'Составляющие рейтинга'!$P$9:$Q$11,2,0)</f>
        <v>1</v>
      </c>
      <c r="S62" s="7" t="s">
        <v>13</v>
      </c>
      <c r="T62" s="20">
        <f>VLOOKUP(Таблица13[[#This Row],[Dimensional_solution]],'Составляющие рейтинга'!$U$9:$V$11,2,0)</f>
        <v>0.33333333333333331</v>
      </c>
      <c r="U62" s="10" t="s">
        <v>40</v>
      </c>
      <c r="V62" s="20">
        <f>VLOOKUP(Таблица13[[#This Row],[Disciplines]],'Составляющие рейтинга'!$Z$14:$AA$20,2,0)</f>
        <v>1</v>
      </c>
      <c r="W62" s="7" t="s">
        <v>265</v>
      </c>
      <c r="X62" s="10">
        <v>3</v>
      </c>
      <c r="Y62" s="7">
        <f>VLOOKUP(Таблица13[[#This Row],[Styles_count]],'Составляющие рейтинга'!$AD$14:$AE$21,2,0)</f>
        <v>0.375</v>
      </c>
      <c r="Z62" s="7" t="s">
        <v>33</v>
      </c>
      <c r="AA62" s="7">
        <f>VLOOKUP(Таблица13[[#This Row],[Riding_level]],'Составляющие рейтинга'!$AH$13:$AI$18,2,0)</f>
        <v>1</v>
      </c>
      <c r="AB6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5.5250000000000004</v>
      </c>
    </row>
    <row r="63" spans="1:28" ht="76.5">
      <c r="A63" s="8">
        <v>62</v>
      </c>
      <c r="B63" s="9">
        <v>62</v>
      </c>
      <c r="C63" s="10" t="s">
        <v>266</v>
      </c>
      <c r="D63" s="10" t="s">
        <v>74</v>
      </c>
      <c r="E63" s="10" t="s">
        <v>217</v>
      </c>
      <c r="F63" s="10" t="s">
        <v>267</v>
      </c>
      <c r="G63" s="10" t="s">
        <v>38</v>
      </c>
      <c r="H63" s="10">
        <v>2019</v>
      </c>
      <c r="I63" s="9">
        <v>70</v>
      </c>
      <c r="J63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63" s="10">
        <f>VLOOKUP(Таблица13[[#This Row],[Dimensional_type]],'Составляющие рейтинга'!$B$10:$C$13,2,0)</f>
        <v>0.25</v>
      </c>
      <c r="L63" s="9">
        <f>QUOTIENT(Таблица13[[#This Row],[Area]],20)</f>
        <v>3</v>
      </c>
      <c r="M63" s="7" t="s">
        <v>359</v>
      </c>
      <c r="N63" s="16">
        <f>VLOOKUP(Таблица13[[#This Row],[Construction_type]],'Составляющие рейтинга'!$F$17:$G$26,2,0)</f>
        <v>0.4</v>
      </c>
      <c r="O63" s="7" t="s">
        <v>10</v>
      </c>
      <c r="P63" s="21">
        <f>VLOOKUP(Таблица13[[#This Row],[Base_material]],'Составляющие рейтинга'!$K$13:$L$19,2,0)</f>
        <v>0.66666666666666663</v>
      </c>
      <c r="Q63" s="10" t="s">
        <v>2</v>
      </c>
      <c r="R63" s="21">
        <f>VLOOKUP(Таблица13[[#This Row],[Terms_of_use]],'Составляющие рейтинга'!$P$9:$Q$11,2,0)</f>
        <v>1</v>
      </c>
      <c r="S63" s="7" t="s">
        <v>13</v>
      </c>
      <c r="T63" s="21">
        <f>VLOOKUP(Таблица13[[#This Row],[Dimensional_solution]],'Составляющие рейтинга'!$U$9:$V$11,2,0)</f>
        <v>0.33333333333333331</v>
      </c>
      <c r="U63" s="10" t="s">
        <v>40</v>
      </c>
      <c r="V63" s="21">
        <f>VLOOKUP(Таблица13[[#This Row],[Disciplines]],'Составляющие рейтинга'!$Z$14:$AA$20,2,0)</f>
        <v>1</v>
      </c>
      <c r="W63" s="10" t="s">
        <v>201</v>
      </c>
      <c r="X63" s="10">
        <v>1</v>
      </c>
      <c r="Y63" s="10">
        <f>VLOOKUP(Таблица13[[#This Row],[Styles_count]],'Составляющие рейтинга'!$AD$14:$AE$21,2,0)</f>
        <v>0.125</v>
      </c>
      <c r="Z63" s="7" t="s">
        <v>33</v>
      </c>
      <c r="AA63" s="10">
        <f>VLOOKUP(Таблица13[[#This Row],[Riding_level]],'Составляющие рейтинга'!$AH$13:$AI$18,2,0)</f>
        <v>1</v>
      </c>
      <c r="AB6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4.7750000000000004</v>
      </c>
    </row>
    <row r="64" spans="1:28" ht="63.75">
      <c r="A64" s="5">
        <v>63</v>
      </c>
      <c r="B64" s="6">
        <v>63</v>
      </c>
      <c r="C64" s="7" t="s">
        <v>268</v>
      </c>
      <c r="D64" s="7" t="s">
        <v>49</v>
      </c>
      <c r="E64" s="7" t="s">
        <v>269</v>
      </c>
      <c r="F64" s="7" t="s">
        <v>270</v>
      </c>
      <c r="G64" s="7" t="s">
        <v>38</v>
      </c>
      <c r="H64" s="7">
        <v>2019</v>
      </c>
      <c r="I64" s="6">
        <v>450</v>
      </c>
      <c r="J64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64" s="7">
        <f>VLOOKUP(Таблица13[[#This Row],[Dimensional_type]],'Составляющие рейтинга'!$B$10:$C$13,2,0)</f>
        <v>0.5</v>
      </c>
      <c r="L64" s="6">
        <f>QUOTIENT(Таблица13[[#This Row],[Area]],20)</f>
        <v>22</v>
      </c>
      <c r="M64" s="7" t="s">
        <v>359</v>
      </c>
      <c r="N64" s="7">
        <f>VLOOKUP(Таблица13[[#This Row],[Construction_type]],'Составляющие рейтинга'!$F$17:$G$26,2,0)</f>
        <v>0.4</v>
      </c>
      <c r="O64" s="7" t="s">
        <v>10</v>
      </c>
      <c r="P64" s="20">
        <f>VLOOKUP(Таблица13[[#This Row],[Base_material]],'Составляющие рейтинга'!$K$13:$L$19,2,0)</f>
        <v>0.66666666666666663</v>
      </c>
      <c r="Q64" s="10" t="s">
        <v>2</v>
      </c>
      <c r="R64" s="20">
        <f>VLOOKUP(Таблица13[[#This Row],[Terms_of_use]],'Составляющие рейтинга'!$P$9:$Q$11,2,0)</f>
        <v>1</v>
      </c>
      <c r="S64" s="7" t="s">
        <v>13</v>
      </c>
      <c r="T64" s="20">
        <f>VLOOKUP(Таблица13[[#This Row],[Dimensional_solution]],'Составляющие рейтинга'!$U$9:$V$11,2,0)</f>
        <v>0.33333333333333331</v>
      </c>
      <c r="U64" s="10" t="s">
        <v>40</v>
      </c>
      <c r="V64" s="20">
        <f>VLOOKUP(Таблица13[[#This Row],[Disciplines]],'Составляющие рейтинга'!$Z$14:$AA$20,2,0)</f>
        <v>1</v>
      </c>
      <c r="W64" s="7" t="s">
        <v>271</v>
      </c>
      <c r="X64" s="7">
        <v>2</v>
      </c>
      <c r="Y64" s="7">
        <f>VLOOKUP(Таблица13[[#This Row],[Styles_count]],'Составляющие рейтинга'!$AD$14:$AE$21,2,0)</f>
        <v>0.25</v>
      </c>
      <c r="Z64" s="7" t="s">
        <v>33</v>
      </c>
      <c r="AA64" s="7">
        <f>VLOOKUP(Таблица13[[#This Row],[Riding_level]],'Составляющие рейтинга'!$AH$13:$AI$18,2,0)</f>
        <v>1</v>
      </c>
      <c r="AB6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5.15</v>
      </c>
    </row>
    <row r="65" spans="1:28" ht="76.5">
      <c r="A65" s="8">
        <v>64</v>
      </c>
      <c r="B65" s="9">
        <v>64</v>
      </c>
      <c r="C65" s="10" t="s">
        <v>272</v>
      </c>
      <c r="D65" s="10" t="s">
        <v>49</v>
      </c>
      <c r="E65" s="10" t="s">
        <v>269</v>
      </c>
      <c r="F65" s="10" t="s">
        <v>273</v>
      </c>
      <c r="G65" s="10" t="s">
        <v>38</v>
      </c>
      <c r="H65" s="10">
        <v>2019</v>
      </c>
      <c r="I65" s="9">
        <v>300</v>
      </c>
      <c r="J65" s="10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65" s="10">
        <f>VLOOKUP(Таблица13[[#This Row],[Dimensional_type]],'Составляющие рейтинга'!$B$10:$C$13,2,0)</f>
        <v>0.25</v>
      </c>
      <c r="L65" s="9">
        <f>QUOTIENT(Таблица13[[#This Row],[Area]],20)</f>
        <v>15</v>
      </c>
      <c r="M65" s="7" t="s">
        <v>359</v>
      </c>
      <c r="N65" s="16">
        <f>VLOOKUP(Таблица13[[#This Row],[Construction_type]],'Составляющие рейтинга'!$F$17:$G$26,2,0)</f>
        <v>0.4</v>
      </c>
      <c r="O65" s="7" t="s">
        <v>10</v>
      </c>
      <c r="P65" s="21">
        <f>VLOOKUP(Таблица13[[#This Row],[Base_material]],'Составляющие рейтинга'!$K$13:$L$19,2,0)</f>
        <v>0.66666666666666663</v>
      </c>
      <c r="Q65" s="10" t="s">
        <v>2</v>
      </c>
      <c r="R65" s="21">
        <f>VLOOKUP(Таблица13[[#This Row],[Terms_of_use]],'Составляющие рейтинга'!$P$9:$Q$11,2,0)</f>
        <v>1</v>
      </c>
      <c r="S65" s="7" t="s">
        <v>13</v>
      </c>
      <c r="T65" s="21">
        <f>VLOOKUP(Таблица13[[#This Row],[Dimensional_solution]],'Составляющие рейтинга'!$U$9:$V$11,2,0)</f>
        <v>0.33333333333333331</v>
      </c>
      <c r="U65" s="10" t="s">
        <v>40</v>
      </c>
      <c r="V65" s="21">
        <f>VLOOKUP(Таблица13[[#This Row],[Disciplines]],'Составляющие рейтинга'!$Z$14:$AA$20,2,0)</f>
        <v>1</v>
      </c>
      <c r="W65" s="10" t="s">
        <v>120</v>
      </c>
      <c r="X65" s="10">
        <v>1</v>
      </c>
      <c r="Y65" s="10">
        <f>VLOOKUP(Таблица13[[#This Row],[Styles_count]],'Составляющие рейтинга'!$AD$14:$AE$21,2,0)</f>
        <v>0.125</v>
      </c>
      <c r="Z65" s="7" t="s">
        <v>33</v>
      </c>
      <c r="AA65" s="10">
        <f>VLOOKUP(Таблица13[[#This Row],[Riding_level]],'Составляющие рейтинга'!$AH$13:$AI$18,2,0)</f>
        <v>1</v>
      </c>
      <c r="AB6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4.7750000000000004</v>
      </c>
    </row>
    <row r="66" spans="1:28" ht="63.75">
      <c r="A66" s="5">
        <v>65</v>
      </c>
      <c r="B66" s="6">
        <v>65</v>
      </c>
      <c r="C66" s="7" t="s">
        <v>274</v>
      </c>
      <c r="D66" s="7" t="s">
        <v>80</v>
      </c>
      <c r="E66" s="7" t="s">
        <v>81</v>
      </c>
      <c r="F66" s="7" t="s">
        <v>275</v>
      </c>
      <c r="G66" s="7" t="s">
        <v>38</v>
      </c>
      <c r="H66" s="7">
        <v>2019</v>
      </c>
      <c r="I66" s="6">
        <v>400</v>
      </c>
      <c r="J66" s="7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66" s="7">
        <f>VLOOKUP(Таблица13[[#This Row],[Dimensional_type]],'Составляющие рейтинга'!$B$10:$C$13,2,0)</f>
        <v>0.5</v>
      </c>
      <c r="L66" s="6">
        <f>QUOTIENT(Таблица13[[#This Row],[Area]],20)</f>
        <v>20</v>
      </c>
      <c r="M66" s="7" t="s">
        <v>359</v>
      </c>
      <c r="N66" s="7">
        <f>VLOOKUP(Таблица13[[#This Row],[Construction_type]],'Составляющие рейтинга'!$F$17:$G$26,2,0)</f>
        <v>0.4</v>
      </c>
      <c r="O66" s="10" t="s">
        <v>366</v>
      </c>
      <c r="P66" s="20">
        <f>VLOOKUP(Таблица13[[#This Row],[Base_material]],'Составляющие рейтинга'!$K$13:$L$19,2,0)</f>
        <v>0.33333333333333331</v>
      </c>
      <c r="Q66" s="10" t="s">
        <v>2</v>
      </c>
      <c r="R66" s="20">
        <f>VLOOKUP(Таблица13[[#This Row],[Terms_of_use]],'Составляющие рейтинга'!$P$9:$Q$11,2,0)</f>
        <v>1</v>
      </c>
      <c r="S66" s="7" t="s">
        <v>13</v>
      </c>
      <c r="T66" s="20">
        <f>VLOOKUP(Таблица13[[#This Row],[Dimensional_solution]],'Составляющие рейтинга'!$U$9:$V$11,2,0)</f>
        <v>0.33333333333333331</v>
      </c>
      <c r="U66" s="10" t="s">
        <v>40</v>
      </c>
      <c r="V66" s="20">
        <f>VLOOKUP(Таблица13[[#This Row],[Disciplines]],'Составляющие рейтинга'!$Z$14:$AA$20,2,0)</f>
        <v>1</v>
      </c>
      <c r="W66" s="7" t="s">
        <v>142</v>
      </c>
      <c r="X66" s="7">
        <v>2</v>
      </c>
      <c r="Y66" s="7">
        <f>VLOOKUP(Таблица13[[#This Row],[Styles_count]],'Составляющие рейтинга'!$AD$14:$AE$21,2,0)</f>
        <v>0.25</v>
      </c>
      <c r="Z66" s="7" t="s">
        <v>33</v>
      </c>
      <c r="AA66" s="7">
        <f>VLOOKUP(Таблица13[[#This Row],[Riding_level]],'Составляющие рейтинга'!$AH$13:$AI$18,2,0)</f>
        <v>1</v>
      </c>
      <c r="AB6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4.8166666666666664</v>
      </c>
    </row>
    <row r="67" spans="1:28" ht="63.75">
      <c r="A67" s="8">
        <v>66</v>
      </c>
      <c r="B67" s="52">
        <v>66</v>
      </c>
      <c r="C67" s="53" t="s">
        <v>276</v>
      </c>
      <c r="D67" s="53" t="s">
        <v>26</v>
      </c>
      <c r="E67" s="53" t="s">
        <v>95</v>
      </c>
      <c r="F67" s="53" t="s">
        <v>277</v>
      </c>
      <c r="G67" s="53" t="s">
        <v>38</v>
      </c>
      <c r="H67" s="53">
        <v>2018</v>
      </c>
      <c r="I67" s="52">
        <v>400</v>
      </c>
      <c r="J67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Муниципального масштаба</v>
      </c>
      <c r="K67" s="10">
        <f>VLOOKUP(Таблица13[[#This Row],[Dimensional_type]],'Составляющие рейтинга'!$B$10:$C$13,2,0)</f>
        <v>0.5</v>
      </c>
      <c r="L67" s="9">
        <f>QUOTIENT(Таблица13[[#This Row],[Area]],20)</f>
        <v>20</v>
      </c>
      <c r="M67" s="7" t="s">
        <v>359</v>
      </c>
      <c r="N67" s="16">
        <f>VLOOKUP(Таблица13[[#This Row],[Construction_type]],'Составляющие рейтинга'!$F$17:$G$26,2,0)</f>
        <v>0.4</v>
      </c>
      <c r="O67" s="10" t="s">
        <v>365</v>
      </c>
      <c r="P67" s="21">
        <f>VLOOKUP(Таблица13[[#This Row],[Base_material]],'Составляющие рейтинга'!$K$13:$L$19,2,0)</f>
        <v>0.33333333333333331</v>
      </c>
      <c r="Q67" s="10" t="s">
        <v>2</v>
      </c>
      <c r="R67" s="21">
        <f>VLOOKUP(Таблица13[[#This Row],[Terms_of_use]],'Составляющие рейтинга'!$P$9:$Q$11,2,0)</f>
        <v>1</v>
      </c>
      <c r="S67" s="7" t="s">
        <v>13</v>
      </c>
      <c r="T67" s="21">
        <f>VLOOKUP(Таблица13[[#This Row],[Dimensional_solution]],'Составляющие рейтинга'!$U$9:$V$11,2,0)</f>
        <v>0.33333333333333331</v>
      </c>
      <c r="U67" s="10" t="s">
        <v>40</v>
      </c>
      <c r="V67" s="21">
        <f>VLOOKUP(Таблица13[[#This Row],[Disciplines]],'Составляющие рейтинга'!$Z$14:$AA$20,2,0)</f>
        <v>1</v>
      </c>
      <c r="W67" s="10" t="s">
        <v>226</v>
      </c>
      <c r="X67" s="10">
        <v>1</v>
      </c>
      <c r="Y67" s="10">
        <f>VLOOKUP(Таблица13[[#This Row],[Styles_count]],'Составляющие рейтинга'!$AD$14:$AE$21,2,0)</f>
        <v>0.125</v>
      </c>
      <c r="Z67" s="7" t="s">
        <v>33</v>
      </c>
      <c r="AA67" s="10">
        <f>VLOOKUP(Таблица13[[#This Row],[Riding_level]],'Составляющие рейтинга'!$AH$13:$AI$18,2,0)</f>
        <v>1</v>
      </c>
      <c r="AB6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4.6916666666666664</v>
      </c>
    </row>
    <row r="68" spans="1:28" ht="63.75">
      <c r="A68" s="5">
        <v>67</v>
      </c>
      <c r="B68" s="50">
        <v>67</v>
      </c>
      <c r="C68" s="53" t="s">
        <v>278</v>
      </c>
      <c r="D68" s="51" t="s">
        <v>253</v>
      </c>
      <c r="E68" s="51" t="s">
        <v>279</v>
      </c>
      <c r="F68" s="51" t="s">
        <v>280</v>
      </c>
      <c r="G68" s="51" t="s">
        <v>38</v>
      </c>
      <c r="H68" s="51">
        <v>2015</v>
      </c>
      <c r="I68" s="50">
        <v>1400</v>
      </c>
      <c r="J68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68" s="7">
        <f>VLOOKUP(Таблица13[[#This Row],[Dimensional_type]],'Составляющие рейтинга'!$B$10:$C$13,2,0)</f>
        <v>1</v>
      </c>
      <c r="L68" s="6">
        <f>QUOTIENT(Таблица13[[#This Row],[Area]],20)</f>
        <v>70</v>
      </c>
      <c r="M68" s="7" t="s">
        <v>281</v>
      </c>
      <c r="N68" s="7">
        <f>VLOOKUP(Таблица13[[#This Row],[Construction_type]],'Составляющие рейтинга'!$F$17:$G$26,2,0)</f>
        <v>1</v>
      </c>
      <c r="O68" s="10" t="s">
        <v>11</v>
      </c>
      <c r="P68" s="20">
        <f>VLOOKUP(Таблица13[[#This Row],[Base_material]],'Составляющие рейтинга'!$K$13:$L$19,2,0)</f>
        <v>1</v>
      </c>
      <c r="Q68" s="10" t="s">
        <v>2</v>
      </c>
      <c r="R68" s="20">
        <f>VLOOKUP(Таблица13[[#This Row],[Terms_of_use]],'Составляющие рейтинга'!$P$9:$Q$11,2,0)</f>
        <v>1</v>
      </c>
      <c r="S68" s="7" t="s">
        <v>13</v>
      </c>
      <c r="T68" s="20">
        <f>VLOOKUP(Таблица13[[#This Row],[Dimensional_solution]],'Составляющие рейтинга'!$U$9:$V$11,2,0)</f>
        <v>0.33333333333333331</v>
      </c>
      <c r="U68" s="10" t="s">
        <v>40</v>
      </c>
      <c r="V68" s="20">
        <f>VLOOKUP(Таблица13[[#This Row],[Disciplines]],'Составляющие рейтинга'!$Z$14:$AA$20,2,0)</f>
        <v>1</v>
      </c>
      <c r="W68" s="7" t="s">
        <v>215</v>
      </c>
      <c r="X68" s="10">
        <v>3</v>
      </c>
      <c r="Y68" s="7">
        <f>VLOOKUP(Таблица13[[#This Row],[Styles_count]],'Составляющие рейтинга'!$AD$14:$AE$21,2,0)</f>
        <v>0.375</v>
      </c>
      <c r="Z68" s="7" t="s">
        <v>33</v>
      </c>
      <c r="AA68" s="7">
        <f>VLOOKUP(Таблица13[[#This Row],[Riding_level]],'Составляющие рейтинга'!$AH$13:$AI$18,2,0)</f>
        <v>1</v>
      </c>
      <c r="AB6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6.708333333333333</v>
      </c>
    </row>
    <row r="69" spans="1:28" ht="76.5">
      <c r="A69" s="8">
        <v>68</v>
      </c>
      <c r="B69" s="52">
        <v>68</v>
      </c>
      <c r="C69" s="53" t="s">
        <v>282</v>
      </c>
      <c r="D69" s="53" t="s">
        <v>26</v>
      </c>
      <c r="E69" s="53" t="s">
        <v>283</v>
      </c>
      <c r="F69" s="53" t="s">
        <v>284</v>
      </c>
      <c r="G69" s="53" t="s">
        <v>38</v>
      </c>
      <c r="H69" s="53">
        <v>2009</v>
      </c>
      <c r="I69" s="52">
        <v>900</v>
      </c>
      <c r="J69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69" s="10">
        <f>VLOOKUP(Таблица13[[#This Row],[Dimensional_type]],'Составляющие рейтинга'!$B$10:$C$13,2,0)</f>
        <v>0.75</v>
      </c>
      <c r="L69" s="9">
        <f>QUOTIENT(Таблица13[[#This Row],[Area]],20)</f>
        <v>45</v>
      </c>
      <c r="M69" s="7" t="s">
        <v>360</v>
      </c>
      <c r="N69" s="16">
        <f>VLOOKUP(Таблица13[[#This Row],[Construction_type]],'Составляющие рейтинга'!$F$17:$G$26,2,0)</f>
        <v>0.2</v>
      </c>
      <c r="O69" s="7" t="s">
        <v>10</v>
      </c>
      <c r="P69" s="21">
        <f>VLOOKUP(Таблица13[[#This Row],[Base_material]],'Составляющие рейтинга'!$K$13:$L$19,2,0)</f>
        <v>0.66666666666666663</v>
      </c>
      <c r="Q69" s="10" t="s">
        <v>2</v>
      </c>
      <c r="R69" s="21">
        <f>VLOOKUP(Таблица13[[#This Row],[Terms_of_use]],'Составляющие рейтинга'!$P$9:$Q$11,2,0)</f>
        <v>1</v>
      </c>
      <c r="S69" s="7" t="s">
        <v>13</v>
      </c>
      <c r="T69" s="21">
        <f>VLOOKUP(Таблица13[[#This Row],[Dimensional_solution]],'Составляющие рейтинга'!$U$9:$V$11,2,0)</f>
        <v>0.33333333333333331</v>
      </c>
      <c r="U69" s="10" t="s">
        <v>40</v>
      </c>
      <c r="V69" s="21">
        <f>VLOOKUP(Таблица13[[#This Row],[Disciplines]],'Составляющие рейтинга'!$Z$14:$AA$20,2,0)</f>
        <v>1</v>
      </c>
      <c r="W69" s="10" t="s">
        <v>120</v>
      </c>
      <c r="X69" s="10">
        <v>1</v>
      </c>
      <c r="Y69" s="10">
        <f>VLOOKUP(Таблица13[[#This Row],[Styles_count]],'Составляющие рейтинга'!$AD$14:$AE$21,2,0)</f>
        <v>0.125</v>
      </c>
      <c r="Z69" s="7" t="s">
        <v>33</v>
      </c>
      <c r="AA69" s="10">
        <f>VLOOKUP(Таблица13[[#This Row],[Riding_level]],'Составляющие рейтинга'!$AH$13:$AI$18,2,0)</f>
        <v>1</v>
      </c>
      <c r="AB69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5.0750000000000002</v>
      </c>
    </row>
    <row r="70" spans="1:28" ht="63.75">
      <c r="A70" s="5">
        <v>69</v>
      </c>
      <c r="B70" s="50">
        <v>69</v>
      </c>
      <c r="C70" s="53" t="s">
        <v>285</v>
      </c>
      <c r="D70" s="51" t="s">
        <v>253</v>
      </c>
      <c r="E70" s="51" t="s">
        <v>286</v>
      </c>
      <c r="F70" s="51" t="s">
        <v>287</v>
      </c>
      <c r="G70" s="51" t="s">
        <v>38</v>
      </c>
      <c r="H70" s="51">
        <v>2021</v>
      </c>
      <c r="I70" s="50">
        <f>1030+1280</f>
        <v>2310</v>
      </c>
      <c r="J70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70" s="7">
        <f>VLOOKUP(Таблица13[[#This Row],[Dimensional_type]],'Составляющие рейтинга'!$B$10:$C$13,2,0)</f>
        <v>1</v>
      </c>
      <c r="L70" s="6">
        <f>QUOTIENT(Таблица13[[#This Row],[Area]],20)</f>
        <v>115</v>
      </c>
      <c r="M70" s="7" t="s">
        <v>136</v>
      </c>
      <c r="N70" s="7">
        <f>VLOOKUP(Таблица13[[#This Row],[Construction_type]],'Составляющие рейтинга'!$F$17:$G$26,2,0)</f>
        <v>1</v>
      </c>
      <c r="O70" s="7" t="s">
        <v>11</v>
      </c>
      <c r="P70" s="20">
        <f>VLOOKUP(Таблица13[[#This Row],[Base_material]],'Составляющие рейтинга'!$K$13:$L$19,2,0)</f>
        <v>1</v>
      </c>
      <c r="Q70" s="10" t="s">
        <v>2</v>
      </c>
      <c r="R70" s="20">
        <f>VLOOKUP(Таблица13[[#This Row],[Terms_of_use]],'Составляющие рейтинга'!$P$9:$Q$11,2,0)</f>
        <v>1</v>
      </c>
      <c r="S70" s="7" t="s">
        <v>13</v>
      </c>
      <c r="T70" s="20">
        <f>VLOOKUP(Таблица13[[#This Row],[Dimensional_solution]],'Составляющие рейтинга'!$U$9:$V$11,2,0)</f>
        <v>0.33333333333333331</v>
      </c>
      <c r="U70" s="10" t="s">
        <v>40</v>
      </c>
      <c r="V70" s="20">
        <f>VLOOKUP(Таблица13[[#This Row],[Disciplines]],'Составляющие рейтинга'!$Z$14:$AA$20,2,0)</f>
        <v>1</v>
      </c>
      <c r="W70" s="7" t="s">
        <v>288</v>
      </c>
      <c r="X70" s="10">
        <v>3</v>
      </c>
      <c r="Y70" s="7">
        <f>VLOOKUP(Таблица13[[#This Row],[Styles_count]],'Составляющие рейтинга'!$AD$14:$AE$21,2,0)</f>
        <v>0.375</v>
      </c>
      <c r="Z70" s="7" t="s">
        <v>33</v>
      </c>
      <c r="AA70" s="7">
        <f>VLOOKUP(Таблица13[[#This Row],[Riding_level]],'Составляющие рейтинга'!$AH$13:$AI$18,2,0)</f>
        <v>1</v>
      </c>
      <c r="AB70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6.708333333333333</v>
      </c>
    </row>
    <row r="71" spans="1:28" ht="63.75">
      <c r="A71" s="8">
        <v>70</v>
      </c>
      <c r="B71" s="52">
        <v>70</v>
      </c>
      <c r="C71" s="53" t="s">
        <v>289</v>
      </c>
      <c r="D71" s="53" t="s">
        <v>253</v>
      </c>
      <c r="E71" s="53" t="s">
        <v>290</v>
      </c>
      <c r="F71" s="53" t="s">
        <v>291</v>
      </c>
      <c r="G71" s="53" t="s">
        <v>38</v>
      </c>
      <c r="H71" s="53">
        <v>2020</v>
      </c>
      <c r="I71" s="52">
        <v>700</v>
      </c>
      <c r="J71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1" s="10">
        <f>VLOOKUP(Таблица13[[#This Row],[Dimensional_type]],'Составляющие рейтинга'!$B$10:$C$13,2,0)</f>
        <v>0.75</v>
      </c>
      <c r="L71" s="9">
        <f>QUOTIENT(Таблица13[[#This Row],[Area]],20)</f>
        <v>35</v>
      </c>
      <c r="M71" s="10" t="s">
        <v>358</v>
      </c>
      <c r="N71" s="10">
        <f>VLOOKUP(Таблица13[[#This Row],[Construction_type]],'Составляющие рейтинга'!$F$17:$G$26,2,0)</f>
        <v>0.60000000000000009</v>
      </c>
      <c r="O71" s="10" t="s">
        <v>11</v>
      </c>
      <c r="P71" s="21">
        <f>VLOOKUP(Таблица13[[#This Row],[Base_material]],'Составляющие рейтинга'!$K$13:$L$19,2,0)</f>
        <v>1</v>
      </c>
      <c r="Q71" s="10" t="s">
        <v>2</v>
      </c>
      <c r="R71" s="21">
        <f>VLOOKUP(Таблица13[[#This Row],[Terms_of_use]],'Составляющие рейтинга'!$P$9:$Q$11,2,0)</f>
        <v>1</v>
      </c>
      <c r="S71" s="7" t="s">
        <v>13</v>
      </c>
      <c r="T71" s="21">
        <f>VLOOKUP(Таблица13[[#This Row],[Dimensional_solution]],'Составляющие рейтинга'!$U$9:$V$11,2,0)</f>
        <v>0.33333333333333331</v>
      </c>
      <c r="U71" s="10" t="s">
        <v>40</v>
      </c>
      <c r="V71" s="21">
        <f>VLOOKUP(Таблица13[[#This Row],[Disciplines]],'Составляющие рейтинга'!$Z$14:$AA$20,2,0)</f>
        <v>1</v>
      </c>
      <c r="W71" s="10" t="s">
        <v>288</v>
      </c>
      <c r="X71" s="10">
        <v>3</v>
      </c>
      <c r="Y71" s="10">
        <f>VLOOKUP(Таблица13[[#This Row],[Styles_count]],'Составляющие рейтинга'!$AD$14:$AE$21,2,0)</f>
        <v>0.375</v>
      </c>
      <c r="Z71" s="7" t="s">
        <v>33</v>
      </c>
      <c r="AA71" s="10">
        <f>VLOOKUP(Таблица13[[#This Row],[Riding_level]],'Составляющие рейтинга'!$AH$13:$AI$18,2,0)</f>
        <v>1</v>
      </c>
      <c r="AB71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6.0583333333333336</v>
      </c>
    </row>
    <row r="72" spans="1:28" ht="76.5">
      <c r="A72" s="5">
        <v>71</v>
      </c>
      <c r="B72" s="50">
        <v>71</v>
      </c>
      <c r="C72" s="53" t="s">
        <v>292</v>
      </c>
      <c r="D72" s="51" t="s">
        <v>253</v>
      </c>
      <c r="E72" s="51" t="s">
        <v>293</v>
      </c>
      <c r="F72" s="51" t="s">
        <v>294</v>
      </c>
      <c r="G72" s="51" t="s">
        <v>38</v>
      </c>
      <c r="H72" s="51">
        <v>2015</v>
      </c>
      <c r="I72" s="50">
        <v>700</v>
      </c>
      <c r="J72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2" s="7">
        <f>VLOOKUP(Таблица13[[#This Row],[Dimensional_type]],'Составляющие рейтинга'!$B$10:$C$13,2,0)</f>
        <v>0.75</v>
      </c>
      <c r="L72" s="6">
        <f>QUOTIENT(Таблица13[[#This Row],[Area]],20)</f>
        <v>35</v>
      </c>
      <c r="M72" s="7" t="s">
        <v>359</v>
      </c>
      <c r="N72" s="7">
        <f>VLOOKUP(Таблица13[[#This Row],[Construction_type]],'Составляющие рейтинга'!$F$17:$G$26,2,0)</f>
        <v>0.4</v>
      </c>
      <c r="O72" s="10" t="s">
        <v>11</v>
      </c>
      <c r="P72" s="20">
        <f>VLOOKUP(Таблица13[[#This Row],[Base_material]],'Составляющие рейтинга'!$K$13:$L$19,2,0)</f>
        <v>1</v>
      </c>
      <c r="Q72" s="10" t="s">
        <v>2</v>
      </c>
      <c r="R72" s="20">
        <f>VLOOKUP(Таблица13[[#This Row],[Terms_of_use]],'Составляющие рейтинга'!$P$9:$Q$11,2,0)</f>
        <v>1</v>
      </c>
      <c r="S72" s="7" t="s">
        <v>13</v>
      </c>
      <c r="T72" s="20">
        <f>VLOOKUP(Таблица13[[#This Row],[Dimensional_solution]],'Составляющие рейтинга'!$U$9:$V$11,2,0)</f>
        <v>0.33333333333333331</v>
      </c>
      <c r="U72" s="10" t="s">
        <v>40</v>
      </c>
      <c r="V72" s="20">
        <f>VLOOKUP(Таблица13[[#This Row],[Disciplines]],'Составляющие рейтинга'!$Z$14:$AA$20,2,0)</f>
        <v>1</v>
      </c>
      <c r="W72" s="7" t="s">
        <v>142</v>
      </c>
      <c r="X72" s="7">
        <v>2</v>
      </c>
      <c r="Y72" s="7">
        <f>VLOOKUP(Таблица13[[#This Row],[Styles_count]],'Составляющие рейтинга'!$AD$14:$AE$21,2,0)</f>
        <v>0.25</v>
      </c>
      <c r="Z72" s="7" t="s">
        <v>33</v>
      </c>
      <c r="AA72" s="7">
        <f>VLOOKUP(Таблица13[[#This Row],[Riding_level]],'Составляющие рейтинга'!$AH$13:$AI$18,2,0)</f>
        <v>1</v>
      </c>
      <c r="AB72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5.7333333333333334</v>
      </c>
    </row>
    <row r="73" spans="1:28" ht="76.5">
      <c r="A73" s="8">
        <v>72</v>
      </c>
      <c r="B73" s="52">
        <v>72</v>
      </c>
      <c r="C73" s="54" t="s">
        <v>295</v>
      </c>
      <c r="D73" s="53" t="s">
        <v>90</v>
      </c>
      <c r="E73" s="53" t="s">
        <v>91</v>
      </c>
      <c r="F73" s="53" t="s">
        <v>296</v>
      </c>
      <c r="G73" s="53" t="s">
        <v>297</v>
      </c>
      <c r="H73" s="53">
        <v>2022</v>
      </c>
      <c r="I73" s="52">
        <v>1800</v>
      </c>
      <c r="J73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73" s="10">
        <f>VLOOKUP(Таблица13[[#This Row],[Dimensional_type]],'Составляющие рейтинга'!$B$10:$C$13,2,0)</f>
        <v>1</v>
      </c>
      <c r="L73" s="9">
        <f>QUOTIENT(Таблица13[[#This Row],[Area]],20)</f>
        <v>90</v>
      </c>
      <c r="M73" s="7" t="s">
        <v>359</v>
      </c>
      <c r="N73" s="16">
        <f>VLOOKUP(Таблица13[[#This Row],[Construction_type]],'Составляющие рейтинга'!$F$17:$G$26,2,0)</f>
        <v>0.4</v>
      </c>
      <c r="O73" s="10" t="s">
        <v>366</v>
      </c>
      <c r="P73" s="21">
        <f>VLOOKUP(Таблица13[[#This Row],[Base_material]],'Составляющие рейтинга'!$K$13:$L$19,2,0)</f>
        <v>0.33333333333333331</v>
      </c>
      <c r="Q73" s="10" t="s">
        <v>3</v>
      </c>
      <c r="R73" s="21">
        <f>VLOOKUP(Таблица13[[#This Row],[Terms_of_use]],'Составляющие рейтинга'!$P$9:$Q$11,2,0)</f>
        <v>0.33333333333333331</v>
      </c>
      <c r="S73" s="10" t="s">
        <v>15</v>
      </c>
      <c r="T73" s="21">
        <f>VLOOKUP(Таблица13[[#This Row],[Dimensional_solution]],'Составляющие рейтинга'!$U$9:$V$11,2,0)</f>
        <v>1</v>
      </c>
      <c r="U73" s="10" t="s">
        <v>40</v>
      </c>
      <c r="V73" s="21">
        <f>VLOOKUP(Таблица13[[#This Row],[Disciplines]],'Составляющие рейтинга'!$Z$14:$AA$20,2,0)</f>
        <v>1</v>
      </c>
      <c r="W73" s="10" t="s">
        <v>298</v>
      </c>
      <c r="X73" s="10">
        <v>6</v>
      </c>
      <c r="Y73" s="10">
        <f>VLOOKUP(Таблица13[[#This Row],[Styles_count]],'Составляющие рейтинга'!$AD$14:$AE$21,2,0)</f>
        <v>0.75</v>
      </c>
      <c r="Z73" s="7" t="s">
        <v>33</v>
      </c>
      <c r="AA73" s="10">
        <f>VLOOKUP(Таблица13[[#This Row],[Riding_level]],'Составляющие рейтинга'!$AH$13:$AI$18,2,0)</f>
        <v>1</v>
      </c>
      <c r="AB73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5.8166666666666664</v>
      </c>
    </row>
    <row r="74" spans="1:28" ht="63.75">
      <c r="A74" s="5">
        <v>73</v>
      </c>
      <c r="B74" s="50">
        <v>73</v>
      </c>
      <c r="C74" s="55" t="s">
        <v>299</v>
      </c>
      <c r="D74" s="51" t="s">
        <v>49</v>
      </c>
      <c r="E74" s="51" t="s">
        <v>300</v>
      </c>
      <c r="F74" s="51" t="s">
        <v>301</v>
      </c>
      <c r="G74" s="51" t="s">
        <v>297</v>
      </c>
      <c r="H74" s="51">
        <v>2017</v>
      </c>
      <c r="I74" s="50">
        <v>700</v>
      </c>
      <c r="J74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4" s="7">
        <f>VLOOKUP(Таблица13[[#This Row],[Dimensional_type]],'Составляющие рейтинга'!$B$10:$C$13,2,0)</f>
        <v>0.75</v>
      </c>
      <c r="L74" s="6">
        <f>QUOTIENT(Таблица13[[#This Row],[Area]],20)</f>
        <v>35</v>
      </c>
      <c r="M74" s="7" t="s">
        <v>359</v>
      </c>
      <c r="N74" s="7">
        <f>VLOOKUP(Таблица13[[#This Row],[Construction_type]],'Составляющие рейтинга'!$F$17:$G$26,2,0)</f>
        <v>0.4</v>
      </c>
      <c r="O74" s="10" t="s">
        <v>366</v>
      </c>
      <c r="P74" s="20">
        <f>VLOOKUP(Таблица13[[#This Row],[Base_material]],'Составляющие рейтинга'!$K$13:$L$19,2,0)</f>
        <v>0.33333333333333331</v>
      </c>
      <c r="Q74" s="10" t="s">
        <v>3</v>
      </c>
      <c r="R74" s="20">
        <f>VLOOKUP(Таблица13[[#This Row],[Terms_of_use]],'Составляющие рейтинга'!$P$9:$Q$11,2,0)</f>
        <v>0.33333333333333331</v>
      </c>
      <c r="S74" s="10" t="s">
        <v>15</v>
      </c>
      <c r="T74" s="20">
        <f>VLOOKUP(Таблица13[[#This Row],[Dimensional_solution]],'Составляющие рейтинга'!$U$9:$V$11,2,0)</f>
        <v>1</v>
      </c>
      <c r="U74" s="10" t="s">
        <v>40</v>
      </c>
      <c r="V74" s="20">
        <f>VLOOKUP(Таблица13[[#This Row],[Disciplines]],'Составляющие рейтинга'!$Z$14:$AA$20,2,0)</f>
        <v>1</v>
      </c>
      <c r="W74" s="7" t="s">
        <v>120</v>
      </c>
      <c r="X74" s="10">
        <v>1</v>
      </c>
      <c r="Y74" s="7">
        <f>VLOOKUP(Таблица13[[#This Row],[Styles_count]],'Составляющие рейтинга'!$AD$14:$AE$21,2,0)</f>
        <v>0.125</v>
      </c>
      <c r="Z74" s="7" t="s">
        <v>33</v>
      </c>
      <c r="AA74" s="7">
        <f>VLOOKUP(Таблица13[[#This Row],[Riding_level]],'Составляющие рейтинга'!$AH$13:$AI$18,2,0)</f>
        <v>1</v>
      </c>
      <c r="AB74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4.9416666666666664</v>
      </c>
    </row>
    <row r="75" spans="1:28" ht="63.75">
      <c r="A75" s="8">
        <v>74</v>
      </c>
      <c r="B75" s="52">
        <v>74</v>
      </c>
      <c r="C75" s="54" t="s">
        <v>302</v>
      </c>
      <c r="D75" s="53" t="s">
        <v>188</v>
      </c>
      <c r="E75" s="53" t="s">
        <v>303</v>
      </c>
      <c r="F75" s="53" t="s">
        <v>304</v>
      </c>
      <c r="G75" s="54" t="s">
        <v>302</v>
      </c>
      <c r="H75" s="53">
        <v>2014</v>
      </c>
      <c r="I75" s="52">
        <v>680</v>
      </c>
      <c r="J75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5" s="10">
        <f>VLOOKUP(Таблица13[[#This Row],[Dimensional_type]],'Составляющие рейтинга'!$B$10:$C$13,2,0)</f>
        <v>0.75</v>
      </c>
      <c r="L75" s="9">
        <f>QUOTIENT(Таблица13[[#This Row],[Area]],20)</f>
        <v>34</v>
      </c>
      <c r="M75" s="7" t="s">
        <v>359</v>
      </c>
      <c r="N75" s="16">
        <f>VLOOKUP(Таблица13[[#This Row],[Construction_type]],'Составляющие рейтинга'!$F$17:$G$26,2,0)</f>
        <v>0.4</v>
      </c>
      <c r="O75" s="10" t="s">
        <v>11</v>
      </c>
      <c r="P75" s="21">
        <f>VLOOKUP(Таблица13[[#This Row],[Base_material]],'Составляющие рейтинга'!$K$13:$L$19,2,0)</f>
        <v>1</v>
      </c>
      <c r="Q75" s="10" t="s">
        <v>3</v>
      </c>
      <c r="R75" s="21">
        <f>VLOOKUP(Таблица13[[#This Row],[Terms_of_use]],'Составляющие рейтинга'!$P$9:$Q$11,2,0)</f>
        <v>0.33333333333333331</v>
      </c>
      <c r="S75" s="10" t="s">
        <v>15</v>
      </c>
      <c r="T75" s="21">
        <f>VLOOKUP(Таблица13[[#This Row],[Dimensional_solution]],'Составляющие рейтинга'!$U$9:$V$11,2,0)</f>
        <v>1</v>
      </c>
      <c r="U75" s="10" t="s">
        <v>40</v>
      </c>
      <c r="V75" s="21">
        <f>VLOOKUP(Таблица13[[#This Row],[Disciplines]],'Составляющие рейтинга'!$Z$14:$AA$20,2,0)</f>
        <v>1</v>
      </c>
      <c r="W75" s="10" t="s">
        <v>265</v>
      </c>
      <c r="X75" s="10">
        <v>3</v>
      </c>
      <c r="Y75" s="10">
        <f>VLOOKUP(Таблица13[[#This Row],[Styles_count]],'Составляющие рейтинга'!$AD$14:$AE$21,2,0)</f>
        <v>0.375</v>
      </c>
      <c r="Z75" s="7" t="s">
        <v>33</v>
      </c>
      <c r="AA75" s="10">
        <f>VLOOKUP(Таблица13[[#This Row],[Riding_level]],'Составляющие рейтинга'!$AH$13:$AI$18,2,0)</f>
        <v>1</v>
      </c>
      <c r="AB75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5.8583333333333334</v>
      </c>
    </row>
    <row r="76" spans="1:28" ht="63.75">
      <c r="A76" s="5">
        <v>75</v>
      </c>
      <c r="B76" s="50">
        <v>75</v>
      </c>
      <c r="C76" s="55" t="s">
        <v>305</v>
      </c>
      <c r="D76" s="51" t="s">
        <v>43</v>
      </c>
      <c r="E76" s="51" t="s">
        <v>306</v>
      </c>
      <c r="F76" s="51" t="s">
        <v>307</v>
      </c>
      <c r="G76" s="55" t="s">
        <v>308</v>
      </c>
      <c r="H76" s="51">
        <v>2023</v>
      </c>
      <c r="I76" s="50">
        <v>300</v>
      </c>
      <c r="J76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Местного значения</v>
      </c>
      <c r="K76" s="7">
        <f>VLOOKUP(Таблица13[[#This Row],[Dimensional_type]],'Составляющие рейтинга'!$B$10:$C$13,2,0)</f>
        <v>0.25</v>
      </c>
      <c r="L76" s="6">
        <f>QUOTIENT(Таблица13[[#This Row],[Area]],20)</f>
        <v>15</v>
      </c>
      <c r="M76" s="7" t="s">
        <v>359</v>
      </c>
      <c r="N76" s="7">
        <f>VLOOKUP(Таблица13[[#This Row],[Construction_type]],'Составляющие рейтинга'!$F$17:$G$26,2,0)</f>
        <v>0.4</v>
      </c>
      <c r="O76" s="10" t="s">
        <v>366</v>
      </c>
      <c r="P76" s="20">
        <f>VLOOKUP(Таблица13[[#This Row],[Base_material]],'Составляющие рейтинга'!$K$13:$L$19,2,0)</f>
        <v>0.33333333333333331</v>
      </c>
      <c r="Q76" s="10" t="s">
        <v>3</v>
      </c>
      <c r="R76" s="20">
        <f>VLOOKUP(Таблица13[[#This Row],[Terms_of_use]],'Составляющие рейтинга'!$P$9:$Q$11,2,0)</f>
        <v>0.33333333333333331</v>
      </c>
      <c r="S76" s="10" t="s">
        <v>15</v>
      </c>
      <c r="T76" s="20">
        <f>VLOOKUP(Таблица13[[#This Row],[Dimensional_solution]],'Составляющие рейтинга'!$U$9:$V$11,2,0)</f>
        <v>1</v>
      </c>
      <c r="U76" s="7" t="s">
        <v>309</v>
      </c>
      <c r="V76" s="20">
        <f>VLOOKUP(Таблица13[[#This Row],[Disciplines]],'Составляющие рейтинга'!$Z$14:$AA$20,2,0)</f>
        <v>0.5</v>
      </c>
      <c r="W76" s="7" t="s">
        <v>120</v>
      </c>
      <c r="X76" s="10">
        <v>1</v>
      </c>
      <c r="Y76" s="7">
        <f>VLOOKUP(Таблица13[[#This Row],[Styles_count]],'Составляющие рейтинга'!$AD$14:$AE$21,2,0)</f>
        <v>0.125</v>
      </c>
      <c r="Z76" s="7" t="s">
        <v>33</v>
      </c>
      <c r="AA76" s="7">
        <f>VLOOKUP(Таблица13[[#This Row],[Riding_level]],'Составляющие рейтинга'!$AH$13:$AI$18,2,0)</f>
        <v>1</v>
      </c>
      <c r="AB76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3.9416666666666664</v>
      </c>
    </row>
    <row r="77" spans="1:28" ht="63.75">
      <c r="A77" s="8">
        <v>76</v>
      </c>
      <c r="B77" s="52">
        <v>76</v>
      </c>
      <c r="C77" s="54" t="s">
        <v>310</v>
      </c>
      <c r="D77" s="53" t="s">
        <v>74</v>
      </c>
      <c r="E77" s="53" t="s">
        <v>217</v>
      </c>
      <c r="F77" s="53" t="s">
        <v>311</v>
      </c>
      <c r="G77" s="53" t="s">
        <v>69</v>
      </c>
      <c r="H77" s="53">
        <v>2023</v>
      </c>
      <c r="I77" s="52">
        <v>1000</v>
      </c>
      <c r="J77" s="53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7" s="10">
        <f>VLOOKUP(Таблица13[[#This Row],[Dimensional_type]],'Составляющие рейтинга'!$B$10:$C$13,2,0)</f>
        <v>0.75</v>
      </c>
      <c r="L77" s="9">
        <f>QUOTIENT(Таблица13[[#This Row],[Area]],20)</f>
        <v>50</v>
      </c>
      <c r="M77" s="10" t="s">
        <v>359</v>
      </c>
      <c r="N77" s="10">
        <f>VLOOKUP(Таблица13[[#This Row],[Construction_type]],'Составляющие рейтинга'!$F$17:$G$26,2,0)</f>
        <v>0.4</v>
      </c>
      <c r="O77" s="10" t="s">
        <v>11</v>
      </c>
      <c r="P77" s="21">
        <f>VLOOKUP(Таблица13[[#This Row],[Base_material]],'Составляющие рейтинга'!$K$13:$L$19,2,0)</f>
        <v>1</v>
      </c>
      <c r="Q77" s="10" t="s">
        <v>2</v>
      </c>
      <c r="R77" s="21">
        <f>VLOOKUP(Таблица13[[#This Row],[Terms_of_use]],'Составляющие рейтинга'!$P$9:$Q$11,2,0)</f>
        <v>1</v>
      </c>
      <c r="S77" s="7" t="s">
        <v>13</v>
      </c>
      <c r="T77" s="21">
        <f>VLOOKUP(Таблица13[[#This Row],[Dimensional_solution]],'Составляющие рейтинга'!$U$9:$V$11,2,0)</f>
        <v>0.33333333333333331</v>
      </c>
      <c r="U77" s="10" t="s">
        <v>40</v>
      </c>
      <c r="V77" s="21">
        <f>VLOOKUP(Таблица13[[#This Row],[Disciplines]],'Составляющие рейтинга'!$Z$14:$AA$20,2,0)</f>
        <v>1</v>
      </c>
      <c r="W77" s="10" t="s">
        <v>215</v>
      </c>
      <c r="X77" s="10">
        <v>3</v>
      </c>
      <c r="Y77" s="10">
        <f>VLOOKUP(Таблица13[[#This Row],[Styles_count]],'Составляющие рейтинга'!$AD$14:$AE$21,2,0)</f>
        <v>0.375</v>
      </c>
      <c r="Z77" s="7" t="s">
        <v>33</v>
      </c>
      <c r="AA77" s="10">
        <f>VLOOKUP(Таблица13[[#This Row],[Riding_level]],'Составляющие рейтинга'!$AH$13:$AI$18,2,0)</f>
        <v>1</v>
      </c>
      <c r="AB77" s="31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5.8583333333333334</v>
      </c>
    </row>
    <row r="78" spans="1:28" ht="63.75">
      <c r="A78" s="5">
        <v>77</v>
      </c>
      <c r="B78" s="50">
        <v>77</v>
      </c>
      <c r="C78" s="55" t="s">
        <v>312</v>
      </c>
      <c r="D78" s="51" t="s">
        <v>313</v>
      </c>
      <c r="E78" s="51" t="s">
        <v>314</v>
      </c>
      <c r="F78" s="51" t="s">
        <v>315</v>
      </c>
      <c r="G78" s="51" t="s">
        <v>69</v>
      </c>
      <c r="H78" s="51">
        <v>2023</v>
      </c>
      <c r="I78" s="50">
        <v>800</v>
      </c>
      <c r="J78" s="51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Районного масштаба</v>
      </c>
      <c r="K78" s="7">
        <f>VLOOKUP(Таблица13[[#This Row],[Dimensional_type]],'Составляющие рейтинга'!$B$10:$C$13,2,0)</f>
        <v>0.75</v>
      </c>
      <c r="L78" s="6">
        <f>QUOTIENT(Таблица13[[#This Row],[Area]],20)</f>
        <v>40</v>
      </c>
      <c r="M78" s="7" t="s">
        <v>360</v>
      </c>
      <c r="N78" s="7">
        <f>VLOOKUP(Таблица13[[#This Row],[Construction_type]],'Составляющие рейтинга'!$F$17:$G$26,2,0)</f>
        <v>0.2</v>
      </c>
      <c r="O78" s="7" t="s">
        <v>10</v>
      </c>
      <c r="P78" s="20">
        <f>VLOOKUP(Таблица13[[#This Row],[Base_material]],'Составляющие рейтинга'!$K$13:$L$19,2,0)</f>
        <v>0.66666666666666663</v>
      </c>
      <c r="Q78" s="10" t="s">
        <v>2</v>
      </c>
      <c r="R78" s="20">
        <f>VLOOKUP(Таблица13[[#This Row],[Terms_of_use]],'Составляющие рейтинга'!$P$9:$Q$11,2,0)</f>
        <v>1</v>
      </c>
      <c r="S78" s="7" t="s">
        <v>39</v>
      </c>
      <c r="T78" s="20">
        <f>VLOOKUP(Таблица13[[#This Row],[Dimensional_solution]],'Составляющие рейтинга'!$U$9:$V$11,2,0)</f>
        <v>0.66666666666666663</v>
      </c>
      <c r="U78" s="10" t="s">
        <v>40</v>
      </c>
      <c r="V78" s="20">
        <f>VLOOKUP(Таблица13[[#This Row],[Disciplines]],'Составляющие рейтинга'!$Z$14:$AA$20,2,0)</f>
        <v>1</v>
      </c>
      <c r="W78" s="7" t="s">
        <v>316</v>
      </c>
      <c r="X78" s="7">
        <v>2</v>
      </c>
      <c r="Y78" s="7">
        <f>VLOOKUP(Таблица13[[#This Row],[Styles_count]],'Составляющие рейтинга'!$AD$14:$AE$21,2,0)</f>
        <v>0.25</v>
      </c>
      <c r="Z78" s="10" t="s">
        <v>388</v>
      </c>
      <c r="AA78" s="7">
        <f>VLOOKUP(Таблица13[[#This Row],[Riding_level]],'Составляющие рейтинга'!$AH$13:$AI$18,2,0)</f>
        <v>0.66666666666666663</v>
      </c>
      <c r="AB78" s="32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5.2</v>
      </c>
    </row>
    <row r="79" spans="1:28" ht="76.5">
      <c r="A79" s="11">
        <v>78</v>
      </c>
      <c r="B79" s="56">
        <v>78</v>
      </c>
      <c r="C79" s="57" t="s">
        <v>317</v>
      </c>
      <c r="D79" s="58" t="s">
        <v>98</v>
      </c>
      <c r="E79" s="58" t="s">
        <v>99</v>
      </c>
      <c r="F79" s="58" t="s">
        <v>318</v>
      </c>
      <c r="G79" s="58" t="s">
        <v>69</v>
      </c>
      <c r="H79" s="58">
        <v>2021</v>
      </c>
      <c r="I79" s="56">
        <v>1700</v>
      </c>
      <c r="J79" s="58" t="str">
        <f>IF(Таблица13[[#This Row],[Area]]&gt;1300,"Городского масштаба",IF(Таблица13[[#This Row],[Area]]&gt;650,"Районного масштаба",IF(Таблица13[[#This Row],[Area]]&gt;300,"Муниципального масштаба","Местного значения")))</f>
        <v>Городского масштаба</v>
      </c>
      <c r="K79" s="13">
        <f>VLOOKUP(Таблица13[[#This Row],[Dimensional_type]],'Составляющие рейтинга'!$B$10:$C$13,2,0)</f>
        <v>1</v>
      </c>
      <c r="L79" s="12">
        <f>QUOTIENT(Таблица13[[#This Row],[Area]],20)</f>
        <v>85</v>
      </c>
      <c r="M79" s="13" t="s">
        <v>361</v>
      </c>
      <c r="N79" s="13">
        <f>VLOOKUP(Таблица13[[#This Row],[Construction_type]],'Составляющие рейтинга'!$F$17:$G$26,2,0)</f>
        <v>0.4</v>
      </c>
      <c r="O79" s="13" t="s">
        <v>367</v>
      </c>
      <c r="P79" s="22">
        <f>VLOOKUP(Таблица13[[#This Row],[Base_material]],'Составляющие рейтинга'!$K$13:$L$19,2,0)</f>
        <v>1</v>
      </c>
      <c r="Q79" s="13" t="s">
        <v>30</v>
      </c>
      <c r="R79" s="22">
        <f>VLOOKUP(Таблица13[[#This Row],[Terms_of_use]],'Составляющие рейтинга'!$P$9:$Q$11,2,0)</f>
        <v>0.66666666666666663</v>
      </c>
      <c r="S79" s="13" t="s">
        <v>13</v>
      </c>
      <c r="T79" s="22">
        <f>VLOOKUP(Таблица13[[#This Row],[Dimensional_solution]],'Составляющие рейтинга'!$U$9:$V$11,2,0)</f>
        <v>0.33333333333333331</v>
      </c>
      <c r="U79" s="13" t="s">
        <v>31</v>
      </c>
      <c r="V79" s="22">
        <f>VLOOKUP(Таблица13[[#This Row],[Disciplines]],'Составляющие рейтинга'!$Z$14:$AA$20,2,0)</f>
        <v>0.25</v>
      </c>
      <c r="W79" s="13" t="s">
        <v>32</v>
      </c>
      <c r="X79" s="13">
        <v>1</v>
      </c>
      <c r="Y79" s="13">
        <f>VLOOKUP(Таблица13[[#This Row],[Styles_count]],'Составляющие рейтинга'!$AD$14:$AE$21,2,0)</f>
        <v>0.125</v>
      </c>
      <c r="Z79" s="13" t="s">
        <v>33</v>
      </c>
      <c r="AA79" s="13">
        <f>VLOOKUP(Таблица13[[#This Row],[Riding_level]],'Составляющие рейтинга'!$AH$13:$AI$18,2,0)</f>
        <v>1</v>
      </c>
      <c r="AB79" s="33">
        <f>Таблица13[[#This Row],[R1]]+Таблица13[[#This Row],[R2]]+Таблица13[[#This Row],[R3]]+Таблица13[[#This Row],[R4]]+Таблица13[[#This Row],[R5]]+Таблица13[[#This Row],[R6]]+Таблица13[[#This Row],[R7]]+Таблица13[[#This Row],[R8]]</f>
        <v>4.7750000000000004</v>
      </c>
    </row>
  </sheetData>
  <dataValidations count="1">
    <dataValidation type="custom" allowBlank="1" showDropDown="1" sqref="A2:B79 I2:I79 L2:L79">
      <formula1>AND(ISNUMBER(A2),(NOT(OR(NOT(ISERROR(DATEVALUE(A2))), AND(ISNUMBER(A2), LEFT(CELL("format", A2))="D")))))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'Составляющие рейтинга'!$F$3:$F$12</xm:f>
          </x14:formula1>
          <xm:sqref>M2:M79</xm:sqref>
        </x14:dataValidation>
        <x14:dataValidation type="list" allowBlank="1" showInputMessage="1" showErrorMessage="1">
          <x14:formula1>
            <xm:f>'Составляющие рейтинга'!$K$13:$K$19</xm:f>
          </x14:formula1>
          <xm:sqref>O2:O79</xm:sqref>
        </x14:dataValidation>
        <x14:dataValidation type="list" allowBlank="1" showInputMessage="1" showErrorMessage="1">
          <x14:formula1>
            <xm:f>'Составляющие рейтинга'!$P$9:$P$11</xm:f>
          </x14:formula1>
          <xm:sqref>Q2:Q79</xm:sqref>
        </x14:dataValidation>
        <x14:dataValidation type="list" allowBlank="1" showInputMessage="1" showErrorMessage="1">
          <x14:formula1>
            <xm:f>'Составляющие рейтинга'!$U$9:$U$11</xm:f>
          </x14:formula1>
          <xm:sqref>S2:S79</xm:sqref>
        </x14:dataValidation>
        <x14:dataValidation type="list" allowBlank="1" showInputMessage="1" showErrorMessage="1">
          <x14:formula1>
            <xm:f>'Составляющие рейтинга'!$Z$14:$Z$20</xm:f>
          </x14:formula1>
          <xm:sqref>U2:U79</xm:sqref>
        </x14:dataValidation>
        <x14:dataValidation type="list" allowBlank="1" showInputMessage="1" showErrorMessage="1">
          <x14:formula1>
            <xm:f>'Составляющие рейтинга'!$AD$14:$AD$21</xm:f>
          </x14:formula1>
          <xm:sqref>X2:X79</xm:sqref>
        </x14:dataValidation>
        <x14:dataValidation type="list" allowBlank="1" showInputMessage="1" showErrorMessage="1">
          <x14:formula1>
            <xm:f>'Составляющие рейтинга'!$AH$13:$AH$18</xm:f>
          </x14:formula1>
          <xm:sqref>Z2:Z79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9"/>
  <sheetViews>
    <sheetView topLeftCell="O1" workbookViewId="0">
      <selection activeCell="AH2" sqref="AH2"/>
    </sheetView>
  </sheetViews>
  <sheetFormatPr defaultRowHeight="15"/>
  <cols>
    <col min="1" max="1" width="14.140625" style="1" bestFit="1" customWidth="1"/>
    <col min="2" max="2" width="26.5703125" style="1" bestFit="1" customWidth="1"/>
    <col min="3" max="3" width="6.140625" style="1" customWidth="1"/>
    <col min="4" max="4" width="11.42578125" style="1" bestFit="1" customWidth="1"/>
    <col min="5" max="5" width="9.140625" style="1"/>
    <col min="6" max="6" width="22.28515625" style="1" bestFit="1" customWidth="1"/>
    <col min="7" max="7" width="14.42578125" style="1" bestFit="1" customWidth="1"/>
    <col min="8" max="8" width="6.140625" style="1" bestFit="1" customWidth="1"/>
    <col min="9" max="9" width="11.42578125" style="1" bestFit="1" customWidth="1"/>
    <col min="10" max="10" width="9.140625" style="1"/>
    <col min="11" max="11" width="20.140625" style="1" customWidth="1"/>
    <col min="12" max="12" width="12.85546875" style="1" customWidth="1"/>
    <col min="13" max="13" width="10.28515625" style="1" customWidth="1"/>
    <col min="14" max="14" width="14.28515625" style="1" customWidth="1"/>
    <col min="15" max="15" width="9.140625" style="1"/>
    <col min="16" max="16" width="19.42578125" style="1" customWidth="1"/>
    <col min="17" max="17" width="10.5703125" style="1" customWidth="1"/>
    <col min="18" max="18" width="9.140625" style="1"/>
    <col min="19" max="19" width="12.85546875" style="1" customWidth="1"/>
    <col min="20" max="20" width="9.140625" style="1"/>
    <col min="21" max="21" width="23.5703125" style="1" customWidth="1"/>
    <col min="22" max="22" width="12.140625" style="1" customWidth="1"/>
    <col min="23" max="23" width="9.140625" style="1"/>
    <col min="24" max="24" width="13.5703125" style="1" customWidth="1"/>
    <col min="25" max="25" width="9.140625" style="1"/>
    <col min="26" max="26" width="13.42578125" style="1" customWidth="1"/>
    <col min="27" max="27" width="9.140625" style="1"/>
    <col min="28" max="28" width="13.7109375" style="1" customWidth="1"/>
    <col min="29" max="31" width="9.140625" style="1"/>
    <col min="32" max="32" width="11.85546875" style="1" customWidth="1"/>
    <col min="33" max="33" width="9.140625" style="1"/>
    <col min="34" max="34" width="13.28515625" style="1" customWidth="1"/>
    <col min="35" max="35" width="10.5703125" style="1" bestFit="1" customWidth="1"/>
    <col min="36" max="36" width="13.5703125" style="1" customWidth="1"/>
    <col min="37" max="16384" width="9.140625" style="1"/>
  </cols>
  <sheetData>
    <row r="2" spans="1:36">
      <c r="A2" s="2" t="s">
        <v>326</v>
      </c>
      <c r="B2" s="15" t="s">
        <v>327</v>
      </c>
      <c r="C2" s="2" t="s">
        <v>342</v>
      </c>
      <c r="D2" s="15" t="s">
        <v>344</v>
      </c>
      <c r="F2" s="17" t="s">
        <v>329</v>
      </c>
      <c r="G2" s="2" t="s">
        <v>355</v>
      </c>
      <c r="H2" s="2" t="s">
        <v>342</v>
      </c>
      <c r="I2" s="17" t="s">
        <v>344</v>
      </c>
      <c r="K2" s="18" t="s">
        <v>330</v>
      </c>
      <c r="L2" s="2" t="s">
        <v>355</v>
      </c>
      <c r="M2" s="2" t="s">
        <v>342</v>
      </c>
      <c r="N2" s="18" t="s">
        <v>344</v>
      </c>
      <c r="P2" s="62" t="s">
        <v>331</v>
      </c>
      <c r="Q2" s="2" t="s">
        <v>355</v>
      </c>
      <c r="R2" s="2" t="s">
        <v>342</v>
      </c>
      <c r="S2" s="62" t="s">
        <v>344</v>
      </c>
      <c r="U2" s="63" t="s">
        <v>332</v>
      </c>
      <c r="V2" s="2" t="s">
        <v>355</v>
      </c>
      <c r="W2" s="2" t="s">
        <v>342</v>
      </c>
      <c r="X2" s="63" t="s">
        <v>344</v>
      </c>
      <c r="Z2" s="60" t="s">
        <v>333</v>
      </c>
      <c r="AA2" s="2" t="s">
        <v>342</v>
      </c>
      <c r="AB2" s="60" t="s">
        <v>344</v>
      </c>
      <c r="AD2" s="59" t="s">
        <v>334</v>
      </c>
      <c r="AE2" s="2" t="s">
        <v>342</v>
      </c>
      <c r="AF2" s="59" t="s">
        <v>344</v>
      </c>
      <c r="AH2" s="61" t="s">
        <v>335</v>
      </c>
      <c r="AI2" s="2" t="s">
        <v>342</v>
      </c>
      <c r="AJ2" s="61" t="s">
        <v>344</v>
      </c>
    </row>
    <row r="3" spans="1:36" ht="30">
      <c r="A3" s="2" t="s">
        <v>337</v>
      </c>
      <c r="B3" s="2" t="s">
        <v>53</v>
      </c>
      <c r="C3" s="2">
        <v>1</v>
      </c>
      <c r="D3" s="2">
        <f>C3*$C$8</f>
        <v>0.25</v>
      </c>
      <c r="F3" s="2" t="s">
        <v>357</v>
      </c>
      <c r="G3" s="2" t="s">
        <v>345</v>
      </c>
      <c r="H3" s="2">
        <v>3</v>
      </c>
      <c r="I3" s="4">
        <f t="shared" ref="I3:I12" si="0">H3*$G$14</f>
        <v>0.60000000000000009</v>
      </c>
      <c r="K3" s="2" t="s">
        <v>10</v>
      </c>
      <c r="L3" s="2" t="s">
        <v>373</v>
      </c>
      <c r="M3" s="2">
        <v>2</v>
      </c>
      <c r="N3" s="4">
        <f>M3*$L$11</f>
        <v>0.66666666666666663</v>
      </c>
      <c r="P3" s="2" t="s">
        <v>2</v>
      </c>
      <c r="Q3" s="2" t="s">
        <v>375</v>
      </c>
      <c r="R3" s="2">
        <v>3</v>
      </c>
      <c r="S3" s="4">
        <f>R3*$Q$7</f>
        <v>1</v>
      </c>
      <c r="U3" s="2" t="s">
        <v>13</v>
      </c>
      <c r="V3" s="2" t="s">
        <v>377</v>
      </c>
      <c r="W3" s="2">
        <v>1</v>
      </c>
      <c r="X3" s="4">
        <f>W3*$V$7</f>
        <v>0.33333333333333331</v>
      </c>
      <c r="Z3" s="2" t="s">
        <v>31</v>
      </c>
      <c r="AA3" s="2">
        <v>1</v>
      </c>
      <c r="AB3" s="4">
        <f>AA3*$AA$11</f>
        <v>0.25</v>
      </c>
      <c r="AD3" s="2" t="s">
        <v>32</v>
      </c>
      <c r="AE3" s="2">
        <v>1</v>
      </c>
      <c r="AF3" s="14">
        <f t="shared" ref="AF3:AF10" si="1">AE3*$AE$12</f>
        <v>0.125</v>
      </c>
      <c r="AH3" s="2" t="s">
        <v>72</v>
      </c>
      <c r="AI3" s="2">
        <v>1</v>
      </c>
      <c r="AJ3" s="4">
        <f>AI3*$AI$10</f>
        <v>0.33333333333333331</v>
      </c>
    </row>
    <row r="4" spans="1:36">
      <c r="A4" s="2" t="s">
        <v>338</v>
      </c>
      <c r="B4" s="2" t="s">
        <v>341</v>
      </c>
      <c r="C4" s="2">
        <v>2</v>
      </c>
      <c r="D4" s="2">
        <f>C4*$C$8</f>
        <v>0.5</v>
      </c>
      <c r="F4" s="2" t="s">
        <v>358</v>
      </c>
      <c r="G4" s="2" t="s">
        <v>346</v>
      </c>
      <c r="H4" s="2">
        <v>3</v>
      </c>
      <c r="I4" s="4">
        <f t="shared" si="0"/>
        <v>0.60000000000000009</v>
      </c>
      <c r="K4" s="2" t="s">
        <v>11</v>
      </c>
      <c r="L4" s="2" t="s">
        <v>346</v>
      </c>
      <c r="M4" s="2">
        <v>3</v>
      </c>
      <c r="N4" s="4">
        <f t="shared" ref="N4:N9" si="2">M4*$L$11</f>
        <v>1</v>
      </c>
      <c r="P4" s="2" t="s">
        <v>3</v>
      </c>
      <c r="Q4" s="2" t="s">
        <v>374</v>
      </c>
      <c r="R4" s="2">
        <v>1</v>
      </c>
      <c r="S4" s="4">
        <f t="shared" ref="S4:S5" si="3">R4*$Q$7</f>
        <v>0.33333333333333331</v>
      </c>
      <c r="U4" s="2" t="s">
        <v>39</v>
      </c>
      <c r="V4" s="2" t="s">
        <v>379</v>
      </c>
      <c r="W4" s="2">
        <v>2</v>
      </c>
      <c r="X4" s="4">
        <f t="shared" ref="X4:X5" si="4">W4*$Q$7</f>
        <v>0.66666666666666663</v>
      </c>
      <c r="Z4" s="2" t="s">
        <v>17</v>
      </c>
      <c r="AA4" s="2">
        <v>1</v>
      </c>
      <c r="AB4" s="4">
        <f t="shared" ref="AB4:AB9" si="5">AA4*$AA$11</f>
        <v>0.25</v>
      </c>
      <c r="AD4" s="2" t="s">
        <v>381</v>
      </c>
      <c r="AE4" s="2">
        <v>1</v>
      </c>
      <c r="AF4" s="14">
        <f t="shared" si="1"/>
        <v>0.125</v>
      </c>
      <c r="AH4" s="2" t="s">
        <v>386</v>
      </c>
      <c r="AI4" s="2">
        <v>1</v>
      </c>
      <c r="AJ4" s="4">
        <f t="shared" ref="AJ4:AJ8" si="6">AI4*$AI$10</f>
        <v>0.33333333333333331</v>
      </c>
    </row>
    <row r="5" spans="1:36" ht="30">
      <c r="A5" s="2" t="s">
        <v>339</v>
      </c>
      <c r="B5" s="2" t="s">
        <v>46</v>
      </c>
      <c r="C5" s="2">
        <v>3</v>
      </c>
      <c r="D5" s="2">
        <f>C5*$C$8</f>
        <v>0.75</v>
      </c>
      <c r="F5" s="2" t="s">
        <v>359</v>
      </c>
      <c r="G5" s="2" t="s">
        <v>347</v>
      </c>
      <c r="H5" s="2">
        <v>2</v>
      </c>
      <c r="I5" s="4">
        <f t="shared" si="0"/>
        <v>0.4</v>
      </c>
      <c r="K5" s="2" t="s">
        <v>366</v>
      </c>
      <c r="L5" s="2" t="s">
        <v>372</v>
      </c>
      <c r="M5" s="2">
        <v>1</v>
      </c>
      <c r="N5" s="4">
        <f t="shared" si="2"/>
        <v>0.33333333333333331</v>
      </c>
      <c r="P5" s="2" t="s">
        <v>30</v>
      </c>
      <c r="Q5" s="2" t="s">
        <v>376</v>
      </c>
      <c r="R5" s="2">
        <v>2</v>
      </c>
      <c r="S5" s="4">
        <f t="shared" si="3"/>
        <v>0.66666666666666663</v>
      </c>
      <c r="U5" s="2" t="s">
        <v>15</v>
      </c>
      <c r="V5" s="2" t="s">
        <v>378</v>
      </c>
      <c r="W5" s="2">
        <v>3</v>
      </c>
      <c r="X5" s="4">
        <f t="shared" si="4"/>
        <v>1</v>
      </c>
      <c r="Z5" s="2" t="s">
        <v>18</v>
      </c>
      <c r="AA5" s="2">
        <v>1</v>
      </c>
      <c r="AB5" s="4">
        <f t="shared" si="5"/>
        <v>0.25</v>
      </c>
      <c r="AD5" s="2" t="s">
        <v>382</v>
      </c>
      <c r="AE5" s="2">
        <v>1</v>
      </c>
      <c r="AF5" s="14">
        <f t="shared" si="1"/>
        <v>0.125</v>
      </c>
      <c r="AH5" s="2" t="s">
        <v>387</v>
      </c>
      <c r="AI5" s="2">
        <v>1</v>
      </c>
      <c r="AJ5" s="4">
        <f t="shared" si="6"/>
        <v>0.33333333333333331</v>
      </c>
    </row>
    <row r="6" spans="1:36" ht="30">
      <c r="A6" s="2" t="s">
        <v>340</v>
      </c>
      <c r="B6" s="2" t="s">
        <v>63</v>
      </c>
      <c r="C6" s="2">
        <v>4</v>
      </c>
      <c r="D6" s="2">
        <f>C6*$C$8</f>
        <v>1</v>
      </c>
      <c r="F6" s="2" t="s">
        <v>360</v>
      </c>
      <c r="G6" s="2" t="s">
        <v>348</v>
      </c>
      <c r="H6" s="2">
        <v>1</v>
      </c>
      <c r="I6" s="4">
        <f t="shared" si="0"/>
        <v>0.2</v>
      </c>
      <c r="K6" s="2" t="s">
        <v>365</v>
      </c>
      <c r="L6" s="2" t="s">
        <v>371</v>
      </c>
      <c r="M6" s="2">
        <v>1</v>
      </c>
      <c r="N6" s="4">
        <f t="shared" si="2"/>
        <v>0.33333333333333331</v>
      </c>
      <c r="Z6" s="2" t="s">
        <v>16</v>
      </c>
      <c r="AA6" s="2">
        <v>1</v>
      </c>
      <c r="AB6" s="4">
        <f t="shared" si="5"/>
        <v>0.25</v>
      </c>
      <c r="AD6" s="2" t="s">
        <v>383</v>
      </c>
      <c r="AE6" s="2">
        <v>1</v>
      </c>
      <c r="AF6" s="14">
        <f t="shared" si="1"/>
        <v>0.125</v>
      </c>
      <c r="AH6" s="2" t="s">
        <v>388</v>
      </c>
      <c r="AI6" s="2">
        <f>AI3+AI4</f>
        <v>2</v>
      </c>
      <c r="AJ6" s="4">
        <f t="shared" si="6"/>
        <v>0.66666666666666663</v>
      </c>
    </row>
    <row r="7" spans="1:36" ht="30">
      <c r="F7" s="2" t="s">
        <v>361</v>
      </c>
      <c r="G7" s="2" t="s">
        <v>363</v>
      </c>
      <c r="H7" s="2">
        <v>2</v>
      </c>
      <c r="I7" s="4">
        <f t="shared" si="0"/>
        <v>0.4</v>
      </c>
      <c r="K7" s="2" t="s">
        <v>357</v>
      </c>
      <c r="L7" s="2" t="s">
        <v>370</v>
      </c>
      <c r="M7" s="2">
        <v>2</v>
      </c>
      <c r="N7" s="4">
        <f t="shared" si="2"/>
        <v>0.66666666666666663</v>
      </c>
      <c r="P7" s="2" t="s">
        <v>343</v>
      </c>
      <c r="Q7" s="4">
        <f>1/COUNT(R3:R5)</f>
        <v>0.33333333333333331</v>
      </c>
      <c r="U7" s="2" t="s">
        <v>343</v>
      </c>
      <c r="V7" s="4">
        <f>1/COUNT(W3:W5)</f>
        <v>0.33333333333333331</v>
      </c>
      <c r="Z7" s="2" t="s">
        <v>309</v>
      </c>
      <c r="AA7" s="2">
        <f>AA4+AA6</f>
        <v>2</v>
      </c>
      <c r="AB7" s="4">
        <f t="shared" si="5"/>
        <v>0.5</v>
      </c>
      <c r="AD7" s="2" t="s">
        <v>384</v>
      </c>
      <c r="AE7" s="2">
        <v>1</v>
      </c>
      <c r="AF7" s="14">
        <f t="shared" si="1"/>
        <v>0.125</v>
      </c>
      <c r="AH7" s="2" t="s">
        <v>19</v>
      </c>
      <c r="AI7" s="2">
        <f>AI4+AI5</f>
        <v>2</v>
      </c>
      <c r="AJ7" s="4">
        <f t="shared" si="6"/>
        <v>0.66666666666666663</v>
      </c>
    </row>
    <row r="8" spans="1:36" ht="45">
      <c r="B8" s="2" t="s">
        <v>343</v>
      </c>
      <c r="C8" s="3">
        <f>1/COUNT(C3:C6)</f>
        <v>0.25</v>
      </c>
      <c r="F8" s="2" t="s">
        <v>362</v>
      </c>
      <c r="G8" s="2" t="s">
        <v>349</v>
      </c>
      <c r="H8" s="2">
        <v>3</v>
      </c>
      <c r="I8" s="4">
        <f t="shared" si="0"/>
        <v>0.60000000000000009</v>
      </c>
      <c r="K8" s="2" t="s">
        <v>367</v>
      </c>
      <c r="L8" s="2" t="s">
        <v>368</v>
      </c>
      <c r="M8" s="2">
        <v>3</v>
      </c>
      <c r="N8" s="4">
        <f t="shared" si="2"/>
        <v>1</v>
      </c>
      <c r="P8" s="65" t="s">
        <v>392</v>
      </c>
      <c r="Q8" s="65"/>
      <c r="U8" s="66" t="s">
        <v>393</v>
      </c>
      <c r="V8" s="66"/>
      <c r="Z8" s="2" t="s">
        <v>380</v>
      </c>
      <c r="AA8" s="2">
        <f>AA4+AA6+AA5</f>
        <v>3</v>
      </c>
      <c r="AB8" s="4">
        <f t="shared" si="5"/>
        <v>0.75</v>
      </c>
      <c r="AD8" s="2" t="s">
        <v>20</v>
      </c>
      <c r="AE8" s="2">
        <v>1</v>
      </c>
      <c r="AF8" s="14">
        <f t="shared" si="1"/>
        <v>0.125</v>
      </c>
      <c r="AH8" s="2" t="s">
        <v>33</v>
      </c>
      <c r="AI8" s="2">
        <f>AI3+AI4+AI5</f>
        <v>3</v>
      </c>
      <c r="AJ8" s="4">
        <f t="shared" si="6"/>
        <v>1</v>
      </c>
    </row>
    <row r="9" spans="1:36" ht="30">
      <c r="B9" s="70" t="s">
        <v>389</v>
      </c>
      <c r="C9" s="70"/>
      <c r="F9" s="2" t="s">
        <v>136</v>
      </c>
      <c r="G9" s="2" t="s">
        <v>352</v>
      </c>
      <c r="H9" s="2">
        <f>H4+H5</f>
        <v>5</v>
      </c>
      <c r="I9" s="4">
        <f t="shared" si="0"/>
        <v>1</v>
      </c>
      <c r="K9" s="2" t="s">
        <v>364</v>
      </c>
      <c r="L9" s="2" t="s">
        <v>369</v>
      </c>
      <c r="M9" s="2">
        <v>3</v>
      </c>
      <c r="N9" s="4">
        <f t="shared" si="2"/>
        <v>1</v>
      </c>
      <c r="P9" s="24" t="s">
        <v>2</v>
      </c>
      <c r="Q9" s="25">
        <v>1</v>
      </c>
      <c r="U9" s="27" t="s">
        <v>13</v>
      </c>
      <c r="V9" s="28">
        <v>0.33333333333333331</v>
      </c>
      <c r="Z9" s="2" t="s">
        <v>40</v>
      </c>
      <c r="AA9" s="2">
        <f>AA3+AA4+AA5+AA6</f>
        <v>4</v>
      </c>
      <c r="AB9" s="4">
        <f t="shared" si="5"/>
        <v>1</v>
      </c>
      <c r="AD9" s="2" t="s">
        <v>21</v>
      </c>
      <c r="AE9" s="2">
        <v>1</v>
      </c>
      <c r="AF9" s="14">
        <f t="shared" si="1"/>
        <v>0.125</v>
      </c>
    </row>
    <row r="10" spans="1:36" ht="30">
      <c r="B10" s="15" t="s">
        <v>53</v>
      </c>
      <c r="C10" s="15">
        <v>0.25</v>
      </c>
      <c r="F10" s="2" t="s">
        <v>281</v>
      </c>
      <c r="G10" s="2" t="s">
        <v>353</v>
      </c>
      <c r="H10" s="2">
        <f>H4+H5</f>
        <v>5</v>
      </c>
      <c r="I10" s="4">
        <f t="shared" si="0"/>
        <v>1</v>
      </c>
      <c r="P10" s="24" t="s">
        <v>3</v>
      </c>
      <c r="Q10" s="25">
        <v>0.33333333333333331</v>
      </c>
      <c r="U10" s="27" t="s">
        <v>39</v>
      </c>
      <c r="V10" s="28">
        <v>0.66666666666666663</v>
      </c>
      <c r="AD10" s="2" t="s">
        <v>385</v>
      </c>
      <c r="AE10" s="2">
        <v>1</v>
      </c>
      <c r="AF10" s="14">
        <f t="shared" si="1"/>
        <v>0.125</v>
      </c>
      <c r="AH10" s="2" t="s">
        <v>343</v>
      </c>
      <c r="AI10" s="14">
        <f>1/COUNT(AI3:AI5)</f>
        <v>0.33333333333333331</v>
      </c>
    </row>
    <row r="11" spans="1:36" ht="45">
      <c r="B11" s="15" t="s">
        <v>341</v>
      </c>
      <c r="C11" s="15">
        <v>0.5</v>
      </c>
      <c r="F11" s="2" t="s">
        <v>350</v>
      </c>
      <c r="G11" s="2" t="s">
        <v>354</v>
      </c>
      <c r="H11" s="2">
        <f>H4+H5+H3</f>
        <v>8</v>
      </c>
      <c r="I11" s="4">
        <f t="shared" si="0"/>
        <v>1.6</v>
      </c>
      <c r="K11" s="2" t="s">
        <v>343</v>
      </c>
      <c r="L11" s="4">
        <f>1/COUNT(M3:M5)</f>
        <v>0.33333333333333331</v>
      </c>
      <c r="P11" s="24" t="s">
        <v>30</v>
      </c>
      <c r="Q11" s="25">
        <v>0.66666666666666663</v>
      </c>
      <c r="U11" s="27" t="s">
        <v>15</v>
      </c>
      <c r="V11" s="28">
        <v>1</v>
      </c>
      <c r="Z11" s="2" t="s">
        <v>343</v>
      </c>
      <c r="AA11" s="4">
        <f>1/COUNT(AA3:AA6)</f>
        <v>0.25</v>
      </c>
    </row>
    <row r="12" spans="1:36" ht="30">
      <c r="B12" s="15" t="s">
        <v>46</v>
      </c>
      <c r="C12" s="15">
        <v>0.75</v>
      </c>
      <c r="F12" s="2" t="s">
        <v>351</v>
      </c>
      <c r="G12" s="2" t="s">
        <v>356</v>
      </c>
      <c r="H12" s="2">
        <f>H5+H3</f>
        <v>5</v>
      </c>
      <c r="I12" s="4">
        <f t="shared" si="0"/>
        <v>1</v>
      </c>
      <c r="K12" s="72" t="s">
        <v>391</v>
      </c>
      <c r="L12" s="72"/>
      <c r="AD12" s="2" t="s">
        <v>343</v>
      </c>
      <c r="AE12" s="14">
        <f>1/COUNT(AE3:AE10)</f>
        <v>0.125</v>
      </c>
      <c r="AH12" s="69" t="s">
        <v>396</v>
      </c>
      <c r="AI12" s="69"/>
    </row>
    <row r="13" spans="1:36">
      <c r="B13" s="15" t="s">
        <v>63</v>
      </c>
      <c r="C13" s="15">
        <v>1</v>
      </c>
      <c r="K13" s="18" t="s">
        <v>10</v>
      </c>
      <c r="L13" s="19">
        <v>0.66666666666666663</v>
      </c>
      <c r="Z13" s="68" t="s">
        <v>394</v>
      </c>
      <c r="AA13" s="68"/>
      <c r="AD13" s="67" t="s">
        <v>395</v>
      </c>
      <c r="AE13" s="67"/>
      <c r="AH13" s="29" t="s">
        <v>72</v>
      </c>
      <c r="AI13" s="30">
        <v>0.33333333333333331</v>
      </c>
    </row>
    <row r="14" spans="1:36">
      <c r="F14" s="2" t="s">
        <v>343</v>
      </c>
      <c r="G14" s="4">
        <f>1/COUNT(H3:H7)</f>
        <v>0.2</v>
      </c>
      <c r="K14" s="18" t="s">
        <v>11</v>
      </c>
      <c r="L14" s="19">
        <v>1</v>
      </c>
      <c r="Z14" s="23" t="s">
        <v>31</v>
      </c>
      <c r="AA14" s="23">
        <v>0.25</v>
      </c>
      <c r="AD14" s="26">
        <v>1</v>
      </c>
      <c r="AE14" s="26">
        <v>0.125</v>
      </c>
      <c r="AH14" s="29" t="s">
        <v>386</v>
      </c>
      <c r="AI14" s="30">
        <v>0.33333333333333331</v>
      </c>
    </row>
    <row r="15" spans="1:36">
      <c r="K15" s="18" t="s">
        <v>366</v>
      </c>
      <c r="L15" s="19">
        <v>0.33333333333333331</v>
      </c>
      <c r="Z15" s="23" t="s">
        <v>17</v>
      </c>
      <c r="AA15" s="23">
        <v>0.25</v>
      </c>
      <c r="AD15" s="26">
        <v>2</v>
      </c>
      <c r="AE15" s="26">
        <v>0.25</v>
      </c>
      <c r="AH15" s="29" t="s">
        <v>387</v>
      </c>
      <c r="AI15" s="30">
        <v>0.33333333333333331</v>
      </c>
    </row>
    <row r="16" spans="1:36" ht="30">
      <c r="B16" s="2" t="s">
        <v>53</v>
      </c>
      <c r="C16" s="1">
        <f>VLOOKUP(B16,$B$10:$C$13,2,0)</f>
        <v>0.25</v>
      </c>
      <c r="F16" s="71" t="s">
        <v>390</v>
      </c>
      <c r="G16" s="71"/>
      <c r="K16" s="18" t="s">
        <v>365</v>
      </c>
      <c r="L16" s="19">
        <v>0.33333333333333331</v>
      </c>
      <c r="Z16" s="23" t="s">
        <v>18</v>
      </c>
      <c r="AA16" s="23">
        <v>0.25</v>
      </c>
      <c r="AD16" s="26">
        <v>3</v>
      </c>
      <c r="AE16" s="26">
        <v>0.375</v>
      </c>
      <c r="AH16" s="29" t="s">
        <v>388</v>
      </c>
      <c r="AI16" s="30">
        <v>0.66666666666666663</v>
      </c>
    </row>
    <row r="17" spans="1:35" ht="30">
      <c r="B17" s="2" t="s">
        <v>341</v>
      </c>
      <c r="C17" s="1">
        <f t="shared" ref="C17:C19" si="7">VLOOKUP(B17,$B$10:$C$13,2,0)</f>
        <v>0.5</v>
      </c>
      <c r="F17" s="17" t="s">
        <v>357</v>
      </c>
      <c r="G17" s="17">
        <v>0.60000000000000009</v>
      </c>
      <c r="K17" s="18" t="s">
        <v>357</v>
      </c>
      <c r="L17" s="19">
        <v>0.66666666666666663</v>
      </c>
      <c r="Z17" s="23" t="s">
        <v>16</v>
      </c>
      <c r="AA17" s="23">
        <v>0.25</v>
      </c>
      <c r="AD17" s="26">
        <v>4</v>
      </c>
      <c r="AE17" s="26">
        <v>0.5</v>
      </c>
      <c r="AH17" s="29" t="s">
        <v>19</v>
      </c>
      <c r="AI17" s="30">
        <v>0.66666666666666663</v>
      </c>
    </row>
    <row r="18" spans="1:35" ht="30">
      <c r="B18" s="2" t="s">
        <v>46</v>
      </c>
      <c r="C18" s="1">
        <f t="shared" si="7"/>
        <v>0.75</v>
      </c>
      <c r="F18" s="17" t="s">
        <v>358</v>
      </c>
      <c r="G18" s="17">
        <v>0.60000000000000009</v>
      </c>
      <c r="K18" s="18" t="s">
        <v>367</v>
      </c>
      <c r="L18" s="19">
        <v>1</v>
      </c>
      <c r="Z18" s="23" t="s">
        <v>309</v>
      </c>
      <c r="AA18" s="23">
        <v>0.5</v>
      </c>
      <c r="AD18" s="26">
        <v>5</v>
      </c>
      <c r="AE18" s="26">
        <v>0.625</v>
      </c>
      <c r="AH18" s="29" t="s">
        <v>33</v>
      </c>
      <c r="AI18" s="30">
        <v>1</v>
      </c>
    </row>
    <row r="19" spans="1:35" ht="45">
      <c r="B19" s="2" t="s">
        <v>63</v>
      </c>
      <c r="C19" s="1">
        <f t="shared" si="7"/>
        <v>1</v>
      </c>
      <c r="F19" s="17" t="s">
        <v>359</v>
      </c>
      <c r="G19" s="17">
        <v>0.4</v>
      </c>
      <c r="K19" s="18" t="s">
        <v>364</v>
      </c>
      <c r="L19" s="19">
        <v>1</v>
      </c>
      <c r="Z19" s="23" t="s">
        <v>380</v>
      </c>
      <c r="AA19" s="23">
        <v>0.75</v>
      </c>
      <c r="AD19" s="26">
        <v>6</v>
      </c>
      <c r="AE19" s="26">
        <v>0.75</v>
      </c>
    </row>
    <row r="20" spans="1:35" ht="30">
      <c r="F20" s="17" t="s">
        <v>360</v>
      </c>
      <c r="G20" s="17">
        <v>0.2</v>
      </c>
      <c r="Z20" s="23" t="s">
        <v>40</v>
      </c>
      <c r="AA20" s="23">
        <v>1</v>
      </c>
      <c r="AD20" s="26">
        <v>7</v>
      </c>
      <c r="AE20" s="26">
        <v>0.875</v>
      </c>
    </row>
    <row r="21" spans="1:35" ht="30">
      <c r="F21" s="17" t="s">
        <v>361</v>
      </c>
      <c r="G21" s="17">
        <v>0.4</v>
      </c>
      <c r="AD21" s="26">
        <v>8</v>
      </c>
      <c r="AE21" s="26">
        <v>1</v>
      </c>
    </row>
    <row r="22" spans="1:35" ht="30">
      <c r="F22" s="17" t="s">
        <v>362</v>
      </c>
      <c r="G22" s="17">
        <v>0.60000000000000009</v>
      </c>
    </row>
    <row r="23" spans="1:35">
      <c r="F23" s="17" t="s">
        <v>136</v>
      </c>
      <c r="G23" s="17">
        <v>1</v>
      </c>
    </row>
    <row r="24" spans="1:35" ht="30">
      <c r="F24" s="17" t="s">
        <v>281</v>
      </c>
      <c r="G24" s="17">
        <v>1</v>
      </c>
    </row>
    <row r="25" spans="1:35" ht="30">
      <c r="F25" s="17" t="s">
        <v>350</v>
      </c>
      <c r="G25" s="17">
        <v>1.6</v>
      </c>
    </row>
    <row r="26" spans="1:35" ht="30">
      <c r="F26" s="17" t="s">
        <v>351</v>
      </c>
      <c r="G26" s="17">
        <v>1</v>
      </c>
    </row>
    <row r="30" spans="1:35" ht="105">
      <c r="A30" s="64" t="s">
        <v>1</v>
      </c>
      <c r="B30" s="64" t="s">
        <v>0</v>
      </c>
      <c r="C30" s="64" t="s">
        <v>22</v>
      </c>
      <c r="D30" s="64" t="s">
        <v>23</v>
      </c>
      <c r="E30" s="64" t="s">
        <v>398</v>
      </c>
    </row>
    <row r="31" spans="1:35">
      <c r="A31" s="64">
        <v>1</v>
      </c>
      <c r="B31" s="64" t="s">
        <v>399</v>
      </c>
      <c r="C31" s="64">
        <v>0.25</v>
      </c>
      <c r="D31" s="64">
        <v>1</v>
      </c>
      <c r="E31" s="64">
        <v>4</v>
      </c>
    </row>
    <row r="32" spans="1:35">
      <c r="A32" s="64">
        <v>2</v>
      </c>
      <c r="B32" s="64" t="s">
        <v>4</v>
      </c>
      <c r="C32" s="64">
        <v>0.2</v>
      </c>
      <c r="D32" s="64">
        <v>1.6</v>
      </c>
      <c r="E32" s="64">
        <v>10</v>
      </c>
    </row>
    <row r="33" spans="1:5">
      <c r="A33" s="64">
        <v>3</v>
      </c>
      <c r="B33" s="64" t="s">
        <v>8</v>
      </c>
      <c r="C33" s="64">
        <v>0.33</v>
      </c>
      <c r="D33" s="64">
        <v>1</v>
      </c>
      <c r="E33" s="64">
        <v>7</v>
      </c>
    </row>
    <row r="34" spans="1:5">
      <c r="A34" s="64">
        <v>4</v>
      </c>
      <c r="B34" s="64" t="s">
        <v>24</v>
      </c>
      <c r="C34" s="64">
        <v>0.33</v>
      </c>
      <c r="D34" s="64">
        <v>1</v>
      </c>
      <c r="E34" s="64">
        <v>3</v>
      </c>
    </row>
    <row r="35" spans="1:5" ht="30">
      <c r="A35" s="64">
        <v>5</v>
      </c>
      <c r="B35" s="64" t="s">
        <v>12</v>
      </c>
      <c r="C35" s="64">
        <v>0.33</v>
      </c>
      <c r="D35" s="64">
        <v>1</v>
      </c>
      <c r="E35" s="64">
        <v>3</v>
      </c>
    </row>
    <row r="36" spans="1:5" ht="30">
      <c r="A36" s="64">
        <v>6</v>
      </c>
      <c r="B36" s="64" t="s">
        <v>400</v>
      </c>
      <c r="C36" s="64">
        <v>0.25</v>
      </c>
      <c r="D36" s="64">
        <v>1</v>
      </c>
      <c r="E36" s="64">
        <v>7</v>
      </c>
    </row>
    <row r="37" spans="1:5" ht="30">
      <c r="A37" s="64">
        <v>7</v>
      </c>
      <c r="B37" s="64" t="s">
        <v>401</v>
      </c>
      <c r="C37" s="64">
        <v>0.125</v>
      </c>
      <c r="D37" s="64">
        <v>1</v>
      </c>
      <c r="E37" s="64">
        <v>8</v>
      </c>
    </row>
    <row r="38" spans="1:5" ht="30">
      <c r="A38" s="64">
        <v>8</v>
      </c>
      <c r="B38" s="64" t="s">
        <v>402</v>
      </c>
      <c r="C38" s="64">
        <v>0.33</v>
      </c>
      <c r="D38" s="64">
        <v>1</v>
      </c>
      <c r="E38" s="64">
        <v>6</v>
      </c>
    </row>
    <row r="39" spans="1:5">
      <c r="C39" s="1">
        <f>SUM(C31:C38)</f>
        <v>2.145</v>
      </c>
      <c r="D39" s="1">
        <f>SUM(D31:D38)</f>
        <v>8.6</v>
      </c>
    </row>
  </sheetData>
  <mergeCells count="8">
    <mergeCell ref="B9:C9"/>
    <mergeCell ref="F16:G16"/>
    <mergeCell ref="K12:L12"/>
    <mergeCell ref="P8:Q8"/>
    <mergeCell ref="U8:V8"/>
    <mergeCell ref="AD13:AE13"/>
    <mergeCell ref="Z13:AA13"/>
    <mergeCell ref="AH12:AI12"/>
  </mergeCells>
  <dataValidations disablePrompts="1" count="1">
    <dataValidation type="list" allowBlank="1" showInputMessage="1" showErrorMessage="1" sqref="B14:B15">
      <formula1>$G$3:$G$7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Типология</vt:lpstr>
      <vt:lpstr>Рейтинг</vt:lpstr>
      <vt:lpstr>Составляющие рейтинга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Крок</dc:creator>
  <cp:lastModifiedBy>Грук Николай Алексеевич</cp:lastModifiedBy>
  <dcterms:created xsi:type="dcterms:W3CDTF">2024-09-14T19:55:43Z</dcterms:created>
  <dcterms:modified xsi:type="dcterms:W3CDTF">2025-04-24T23:35:10Z</dcterms:modified>
</cp:coreProperties>
</file>