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C:\Users\ignpap\Downloads\"/>
    </mc:Choice>
  </mc:AlternateContent>
  <xr:revisionPtr revIDLastSave="0" documentId="13_ncr:1_{4EEC68AA-59DB-43F9-B88A-47796ABB38EF}" xr6:coauthVersionLast="47" xr6:coauthVersionMax="47" xr10:uidLastSave="{00000000-0000-0000-0000-000000000000}"/>
  <bookViews>
    <workbookView xWindow="-120" yWindow="-120" windowWidth="29040" windowHeight="15840" activeTab="1" xr2:uid="{00000000-000D-0000-FFFF-FFFF00000000}"/>
  </bookViews>
  <sheets>
    <sheet name="FF55 policy levers &amp; vessel" sheetId="7" r:id="rId1"/>
    <sheet name="Calculations" sheetId="6" r:id="rId2"/>
    <sheet name="WtW CO2e factors" sheetId="4" r:id="rId3"/>
    <sheet name="Fuel Prices" sheetId="2" r:id="rId4"/>
    <sheet name="Results" sheetId="9" r:id="rId5"/>
    <sheet name="Vessel - route, cargo database" sheetId="8" r:id="rId6"/>
  </sheets>
  <definedNames>
    <definedName name="baseline_GHG_intensity">'WtW CO2e factors'!$E$15</definedName>
    <definedName name="Biodiesel_required_share">'WtW CO2e factors'!$G$8</definedName>
    <definedName name="containerised_goods">'Vessel - route, cargo database'!$C$43:$C$57</definedName>
    <definedName name="currency_exchange_rate">'Fuel Prices'!$C$21</definedName>
    <definedName name="e_fuel_subquota">'FF55 policy levers &amp; vessel'!$B$7</definedName>
    <definedName name="e_LNG_required_share">'WtW CO2e factors'!#REF!</definedName>
    <definedName name="e_Methanol_required_share">'WtW CO2e factors'!$G$9</definedName>
    <definedName name="e_NH3_required_share">'WtW CO2e factors'!$G$13</definedName>
    <definedName name="ETS_Price">'FF55 policy levers &amp; vessel'!$B$9</definedName>
    <definedName name="fuel_consumption_per_journey_MJ">'FF55 policy levers &amp; vessel'!$G$26</definedName>
    <definedName name="fuel_consumption_per_journey_tVLSFO">'FF55 policy levers &amp; vessel'!$G$25</definedName>
    <definedName name="gravimetric_density">'WtW CO2e factors'!$D:$D</definedName>
    <definedName name="LCV_Biodiesel_WCO">'WtW CO2e factors'!$D$8</definedName>
    <definedName name="LCV_BioLNG">'WtW CO2e factors'!#REF!</definedName>
    <definedName name="LCV_e_LNG">'WtW CO2e factors'!$D$12</definedName>
    <definedName name="LCV_e_methanol">'WtW CO2e factors'!$D$9</definedName>
    <definedName name="LCV_e_NH3">'WtW CO2e factors'!$D$13</definedName>
    <definedName name="LCV_Fossil_LNG_DFHP_stroke_with_pilot">'WtW CO2e factors'!#REF!</definedName>
    <definedName name="LCV_LNG">'WtW CO2e factors'!$D$5</definedName>
    <definedName name="LCV_VLSFO">'WtW CO2e factors'!$D$3</definedName>
    <definedName name="number_of_items_per_TEU">'Vessel - route, cargo database'!$E$43:$E$57</definedName>
    <definedName name="Price_biodiesel_max">'Fuel Prices'!$D$6</definedName>
    <definedName name="Price_biodiesel_max_GJ">'Fuel Prices'!$E$6</definedName>
    <definedName name="Price_biodiesel_min">'Fuel Prices'!$D$5</definedName>
    <definedName name="Price_biodiesel_min_GJ">'Fuel Prices'!$E$5</definedName>
    <definedName name="Price_bioLNG_max">'Fuel Prices'!$D$14</definedName>
    <definedName name="Price_bioLNG_min">'Fuel Prices'!$D$13</definedName>
    <definedName name="Price_e_diesel_max">'Fuel Prices'!#REF!</definedName>
    <definedName name="Price_e_diesel_min">'Fuel Prices'!#REF!</definedName>
    <definedName name="Price_e_H2_max">'Fuel Prices'!#REF!</definedName>
    <definedName name="Price_e_H2_min">'Fuel Prices'!#REF!</definedName>
    <definedName name="Price_e_LNG_max">'Fuel Prices'!$D$16</definedName>
    <definedName name="Price_e_LNG_max_GJ">'Fuel Prices'!$E$16</definedName>
    <definedName name="Price_e_LNG_min">'Fuel Prices'!$D$15</definedName>
    <definedName name="Price_e_LNG_min_GJ">'Fuel Prices'!$E$15</definedName>
    <definedName name="Price_e_methanol_max">'Fuel Prices'!$D$18</definedName>
    <definedName name="Price_e_methanol_max_GJ">'Fuel Prices'!$E$18</definedName>
    <definedName name="Price_e_methanol_min">'Fuel Prices'!$D$17</definedName>
    <definedName name="Price_e_methanol_min_GJ">'Fuel Prices'!$E$17</definedName>
    <definedName name="Price_e_NH3_max">'Fuel Prices'!$D$8</definedName>
    <definedName name="Price_e_NH3_max_GJ">'Fuel Prices'!$E$8</definedName>
    <definedName name="Price_e_NH3_min">'Fuel Prices'!$D$7</definedName>
    <definedName name="Price_e_NH3_min_GJ">'Fuel Prices'!$E$7</definedName>
    <definedName name="Price_historical_LNG_max">'Fuel Prices'!$D$10</definedName>
    <definedName name="Price_historical_LNG_max_GJ">'Fuel Prices'!$E$10</definedName>
    <definedName name="Price_historical_LNG_min">'Fuel Prices'!$D$9</definedName>
    <definedName name="Price_historical_LNG_min_GJ">'Fuel Prices'!$E$9</definedName>
    <definedName name="Price_post_covid_LNG_max">'Fuel Prices'!$D$12</definedName>
    <definedName name="Price_post_covid_LNG_max_GJ">'Fuel Prices'!$E$12</definedName>
    <definedName name="Price_post_covid_LNG_min">'Fuel Prices'!$D$11</definedName>
    <definedName name="Price_post_covid_LNG_min_GJ">'Fuel Prices'!$E$11</definedName>
    <definedName name="Price_VLSFO_Max">'Fuel Prices'!$D$4</definedName>
    <definedName name="Price_VLSFO_Max_GJ">'Fuel Prices'!$E$4</definedName>
    <definedName name="Price_VLSFO_Min">'Fuel Prices'!$D$3</definedName>
    <definedName name="Price_VLSFO_Min_GJ">'Fuel Prices'!$E$3</definedName>
    <definedName name="Real_world_TEU_carriage">'FF55 policy levers &amp; vessel'!$G$15</definedName>
    <definedName name="Regulatory_target">'FF55 policy levers &amp; vessel'!$B$5</definedName>
    <definedName name="ship_class">'FF55 policy levers &amp; vessel'!#REF!</definedName>
    <definedName name="shipping_corridor">'FF55 policy levers &amp; vessel'!$H$6</definedName>
    <definedName name="TEU_freight_rate_2021">'FF55 policy levers &amp; vessel'!$G$29</definedName>
    <definedName name="Vessel_name">'FF55 policy levers &amp; vessel'!$F$5</definedName>
    <definedName name="WtW_biodiesel_WCO">'WtW CO2e factors'!$F$8</definedName>
    <definedName name="WtW_biodiesel_WCO_gCO2perMJ">'WtW CO2e factors'!$E$8</definedName>
    <definedName name="WtW_e_LNG_DFHP_2_stroke">'WtW CO2e factors'!$F$12</definedName>
    <definedName name="WtW_e_LNG_DFHP_2_stroke_gCO2perMJ">'WtW CO2e factors'!$E$12</definedName>
    <definedName name="WtW_e_LNG_DFHP_2_stroke_with_pilot">'WtW CO2e factors'!#REF!</definedName>
    <definedName name="WtW_e_methanol">'WtW CO2e factors'!$F$9</definedName>
    <definedName name="WtW_e_methanol_gCO2perMJ">'WtW CO2e factors'!$E$9</definedName>
    <definedName name="WtW_e_NH3">'WtW CO2e factors'!$F$13</definedName>
    <definedName name="WtW_e_NH3_gCO2perMJ">'WtW CO2e factors'!$E$13</definedName>
    <definedName name="WtW_LNG_DFHP_2_stroke">'WtW CO2e factors'!$F$7</definedName>
    <definedName name="WtW_LNG_DFHP_2_stroke_gCO2perMJ">'WtW CO2e factors'!$E$7</definedName>
    <definedName name="WtW_LNG_DFHP_2_stroke_with_pilot">'WtW CO2e factors'!#REF!</definedName>
    <definedName name="wtw_MJperkg_eLNG">'WtW CO2e factors'!$D$26</definedName>
    <definedName name="wtw_MJperkg_LNG">'WtW CO2e factors'!#REF!</definedName>
    <definedName name="wtw_MJperkg_VLSFO">'WtW CO2e factors'!#REF!</definedName>
    <definedName name="WtW_VLSFO">'WtW CO2e factors'!$F$3</definedName>
    <definedName name="WtW_VLSFO_gCO2perMJ">'WtW CO2e factors'!$E$3</definedName>
  </definedNam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6" l="1"/>
  <c r="L7" i="6"/>
  <c r="E9" i="6"/>
  <c r="D9" i="6"/>
  <c r="D17" i="2"/>
  <c r="D15" i="2"/>
  <c r="D8" i="2"/>
  <c r="D6" i="2"/>
  <c r="D4" i="2"/>
  <c r="E7" i="6" s="1"/>
  <c r="D7" i="2"/>
  <c r="D10" i="2"/>
  <c r="D9" i="2"/>
  <c r="D5" i="2"/>
  <c r="D3" i="2"/>
  <c r="P103" i="6"/>
  <c r="P81" i="6"/>
  <c r="P58" i="6"/>
  <c r="P37" i="6"/>
  <c r="S92" i="6"/>
  <c r="R92" i="6"/>
  <c r="P104" i="6" s="1"/>
  <c r="S7" i="6"/>
  <c r="R7" i="6"/>
  <c r="P19" i="6" s="1"/>
  <c r="S26" i="6"/>
  <c r="R26" i="6"/>
  <c r="F9" i="6" l="1"/>
  <c r="F7" i="6"/>
  <c r="S8" i="6"/>
  <c r="P105" i="6"/>
  <c r="P18" i="6"/>
  <c r="P38" i="6"/>
  <c r="R8" i="6"/>
  <c r="P7" i="6"/>
  <c r="G10" i="4"/>
  <c r="G11" i="4"/>
  <c r="G12" i="4"/>
  <c r="G5" i="4"/>
  <c r="G6" i="4"/>
  <c r="G7" i="4"/>
  <c r="Z98" i="6"/>
  <c r="Y98" i="6"/>
  <c r="AA98" i="6" s="1"/>
  <c r="Z29" i="6"/>
  <c r="Y29" i="6"/>
  <c r="AA29" i="6" s="1"/>
  <c r="Z10" i="6"/>
  <c r="Y10" i="6"/>
  <c r="AA10" i="6" s="1"/>
  <c r="L9" i="6"/>
  <c r="K9" i="6"/>
  <c r="M9" i="6" l="1"/>
  <c r="P39" i="6"/>
  <c r="L47" i="6" l="1"/>
  <c r="Z46" i="6" s="1"/>
  <c r="Z47" i="6" s="1"/>
  <c r="K47" i="6"/>
  <c r="L27" i="6"/>
  <c r="K27" i="6"/>
  <c r="I39" i="6" s="1"/>
  <c r="W46" i="6" l="1"/>
  <c r="Y46" i="6"/>
  <c r="I59" i="6"/>
  <c r="I58" i="6" s="1"/>
  <c r="I38" i="6"/>
  <c r="L31" i="6"/>
  <c r="S46" i="6"/>
  <c r="K31" i="6"/>
  <c r="M31" i="6" s="1"/>
  <c r="R46" i="6"/>
  <c r="P59" i="6" s="1"/>
  <c r="R69" i="6"/>
  <c r="P82" i="6" s="1"/>
  <c r="Y51" i="6"/>
  <c r="AA51" i="6" s="1"/>
  <c r="S69" i="6"/>
  <c r="Z51" i="6"/>
  <c r="L51" i="6"/>
  <c r="I46" i="6"/>
  <c r="P74" i="6" s="1"/>
  <c r="K51" i="6"/>
  <c r="M51" i="6" s="1"/>
  <c r="I26" i="6"/>
  <c r="P51" i="6" s="1"/>
  <c r="W59" i="6" l="1"/>
  <c r="W58" i="6"/>
  <c r="Y47" i="6"/>
  <c r="Y48" i="6" s="1"/>
  <c r="Y49" i="6" s="1"/>
  <c r="R70" i="6"/>
  <c r="P85" i="6" s="1"/>
  <c r="S70" i="6"/>
  <c r="R47" i="6"/>
  <c r="P62" i="6" s="1"/>
  <c r="S47" i="6"/>
  <c r="S49" i="6" s="1"/>
  <c r="P86" i="6" l="1"/>
  <c r="P63" i="6"/>
  <c r="P69" i="6"/>
  <c r="C10" i="9" s="1"/>
  <c r="P83" i="6"/>
  <c r="P46" i="6"/>
  <c r="C9" i="9" s="1"/>
  <c r="P60" i="6"/>
  <c r="S72" i="6"/>
  <c r="R49" i="6"/>
  <c r="T49" i="6" s="1"/>
  <c r="R72" i="6"/>
  <c r="T72" i="6" s="1"/>
  <c r="B10" i="9"/>
  <c r="C6" i="9"/>
  <c r="B6" i="9"/>
  <c r="S5" i="8"/>
  <c r="H5" i="8"/>
  <c r="P84" i="6" l="1"/>
  <c r="P61" i="6"/>
  <c r="D12" i="2"/>
  <c r="D11" i="2"/>
  <c r="K48" i="6" s="1"/>
  <c r="L48" i="6" l="1"/>
  <c r="L49" i="6" s="1"/>
  <c r="S74" i="6" s="1"/>
  <c r="K49" i="6"/>
  <c r="E11" i="2"/>
  <c r="E12" i="2"/>
  <c r="V4" i="8"/>
  <c r="V5" i="8"/>
  <c r="M48" i="6" l="1"/>
  <c r="R74" i="6"/>
  <c r="T74" i="6" s="1"/>
  <c r="M49" i="6"/>
  <c r="V3" i="9"/>
  <c r="U3" i="9"/>
  <c r="T3" i="9"/>
  <c r="S3" i="9"/>
  <c r="R3" i="9"/>
  <c r="C15" i="9"/>
  <c r="C14" i="9"/>
  <c r="C13" i="9"/>
  <c r="C12" i="9"/>
  <c r="B15" i="9"/>
  <c r="B14" i="9"/>
  <c r="B13" i="9"/>
  <c r="B12" i="9"/>
  <c r="B11" i="9"/>
  <c r="B9" i="9"/>
  <c r="B8" i="9"/>
  <c r="B7" i="9"/>
  <c r="B5" i="9"/>
  <c r="C5" i="9"/>
  <c r="C4" i="9"/>
  <c r="B4" i="9"/>
  <c r="H3" i="9"/>
  <c r="L3" i="9"/>
  <c r="Q3" i="9"/>
  <c r="P3" i="9"/>
  <c r="O3" i="9"/>
  <c r="N3" i="9"/>
  <c r="M3" i="9"/>
  <c r="K3" i="9"/>
  <c r="J3" i="9"/>
  <c r="I3" i="9"/>
  <c r="D46" i="8"/>
  <c r="D45" i="8"/>
  <c r="D44" i="8"/>
  <c r="E43" i="8"/>
  <c r="G28" i="7"/>
  <c r="G24" i="7"/>
  <c r="G22" i="7"/>
  <c r="G20" i="7"/>
  <c r="G19" i="7"/>
  <c r="G18" i="7"/>
  <c r="G17" i="7"/>
  <c r="G16" i="7"/>
  <c r="G14" i="7"/>
  <c r="G13" i="7"/>
  <c r="G12" i="7"/>
  <c r="G11" i="7"/>
  <c r="G10" i="7"/>
  <c r="G9" i="7"/>
  <c r="G29" i="7" l="1"/>
  <c r="T4" i="8"/>
  <c r="G27" i="7" s="1"/>
  <c r="R4" i="8"/>
  <c r="P4" i="8"/>
  <c r="H4" i="8"/>
  <c r="G15" i="7" s="1"/>
  <c r="S28" i="6"/>
  <c r="P26" i="6"/>
  <c r="C8" i="9" s="1"/>
  <c r="S94" i="6" l="1"/>
  <c r="P92" i="6"/>
  <c r="C11" i="9" s="1"/>
  <c r="R94" i="6"/>
  <c r="T94" i="6" s="1"/>
  <c r="R28" i="6"/>
  <c r="T28" i="6" s="1"/>
  <c r="G25" i="7"/>
  <c r="S4" i="8"/>
  <c r="N4" i="8"/>
  <c r="G21" i="7" s="1"/>
  <c r="G23" i="7"/>
  <c r="G26" i="7"/>
  <c r="F4" i="4"/>
  <c r="F5" i="4"/>
  <c r="F6" i="4"/>
  <c r="F7" i="4"/>
  <c r="F8" i="4"/>
  <c r="F9" i="4"/>
  <c r="F10" i="4"/>
  <c r="F11" i="4"/>
  <c r="F12" i="4"/>
  <c r="F13" i="4"/>
  <c r="D8" i="6" l="1"/>
  <c r="E8" i="6"/>
  <c r="K10" i="6"/>
  <c r="E10" i="6"/>
  <c r="E11" i="6" s="1"/>
  <c r="E12" i="6" s="1"/>
  <c r="D10" i="6"/>
  <c r="D11" i="6" s="1"/>
  <c r="S106" i="6"/>
  <c r="R106" i="6"/>
  <c r="S40" i="6"/>
  <c r="R40" i="6"/>
  <c r="S20" i="6"/>
  <c r="R20" i="6"/>
  <c r="S104" i="6"/>
  <c r="S19" i="6"/>
  <c r="R37" i="6"/>
  <c r="R58" i="6"/>
  <c r="R104" i="6"/>
  <c r="R81" i="6"/>
  <c r="R103" i="6"/>
  <c r="R19" i="6"/>
  <c r="S37" i="6"/>
  <c r="S105" i="6"/>
  <c r="R105" i="6"/>
  <c r="S18" i="6"/>
  <c r="R18" i="6"/>
  <c r="R38" i="6"/>
  <c r="S38" i="6"/>
  <c r="S39" i="6"/>
  <c r="R39" i="6"/>
  <c r="K59" i="6"/>
  <c r="L39" i="6"/>
  <c r="K39" i="6"/>
  <c r="L59" i="6"/>
  <c r="K38" i="6"/>
  <c r="S82" i="6"/>
  <c r="S59" i="6"/>
  <c r="R82" i="6"/>
  <c r="R59" i="6"/>
  <c r="L38" i="6"/>
  <c r="S62" i="6"/>
  <c r="S85" i="6"/>
  <c r="R85" i="6"/>
  <c r="R62" i="6"/>
  <c r="S63" i="6"/>
  <c r="R63" i="6"/>
  <c r="R60" i="6"/>
  <c r="R83" i="6"/>
  <c r="S60" i="6"/>
  <c r="S83" i="6"/>
  <c r="S61" i="6"/>
  <c r="R61" i="6"/>
  <c r="S84" i="6"/>
  <c r="K58" i="6"/>
  <c r="R86" i="6"/>
  <c r="R84" i="6"/>
  <c r="L58" i="6"/>
  <c r="S86" i="6"/>
  <c r="Z99" i="6"/>
  <c r="Y99" i="6"/>
  <c r="L50" i="6"/>
  <c r="K50" i="6"/>
  <c r="Y11" i="6"/>
  <c r="Y30" i="6"/>
  <c r="L10" i="6"/>
  <c r="Z11" i="6"/>
  <c r="L32" i="6"/>
  <c r="K32" i="6"/>
  <c r="Y52" i="6"/>
  <c r="Z52" i="6"/>
  <c r="R73" i="6"/>
  <c r="R76" i="6" s="1"/>
  <c r="S73" i="6"/>
  <c r="S76" i="6" s="1"/>
  <c r="R95" i="6"/>
  <c r="R98" i="6" s="1"/>
  <c r="S95" i="6"/>
  <c r="S98" i="6" s="1"/>
  <c r="S29" i="6"/>
  <c r="S32" i="6" s="1"/>
  <c r="L40" i="6" l="1"/>
  <c r="M59" i="6"/>
  <c r="F11" i="6"/>
  <c r="D12" i="6"/>
  <c r="F12" i="6" s="1"/>
  <c r="T86" i="6"/>
  <c r="F8" i="6"/>
  <c r="T60" i="6"/>
  <c r="L60" i="6"/>
  <c r="T61" i="6"/>
  <c r="T62" i="6"/>
  <c r="T85" i="6"/>
  <c r="T20" i="6"/>
  <c r="T19" i="6"/>
  <c r="R107" i="6"/>
  <c r="T40" i="6"/>
  <c r="M39" i="6"/>
  <c r="T82" i="6"/>
  <c r="T83" i="6"/>
  <c r="T59" i="6"/>
  <c r="M58" i="6"/>
  <c r="K60" i="6"/>
  <c r="T63" i="6"/>
  <c r="T39" i="6"/>
  <c r="T37" i="6"/>
  <c r="S41" i="6"/>
  <c r="K40" i="6"/>
  <c r="M40" i="6" s="1"/>
  <c r="M38" i="6"/>
  <c r="T38" i="6"/>
  <c r="R87" i="6"/>
  <c r="T18" i="6"/>
  <c r="R21" i="6"/>
  <c r="T104" i="6"/>
  <c r="S21" i="6"/>
  <c r="R64" i="6"/>
  <c r="T84" i="6"/>
  <c r="T105" i="6"/>
  <c r="R41" i="6"/>
  <c r="T106" i="6"/>
  <c r="M50" i="6"/>
  <c r="T76" i="6"/>
  <c r="L28" i="6"/>
  <c r="K28" i="6"/>
  <c r="G4" i="4"/>
  <c r="G8" i="4"/>
  <c r="G9" i="4"/>
  <c r="G13" i="4"/>
  <c r="G3" i="4"/>
  <c r="M60" i="6" l="1"/>
  <c r="T21" i="6"/>
  <c r="T41" i="6"/>
  <c r="C7" i="9"/>
  <c r="L29" i="6"/>
  <c r="S51" i="6" s="1"/>
  <c r="K29" i="6"/>
  <c r="R51" i="6" s="1"/>
  <c r="Z26" i="6"/>
  <c r="Z27" i="6" s="1"/>
  <c r="Y26" i="6"/>
  <c r="Y27" i="6" s="1"/>
  <c r="Z7" i="6"/>
  <c r="Z8" i="6" s="1"/>
  <c r="Z9" i="6" s="1"/>
  <c r="Z17" i="6" s="1"/>
  <c r="Z18" i="6" s="1"/>
  <c r="Y7" i="6"/>
  <c r="Y8" i="6" s="1"/>
  <c r="Y9" i="6" s="1"/>
  <c r="Y17" i="6" s="1"/>
  <c r="K7" i="6"/>
  <c r="Y18" i="6" l="1"/>
  <c r="AA18" i="6" s="1"/>
  <c r="AA17" i="6"/>
  <c r="M29" i="6"/>
  <c r="T51" i="6"/>
  <c r="S96" i="6"/>
  <c r="S30" i="6"/>
  <c r="S11" i="6"/>
  <c r="R30" i="6"/>
  <c r="R11" i="6"/>
  <c r="R96" i="6"/>
  <c r="Y28" i="6"/>
  <c r="Y36" i="6" s="1"/>
  <c r="Z28" i="6"/>
  <c r="Z36" i="6" s="1"/>
  <c r="Z37" i="6" s="1"/>
  <c r="K30" i="6"/>
  <c r="L30" i="6"/>
  <c r="K8" i="6"/>
  <c r="R27" i="6"/>
  <c r="L8" i="6"/>
  <c r="R9" i="6"/>
  <c r="T9" i="6" s="1"/>
  <c r="S9" i="6"/>
  <c r="S10" i="6" s="1"/>
  <c r="S13" i="6" s="1"/>
  <c r="S27" i="6"/>
  <c r="AA7" i="6"/>
  <c r="AA8" i="6"/>
  <c r="T96" i="6" l="1"/>
  <c r="AA36" i="6"/>
  <c r="Y37" i="6"/>
  <c r="AA37" i="6" s="1"/>
  <c r="R31" i="6"/>
  <c r="S31" i="6"/>
  <c r="T11" i="6"/>
  <c r="M8" i="6"/>
  <c r="R10" i="6"/>
  <c r="R13" i="6" s="1"/>
  <c r="S12" i="6"/>
  <c r="R12" i="6"/>
  <c r="AA9" i="6"/>
  <c r="M7" i="6" l="1"/>
  <c r="M28" i="6"/>
  <c r="T8" i="6" l="1"/>
  <c r="AA27" i="6"/>
  <c r="AA26" i="6"/>
  <c r="T12" i="6" l="1"/>
  <c r="AA28" i="6"/>
  <c r="R93" i="6"/>
  <c r="R71" i="6"/>
  <c r="R75" i="6" s="1"/>
  <c r="E18" i="2"/>
  <c r="E16" i="2"/>
  <c r="F3" i="4"/>
  <c r="D16" i="2" l="1"/>
  <c r="Z48" i="6" s="1"/>
  <c r="Z49" i="6" s="1"/>
  <c r="S81" i="6"/>
  <c r="S58" i="6"/>
  <c r="D18" i="2"/>
  <c r="S93" i="6" s="1"/>
  <c r="S97" i="6" s="1"/>
  <c r="S103" i="6"/>
  <c r="R77" i="6"/>
  <c r="R78" i="6" s="1"/>
  <c r="R48" i="6"/>
  <c r="R52" i="6" s="1"/>
  <c r="K11" i="6"/>
  <c r="K12" i="6" s="1"/>
  <c r="K13" i="6" s="1"/>
  <c r="Y95" i="6"/>
  <c r="Y96" i="6" s="1"/>
  <c r="R97" i="6"/>
  <c r="Z30" i="6"/>
  <c r="Z95" i="6"/>
  <c r="Z96" i="6" s="1"/>
  <c r="Z97" i="6" s="1"/>
  <c r="Z105" i="6" s="1"/>
  <c r="Z106" i="6" s="1"/>
  <c r="T27" i="6"/>
  <c r="S48" i="6" l="1"/>
  <c r="S52" i="6" s="1"/>
  <c r="T103" i="6"/>
  <c r="S107" i="6"/>
  <c r="T107" i="6" s="1"/>
  <c r="T58" i="6"/>
  <c r="S64" i="6"/>
  <c r="T64" i="6" s="1"/>
  <c r="T81" i="6"/>
  <c r="S87" i="6"/>
  <c r="T87" i="6" s="1"/>
  <c r="S71" i="6"/>
  <c r="T71" i="6" s="1"/>
  <c r="Z50" i="6"/>
  <c r="Y97" i="6"/>
  <c r="Y105" i="6" s="1"/>
  <c r="Y50" i="6"/>
  <c r="L11" i="6"/>
  <c r="L12" i="6" s="1"/>
  <c r="L13" i="6" s="1"/>
  <c r="Y31" i="6"/>
  <c r="Y32" i="6" s="1"/>
  <c r="Y33" i="6" s="1"/>
  <c r="Z31" i="6"/>
  <c r="Z32" i="6" s="1"/>
  <c r="Z33" i="6" s="1"/>
  <c r="Y53" i="6"/>
  <c r="Z53" i="6"/>
  <c r="Y100" i="6"/>
  <c r="Z100" i="6"/>
  <c r="Z101" i="6" s="1"/>
  <c r="Z102" i="6" s="1"/>
  <c r="S33" i="6"/>
  <c r="S34" i="6" s="1"/>
  <c r="S99" i="6"/>
  <c r="S100" i="6" s="1"/>
  <c r="S14" i="6"/>
  <c r="S15" i="6" s="1"/>
  <c r="R14" i="6"/>
  <c r="R15" i="6" s="1"/>
  <c r="Z12" i="6"/>
  <c r="Z13" i="6" s="1"/>
  <c r="Z14" i="6" s="1"/>
  <c r="AA95" i="6"/>
  <c r="T31" i="6"/>
  <c r="M30" i="6"/>
  <c r="AA96" i="6"/>
  <c r="Y106" i="6" l="1"/>
  <c r="AA106" i="6" s="1"/>
  <c r="AA105" i="6"/>
  <c r="AA50" i="6"/>
  <c r="AA48" i="6"/>
  <c r="Z54" i="6"/>
  <c r="Z55" i="6" s="1"/>
  <c r="S75" i="6"/>
  <c r="S77" i="6" s="1"/>
  <c r="Y54" i="6"/>
  <c r="Y55" i="6" s="1"/>
  <c r="R99" i="6"/>
  <c r="R100" i="6" s="1"/>
  <c r="Y101" i="6"/>
  <c r="Y102" i="6" s="1"/>
  <c r="L14" i="6"/>
  <c r="E8" i="9"/>
  <c r="E7" i="9"/>
  <c r="AA53" i="6"/>
  <c r="E12" i="9"/>
  <c r="Y12" i="6"/>
  <c r="Y13" i="6" s="1"/>
  <c r="Y14" i="6" s="1"/>
  <c r="T13" i="6"/>
  <c r="AA49" i="6"/>
  <c r="AA100" i="6"/>
  <c r="AA97" i="6"/>
  <c r="M11" i="6"/>
  <c r="T93" i="6"/>
  <c r="T77" i="6" l="1"/>
  <c r="S78" i="6"/>
  <c r="T78" i="6" s="1"/>
  <c r="F10" i="9" s="1"/>
  <c r="D10" i="9"/>
  <c r="T75" i="6"/>
  <c r="R79" i="6"/>
  <c r="D4" i="9"/>
  <c r="D13" i="9"/>
  <c r="E4" i="9"/>
  <c r="E15" i="9"/>
  <c r="Z103" i="6"/>
  <c r="E13" i="9"/>
  <c r="Z34" i="6"/>
  <c r="Z15" i="6"/>
  <c r="S16" i="6"/>
  <c r="S35" i="6"/>
  <c r="E14" i="9"/>
  <c r="D7" i="9"/>
  <c r="T14" i="6"/>
  <c r="AA12" i="6"/>
  <c r="M12" i="6"/>
  <c r="T48" i="6"/>
  <c r="T98" i="6"/>
  <c r="T97" i="6"/>
  <c r="AA31" i="6"/>
  <c r="M10" i="9" l="1"/>
  <c r="U10" i="9"/>
  <c r="N10" i="9"/>
  <c r="V10" i="9"/>
  <c r="O10" i="9"/>
  <c r="H10" i="9"/>
  <c r="P10" i="9"/>
  <c r="I10" i="9"/>
  <c r="J10" i="9"/>
  <c r="K10" i="9"/>
  <c r="Q10" i="9"/>
  <c r="R10" i="9"/>
  <c r="S10" i="9"/>
  <c r="L10" i="9"/>
  <c r="T10" i="9"/>
  <c r="S79" i="6"/>
  <c r="T79" i="6" s="1"/>
  <c r="E10" i="9"/>
  <c r="G10" i="9"/>
  <c r="K14" i="6"/>
  <c r="M14" i="6" s="1"/>
  <c r="AA33" i="6"/>
  <c r="F13" i="9" s="1"/>
  <c r="D14" i="9"/>
  <c r="AA54" i="6"/>
  <c r="D15" i="9"/>
  <c r="E11" i="9"/>
  <c r="D11" i="9"/>
  <c r="Z56" i="6"/>
  <c r="D12" i="9"/>
  <c r="AA13" i="6"/>
  <c r="R16" i="6"/>
  <c r="T16" i="6" s="1"/>
  <c r="Y34" i="6"/>
  <c r="S101" i="6"/>
  <c r="R101" i="6"/>
  <c r="M13" i="6"/>
  <c r="F4" i="9" s="1"/>
  <c r="T15" i="6"/>
  <c r="F7" i="9" s="1"/>
  <c r="T52" i="6"/>
  <c r="T99" i="6"/>
  <c r="AA32" i="6"/>
  <c r="AA101" i="6"/>
  <c r="J7" i="9" l="1"/>
  <c r="R7" i="9"/>
  <c r="K7" i="9"/>
  <c r="S7" i="9"/>
  <c r="L7" i="9"/>
  <c r="T7" i="9"/>
  <c r="M7" i="9"/>
  <c r="U7" i="9"/>
  <c r="V7" i="9"/>
  <c r="H7" i="9"/>
  <c r="N7" i="9"/>
  <c r="P7" i="9"/>
  <c r="O7" i="9"/>
  <c r="I7" i="9"/>
  <c r="Q7" i="9"/>
  <c r="H13" i="9"/>
  <c r="P13" i="9"/>
  <c r="I13" i="9"/>
  <c r="Q13" i="9"/>
  <c r="J13" i="9"/>
  <c r="R13" i="9"/>
  <c r="K13" i="9"/>
  <c r="S13" i="9"/>
  <c r="L13" i="9"/>
  <c r="M13" i="9"/>
  <c r="N13" i="9"/>
  <c r="T13" i="9"/>
  <c r="V13" i="9"/>
  <c r="O13" i="9"/>
  <c r="U13" i="9"/>
  <c r="R4" i="9"/>
  <c r="I4" i="9"/>
  <c r="S4" i="9"/>
  <c r="J4" i="9"/>
  <c r="T4" i="9"/>
  <c r="K4" i="9"/>
  <c r="P4" i="9"/>
  <c r="Q4" i="9"/>
  <c r="L4" i="9"/>
  <c r="O4" i="9"/>
  <c r="H4" i="9"/>
  <c r="U4" i="9"/>
  <c r="V4" i="9"/>
  <c r="N4" i="9"/>
  <c r="M4" i="9"/>
  <c r="G13" i="9"/>
  <c r="Y103" i="6"/>
  <c r="AA103" i="6" s="1"/>
  <c r="G7" i="9"/>
  <c r="G4" i="9"/>
  <c r="AA14" i="6"/>
  <c r="F12" i="9" s="1"/>
  <c r="Y15" i="6"/>
  <c r="AA15" i="6" s="1"/>
  <c r="Y56" i="6"/>
  <c r="AA56" i="6" s="1"/>
  <c r="AA34" i="6"/>
  <c r="AA55" i="6"/>
  <c r="F14" i="9" s="1"/>
  <c r="AA102" i="6"/>
  <c r="F15" i="9" s="1"/>
  <c r="T100" i="6"/>
  <c r="F11" i="9" s="1"/>
  <c r="I14" i="9" l="1"/>
  <c r="Q14" i="9"/>
  <c r="J14" i="9"/>
  <c r="R14" i="9"/>
  <c r="K14" i="9"/>
  <c r="S14" i="9"/>
  <c r="L14" i="9"/>
  <c r="T14" i="9"/>
  <c r="M14" i="9"/>
  <c r="N14" i="9"/>
  <c r="O14" i="9"/>
  <c r="P14" i="9"/>
  <c r="V14" i="9"/>
  <c r="H14" i="9"/>
  <c r="U14" i="9"/>
  <c r="N11" i="9"/>
  <c r="V11" i="9"/>
  <c r="O11" i="9"/>
  <c r="H11" i="9"/>
  <c r="P11" i="9"/>
  <c r="I11" i="9"/>
  <c r="Q11" i="9"/>
  <c r="J11" i="9"/>
  <c r="K11" i="9"/>
  <c r="L11" i="9"/>
  <c r="S11" i="9"/>
  <c r="U11" i="9"/>
  <c r="T11" i="9"/>
  <c r="M11" i="9"/>
  <c r="R11" i="9"/>
  <c r="J15" i="9"/>
  <c r="R15" i="9"/>
  <c r="K15" i="9"/>
  <c r="S15" i="9"/>
  <c r="L15" i="9"/>
  <c r="T15" i="9"/>
  <c r="M15" i="9"/>
  <c r="N15" i="9"/>
  <c r="O15" i="9"/>
  <c r="U15" i="9"/>
  <c r="V15" i="9"/>
  <c r="Q15" i="9"/>
  <c r="P15" i="9"/>
  <c r="H15" i="9"/>
  <c r="I15" i="9"/>
  <c r="O12" i="9"/>
  <c r="H12" i="9"/>
  <c r="P12" i="9"/>
  <c r="I12" i="9"/>
  <c r="Q12" i="9"/>
  <c r="J12" i="9"/>
  <c r="R12" i="9"/>
  <c r="K12" i="9"/>
  <c r="L12" i="9"/>
  <c r="N12" i="9"/>
  <c r="V12" i="9"/>
  <c r="M12" i="9"/>
  <c r="S12" i="9"/>
  <c r="T12" i="9"/>
  <c r="U12" i="9"/>
  <c r="G15" i="9"/>
  <c r="G14" i="9"/>
  <c r="G11" i="9"/>
  <c r="G12" i="9"/>
  <c r="T101" i="6"/>
  <c r="K33" i="6" l="1"/>
  <c r="K34" i="6" l="1"/>
  <c r="K35" i="6" s="1"/>
  <c r="D5" i="9" l="1"/>
  <c r="K36" i="6"/>
  <c r="R29" i="6" l="1"/>
  <c r="R32" i="6" s="1"/>
  <c r="R33" i="6" l="1"/>
  <c r="R34" i="6" s="1"/>
  <c r="T32" i="6"/>
  <c r="T33" i="6" l="1"/>
  <c r="R35" i="6" l="1"/>
  <c r="T35" i="6" s="1"/>
  <c r="T34" i="6"/>
  <c r="F8" i="9" s="1"/>
  <c r="D8" i="9"/>
  <c r="K8" i="9" l="1"/>
  <c r="S8" i="9"/>
  <c r="L8" i="9"/>
  <c r="T8" i="9"/>
  <c r="M8" i="9"/>
  <c r="U8" i="9"/>
  <c r="N8" i="9"/>
  <c r="V8" i="9"/>
  <c r="I8" i="9"/>
  <c r="P8" i="9"/>
  <c r="H8" i="9"/>
  <c r="R8" i="9"/>
  <c r="J8" i="9"/>
  <c r="O8" i="9"/>
  <c r="Q8" i="9"/>
  <c r="G8" i="9"/>
  <c r="L33" i="6" l="1"/>
  <c r="M33" i="6" l="1"/>
  <c r="L34" i="6"/>
  <c r="L35" i="6" s="1"/>
  <c r="M34" i="6" l="1"/>
  <c r="M35" i="6" l="1"/>
  <c r="F5" i="9" s="1"/>
  <c r="L36" i="6"/>
  <c r="M36" i="6" s="1"/>
  <c r="E5" i="9"/>
  <c r="H5" i="9" l="1"/>
  <c r="P5" i="9"/>
  <c r="Q5" i="9"/>
  <c r="R5" i="9"/>
  <c r="S5" i="9"/>
  <c r="I5" i="9"/>
  <c r="J5" i="9"/>
  <c r="K5" i="9"/>
  <c r="L5" i="9"/>
  <c r="M5" i="9"/>
  <c r="N5" i="9"/>
  <c r="O5" i="9"/>
  <c r="T5" i="9"/>
  <c r="U5" i="9"/>
  <c r="V5" i="9"/>
  <c r="G5" i="9"/>
  <c r="K52" i="6"/>
  <c r="K53" i="6" s="1"/>
  <c r="K54" i="6" s="1"/>
  <c r="K55" i="6" s="1"/>
  <c r="K56" i="6" l="1"/>
  <c r="D6" i="9"/>
  <c r="L52" i="6"/>
  <c r="L53" i="6" l="1"/>
  <c r="L54" i="6" l="1"/>
  <c r="L55" i="6" s="1"/>
  <c r="M53" i="6"/>
  <c r="M54" i="6" l="1"/>
  <c r="L56" i="6" l="1"/>
  <c r="M56" i="6" s="1"/>
  <c r="E6" i="9"/>
  <c r="M55" i="6"/>
  <c r="F6" i="9" s="1"/>
  <c r="I6" i="9" l="1"/>
  <c r="Q6" i="9"/>
  <c r="J6" i="9"/>
  <c r="R6" i="9"/>
  <c r="K6" i="9"/>
  <c r="S6" i="9"/>
  <c r="L6" i="9"/>
  <c r="T6" i="9"/>
  <c r="U6" i="9"/>
  <c r="M6" i="9"/>
  <c r="P6" i="9"/>
  <c r="V6" i="9"/>
  <c r="O6" i="9"/>
  <c r="H6" i="9"/>
  <c r="N6" i="9"/>
  <c r="G6" i="9"/>
  <c r="R50" i="6"/>
  <c r="R53" i="6" s="1"/>
  <c r="R54" i="6" l="1"/>
  <c r="R55" i="6" s="1"/>
  <c r="D9" i="9" l="1"/>
  <c r="R56" i="6"/>
  <c r="S50" i="6"/>
  <c r="S53" i="6" s="1"/>
  <c r="T53" i="6" l="1"/>
  <c r="S54" i="6"/>
  <c r="S55" i="6" s="1"/>
  <c r="T54" i="6" l="1"/>
  <c r="T55" i="6" l="1"/>
  <c r="F9" i="9" s="1"/>
  <c r="E9" i="9"/>
  <c r="S56" i="6"/>
  <c r="T56" i="6" s="1"/>
  <c r="L9" i="9" l="1"/>
  <c r="T9" i="9"/>
  <c r="M9" i="9"/>
  <c r="U9" i="9"/>
  <c r="N9" i="9"/>
  <c r="V9" i="9"/>
  <c r="O9" i="9"/>
  <c r="H9" i="9"/>
  <c r="J9" i="9"/>
  <c r="R9" i="9"/>
  <c r="I9" i="9"/>
  <c r="P9" i="9"/>
  <c r="S9" i="9"/>
  <c r="K9" i="9"/>
  <c r="Q9" i="9"/>
  <c r="G9" i="9"/>
  <c r="Y58" i="6" l="1"/>
  <c r="Y59" i="6"/>
  <c r="Z59" i="6"/>
  <c r="AA59" i="6" l="1"/>
  <c r="Y60" i="6"/>
  <c r="Z58" i="6"/>
  <c r="Z60" i="6" s="1"/>
  <c r="AA60" i="6" l="1"/>
  <c r="AA58" i="6"/>
</calcChain>
</file>

<file path=xl/sharedStrings.xml><?xml version="1.0" encoding="utf-8"?>
<sst xmlns="http://schemas.openxmlformats.org/spreadsheetml/2006/main" count="410" uniqueCount="186">
  <si>
    <t>Fuel name</t>
  </si>
  <si>
    <t>Range</t>
  </si>
  <si>
    <t>fuel price (€/t)</t>
  </si>
  <si>
    <t>Fuel price (€/GJ)</t>
  </si>
  <si>
    <t>Source</t>
  </si>
  <si>
    <t>min</t>
  </si>
  <si>
    <t>max</t>
  </si>
  <si>
    <t>bio-diesel</t>
  </si>
  <si>
    <t>Bio-LNG</t>
  </si>
  <si>
    <t>VLSFO</t>
  </si>
  <si>
    <t>Fuel Oil (VLSFO)</t>
  </si>
  <si>
    <t>e-LNG</t>
  </si>
  <si>
    <t>MDO MGO ISO 8217 Grades DMX to DMB</t>
  </si>
  <si>
    <t>LNG (DF low-pressure 4 stroke)</t>
  </si>
  <si>
    <t>LNG (DF low-pressure 2 stroke)</t>
  </si>
  <si>
    <t>LNG (DF high-pressure 2 stroke)</t>
  </si>
  <si>
    <t>Waste cooking oil biodiesel</t>
  </si>
  <si>
    <t>e-methanol
EU electricity mix (F49 as per RED II)</t>
  </si>
  <si>
    <t>e-NH3</t>
  </si>
  <si>
    <t>MDO/MGO</t>
  </si>
  <si>
    <t>Fuel Name (according to FuelEU Maritime)</t>
  </si>
  <si>
    <t>Biodiesel (waste cooking oil)</t>
  </si>
  <si>
    <t>e-Methanol</t>
  </si>
  <si>
    <t>e-LNG (DF LP- 4 stroke)</t>
  </si>
  <si>
    <t>e-LNG (DF LP 2 stroke)</t>
  </si>
  <si>
    <t>e-LNG (DF HP 2 stroke)</t>
  </si>
  <si>
    <t>ship_class</t>
  </si>
  <si>
    <t>Container</t>
  </si>
  <si>
    <t>data_status</t>
  </si>
  <si>
    <t>Origin (departure country)</t>
  </si>
  <si>
    <t>United States of America</t>
  </si>
  <si>
    <t>Origin (departure port)</t>
  </si>
  <si>
    <t>Destination (arrival country)</t>
  </si>
  <si>
    <t>Netherlands</t>
  </si>
  <si>
    <t>Destination (arrival port)</t>
  </si>
  <si>
    <t>SOG [SEA] (knots)</t>
  </si>
  <si>
    <t>Primary fuel</t>
  </si>
  <si>
    <t>Min</t>
  </si>
  <si>
    <t>Max</t>
  </si>
  <si>
    <t>Fuel costs (journey)</t>
  </si>
  <si>
    <t>Fuel price(€/tonne)</t>
  </si>
  <si>
    <t>Fuel price (€/t)</t>
  </si>
  <si>
    <t>Fuel price (€/tonne_VLSFOeq)</t>
  </si>
  <si>
    <t>Change in freight costs (%/TEU)</t>
  </si>
  <si>
    <t>average</t>
  </si>
  <si>
    <t>WtW GHG (tonne CO2e/journey)</t>
  </si>
  <si>
    <t>Main policy tools</t>
  </si>
  <si>
    <t>ETS costs (€/journey 50:50 scope)</t>
  </si>
  <si>
    <t>FEU</t>
  </si>
  <si>
    <t>TEU</t>
  </si>
  <si>
    <t>https://www.minneapolisfed.org/article/2017/container-imports-and-the-advantage-of-size#:~:text=A%20standard%20container%20may%20hold,the%20container%20is%20half%20empty.</t>
  </si>
  <si>
    <t>Pair of shoes</t>
  </si>
  <si>
    <t>https://wikipedikia.org/how-many-bananas-can-fit-in-a-container/</t>
  </si>
  <si>
    <t>Banana</t>
  </si>
  <si>
    <t>TV</t>
  </si>
  <si>
    <t>Refrigerator</t>
  </si>
  <si>
    <t>ship nominal capacity</t>
  </si>
  <si>
    <t>HFO 2.6%/MDO</t>
  </si>
  <si>
    <t>Fuel Consumption at sea (tonnes/voyage)</t>
  </si>
  <si>
    <t>Time at SEA (days)</t>
  </si>
  <si>
    <t>Distance at SEA (nautical miles)</t>
  </si>
  <si>
    <t>Real-world TEU carriage/voyage</t>
  </si>
  <si>
    <t>TEU Load factor (from MRV)</t>
  </si>
  <si>
    <t>ship_capacity bin</t>
  </si>
  <si>
    <t>Ship IMO number</t>
  </si>
  <si>
    <t>Vessel name</t>
  </si>
  <si>
    <t>OOCL ASIA</t>
  </si>
  <si>
    <t>CO2 Emissions at sea (TtW tonnes/voyage)</t>
  </si>
  <si>
    <t>Fossil LNG (DF HP 2 stroke)</t>
  </si>
  <si>
    <t>Fossil LNG (DF LP 2 stroke)</t>
  </si>
  <si>
    <t>Fossil LNG (DF LP- 4 stroke)</t>
  </si>
  <si>
    <t>Overall 2030 FuelEU Maritime GHG reduction target vis-à-vis 2020</t>
  </si>
  <si>
    <t>Required biodiesel blend on top of e-fuel subquota (%/total energy)</t>
  </si>
  <si>
    <t>Gravimetric density -LCV (MJ/kg)</t>
  </si>
  <si>
    <t>Required biodiesel blend (%/total energy)</t>
  </si>
  <si>
    <t>100% e-NH3</t>
  </si>
  <si>
    <t>Vessel data</t>
  </si>
  <si>
    <t>Fuel WtW GHG intensity (gCO2eq/MJ)</t>
  </si>
  <si>
    <t xml:space="preserve"> </t>
  </si>
  <si>
    <t>100% e-Methanol</t>
  </si>
  <si>
    <t>100% Biodiesel</t>
  </si>
  <si>
    <t>Fuel costs (€/journey)</t>
  </si>
  <si>
    <t>Total fuel + ETS costs (€/journey)</t>
  </si>
  <si>
    <t>Share of pilot VLSFO  (% total energy)</t>
  </si>
  <si>
    <t>Required biodiesel blend on top of e-fuel subquota (% total energy)</t>
  </si>
  <si>
    <t>e-LNG EU electricity mix (DF low-pressure 4 stroke) (F50 as per RED II) **</t>
  </si>
  <si>
    <t>e-LNG EU electricity mix (DF low-pressure 2 stroke) (F51 as per RED II) **</t>
  </si>
  <si>
    <t>e-LNG EU electricity mix (DF high-pressure 2 stroke) (F52 as per RED II) **</t>
  </si>
  <si>
    <t>** WtT emission values were taken from a FuelEU document leaked before the actual proposal. The actual proposal doesn't provide explicit WtT values for e-diesel, e-methanol and e-LNG but refers to the RED. These WtT factors will be determined in a future delegated act by the European Commission.</t>
  </si>
  <si>
    <t>Shipping corridor</t>
  </si>
  <si>
    <t>North America - Europe</t>
  </si>
  <si>
    <t>Selecation of the vessel</t>
  </si>
  <si>
    <t>Notes</t>
  </si>
  <si>
    <t>ETS CO2 price (€/WtW tonne CO2e)</t>
  </si>
  <si>
    <t>FuelEU Maritime RFNBO sub-quota (% of total fuel)</t>
  </si>
  <si>
    <t>Choose vessel name from the list</t>
  </si>
  <si>
    <t>Fuel name (short lables)</t>
  </si>
  <si>
    <t>* note: The values are automatically calculated as a function of the overall target chosen in the "FF55 policy levers" tab.</t>
  </si>
  <si>
    <t>CE Delft (2020), Availability and costs of liquefied bio- and synthetic methane, (p68), range: 15-17 USD/MMBtu.</t>
  </si>
  <si>
    <t>CCT (2020), HVO from waste vegetable oil, range: 0.024-0.039 USD/MJ.</t>
  </si>
  <si>
    <t>Ash, N., Davies, A., &amp; Newton, C. (2020). Renewable electricity requirements to decarbonise transport in Europe with electric vehicles, hydrogen and electrofuels.</t>
  </si>
  <si>
    <t>CE Delft (2020), Availability and costs of liquefied bio- and synthetic methane (p70), 2030 range: 11-12 USD/MMbtu.</t>
  </si>
  <si>
    <t>CE Delft (2020), Availability and costs of liquefied bio- and synthetic methane (p70), 2030 range: 29-63 USD/MMbtu.</t>
  </si>
  <si>
    <t>UMAS-LR (2020), Techno-economic assessment of zero-carbon fuels (p42). Upper bound: 82$/GJ.</t>
  </si>
  <si>
    <t>UMAS-LR (2020), Techno-economic assessment of zero-carbon fuels (p42). Upper bound: 98$/GJ.</t>
  </si>
  <si>
    <t>UMAS-LR (2020), Techno-economic assessment of zero-carbon fuels (p42). Upper bound:  118$/GJ.</t>
  </si>
  <si>
    <t>USD to EURO exchange rate</t>
  </si>
  <si>
    <t>Containerised goods</t>
  </si>
  <si>
    <t># of items per container</t>
  </si>
  <si>
    <t>T&amp;E SEA model</t>
  </si>
  <si>
    <t>Item number</t>
  </si>
  <si>
    <t>Fuel sub-scenario</t>
  </si>
  <si>
    <t>Policy scenario</t>
  </si>
  <si>
    <t>† Source: T&amp;E analysis of FuelEU Maritime, 2022</t>
  </si>
  <si>
    <t>EU 2020 baseline †</t>
  </si>
  <si>
    <t>TAURUS</t>
  </si>
  <si>
    <t xml:space="preserve">**Source: T&amp;E's AIS based ship emissions analysis (SEA) model. Data has been adjusted using the ratio between Consumption per nm from SEA Model and consumption per nm from the EU MRV inbound emissions reporting. </t>
  </si>
  <si>
    <t>* Assuming 70% of DWT is available for transport work</t>
  </si>
  <si>
    <t>Assumed TEU Load factor</t>
  </si>
  <si>
    <t>Belgium</t>
  </si>
  <si>
    <t>Port Charleston</t>
  </si>
  <si>
    <t>Antwerp</t>
  </si>
  <si>
    <t>Rotterdam</t>
  </si>
  <si>
    <t>Average SOG [SEA] (knots)</t>
  </si>
  <si>
    <t>*** Source: page 62 - https://unctad.org/system/files/official-document/rmt2021_en_0.pdf ; FEU divided by 2 (2020)</t>
  </si>
  <si>
    <t>Scenario 1: No fuel switch (i.e. no FuelEU Maritime) + ETS carbon pricing (50% of extra-EU voyage)</t>
  </si>
  <si>
    <t>Scenario 2: Limited fuel blending/co-combustion (50% of voyage) + ETS carbon pricing (50% of the voyage)</t>
  </si>
  <si>
    <t>LNG (historical)</t>
  </si>
  <si>
    <t>LNG (post-COVID)</t>
  </si>
  <si>
    <t>ShipandBunker.com Rotterdam, November 20, 2020. ($401/Mt) https://shipandbunker.com/prices/emea/nwe/nl-rtm-rotterdam#LNG</t>
  </si>
  <si>
    <t>ShipandBunker.com Rotterdam, April 4, 2022. ($1952/Mt) https://shipandbunker.com/prices/emea/nwe/nl-rtm-rotterdam#LNG</t>
  </si>
  <si>
    <t>Sri Lanka</t>
  </si>
  <si>
    <t>Colombo</t>
  </si>
  <si>
    <t>Average freight rates in 2020 €/TEU)***</t>
  </si>
  <si>
    <t>Pilot share by weight</t>
  </si>
  <si>
    <t>Pilot share by energy</t>
  </si>
  <si>
    <t>Total fuel</t>
  </si>
  <si>
    <t>Fuel not covered by FuelEU/ETS: 100% VLSFO</t>
  </si>
  <si>
    <t>Price of fuel (€/tonne_VLSFOeq)</t>
  </si>
  <si>
    <t>WtW GHG (tonne CO2e)</t>
  </si>
  <si>
    <t>Share of fuel blended with VLSFO  to meet the 2030 regulatory target (% of total energy)*</t>
  </si>
  <si>
    <t>Fuel costs (voyage)</t>
  </si>
  <si>
    <t>ETS costs (€/voyage 50:50 scope)</t>
  </si>
  <si>
    <t>Total fuel + ETS costs (€/voyage)</t>
  </si>
  <si>
    <t>Price of fuel mix (€/tonne_VLSFOeq)</t>
  </si>
  <si>
    <t>Price of compliant fuel mix for 50% of voyage (€/tonne_VLSFOeq)</t>
  </si>
  <si>
    <t>WtW GHG (tonne CO2e/voyage)</t>
  </si>
  <si>
    <t>Change in historical freight costs (%/TEU)</t>
  </si>
  <si>
    <t>WTW (gCO2e/gfuel)**</t>
  </si>
  <si>
    <t>WTW (gCO2e/MJ) **</t>
  </si>
  <si>
    <t>ship nominal capacity (TEU)</t>
  </si>
  <si>
    <t>12,000-14,499</t>
  </si>
  <si>
    <t>8,000-12,000</t>
  </si>
  <si>
    <t>data_source**</t>
  </si>
  <si>
    <t>Average freight rates in 2020 €/TEU)</t>
  </si>
  <si>
    <t>East Asia - Northern Europe</t>
  </si>
  <si>
    <t>Energy use at sea (MJ/voyage)</t>
  </si>
  <si>
    <t>NOTE |</t>
  </si>
  <si>
    <t>The geographical scope of the FuelEU Maritime is is as follows:</t>
  </si>
  <si>
    <t>100% at berth fuel consumption in EU ports</t>
  </si>
  <si>
    <t>100% of at berth emissions in EU ports</t>
  </si>
  <si>
    <t>100% of emissions on intra-EU voyages</t>
  </si>
  <si>
    <t>100% of fuel consumption on intra-EU voyages</t>
  </si>
  <si>
    <t>The geographical scope of EU Maritime ETS is as follows:</t>
  </si>
  <si>
    <t>50% of emissions on inbound extra-EU voyages (last leg only)</t>
  </si>
  <si>
    <t>50% of emissions on outbound extra-EU voyages (first leg only)</t>
  </si>
  <si>
    <t>50% of fuel consumption on inbound and outbound extra-EU voyages (first and last legs only)</t>
  </si>
  <si>
    <t>LNG</t>
  </si>
  <si>
    <t>Biodiesel</t>
  </si>
  <si>
    <t>e-methanol</t>
  </si>
  <si>
    <t>Total</t>
  </si>
  <si>
    <t>Biodiesel - covered by FEUM</t>
  </si>
  <si>
    <t>VLSFO - covered by FEUM</t>
  </si>
  <si>
    <t>VLSFO - not covered by FEUM</t>
  </si>
  <si>
    <t>Fossil LNG - covered by FEUM</t>
  </si>
  <si>
    <t>LNG - not covered by FEUM</t>
  </si>
  <si>
    <t>Fuel costs breakdown per voyage</t>
  </si>
  <si>
    <t>fuel shares/voyage</t>
  </si>
  <si>
    <t>Baseline</t>
  </si>
  <si>
    <t>extra-costs per TEU vis-à-vis Baseline</t>
  </si>
  <si>
    <t>Average extra costs on seaborne consumer products (€/product)</t>
  </si>
  <si>
    <r>
      <rPr>
        <sz val="20"/>
        <color rgb="FFFF0000"/>
        <rFont val="Calibri (Body)"/>
      </rPr>
      <t>NOTE!</t>
    </r>
    <r>
      <rPr>
        <sz val="12"/>
        <color rgb="FFFF0000"/>
        <rFont val="Calibri"/>
        <family val="2"/>
        <scheme val="minor"/>
      </rPr>
      <t xml:space="preserve">
Policy levers can be adjusted via the yellow highlighted fields to the left. Model will re-calculate the results accordingly.
Red squared cells in other sheets can also be modified/new data added.
Model will then automatically re-do the calculations. </t>
    </r>
  </si>
  <si>
    <t>Extra costs per TEU vis-à-vis baseline</t>
  </si>
  <si>
    <t>Change in freight costs vis-à-vis 2020 baseline</t>
  </si>
  <si>
    <t>Scenario 3: Complete FEUM fuel blending/co-combustion (entire voyage covered by MRV) + ETS carbon pricing (50% voyage)</t>
  </si>
  <si>
    <t>Fuel Oil (VLSFO) -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</si>
</sst>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
    <numFmt numFmtId="165" formatCode="#,##0\ &quot;€&quot;"/>
    <numFmt numFmtId="166" formatCode="#,##0.00\ &quot;€&quot;"/>
    <numFmt numFmtId="167" formatCode="0.000000000"/>
    <numFmt numFmtId="168" formatCode="0.0"/>
    <numFmt numFmtId="169" formatCode="#,##0_ ;\-#,##0\ "/>
    <numFmt numFmtId="170" formatCode="0.0%"/>
    <numFmt numFmtId="171" formatCode="[$€-2]\ #,##0.0"/>
    <numFmt numFmtId="172" formatCode="[$€-2]\ #,##0.0000"/>
  </numFmts>
  <fonts count="36">
    <font>
      <sz val="12"/>
      <color theme="1"/>
      <name val="Calibri"/>
      <family val="2"/>
      <scheme val="minor"/>
    </font>
    <font>
      <sz val="12"/>
      <color theme="1"/>
      <name val="Calibri"/>
      <family val="2"/>
      <scheme val="minor"/>
    </font>
    <font>
      <b/>
      <sz val="12"/>
      <color theme="1"/>
      <name val="Calibri"/>
      <family val="2"/>
      <scheme val="minor"/>
    </font>
    <font>
      <b/>
      <sz val="10"/>
      <color rgb="FF000000"/>
      <name val="Source Sans Pro"/>
    </font>
    <font>
      <sz val="10"/>
      <color rgb="FF000000"/>
      <name val="Source Sans Pro"/>
    </font>
    <font>
      <u/>
      <sz val="12"/>
      <color theme="10"/>
      <name val="Calibri"/>
      <family val="2"/>
      <scheme val="minor"/>
    </font>
    <font>
      <sz val="12"/>
      <color rgb="FF000000"/>
      <name val="Calibri"/>
      <family val="2"/>
      <scheme val="minor"/>
    </font>
    <font>
      <b/>
      <sz val="12"/>
      <color rgb="FF000000"/>
      <name val="Calibri"/>
      <family val="2"/>
      <scheme val="minor"/>
    </font>
    <font>
      <b/>
      <sz val="11"/>
      <name val="Calibri"/>
      <family val="2"/>
    </font>
    <font>
      <sz val="12"/>
      <name val="Calibri"/>
      <family val="2"/>
      <scheme val="minor"/>
    </font>
    <font>
      <b/>
      <sz val="11"/>
      <name val="Calibri"/>
      <family val="2"/>
      <scheme val="minor"/>
    </font>
    <font>
      <i/>
      <sz val="12"/>
      <color theme="1"/>
      <name val="Calibri"/>
      <family val="2"/>
      <scheme val="minor"/>
    </font>
    <font>
      <b/>
      <sz val="12"/>
      <color theme="0"/>
      <name val="Calibri"/>
      <family val="2"/>
      <scheme val="minor"/>
    </font>
    <font>
      <i/>
      <sz val="9"/>
      <color theme="0" tint="-0.499984740745262"/>
      <name val="Calibri"/>
      <family val="2"/>
      <scheme val="minor"/>
    </font>
    <font>
      <sz val="14"/>
      <color theme="0"/>
      <name val="Calibri"/>
      <family val="2"/>
      <scheme val="minor"/>
    </font>
    <font>
      <i/>
      <sz val="11"/>
      <name val="Calibri"/>
      <family val="2"/>
    </font>
    <font>
      <sz val="16"/>
      <color theme="0"/>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b/>
      <sz val="11"/>
      <color theme="0"/>
      <name val="Calibri (Body)"/>
    </font>
    <font>
      <sz val="12"/>
      <color theme="0"/>
      <name val="Calibri (Body)"/>
    </font>
    <font>
      <sz val="12"/>
      <color theme="0"/>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b/>
      <sz val="10"/>
      <color theme="1"/>
      <name val="Calibri"/>
      <family val="2"/>
      <scheme val="minor"/>
    </font>
    <font>
      <b/>
      <sz val="10"/>
      <color theme="0"/>
      <name val="Calibri"/>
      <family val="2"/>
      <scheme val="minor"/>
    </font>
    <font>
      <b/>
      <sz val="10"/>
      <color theme="0"/>
      <name val="Source Sans Pro"/>
    </font>
    <font>
      <i/>
      <sz val="10"/>
      <color theme="1"/>
      <name val="Calibri"/>
      <family val="2"/>
      <scheme val="minor"/>
    </font>
    <font>
      <sz val="11"/>
      <color indexed="8"/>
      <name val="Calibri"/>
      <family val="2"/>
      <scheme val="minor"/>
    </font>
    <font>
      <sz val="11"/>
      <color theme="1"/>
      <name val="Calibri"/>
      <family val="2"/>
      <scheme val="minor"/>
    </font>
    <font>
      <i/>
      <sz val="12"/>
      <color theme="0"/>
      <name val="Calibri"/>
      <family val="2"/>
      <scheme val="minor"/>
    </font>
    <font>
      <b/>
      <i/>
      <sz val="12"/>
      <color theme="0"/>
      <name val="Calibri"/>
      <family val="2"/>
      <scheme val="minor"/>
    </font>
    <font>
      <sz val="12"/>
      <color rgb="FFFF0000"/>
      <name val="Calibri"/>
      <family val="2"/>
      <scheme val="minor"/>
    </font>
    <font>
      <sz val="20"/>
      <color rgb="FFFF0000"/>
      <name val="Calibri (Body)"/>
    </font>
  </fonts>
  <fills count="21">
    <fill>
      <patternFill patternType="none"/>
    </fill>
    <fill>
      <patternFill patternType="gray125"/>
    </fill>
    <fill>
      <patternFill patternType="solid">
        <fgColor theme="0" tint="-4.9989318521683403E-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00B050"/>
        <bgColor indexed="64"/>
      </patternFill>
    </fill>
    <fill>
      <patternFill patternType="solid">
        <fgColor rgb="FFC00000"/>
        <bgColor indexed="64"/>
      </patternFill>
    </fill>
    <fill>
      <patternFill patternType="solid">
        <fgColor theme="9" tint="0.79998168889431442"/>
        <bgColor indexed="64"/>
      </patternFill>
    </fill>
    <fill>
      <patternFill patternType="solid">
        <fgColor rgb="FF0070C0"/>
        <bgColor indexed="64"/>
      </patternFill>
    </fill>
    <fill>
      <patternFill patternType="solid">
        <fgColor theme="4" tint="-0.24994659260841701"/>
        <bgColor indexed="64"/>
      </patternFill>
    </fill>
    <fill>
      <patternFill patternType="solid">
        <fgColor theme="4" tint="-0.24994659260841701"/>
        <bgColor auto="1"/>
      </patternFill>
    </fill>
    <fill>
      <patternFill patternType="solid">
        <fgColor theme="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9"/>
        <bgColor indexed="64"/>
      </patternFill>
    </fill>
    <fill>
      <patternFill patternType="solid">
        <fgColor theme="0"/>
        <bgColor indexed="64"/>
      </patternFill>
    </fill>
    <fill>
      <patternFill patternType="solid">
        <fgColor rgb="FF002060"/>
        <bgColor indexed="64"/>
      </patternFill>
    </fill>
    <fill>
      <patternFill patternType="solid">
        <fgColor theme="1"/>
        <bgColor indexed="64"/>
      </patternFill>
    </fill>
  </fills>
  <borders count="79">
    <border>
      <left/>
      <right/>
      <top/>
      <bottom/>
      <diagonal/>
    </border>
    <border>
      <left style="thin">
        <color theme="0" tint="-0.249977111117893"/>
      </left>
      <right style="thin">
        <color theme="0" tint="-0.249977111117893"/>
      </right>
      <top style="thin">
        <color theme="0" tint="-0.249977111117893"/>
      </top>
      <bottom/>
      <diagonal/>
    </border>
    <border>
      <left/>
      <right style="medium">
        <color theme="7" tint="-0.499984740745262"/>
      </right>
      <top/>
      <bottom style="medium">
        <color theme="7" tint="-0.499984740745262"/>
      </bottom>
      <diagonal/>
    </border>
    <border>
      <left/>
      <right/>
      <top/>
      <bottom style="medium">
        <color theme="1"/>
      </bottom>
      <diagonal/>
    </border>
    <border>
      <left/>
      <right/>
      <top style="thin">
        <color theme="0" tint="-0.249977111117893"/>
      </top>
      <bottom style="thin">
        <color theme="0" tint="-0.249977111117893"/>
      </bottom>
      <diagonal/>
    </border>
    <border>
      <left/>
      <right/>
      <top/>
      <bottom style="thin">
        <color theme="0" tint="-0.249977111117893"/>
      </bottom>
      <diagonal/>
    </border>
    <border>
      <left/>
      <right/>
      <top style="medium">
        <color theme="1"/>
      </top>
      <bottom/>
      <diagonal/>
    </border>
    <border>
      <left/>
      <right/>
      <top/>
      <bottom style="double">
        <color indexed="64"/>
      </bottom>
      <diagonal/>
    </border>
    <border>
      <left/>
      <right/>
      <top style="thin">
        <color theme="0" tint="-0.24994659260841701"/>
      </top>
      <bottom style="thick">
        <color auto="1"/>
      </bottom>
      <diagonal/>
    </border>
    <border>
      <left style="thin">
        <color theme="0" tint="-0.249977111117893"/>
      </left>
      <right/>
      <top style="thin">
        <color theme="0" tint="-0.249977111117893"/>
      </top>
      <bottom style="thick">
        <color auto="1"/>
      </bottom>
      <diagonal/>
    </border>
    <border>
      <left/>
      <right/>
      <top style="thin">
        <color theme="0" tint="-0.249977111117893"/>
      </top>
      <bottom style="thick">
        <color auto="1"/>
      </bottom>
      <diagonal/>
    </border>
    <border>
      <left/>
      <right style="thin">
        <color theme="0" tint="-0.249977111117893"/>
      </right>
      <top style="thin">
        <color theme="0" tint="-0.249977111117893"/>
      </top>
      <bottom style="thick">
        <color auto="1"/>
      </bottom>
      <diagonal/>
    </border>
    <border>
      <left/>
      <right/>
      <top style="thick">
        <color auto="1"/>
      </top>
      <bottom style="thin">
        <color theme="0" tint="-0.249977111117893"/>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diagonal/>
    </border>
    <border>
      <left/>
      <right/>
      <top/>
      <bottom style="thick">
        <color auto="1"/>
      </bottom>
      <diagonal/>
    </border>
    <border>
      <left/>
      <right/>
      <top style="thick">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ck">
        <color theme="1"/>
      </bottom>
      <diagonal/>
    </border>
    <border>
      <left style="thin">
        <color theme="0" tint="-0.24994659260841701"/>
      </left>
      <right style="thin">
        <color theme="0" tint="-0.24994659260841701"/>
      </right>
      <top style="thin">
        <color theme="0" tint="-0.24994659260841701"/>
      </top>
      <bottom style="thick">
        <color theme="1"/>
      </bottom>
      <diagonal/>
    </border>
    <border>
      <left style="thin">
        <color theme="0" tint="-0.24994659260841701"/>
      </left>
      <right/>
      <top style="thin">
        <color theme="0" tint="-0.24994659260841701"/>
      </top>
      <bottom style="thick">
        <color theme="1"/>
      </bottom>
      <diagonal/>
    </border>
    <border>
      <left style="thin">
        <color theme="0" tint="-0.249977111117893"/>
      </left>
      <right/>
      <top/>
      <bottom style="thin">
        <color theme="0" tint="-0.24994659260841701"/>
      </bottom>
      <diagonal/>
    </border>
    <border>
      <left style="thin">
        <color theme="0" tint="-0.249977111117893"/>
      </left>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4659260841701"/>
      </top>
      <bottom style="thin">
        <color theme="0" tint="-0.24994659260841701"/>
      </bottom>
      <diagonal/>
    </border>
    <border>
      <left style="thin">
        <color theme="0" tint="-0.249977111117893"/>
      </left>
      <right style="thin">
        <color theme="0" tint="-0.24994659260841701"/>
      </right>
      <top style="thin">
        <color theme="0" tint="-0.24994659260841701"/>
      </top>
      <bottom/>
      <diagonal/>
    </border>
    <border>
      <left style="thin">
        <color theme="0" tint="-0.249977111117893"/>
      </left>
      <right style="thin">
        <color theme="0" tint="-0.24994659260841701"/>
      </right>
      <top/>
      <bottom style="thick">
        <color theme="1"/>
      </bottom>
      <diagonal/>
    </border>
    <border>
      <left/>
      <right style="thick">
        <color theme="1"/>
      </right>
      <top/>
      <bottom/>
      <diagonal/>
    </border>
    <border>
      <left style="thick">
        <color theme="1"/>
      </left>
      <right/>
      <top/>
      <bottom/>
      <diagonal/>
    </border>
    <border>
      <left/>
      <right style="thick">
        <color theme="1"/>
      </right>
      <top style="thin">
        <color theme="0" tint="-0.24994659260841701"/>
      </top>
      <bottom style="thin">
        <color theme="0" tint="-0.24994659260841701"/>
      </bottom>
      <diagonal/>
    </border>
    <border>
      <left style="thick">
        <color theme="1"/>
      </left>
      <right/>
      <top style="thin">
        <color theme="0" tint="-0.24994659260841701"/>
      </top>
      <bottom style="thin">
        <color theme="0" tint="-0.24994659260841701"/>
      </bottom>
      <diagonal/>
    </border>
    <border>
      <left/>
      <right/>
      <top/>
      <bottom style="thick">
        <color theme="1"/>
      </bottom>
      <diagonal/>
    </border>
    <border>
      <left/>
      <right/>
      <top/>
      <bottom style="thin">
        <color auto="1"/>
      </bottom>
      <diagonal/>
    </border>
    <border>
      <left/>
      <right/>
      <top style="thick">
        <color theme="1"/>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
      <left/>
      <right/>
      <top style="thin">
        <color indexed="64"/>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rgb="FFFF0000"/>
      </left>
      <right/>
      <top style="thin">
        <color rgb="FFFF0000"/>
      </top>
      <bottom style="thin">
        <color theme="0" tint="-0.249977111117893"/>
      </bottom>
      <diagonal/>
    </border>
    <border>
      <left/>
      <right style="thin">
        <color rgb="FFFF0000"/>
      </right>
      <top style="thin">
        <color rgb="FFFF0000"/>
      </top>
      <bottom style="thin">
        <color theme="0" tint="-0.249977111117893"/>
      </bottom>
      <diagonal/>
    </border>
    <border>
      <left style="thin">
        <color rgb="FFFF0000"/>
      </left>
      <right/>
      <top style="thin">
        <color theme="0" tint="-0.249977111117893"/>
      </top>
      <bottom style="thin">
        <color theme="0" tint="-0.249977111117893"/>
      </bottom>
      <diagonal/>
    </border>
    <border>
      <left/>
      <right style="thin">
        <color rgb="FFFF0000"/>
      </right>
      <top style="thin">
        <color theme="0" tint="-0.249977111117893"/>
      </top>
      <bottom style="thin">
        <color theme="0" tint="-0.249977111117893"/>
      </bottom>
      <diagonal/>
    </border>
    <border>
      <left style="thin">
        <color rgb="FFFF0000"/>
      </left>
      <right/>
      <top/>
      <bottom/>
      <diagonal/>
    </border>
    <border>
      <left/>
      <right style="thin">
        <color rgb="FFFF0000"/>
      </right>
      <top/>
      <bottom/>
      <diagonal/>
    </border>
    <border>
      <left style="thin">
        <color rgb="FFFF0000"/>
      </left>
      <right/>
      <top style="thin">
        <color theme="0" tint="-0.249977111117893"/>
      </top>
      <bottom style="thin">
        <color rgb="FFFF0000"/>
      </bottom>
      <diagonal/>
    </border>
    <border>
      <left/>
      <right style="thin">
        <color rgb="FFFF0000"/>
      </right>
      <top style="thin">
        <color theme="0" tint="-0.249977111117893"/>
      </top>
      <bottom style="thin">
        <color rgb="FFFF0000"/>
      </bottom>
      <diagonal/>
    </border>
    <border>
      <left/>
      <right/>
      <top style="thin">
        <color theme="0" tint="-0.249977111117893"/>
      </top>
      <bottom/>
      <diagonal/>
    </border>
    <border>
      <left/>
      <right/>
      <top style="thin">
        <color rgb="FFFF0000"/>
      </top>
      <bottom style="thin">
        <color theme="0" tint="-0.249977111117893"/>
      </bottom>
      <diagonal/>
    </border>
    <border>
      <left/>
      <right/>
      <top style="thin">
        <color theme="0" tint="-0.249977111117893"/>
      </top>
      <bottom style="thin">
        <color rgb="FFFF0000"/>
      </bottom>
      <diagonal/>
    </border>
    <border>
      <left style="thin">
        <color rgb="FFFF0000"/>
      </left>
      <right/>
      <top style="thin">
        <color rgb="FFFF0000"/>
      </top>
      <bottom style="thin">
        <color theme="0" tint="-0.24994659260841701"/>
      </bottom>
      <diagonal/>
    </border>
    <border>
      <left/>
      <right/>
      <top style="thin">
        <color rgb="FFFF0000"/>
      </top>
      <bottom style="thin">
        <color theme="0" tint="-0.24994659260841701"/>
      </bottom>
      <diagonal/>
    </border>
    <border>
      <left/>
      <right style="thin">
        <color rgb="FFFF0000"/>
      </right>
      <top style="thin">
        <color rgb="FFFF0000"/>
      </top>
      <bottom style="thin">
        <color theme="0" tint="-0.24994659260841701"/>
      </bottom>
      <diagonal/>
    </border>
    <border>
      <left style="thin">
        <color rgb="FFFF0000"/>
      </left>
      <right/>
      <top style="thin">
        <color theme="0" tint="-0.24994659260841701"/>
      </top>
      <bottom style="thin">
        <color theme="0" tint="-0.24994659260841701"/>
      </bottom>
      <diagonal/>
    </border>
    <border>
      <left/>
      <right style="thin">
        <color rgb="FFFF0000"/>
      </right>
      <top style="thin">
        <color theme="0" tint="-0.24994659260841701"/>
      </top>
      <bottom style="thin">
        <color theme="0" tint="-0.24994659260841701"/>
      </bottom>
      <diagonal/>
    </border>
    <border>
      <left style="thin">
        <color rgb="FFFF0000"/>
      </left>
      <right/>
      <top style="thin">
        <color theme="0" tint="-0.24994659260841701"/>
      </top>
      <bottom style="thin">
        <color rgb="FFFF0000"/>
      </bottom>
      <diagonal/>
    </border>
    <border>
      <left/>
      <right/>
      <top style="thin">
        <color theme="0" tint="-0.24994659260841701"/>
      </top>
      <bottom style="thin">
        <color rgb="FFFF0000"/>
      </bottom>
      <diagonal/>
    </border>
    <border>
      <left/>
      <right style="thin">
        <color rgb="FFFF0000"/>
      </right>
      <top style="thin">
        <color theme="0" tint="-0.24994659260841701"/>
      </top>
      <bottom style="thin">
        <color rgb="FFFF0000"/>
      </bottom>
      <diagonal/>
    </border>
    <border>
      <left style="thin">
        <color theme="0" tint="-0.249977111117893"/>
      </left>
      <right/>
      <top style="thin">
        <color theme="0" tint="-0.249977111117893"/>
      </top>
      <bottom style="thin">
        <color theme="0" tint="-0.249977111117893"/>
      </bottom>
      <diagonal/>
    </border>
    <border>
      <left style="thick">
        <color theme="0"/>
      </left>
      <right style="thick">
        <color theme="0"/>
      </right>
      <top style="thin">
        <color theme="0" tint="-0.24994659260841701"/>
      </top>
      <bottom style="thin">
        <color theme="0" tint="-0.24994659260841701"/>
      </bottom>
      <diagonal/>
    </border>
    <border>
      <left style="thick">
        <color theme="0"/>
      </left>
      <right style="thick">
        <color theme="0"/>
      </right>
      <top style="thin">
        <color theme="0" tint="-0.24994659260841701"/>
      </top>
      <bottom/>
      <diagonal/>
    </border>
    <border>
      <left style="thick">
        <color theme="0"/>
      </left>
      <right style="thick">
        <color theme="0"/>
      </right>
      <top/>
      <bottom style="thin">
        <color theme="0" tint="-0.24994659260841701"/>
      </bottom>
      <diagonal/>
    </border>
    <border>
      <left style="thick">
        <color theme="0"/>
      </left>
      <right/>
      <top style="thick">
        <color theme="0"/>
      </top>
      <bottom/>
      <diagonal/>
    </border>
    <border>
      <left style="thick">
        <color theme="0"/>
      </left>
      <right/>
      <top style="thin">
        <color theme="0" tint="-0.24994659260841701"/>
      </top>
      <bottom style="thin">
        <color theme="0" tint="-0.24994659260841701"/>
      </bottom>
      <diagonal/>
    </border>
    <border>
      <left style="thick">
        <color theme="0"/>
      </left>
      <right/>
      <top style="thin">
        <color theme="0" tint="-0.24994659260841701"/>
      </top>
      <bottom/>
      <diagonal/>
    </border>
    <border>
      <left style="thick">
        <color theme="0"/>
      </left>
      <right/>
      <top/>
      <bottom/>
      <diagonal/>
    </border>
    <border>
      <left style="thick">
        <color theme="0"/>
      </left>
      <right/>
      <top/>
      <bottom style="thin">
        <color theme="0" tint="-0.24994659260841701"/>
      </bottom>
      <diagonal/>
    </border>
    <border>
      <left style="thick">
        <color theme="0"/>
      </left>
      <right/>
      <top/>
      <bottom style="thick">
        <color theme="0"/>
      </bottom>
      <diagonal/>
    </border>
    <border>
      <left/>
      <right style="thin">
        <color theme="0" tint="-0.249977111117893"/>
      </right>
      <top style="thin">
        <color theme="0" tint="-0.24994659260841701"/>
      </top>
      <bottom style="thin">
        <color theme="0" tint="-0.24994659260841701"/>
      </bottom>
      <diagonal/>
    </border>
  </borders>
  <cellStyleXfs count="5">
    <xf numFmtId="0" fontId="0" fillId="0" borderId="0"/>
    <xf numFmtId="9"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30" fillId="0" borderId="0"/>
  </cellStyleXfs>
  <cellXfs count="285">
    <xf numFmtId="0" fontId="0" fillId="0" borderId="0" xfId="0"/>
    <xf numFmtId="0" fontId="0" fillId="0" borderId="0" xfId="0" applyAlignment="1">
      <alignment horizontal="left" vertical="center"/>
    </xf>
    <xf numFmtId="0" fontId="2"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center"/>
    </xf>
    <xf numFmtId="0" fontId="13" fillId="0" borderId="0" xfId="0" applyFont="1"/>
    <xf numFmtId="0" fontId="13" fillId="0" borderId="0" xfId="0" applyFont="1" applyAlignment="1">
      <alignment vertical="center"/>
    </xf>
    <xf numFmtId="166" fontId="13" fillId="0" borderId="0" xfId="0" applyNumberFormat="1" applyFont="1" applyAlignment="1">
      <alignment vertical="center"/>
    </xf>
    <xf numFmtId="0" fontId="7" fillId="0" borderId="0" xfId="0" applyFont="1"/>
    <xf numFmtId="164" fontId="0" fillId="0" borderId="0" xfId="0" applyNumberFormat="1" applyAlignment="1">
      <alignment horizontal="center" vertical="center"/>
    </xf>
    <xf numFmtId="166" fontId="0" fillId="0" borderId="0" xfId="0" applyNumberFormat="1" applyAlignment="1">
      <alignment vertical="center"/>
    </xf>
    <xf numFmtId="9" fontId="0" fillId="0" borderId="0" xfId="1" applyFont="1" applyAlignment="1">
      <alignment vertical="center"/>
    </xf>
    <xf numFmtId="10" fontId="0" fillId="0" borderId="0" xfId="1" applyNumberFormat="1" applyFont="1" applyAlignment="1">
      <alignment vertical="center"/>
    </xf>
    <xf numFmtId="10" fontId="0" fillId="0" borderId="0" xfId="1" applyNumberFormat="1" applyFont="1"/>
    <xf numFmtId="164" fontId="0" fillId="0" borderId="0" xfId="0" applyNumberFormat="1"/>
    <xf numFmtId="164" fontId="0" fillId="0" borderId="0" xfId="0" applyNumberFormat="1" applyAlignment="1">
      <alignment vertical="center"/>
    </xf>
    <xf numFmtId="164" fontId="0" fillId="0" borderId="0" xfId="1" applyNumberFormat="1" applyFont="1"/>
    <xf numFmtId="0" fontId="15" fillId="0" borderId="0" xfId="0" applyFont="1" applyAlignment="1">
      <alignment horizontal="left" vertical="top"/>
    </xf>
    <xf numFmtId="0" fontId="17" fillId="0" borderId="0" xfId="0" applyFont="1" applyAlignment="1">
      <alignment vertical="center"/>
    </xf>
    <xf numFmtId="1" fontId="0" fillId="0" borderId="0" xfId="0" applyNumberFormat="1"/>
    <xf numFmtId="0" fontId="0" fillId="0" borderId="0" xfId="1" applyNumberFormat="1" applyFont="1"/>
    <xf numFmtId="167" fontId="0" fillId="0" borderId="0" xfId="0" applyNumberFormat="1"/>
    <xf numFmtId="0" fontId="11" fillId="0" borderId="0" xfId="0" applyFont="1" applyAlignment="1">
      <alignment horizontal="left"/>
    </xf>
    <xf numFmtId="0" fontId="19" fillId="0" borderId="0" xfId="0" applyFont="1"/>
    <xf numFmtId="0" fontId="20" fillId="9" borderId="1" xfId="0" applyFont="1" applyFill="1" applyBorder="1" applyAlignment="1">
      <alignment horizontal="center" vertical="center" wrapText="1"/>
    </xf>
    <xf numFmtId="0" fontId="21" fillId="9" borderId="1" xfId="0" applyFont="1" applyFill="1" applyBorder="1" applyAlignment="1">
      <alignment horizontal="center" vertical="center"/>
    </xf>
    <xf numFmtId="0" fontId="0" fillId="0" borderId="6" xfId="0" applyBorder="1"/>
    <xf numFmtId="0" fontId="0" fillId="0" borderId="7" xfId="0" applyBorder="1"/>
    <xf numFmtId="164" fontId="25" fillId="0" borderId="5" xfId="0" applyNumberFormat="1" applyFont="1" applyBorder="1" applyAlignment="1">
      <alignment horizontal="center" vertical="center"/>
    </xf>
    <xf numFmtId="10" fontId="23" fillId="8" borderId="5" xfId="1" applyNumberFormat="1" applyFont="1" applyFill="1" applyBorder="1" applyAlignment="1">
      <alignment horizontal="center" vertical="center"/>
    </xf>
    <xf numFmtId="164" fontId="25" fillId="0" borderId="4" xfId="0" applyNumberFormat="1" applyFont="1" applyBorder="1" applyAlignment="1">
      <alignment horizontal="center" vertical="center"/>
    </xf>
    <xf numFmtId="10" fontId="23" fillId="8" borderId="4" xfId="1" applyNumberFormat="1" applyFont="1" applyFill="1" applyBorder="1" applyAlignment="1">
      <alignment horizontal="center" vertical="center"/>
    </xf>
    <xf numFmtId="0" fontId="26" fillId="0" borderId="5" xfId="0" applyFont="1" applyBorder="1" applyAlignment="1">
      <alignment horizontal="left" vertical="center"/>
    </xf>
    <xf numFmtId="0" fontId="26" fillId="0" borderId="4" xfId="0" applyFont="1" applyBorder="1" applyAlignment="1">
      <alignment horizontal="left" vertical="center"/>
    </xf>
    <xf numFmtId="0" fontId="24" fillId="0" borderId="4" xfId="0" applyFont="1" applyBorder="1" applyAlignment="1">
      <alignment horizontal="left"/>
    </xf>
    <xf numFmtId="0" fontId="25" fillId="0" borderId="5" xfId="0" applyFont="1" applyBorder="1"/>
    <xf numFmtId="0" fontId="25" fillId="0" borderId="4" xfId="0" applyFont="1" applyBorder="1"/>
    <xf numFmtId="0" fontId="27" fillId="10" borderId="8" xfId="0" applyFont="1" applyFill="1" applyBorder="1" applyAlignment="1">
      <alignment horizontal="center" vertical="center"/>
    </xf>
    <xf numFmtId="0" fontId="27" fillId="10" borderId="8" xfId="0" applyFont="1" applyFill="1" applyBorder="1" applyAlignment="1">
      <alignment horizontal="center" vertical="center" wrapText="1"/>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28" fillId="10" borderId="9" xfId="0" applyFont="1" applyFill="1" applyBorder="1" applyAlignment="1">
      <alignment horizontal="center" vertical="center"/>
    </xf>
    <xf numFmtId="0" fontId="28" fillId="10" borderId="10" xfId="0" applyFont="1" applyFill="1" applyBorder="1" applyAlignment="1">
      <alignment horizontal="center" vertical="center"/>
    </xf>
    <xf numFmtId="0" fontId="4" fillId="0" borderId="12" xfId="0" applyFont="1" applyBorder="1" applyAlignment="1">
      <alignment horizontal="center" vertical="center"/>
    </xf>
    <xf numFmtId="0" fontId="3" fillId="0" borderId="12" xfId="0" applyFont="1" applyBorder="1" applyAlignment="1">
      <alignment horizontal="center" vertical="center"/>
    </xf>
    <xf numFmtId="0" fontId="5" fillId="0" borderId="4" xfId="2" applyBorder="1"/>
    <xf numFmtId="0" fontId="28" fillId="10" borderId="11" xfId="0" applyFont="1" applyFill="1" applyBorder="1" applyAlignment="1">
      <alignment horizontal="center" vertical="center"/>
    </xf>
    <xf numFmtId="0" fontId="23" fillId="0" borderId="4" xfId="0" applyFont="1" applyBorder="1" applyAlignment="1">
      <alignment horizontal="center"/>
    </xf>
    <xf numFmtId="0" fontId="26" fillId="0" borderId="4" xfId="0" applyFont="1" applyBorder="1" applyAlignment="1">
      <alignment horizontal="center"/>
    </xf>
    <xf numFmtId="0" fontId="10" fillId="0" borderId="13" xfId="0" applyFont="1" applyBorder="1" applyAlignment="1">
      <alignment horizontal="left" vertical="top" wrapText="1"/>
    </xf>
    <xf numFmtId="0" fontId="9" fillId="0" borderId="13" xfId="0" applyFont="1" applyBorder="1" applyAlignment="1">
      <alignment horizontal="center" vertical="center"/>
    </xf>
    <xf numFmtId="0" fontId="0" fillId="0" borderId="13" xfId="0" applyBorder="1" applyAlignment="1">
      <alignment horizontal="center" vertical="center"/>
    </xf>
    <xf numFmtId="0" fontId="5" fillId="0" borderId="13" xfId="2" applyBorder="1"/>
    <xf numFmtId="0" fontId="22" fillId="11" borderId="8" xfId="0" applyFont="1" applyFill="1" applyBorder="1" applyAlignment="1">
      <alignment horizontal="center" vertical="center"/>
    </xf>
    <xf numFmtId="0" fontId="10" fillId="0" borderId="17" xfId="0" applyFont="1" applyBorder="1" applyAlignment="1">
      <alignment horizontal="left" vertical="top" wrapText="1"/>
    </xf>
    <xf numFmtId="0" fontId="9" fillId="0" borderId="17" xfId="0" applyFont="1" applyBorder="1" applyAlignment="1">
      <alignment horizontal="center" vertical="center"/>
    </xf>
    <xf numFmtId="0" fontId="0" fillId="0" borderId="17" xfId="0" applyBorder="1" applyAlignment="1">
      <alignment horizontal="center" vertical="center"/>
    </xf>
    <xf numFmtId="0" fontId="5" fillId="0" borderId="17" xfId="2" applyBorder="1"/>
    <xf numFmtId="0" fontId="12" fillId="11" borderId="13" xfId="0" applyFont="1" applyFill="1" applyBorder="1" applyAlignment="1">
      <alignment vertical="center"/>
    </xf>
    <xf numFmtId="0" fontId="2" fillId="0" borderId="13" xfId="0" applyFont="1" applyBorder="1" applyAlignment="1">
      <alignment horizontal="left" vertical="top" wrapText="1"/>
    </xf>
    <xf numFmtId="165" fontId="1" fillId="0" borderId="13" xfId="3" applyNumberFormat="1" applyFont="1" applyFill="1" applyBorder="1" applyAlignment="1">
      <alignment horizontal="center" vertical="center"/>
    </xf>
    <xf numFmtId="165" fontId="11" fillId="0" borderId="13" xfId="3" applyNumberFormat="1" applyFont="1" applyFill="1" applyBorder="1" applyAlignment="1">
      <alignment horizontal="center" vertical="center"/>
    </xf>
    <xf numFmtId="2" fontId="11" fillId="0" borderId="13" xfId="3" applyNumberFormat="1" applyFont="1" applyFill="1" applyBorder="1" applyAlignment="1">
      <alignment horizontal="center" vertical="center"/>
    </xf>
    <xf numFmtId="1" fontId="11" fillId="0" borderId="13" xfId="3" applyNumberFormat="1" applyFont="1" applyFill="1" applyBorder="1" applyAlignment="1">
      <alignment horizontal="center" vertical="center"/>
    </xf>
    <xf numFmtId="1" fontId="1" fillId="0" borderId="13" xfId="3" applyNumberFormat="1" applyFont="1" applyFill="1" applyBorder="1" applyAlignment="1">
      <alignment horizontal="center" vertical="center"/>
    </xf>
    <xf numFmtId="165" fontId="11" fillId="2" borderId="13" xfId="3" applyNumberFormat="1" applyFont="1" applyFill="1" applyBorder="1" applyAlignment="1">
      <alignment horizontal="center" vertical="center"/>
    </xf>
    <xf numFmtId="166" fontId="11" fillId="5" borderId="13" xfId="3" applyNumberFormat="1" applyFont="1" applyFill="1" applyBorder="1" applyAlignment="1">
      <alignment horizontal="center" vertical="center"/>
    </xf>
    <xf numFmtId="10" fontId="11" fillId="5" borderId="13" xfId="1" applyNumberFormat="1" applyFont="1" applyFill="1" applyBorder="1" applyAlignment="1">
      <alignment horizontal="center" vertical="center"/>
    </xf>
    <xf numFmtId="10" fontId="1" fillId="0" borderId="13" xfId="1" applyNumberFormat="1" applyFont="1" applyFill="1" applyBorder="1" applyAlignment="1">
      <alignment horizontal="center" vertical="center"/>
    </xf>
    <xf numFmtId="10" fontId="9" fillId="0" borderId="13" xfId="1" applyNumberFormat="1" applyFont="1" applyFill="1" applyBorder="1" applyAlignment="1">
      <alignment horizontal="center" vertical="center"/>
    </xf>
    <xf numFmtId="165" fontId="9" fillId="0" borderId="13" xfId="3" applyNumberFormat="1" applyFont="1" applyFill="1" applyBorder="1" applyAlignment="1">
      <alignment horizontal="center" vertical="center"/>
    </xf>
    <xf numFmtId="0" fontId="29" fillId="0" borderId="0" xfId="0" applyFont="1"/>
    <xf numFmtId="0" fontId="10" fillId="0" borderId="17" xfId="0" applyFont="1" applyBorder="1" applyAlignment="1">
      <alignment horizontal="center" vertical="center" wrapText="1"/>
    </xf>
    <xf numFmtId="0" fontId="10" fillId="0" borderId="13" xfId="0" applyFont="1" applyBorder="1" applyAlignment="1">
      <alignment horizontal="center" vertical="center" wrapText="1"/>
    </xf>
    <xf numFmtId="0" fontId="12" fillId="10" borderId="22" xfId="0" applyFont="1" applyFill="1" applyBorder="1" applyAlignment="1">
      <alignment horizontal="center" vertical="center"/>
    </xf>
    <xf numFmtId="0" fontId="12" fillId="10" borderId="23" xfId="0" applyFont="1" applyFill="1" applyBorder="1" applyAlignment="1">
      <alignment horizontal="center" vertical="center"/>
    </xf>
    <xf numFmtId="0" fontId="8" fillId="0" borderId="29" xfId="0" applyFont="1" applyBorder="1" applyAlignment="1">
      <alignment horizontal="left" vertical="top" wrapText="1"/>
    </xf>
    <xf numFmtId="0" fontId="0" fillId="0" borderId="30" xfId="0" applyBorder="1" applyAlignment="1">
      <alignment horizontal="center" vertical="top"/>
    </xf>
    <xf numFmtId="0" fontId="8" fillId="0" borderId="31" xfId="0" applyFont="1" applyBorder="1" applyAlignment="1">
      <alignment horizontal="left" vertical="top" wrapText="1"/>
    </xf>
    <xf numFmtId="0" fontId="0" fillId="0" borderId="32" xfId="0" applyBorder="1" applyAlignment="1">
      <alignment horizontal="center" vertical="top"/>
    </xf>
    <xf numFmtId="9" fontId="0" fillId="0" borderId="32" xfId="1" applyFont="1" applyBorder="1" applyAlignment="1">
      <alignment horizontal="center" vertical="top"/>
    </xf>
    <xf numFmtId="1" fontId="0" fillId="0" borderId="32" xfId="0" applyNumberFormat="1" applyBorder="1" applyAlignment="1">
      <alignment horizontal="center" vertical="top"/>
    </xf>
    <xf numFmtId="169" fontId="0" fillId="0" borderId="32" xfId="3" applyNumberFormat="1" applyFont="1" applyBorder="1" applyAlignment="1">
      <alignment horizontal="center" vertical="top"/>
    </xf>
    <xf numFmtId="0" fontId="2" fillId="0" borderId="33" xfId="0" applyFont="1" applyBorder="1" applyAlignment="1">
      <alignment horizontal="center" vertical="center"/>
    </xf>
    <xf numFmtId="0" fontId="0" fillId="0" borderId="34" xfId="0" applyBorder="1"/>
    <xf numFmtId="0" fontId="0" fillId="0" borderId="35" xfId="0" applyBorder="1" applyAlignment="1">
      <alignment horizontal="center" vertical="top"/>
    </xf>
    <xf numFmtId="0" fontId="0" fillId="0" borderId="35" xfId="0" applyBorder="1" applyAlignment="1">
      <alignment horizontal="center" vertical="center"/>
    </xf>
    <xf numFmtId="9" fontId="0" fillId="0" borderId="35" xfId="0" applyNumberFormat="1" applyBorder="1" applyAlignment="1">
      <alignment horizontal="center" vertical="center"/>
    </xf>
    <xf numFmtId="1" fontId="0" fillId="0" borderId="35" xfId="0" applyNumberFormat="1" applyBorder="1" applyAlignment="1">
      <alignment horizontal="center" vertical="center"/>
    </xf>
    <xf numFmtId="164" fontId="0" fillId="0" borderId="35" xfId="0" applyNumberFormat="1" applyBorder="1" applyAlignment="1">
      <alignment horizontal="center" vertical="center"/>
    </xf>
    <xf numFmtId="2" fontId="0" fillId="0" borderId="35" xfId="0" applyNumberFormat="1" applyBorder="1" applyAlignment="1">
      <alignment horizontal="center" vertical="center"/>
    </xf>
    <xf numFmtId="0" fontId="0" fillId="0" borderId="35" xfId="0" applyBorder="1"/>
    <xf numFmtId="1" fontId="0" fillId="0" borderId="35" xfId="0" applyNumberFormat="1" applyBorder="1" applyAlignment="1">
      <alignment horizontal="left" vertical="center"/>
    </xf>
    <xf numFmtId="0" fontId="5" fillId="0" borderId="4" xfId="2" applyBorder="1" applyAlignment="1">
      <alignment horizontal="left" vertical="center"/>
    </xf>
    <xf numFmtId="9" fontId="1" fillId="0" borderId="13" xfId="3" applyNumberFormat="1" applyFont="1" applyFill="1" applyBorder="1" applyAlignment="1">
      <alignment horizontal="center" vertical="center"/>
    </xf>
    <xf numFmtId="170" fontId="1" fillId="0" borderId="13" xfId="3" applyNumberFormat="1" applyFont="1" applyFill="1" applyBorder="1" applyAlignment="1">
      <alignment horizontal="center" vertical="center"/>
    </xf>
    <xf numFmtId="170" fontId="9" fillId="0" borderId="13" xfId="1" applyNumberFormat="1" applyFont="1" applyFill="1" applyBorder="1" applyAlignment="1">
      <alignment horizontal="center" vertical="center"/>
    </xf>
    <xf numFmtId="0" fontId="12" fillId="14" borderId="36" xfId="0" applyFont="1" applyFill="1" applyBorder="1" applyAlignment="1">
      <alignment horizontal="center" vertical="center" wrapText="1"/>
    </xf>
    <xf numFmtId="0" fontId="12" fillId="13" borderId="36" xfId="0" applyFont="1" applyFill="1" applyBorder="1" applyAlignment="1">
      <alignment horizontal="center" vertical="center" wrapText="1"/>
    </xf>
    <xf numFmtId="0" fontId="0" fillId="0" borderId="38" xfId="0" applyBorder="1" applyAlignment="1">
      <alignment horizontal="center" vertical="center"/>
    </xf>
    <xf numFmtId="0" fontId="12" fillId="6" borderId="36" xfId="0" applyFont="1" applyFill="1" applyBorder="1" applyAlignment="1">
      <alignment horizontal="center" vertical="center" wrapText="1"/>
    </xf>
    <xf numFmtId="1" fontId="11" fillId="0" borderId="15" xfId="3" applyNumberFormat="1" applyFont="1" applyFill="1" applyBorder="1" applyAlignment="1">
      <alignment horizontal="center" vertical="center"/>
    </xf>
    <xf numFmtId="0" fontId="2" fillId="0" borderId="13" xfId="0" applyFont="1" applyBorder="1" applyAlignment="1">
      <alignment horizontal="left" vertical="center" wrapText="1"/>
    </xf>
    <xf numFmtId="0" fontId="0" fillId="0" borderId="0" xfId="0" applyAlignment="1">
      <alignment horizontal="left" vertical="top" wrapText="1"/>
    </xf>
    <xf numFmtId="164" fontId="0" fillId="0" borderId="4" xfId="0" applyNumberFormat="1" applyBorder="1" applyAlignment="1">
      <alignment horizontal="center" vertical="center"/>
    </xf>
    <xf numFmtId="164" fontId="6" fillId="0" borderId="4" xfId="0" applyNumberFormat="1" applyFont="1" applyBorder="1" applyAlignment="1">
      <alignment horizontal="center" vertical="center"/>
    </xf>
    <xf numFmtId="0" fontId="6" fillId="0" borderId="4" xfId="0" applyFont="1" applyBorder="1"/>
    <xf numFmtId="0" fontId="2" fillId="0" borderId="4" xfId="0" applyFont="1" applyBorder="1" applyAlignment="1">
      <alignment horizontal="left" vertical="center"/>
    </xf>
    <xf numFmtId="3" fontId="0" fillId="0" borderId="32" xfId="0" applyNumberFormat="1" applyBorder="1" applyAlignment="1">
      <alignment horizontal="center" vertical="top"/>
    </xf>
    <xf numFmtId="3" fontId="0" fillId="0" borderId="35" xfId="0" applyNumberFormat="1" applyBorder="1" applyAlignment="1">
      <alignment horizontal="center" vertical="center"/>
    </xf>
    <xf numFmtId="2" fontId="0" fillId="0" borderId="0" xfId="0" applyNumberFormat="1"/>
    <xf numFmtId="10" fontId="0" fillId="0" borderId="0" xfId="0" applyNumberFormat="1"/>
    <xf numFmtId="0" fontId="0" fillId="0" borderId="40" xfId="0" applyBorder="1"/>
    <xf numFmtId="0" fontId="26" fillId="0" borderId="0" xfId="0" applyFont="1"/>
    <xf numFmtId="0" fontId="23" fillId="0" borderId="0" xfId="0" applyFont="1"/>
    <xf numFmtId="0" fontId="23" fillId="0" borderId="7" xfId="0" applyFont="1" applyBorder="1"/>
    <xf numFmtId="0" fontId="31" fillId="0" borderId="0" xfId="0" applyFont="1" applyAlignment="1">
      <alignment horizontal="left"/>
    </xf>
    <xf numFmtId="0" fontId="31" fillId="0" borderId="0" xfId="0" applyFont="1"/>
    <xf numFmtId="0" fontId="31" fillId="0" borderId="7" xfId="0" applyFont="1" applyBorder="1"/>
    <xf numFmtId="165" fontId="0" fillId="0" borderId="0" xfId="0" applyNumberFormat="1"/>
    <xf numFmtId="165" fontId="11" fillId="18" borderId="13" xfId="3" applyNumberFormat="1" applyFont="1" applyFill="1" applyBorder="1" applyAlignment="1">
      <alignment horizontal="center" vertical="center"/>
    </xf>
    <xf numFmtId="0" fontId="33" fillId="12" borderId="13" xfId="0" applyFont="1" applyFill="1" applyBorder="1" applyAlignment="1">
      <alignment horizontal="right" vertical="center"/>
    </xf>
    <xf numFmtId="0" fontId="0" fillId="0" borderId="13" xfId="0" applyBorder="1" applyAlignment="1">
      <alignment horizontal="left" vertical="center"/>
    </xf>
    <xf numFmtId="170" fontId="32" fillId="12" borderId="15" xfId="0" applyNumberFormat="1" applyFont="1" applyFill="1" applyBorder="1" applyAlignment="1">
      <alignment horizontal="right" vertical="center"/>
    </xf>
    <xf numFmtId="170" fontId="32" fillId="12" borderId="0" xfId="0" applyNumberFormat="1" applyFont="1" applyFill="1" applyAlignment="1">
      <alignment horizontal="right" vertical="center"/>
    </xf>
    <xf numFmtId="170" fontId="0" fillId="12" borderId="14" xfId="0" applyNumberFormat="1" applyFill="1" applyBorder="1" applyAlignment="1">
      <alignment horizontal="center" vertical="center"/>
    </xf>
    <xf numFmtId="0" fontId="33" fillId="15" borderId="13" xfId="0" applyFont="1" applyFill="1" applyBorder="1" applyAlignment="1">
      <alignment horizontal="right" vertical="center"/>
    </xf>
    <xf numFmtId="170" fontId="32" fillId="15" borderId="15" xfId="0" applyNumberFormat="1" applyFont="1" applyFill="1" applyBorder="1" applyAlignment="1">
      <alignment horizontal="right" vertical="center"/>
    </xf>
    <xf numFmtId="170" fontId="32" fillId="15" borderId="0" xfId="0" applyNumberFormat="1" applyFont="1" applyFill="1" applyAlignment="1">
      <alignment horizontal="right" vertical="center"/>
    </xf>
    <xf numFmtId="0" fontId="33" fillId="16" borderId="13" xfId="0" applyFont="1" applyFill="1" applyBorder="1" applyAlignment="1">
      <alignment horizontal="right" vertical="center"/>
    </xf>
    <xf numFmtId="170" fontId="32" fillId="16" borderId="15" xfId="0" applyNumberFormat="1" applyFont="1" applyFill="1" applyBorder="1" applyAlignment="1">
      <alignment horizontal="right" vertical="center"/>
    </xf>
    <xf numFmtId="170" fontId="32" fillId="16" borderId="0" xfId="0" applyNumberFormat="1" applyFont="1" applyFill="1" applyAlignment="1">
      <alignment horizontal="right" vertical="center"/>
    </xf>
    <xf numFmtId="0" fontId="33" fillId="19" borderId="13" xfId="0" applyFont="1" applyFill="1" applyBorder="1" applyAlignment="1">
      <alignment horizontal="right" vertical="center"/>
    </xf>
    <xf numFmtId="170" fontId="32" fillId="19" borderId="15" xfId="0" applyNumberFormat="1" applyFont="1" applyFill="1" applyBorder="1" applyAlignment="1">
      <alignment horizontal="right" vertical="center"/>
    </xf>
    <xf numFmtId="170" fontId="32" fillId="19" borderId="0" xfId="0" applyNumberFormat="1" applyFont="1" applyFill="1" applyAlignment="1">
      <alignment horizontal="right" vertical="center"/>
    </xf>
    <xf numFmtId="0" fontId="33" fillId="3" borderId="13" xfId="0" applyFont="1" applyFill="1" applyBorder="1" applyAlignment="1">
      <alignment horizontal="right" vertical="center"/>
    </xf>
    <xf numFmtId="170" fontId="32" fillId="3" borderId="15" xfId="0" applyNumberFormat="1" applyFont="1" applyFill="1" applyBorder="1" applyAlignment="1">
      <alignment horizontal="right" vertical="center"/>
    </xf>
    <xf numFmtId="170" fontId="32" fillId="3" borderId="0" xfId="0" applyNumberFormat="1" applyFont="1" applyFill="1" applyAlignment="1">
      <alignment horizontal="right" vertical="center"/>
    </xf>
    <xf numFmtId="165" fontId="18" fillId="4" borderId="2" xfId="0" applyNumberFormat="1" applyFont="1" applyFill="1" applyBorder="1" applyAlignment="1" applyProtection="1">
      <alignment horizontal="center"/>
      <protection locked="0"/>
    </xf>
    <xf numFmtId="9" fontId="18" fillId="4" borderId="2" xfId="0" applyNumberFormat="1" applyFont="1" applyFill="1" applyBorder="1" applyAlignment="1" applyProtection="1">
      <alignment horizontal="center"/>
      <protection locked="0"/>
    </xf>
    <xf numFmtId="0" fontId="27" fillId="10" borderId="15" xfId="0" applyFont="1" applyFill="1" applyBorder="1" applyAlignment="1">
      <alignment horizontal="center" vertical="center" wrapText="1"/>
    </xf>
    <xf numFmtId="2" fontId="25" fillId="0" borderId="49" xfId="0" applyNumberFormat="1" applyFont="1" applyBorder="1" applyAlignment="1" applyProtection="1">
      <alignment horizontal="center" vertical="center"/>
      <protection locked="0"/>
    </xf>
    <xf numFmtId="164" fontId="25" fillId="0" borderId="50" xfId="0" applyNumberFormat="1" applyFont="1" applyBorder="1" applyAlignment="1" applyProtection="1">
      <alignment horizontal="center" vertical="center"/>
      <protection locked="0"/>
    </xf>
    <xf numFmtId="2" fontId="25" fillId="0" borderId="51" xfId="0" applyNumberFormat="1" applyFont="1" applyBorder="1" applyAlignment="1" applyProtection="1">
      <alignment horizontal="center" vertical="center"/>
      <protection locked="0"/>
    </xf>
    <xf numFmtId="164" fontId="25" fillId="0" borderId="52" xfId="0" applyNumberFormat="1" applyFont="1" applyBorder="1" applyAlignment="1" applyProtection="1">
      <alignment horizontal="center" vertical="center"/>
      <protection locked="0"/>
    </xf>
    <xf numFmtId="2" fontId="6" fillId="0" borderId="53" xfId="0" applyNumberFormat="1" applyFont="1" applyBorder="1" applyAlignment="1" applyProtection="1">
      <alignment horizontal="center" vertical="center"/>
      <protection locked="0"/>
    </xf>
    <xf numFmtId="164" fontId="6" fillId="0" borderId="54" xfId="0" applyNumberFormat="1" applyFont="1" applyBorder="1" applyAlignment="1" applyProtection="1">
      <alignment horizontal="center" vertical="center"/>
      <protection locked="0"/>
    </xf>
    <xf numFmtId="2" fontId="6" fillId="0" borderId="55" xfId="0" applyNumberFormat="1" applyFont="1" applyBorder="1" applyAlignment="1" applyProtection="1">
      <alignment horizontal="center" vertical="center"/>
      <protection locked="0"/>
    </xf>
    <xf numFmtId="164" fontId="6" fillId="0" borderId="56" xfId="0" applyNumberFormat="1" applyFont="1" applyBorder="1" applyAlignment="1" applyProtection="1">
      <alignment horizontal="center" vertical="center"/>
      <protection locked="0"/>
    </xf>
    <xf numFmtId="0" fontId="28" fillId="10" borderId="57" xfId="0" applyFont="1" applyFill="1" applyBorder="1" applyAlignment="1">
      <alignment horizontal="center" vertical="center"/>
    </xf>
    <xf numFmtId="0" fontId="4" fillId="0" borderId="49" xfId="0" applyFont="1" applyBorder="1" applyAlignment="1" applyProtection="1">
      <alignment horizontal="center" vertical="center"/>
      <protection locked="0"/>
    </xf>
    <xf numFmtId="0" fontId="4" fillId="0" borderId="50" xfId="0" applyFont="1" applyBorder="1" applyAlignment="1" applyProtection="1">
      <alignment horizontal="center" vertical="center"/>
      <protection locked="0"/>
    </xf>
    <xf numFmtId="0" fontId="4" fillId="0" borderId="51" xfId="0" applyFont="1" applyBorder="1" applyAlignment="1" applyProtection="1">
      <alignment horizontal="center" vertical="center"/>
      <protection locked="0"/>
    </xf>
    <xf numFmtId="0" fontId="4" fillId="0" borderId="52" xfId="0" applyFont="1" applyBorder="1" applyAlignment="1" applyProtection="1">
      <alignment horizontal="center" vertical="center"/>
      <protection locked="0"/>
    </xf>
    <xf numFmtId="1" fontId="4" fillId="0" borderId="51" xfId="0" applyNumberFormat="1" applyFont="1" applyBorder="1" applyAlignment="1" applyProtection="1">
      <alignment horizontal="center" vertical="center"/>
      <protection locked="0"/>
    </xf>
    <xf numFmtId="168" fontId="4" fillId="0" borderId="52" xfId="0" applyNumberFormat="1" applyFont="1" applyBorder="1" applyAlignment="1" applyProtection="1">
      <alignment horizontal="center" vertical="center"/>
      <protection locked="0"/>
    </xf>
    <xf numFmtId="1" fontId="4" fillId="0" borderId="55" xfId="0" applyNumberFormat="1" applyFont="1" applyBorder="1" applyAlignment="1" applyProtection="1">
      <alignment horizontal="center" vertical="center"/>
      <protection locked="0"/>
    </xf>
    <xf numFmtId="0" fontId="4" fillId="0" borderId="56" xfId="0" applyFont="1" applyBorder="1" applyAlignment="1" applyProtection="1">
      <alignment horizontal="center" vertical="center"/>
      <protection locked="0"/>
    </xf>
    <xf numFmtId="0" fontId="0" fillId="0" borderId="4" xfId="0" applyBorder="1" applyProtection="1">
      <protection locked="0"/>
    </xf>
    <xf numFmtId="0" fontId="0" fillId="0" borderId="13" xfId="0" applyBorder="1" applyAlignment="1" applyProtection="1">
      <alignment horizontal="center" vertical="center"/>
      <protection locked="0"/>
    </xf>
    <xf numFmtId="0" fontId="0" fillId="0" borderId="57" xfId="0" applyBorder="1" applyAlignment="1">
      <alignment horizontal="center" vertical="top"/>
    </xf>
    <xf numFmtId="0" fontId="0" fillId="0" borderId="57" xfId="0" applyBorder="1" applyAlignment="1">
      <alignment horizontal="center" vertical="center"/>
    </xf>
    <xf numFmtId="3" fontId="0" fillId="0" borderId="57" xfId="0" applyNumberFormat="1" applyBorder="1" applyAlignment="1">
      <alignment horizontal="center" vertical="center"/>
    </xf>
    <xf numFmtId="9" fontId="0" fillId="0" borderId="57" xfId="0" applyNumberFormat="1" applyBorder="1" applyAlignment="1">
      <alignment horizontal="center" vertical="center"/>
    </xf>
    <xf numFmtId="164" fontId="0" fillId="0" borderId="57" xfId="0" applyNumberFormat="1" applyBorder="1" applyAlignment="1">
      <alignment horizontal="center" vertical="center"/>
    </xf>
    <xf numFmtId="1" fontId="0" fillId="0" borderId="57" xfId="0" applyNumberFormat="1" applyBorder="1" applyAlignment="1">
      <alignment horizontal="center" vertical="center"/>
    </xf>
    <xf numFmtId="2" fontId="0" fillId="0" borderId="57" xfId="0" applyNumberFormat="1" applyBorder="1" applyAlignment="1">
      <alignment horizontal="center" vertical="center"/>
    </xf>
    <xf numFmtId="0" fontId="0" fillId="0" borderId="57" xfId="0" applyBorder="1"/>
    <xf numFmtId="0" fontId="0" fillId="0" borderId="49" xfId="0" applyBorder="1" applyProtection="1">
      <protection locked="0"/>
    </xf>
    <xf numFmtId="0" fontId="0" fillId="0" borderId="58" xfId="0" applyBorder="1" applyProtection="1">
      <protection locked="0"/>
    </xf>
    <xf numFmtId="0" fontId="0" fillId="0" borderId="50" xfId="0" applyBorder="1" applyProtection="1">
      <protection locked="0"/>
    </xf>
    <xf numFmtId="0" fontId="0" fillId="0" borderId="51" xfId="0" applyBorder="1" applyProtection="1">
      <protection locked="0"/>
    </xf>
    <xf numFmtId="0" fontId="0" fillId="0" borderId="52" xfId="0" applyBorder="1" applyProtection="1">
      <protection locked="0"/>
    </xf>
    <xf numFmtId="0" fontId="0" fillId="0" borderId="55" xfId="0" applyBorder="1" applyProtection="1">
      <protection locked="0"/>
    </xf>
    <xf numFmtId="0" fontId="0" fillId="0" borderId="59" xfId="0" applyBorder="1" applyProtection="1">
      <protection locked="0"/>
    </xf>
    <xf numFmtId="0" fontId="0" fillId="0" borderId="56" xfId="0" applyBorder="1" applyProtection="1">
      <protection locked="0"/>
    </xf>
    <xf numFmtId="0" fontId="10" fillId="0" borderId="15" xfId="0" applyFont="1" applyBorder="1" applyAlignment="1">
      <alignment horizontal="left" vertical="top" wrapText="1"/>
    </xf>
    <xf numFmtId="0" fontId="9" fillId="0" borderId="15" xfId="0" applyFont="1" applyBorder="1" applyAlignment="1">
      <alignment horizontal="center" vertical="center"/>
    </xf>
    <xf numFmtId="0" fontId="0" fillId="0" borderId="15" xfId="0" applyBorder="1" applyAlignment="1">
      <alignment horizontal="center" vertical="center"/>
    </xf>
    <xf numFmtId="0" fontId="5" fillId="0" borderId="15" xfId="2" applyBorder="1"/>
    <xf numFmtId="0" fontId="10" fillId="0" borderId="60" xfId="0" applyFont="1" applyBorder="1" applyAlignment="1" applyProtection="1">
      <alignment horizontal="left" vertical="top" wrapText="1"/>
      <protection locked="0"/>
    </xf>
    <xf numFmtId="0" fontId="0" fillId="0" borderId="61" xfId="0" applyBorder="1" applyAlignment="1" applyProtection="1">
      <alignment horizontal="center" vertical="center"/>
      <protection locked="0"/>
    </xf>
    <xf numFmtId="0" fontId="0" fillId="0" borderId="62" xfId="0" applyBorder="1" applyProtection="1">
      <protection locked="0"/>
    </xf>
    <xf numFmtId="0" fontId="10" fillId="0" borderId="63" xfId="0" applyFont="1" applyBorder="1" applyAlignment="1" applyProtection="1">
      <alignment horizontal="left" vertical="top" wrapText="1"/>
      <protection locked="0"/>
    </xf>
    <xf numFmtId="0" fontId="0" fillId="0" borderId="64" xfId="0" applyBorder="1" applyProtection="1">
      <protection locked="0"/>
    </xf>
    <xf numFmtId="0" fontId="10" fillId="0" borderId="65" xfId="0" applyFont="1" applyBorder="1" applyAlignment="1" applyProtection="1">
      <alignment horizontal="left" vertical="top" wrapText="1"/>
      <protection locked="0"/>
    </xf>
    <xf numFmtId="0" fontId="0" fillId="0" borderId="66" xfId="0" applyBorder="1" applyAlignment="1" applyProtection="1">
      <alignment horizontal="center" vertical="center"/>
      <protection locked="0"/>
    </xf>
    <xf numFmtId="0" fontId="0" fillId="0" borderId="67" xfId="0" applyBorder="1" applyProtection="1">
      <protection locked="0"/>
    </xf>
    <xf numFmtId="0" fontId="12" fillId="17" borderId="37" xfId="0" applyFont="1" applyFill="1" applyBorder="1" applyAlignment="1">
      <alignment horizontal="center" vertical="center" wrapText="1"/>
    </xf>
    <xf numFmtId="0" fontId="33" fillId="6" borderId="69" xfId="0" applyFont="1" applyFill="1" applyBorder="1" applyAlignment="1">
      <alignment horizontal="right" vertical="center"/>
    </xf>
    <xf numFmtId="170" fontId="32" fillId="6" borderId="70" xfId="0" applyNumberFormat="1" applyFont="1" applyFill="1" applyBorder="1" applyAlignment="1">
      <alignment horizontal="right" vertical="center"/>
    </xf>
    <xf numFmtId="170" fontId="32" fillId="6" borderId="38" xfId="0" applyNumberFormat="1" applyFont="1" applyFill="1" applyBorder="1" applyAlignment="1">
      <alignment horizontal="right" vertical="center"/>
    </xf>
    <xf numFmtId="170" fontId="32" fillId="6" borderId="71" xfId="0" applyNumberFormat="1" applyFont="1" applyFill="1" applyBorder="1" applyAlignment="1">
      <alignment horizontal="right" vertical="center"/>
    </xf>
    <xf numFmtId="0" fontId="33" fillId="17" borderId="73" xfId="0" applyFont="1" applyFill="1" applyBorder="1" applyAlignment="1">
      <alignment horizontal="right" vertical="center"/>
    </xf>
    <xf numFmtId="170" fontId="32" fillId="17" borderId="74" xfId="0" applyNumberFormat="1" applyFont="1" applyFill="1" applyBorder="1" applyAlignment="1">
      <alignment horizontal="right" vertical="center"/>
    </xf>
    <xf numFmtId="170" fontId="32" fillId="17" borderId="75" xfId="0" applyNumberFormat="1" applyFont="1" applyFill="1" applyBorder="1" applyAlignment="1">
      <alignment horizontal="right" vertical="center"/>
    </xf>
    <xf numFmtId="170" fontId="32" fillId="17" borderId="76" xfId="0" applyNumberFormat="1" applyFont="1" applyFill="1" applyBorder="1" applyAlignment="1">
      <alignment horizontal="right" vertical="center"/>
    </xf>
    <xf numFmtId="0" fontId="33" fillId="13" borderId="73" xfId="0" applyFont="1" applyFill="1" applyBorder="1" applyAlignment="1">
      <alignment horizontal="right" vertical="center"/>
    </xf>
    <xf numFmtId="170" fontId="32" fillId="13" borderId="74" xfId="0" applyNumberFormat="1" applyFont="1" applyFill="1" applyBorder="1" applyAlignment="1">
      <alignment horizontal="right" vertical="center"/>
    </xf>
    <xf numFmtId="170" fontId="32" fillId="13" borderId="75" xfId="0" applyNumberFormat="1" applyFont="1" applyFill="1" applyBorder="1" applyAlignment="1">
      <alignment horizontal="right" vertical="center"/>
    </xf>
    <xf numFmtId="0" fontId="0" fillId="0" borderId="75" xfId="0" applyBorder="1"/>
    <xf numFmtId="0" fontId="33" fillId="14" borderId="73" xfId="0" applyFont="1" applyFill="1" applyBorder="1" applyAlignment="1">
      <alignment horizontal="right" vertical="center"/>
    </xf>
    <xf numFmtId="170" fontId="32" fillId="14" borderId="74" xfId="0" applyNumberFormat="1" applyFont="1" applyFill="1" applyBorder="1" applyAlignment="1">
      <alignment horizontal="right" vertical="center"/>
    </xf>
    <xf numFmtId="170" fontId="32" fillId="14" borderId="75" xfId="0" applyNumberFormat="1" applyFont="1" applyFill="1" applyBorder="1" applyAlignment="1">
      <alignment horizontal="right" vertical="center"/>
    </xf>
    <xf numFmtId="0" fontId="23" fillId="0" borderId="14" xfId="0" applyFont="1" applyBorder="1"/>
    <xf numFmtId="0" fontId="23" fillId="0" borderId="26" xfId="0" applyFont="1" applyBorder="1"/>
    <xf numFmtId="0" fontId="23" fillId="0" borderId="13" xfId="0" applyFont="1" applyBorder="1"/>
    <xf numFmtId="10" fontId="23" fillId="0" borderId="24" xfId="1" applyNumberFormat="1" applyFont="1" applyFill="1" applyBorder="1" applyAlignment="1">
      <alignment horizontal="center" vertical="center"/>
    </xf>
    <xf numFmtId="171" fontId="23" fillId="0" borderId="25" xfId="0" applyNumberFormat="1" applyFont="1" applyBorder="1" applyAlignment="1">
      <alignment horizontal="center"/>
    </xf>
    <xf numFmtId="171" fontId="23" fillId="0" borderId="13" xfId="0" applyNumberFormat="1" applyFont="1" applyBorder="1" applyAlignment="1">
      <alignment horizontal="center"/>
    </xf>
    <xf numFmtId="172" fontId="23" fillId="0" borderId="68" xfId="0" applyNumberFormat="1" applyFont="1" applyBorder="1" applyAlignment="1">
      <alignment horizontal="center" vertical="center"/>
    </xf>
    <xf numFmtId="171" fontId="23" fillId="0" borderId="13" xfId="0" applyNumberFormat="1" applyFont="1" applyBorder="1" applyAlignment="1">
      <alignment horizontal="center" vertical="center"/>
    </xf>
    <xf numFmtId="171" fontId="23" fillId="0" borderId="25" xfId="0" applyNumberFormat="1" applyFont="1" applyBorder="1" applyAlignment="1">
      <alignment horizontal="center" vertical="center"/>
    </xf>
    <xf numFmtId="0" fontId="14" fillId="9" borderId="3" xfId="0" applyFont="1" applyFill="1" applyBorder="1" applyAlignment="1">
      <alignment horizontal="center" vertical="center"/>
    </xf>
    <xf numFmtId="0" fontId="34" fillId="0" borderId="41" xfId="0" applyFont="1" applyBorder="1" applyAlignment="1">
      <alignment horizontal="center" vertical="center" wrapText="1"/>
    </xf>
    <xf numFmtId="0" fontId="34" fillId="0" borderId="42" xfId="0" applyFont="1" applyBorder="1" applyAlignment="1">
      <alignment horizontal="center" vertical="center" wrapText="1"/>
    </xf>
    <xf numFmtId="0" fontId="34" fillId="0" borderId="43" xfId="0" applyFont="1" applyBorder="1" applyAlignment="1">
      <alignment horizontal="center" vertical="center" wrapText="1"/>
    </xf>
    <xf numFmtId="0" fontId="34" fillId="0" borderId="44" xfId="0" applyFont="1" applyBorder="1" applyAlignment="1">
      <alignment horizontal="center" vertical="center" wrapText="1"/>
    </xf>
    <xf numFmtId="0" fontId="34" fillId="0" borderId="0" xfId="0" applyFont="1" applyAlignment="1">
      <alignment horizontal="center" vertical="center" wrapText="1"/>
    </xf>
    <xf numFmtId="0" fontId="34" fillId="0" borderId="45" xfId="0" applyFont="1" applyBorder="1" applyAlignment="1">
      <alignment horizontal="center" vertical="center" wrapText="1"/>
    </xf>
    <xf numFmtId="0" fontId="34" fillId="0" borderId="46" xfId="0" applyFont="1" applyBorder="1" applyAlignment="1">
      <alignment horizontal="center" vertical="center" wrapText="1"/>
    </xf>
    <xf numFmtId="0" fontId="34" fillId="0" borderId="47" xfId="0" applyFont="1" applyBorder="1" applyAlignment="1">
      <alignment horizontal="center" vertical="center" wrapText="1"/>
    </xf>
    <xf numFmtId="0" fontId="34" fillId="0" borderId="48" xfId="0" applyFont="1" applyBorder="1" applyAlignment="1">
      <alignment horizontal="center" vertical="center" wrapText="1"/>
    </xf>
    <xf numFmtId="0" fontId="12" fillId="10" borderId="19" xfId="0" applyFont="1" applyFill="1" applyBorder="1" applyAlignment="1">
      <alignment horizontal="center" vertical="center"/>
    </xf>
    <xf numFmtId="0" fontId="12" fillId="10" borderId="20" xfId="0" applyFont="1" applyFill="1" applyBorder="1" applyAlignment="1">
      <alignment horizontal="center" vertical="center"/>
    </xf>
    <xf numFmtId="0" fontId="12" fillId="10" borderId="18" xfId="0" applyFont="1" applyFill="1" applyBorder="1" applyAlignment="1">
      <alignment horizontal="center" vertical="center"/>
    </xf>
    <xf numFmtId="0" fontId="12" fillId="10" borderId="21" xfId="0" applyFont="1" applyFill="1" applyBorder="1" applyAlignment="1">
      <alignment horizontal="center" vertical="center"/>
    </xf>
    <xf numFmtId="0" fontId="12" fillId="10" borderId="22" xfId="0" applyFont="1" applyFill="1" applyBorder="1" applyAlignment="1">
      <alignment horizontal="center" vertical="center"/>
    </xf>
    <xf numFmtId="0" fontId="12" fillId="10" borderId="27" xfId="0" applyFont="1" applyFill="1" applyBorder="1" applyAlignment="1">
      <alignment horizontal="center" vertical="center" wrapText="1"/>
    </xf>
    <xf numFmtId="0" fontId="12" fillId="10" borderId="28" xfId="0" applyFont="1" applyFill="1" applyBorder="1" applyAlignment="1">
      <alignment horizontal="center" vertical="center" wrapText="1"/>
    </xf>
    <xf numFmtId="0" fontId="12" fillId="10" borderId="13" xfId="0" applyFont="1" applyFill="1" applyBorder="1" applyAlignment="1">
      <alignment horizontal="center" vertical="center"/>
    </xf>
    <xf numFmtId="0" fontId="12" fillId="10" borderId="78" xfId="0" applyFont="1" applyFill="1" applyBorder="1" applyAlignment="1">
      <alignment horizontal="center" vertical="center"/>
    </xf>
    <xf numFmtId="0" fontId="12" fillId="15" borderId="13" xfId="0" applyFont="1" applyFill="1" applyBorder="1" applyAlignment="1">
      <alignment horizontal="center" vertical="center"/>
    </xf>
    <xf numFmtId="0" fontId="12" fillId="16" borderId="13" xfId="0" applyFont="1" applyFill="1" applyBorder="1" applyAlignment="1">
      <alignment horizontal="center" vertical="center"/>
    </xf>
    <xf numFmtId="0" fontId="12" fillId="19" borderId="13" xfId="0" applyFont="1" applyFill="1" applyBorder="1" applyAlignment="1">
      <alignment horizontal="center" vertical="center"/>
    </xf>
    <xf numFmtId="0" fontId="12" fillId="3" borderId="13" xfId="0" applyFont="1" applyFill="1" applyBorder="1" applyAlignment="1">
      <alignment horizontal="center" vertical="center"/>
    </xf>
    <xf numFmtId="0" fontId="12" fillId="6" borderId="13" xfId="0" applyFont="1" applyFill="1" applyBorder="1" applyAlignment="1">
      <alignment horizontal="center" vertical="center"/>
    </xf>
    <xf numFmtId="0" fontId="12" fillId="17" borderId="13" xfId="0" applyFont="1" applyFill="1" applyBorder="1" applyAlignment="1">
      <alignment horizontal="center" vertical="center"/>
    </xf>
    <xf numFmtId="0" fontId="12" fillId="13" borderId="13" xfId="0" applyFont="1" applyFill="1" applyBorder="1" applyAlignment="1">
      <alignment horizontal="center" vertical="center"/>
    </xf>
    <xf numFmtId="0" fontId="12" fillId="14" borderId="13" xfId="0" applyFont="1" applyFill="1" applyBorder="1" applyAlignment="1">
      <alignment horizontal="center" vertical="center"/>
    </xf>
    <xf numFmtId="0" fontId="12" fillId="15" borderId="15" xfId="0" applyFont="1" applyFill="1" applyBorder="1" applyAlignment="1">
      <alignment horizontal="center" vertical="center"/>
    </xf>
    <xf numFmtId="0" fontId="12" fillId="15" borderId="0" xfId="0" applyFont="1" applyFill="1" applyAlignment="1">
      <alignment horizontal="center" vertical="center"/>
    </xf>
    <xf numFmtId="0" fontId="12" fillId="15" borderId="14" xfId="0" applyFont="1" applyFill="1" applyBorder="1" applyAlignment="1">
      <alignment horizontal="center" vertical="center"/>
    </xf>
    <xf numFmtId="0" fontId="12" fillId="19" borderId="0" xfId="0" applyFont="1" applyFill="1" applyAlignment="1">
      <alignment horizontal="center" vertical="center"/>
    </xf>
    <xf numFmtId="0" fontId="12" fillId="16" borderId="0" xfId="0" applyFont="1" applyFill="1" applyAlignment="1">
      <alignment horizontal="center" vertical="center" wrapText="1"/>
    </xf>
    <xf numFmtId="0" fontId="12" fillId="16" borderId="14" xfId="0" applyFont="1" applyFill="1" applyBorder="1" applyAlignment="1">
      <alignment horizontal="center" vertical="center" wrapText="1"/>
    </xf>
    <xf numFmtId="0" fontId="12" fillId="17" borderId="37" xfId="0" applyFont="1" applyFill="1" applyBorder="1" applyAlignment="1">
      <alignment horizontal="center" vertical="center" wrapText="1"/>
    </xf>
    <xf numFmtId="0" fontId="12" fillId="17" borderId="38" xfId="0" applyFont="1" applyFill="1" applyBorder="1" applyAlignment="1">
      <alignment horizontal="center" vertical="center" wrapText="1"/>
    </xf>
    <xf numFmtId="0" fontId="12" fillId="17" borderId="39" xfId="0" applyFont="1" applyFill="1" applyBorder="1" applyAlignment="1">
      <alignment horizontal="center" vertical="center" wrapText="1"/>
    </xf>
    <xf numFmtId="0" fontId="12" fillId="13" borderId="37"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9" xfId="0" applyFont="1" applyFill="1" applyBorder="1" applyAlignment="1">
      <alignment horizontal="center" vertical="center" wrapText="1"/>
    </xf>
    <xf numFmtId="0" fontId="16" fillId="20" borderId="16" xfId="0" applyFont="1" applyFill="1" applyBorder="1" applyAlignment="1">
      <alignment horizontal="center" vertical="center"/>
    </xf>
    <xf numFmtId="0" fontId="12" fillId="12" borderId="15" xfId="0" applyFont="1" applyFill="1" applyBorder="1" applyAlignment="1">
      <alignment horizontal="center" vertical="center" wrapText="1"/>
    </xf>
    <xf numFmtId="0" fontId="12" fillId="12" borderId="0" xfId="0" applyFont="1" applyFill="1" applyAlignment="1">
      <alignment horizontal="center" vertical="center" wrapText="1"/>
    </xf>
    <xf numFmtId="0" fontId="12" fillId="20" borderId="15" xfId="0" applyFont="1" applyFill="1" applyBorder="1" applyAlignment="1">
      <alignment horizontal="center" vertical="center"/>
    </xf>
    <xf numFmtId="0" fontId="12" fillId="20" borderId="0" xfId="0" applyFont="1" applyFill="1" applyAlignment="1">
      <alignment horizontal="center" vertical="center"/>
    </xf>
    <xf numFmtId="0" fontId="12" fillId="13" borderId="72" xfId="0" applyFont="1" applyFill="1" applyBorder="1" applyAlignment="1">
      <alignment horizontal="center" vertical="center" wrapText="1"/>
    </xf>
    <xf numFmtId="0" fontId="12" fillId="13" borderId="75" xfId="0" applyFont="1" applyFill="1" applyBorder="1" applyAlignment="1">
      <alignment horizontal="center" vertical="center" wrapText="1"/>
    </xf>
    <xf numFmtId="0" fontId="12" fillId="13" borderId="77" xfId="0" applyFont="1" applyFill="1" applyBorder="1" applyAlignment="1">
      <alignment horizontal="center" vertical="center" wrapText="1"/>
    </xf>
    <xf numFmtId="0" fontId="12" fillId="14" borderId="37" xfId="0" applyFont="1" applyFill="1" applyBorder="1" applyAlignment="1">
      <alignment horizontal="center" vertical="center" wrapText="1"/>
    </xf>
    <xf numFmtId="0" fontId="12" fillId="14" borderId="38" xfId="0" applyFont="1" applyFill="1" applyBorder="1" applyAlignment="1">
      <alignment horizontal="center" vertical="center" wrapText="1"/>
    </xf>
    <xf numFmtId="0" fontId="12" fillId="14" borderId="39" xfId="0" applyFont="1" applyFill="1" applyBorder="1" applyAlignment="1">
      <alignment horizontal="center" vertical="center" wrapText="1"/>
    </xf>
    <xf numFmtId="0" fontId="12" fillId="12" borderId="13"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0" xfId="0" applyFont="1" applyFill="1" applyAlignment="1">
      <alignment horizontal="center" vertical="center"/>
    </xf>
    <xf numFmtId="0" fontId="16" fillId="7" borderId="16" xfId="0" applyFont="1" applyFill="1" applyBorder="1" applyAlignment="1">
      <alignment horizontal="center" vertical="center"/>
    </xf>
    <xf numFmtId="0" fontId="16" fillId="3" borderId="16" xfId="0" applyFont="1" applyFill="1" applyBorder="1" applyAlignment="1">
      <alignment horizontal="center" vertical="center"/>
    </xf>
    <xf numFmtId="0" fontId="16" fillId="6" borderId="16"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0" xfId="0" applyFont="1" applyFill="1" applyAlignment="1">
      <alignment horizontal="center" vertical="center"/>
    </xf>
    <xf numFmtId="0" fontId="12" fillId="3" borderId="14" xfId="0" applyFont="1" applyFill="1" applyBorder="1" applyAlignment="1">
      <alignment horizontal="center" vertical="center"/>
    </xf>
    <xf numFmtId="0" fontId="12" fillId="6" borderId="37" xfId="0" applyFont="1" applyFill="1" applyBorder="1" applyAlignment="1">
      <alignment horizontal="center" vertical="center" wrapText="1"/>
    </xf>
    <xf numFmtId="0" fontId="12" fillId="6" borderId="38" xfId="0" applyFont="1" applyFill="1" applyBorder="1" applyAlignment="1">
      <alignment horizontal="center" vertical="center" wrapText="1"/>
    </xf>
    <xf numFmtId="0" fontId="12" fillId="6" borderId="39" xfId="0" applyFont="1" applyFill="1" applyBorder="1" applyAlignment="1">
      <alignment horizontal="center" vertical="center" wrapText="1"/>
    </xf>
    <xf numFmtId="0" fontId="5" fillId="0" borderId="4" xfId="2" applyBorder="1" applyAlignment="1">
      <alignment horizontal="left" vertical="center"/>
    </xf>
    <xf numFmtId="0" fontId="5" fillId="0" borderId="12" xfId="2" applyBorder="1" applyAlignment="1">
      <alignment horizontal="left" vertical="center"/>
    </xf>
    <xf numFmtId="0" fontId="2" fillId="0" borderId="5" xfId="0" applyFont="1" applyBorder="1" applyAlignment="1">
      <alignment horizontal="center"/>
    </xf>
    <xf numFmtId="0" fontId="22" fillId="11" borderId="15" xfId="0" applyFont="1" applyFill="1" applyBorder="1" applyAlignment="1">
      <alignment horizontal="center" vertical="center"/>
    </xf>
    <xf numFmtId="0" fontId="22" fillId="11" borderId="16" xfId="0" applyFont="1" applyFill="1" applyBorder="1" applyAlignment="1">
      <alignment horizontal="center" vertical="center"/>
    </xf>
    <xf numFmtId="0" fontId="12" fillId="11" borderId="15" xfId="0" applyFont="1" applyFill="1" applyBorder="1" applyAlignment="1">
      <alignment horizontal="center" vertical="center" wrapText="1"/>
    </xf>
    <xf numFmtId="0" fontId="12" fillId="11" borderId="16" xfId="0" applyFont="1" applyFill="1" applyBorder="1" applyAlignment="1">
      <alignment horizontal="center" vertical="center" wrapText="1"/>
    </xf>
  </cellXfs>
  <cellStyles count="5">
    <cellStyle name="Comma" xfId="3" builtinId="3"/>
    <cellStyle name="Hyperlink" xfId="2" builtinId="8"/>
    <cellStyle name="Normal" xfId="0" builtinId="0"/>
    <cellStyle name="Normal 5" xfId="4" xr:uid="{00000000-0005-0000-0000-000003000000}"/>
    <cellStyle name="Percent" xfId="1" builtinId="5"/>
  </cellStyles>
  <dxfs count="53">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ont>
        <color theme="9" tint="-0.499984740745262"/>
      </font>
    </dxf>
    <dxf>
      <font>
        <u val="none"/>
        <color rgb="FFFF0000"/>
      </font>
      <fill>
        <patternFill patternType="none">
          <bgColor auto="1"/>
        </patternFill>
      </fill>
    </dxf>
    <dxf>
      <font>
        <color theme="9" tint="-0.499984740745262"/>
      </font>
    </dxf>
    <dxf>
      <font>
        <u val="none"/>
        <color rgb="FFFF0000"/>
      </font>
      <fill>
        <patternFill patternType="none">
          <bgColor auto="1"/>
        </patternFill>
      </fill>
    </dxf>
    <dxf>
      <font>
        <color theme="9" tint="-0.499984740745262"/>
      </font>
    </dxf>
    <dxf>
      <font>
        <u val="none"/>
        <color rgb="FFFF0000"/>
      </font>
      <fill>
        <patternFill patternType="none">
          <bgColor auto="1"/>
        </patternFill>
      </fill>
    </dxf>
    <dxf>
      <font>
        <color theme="9" tint="-0.499984740745262"/>
      </font>
    </dxf>
    <dxf>
      <font>
        <u val="none"/>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ont>
        <u val="none"/>
        <color rgb="FFFF0000"/>
      </font>
      <fill>
        <patternFill patternType="none">
          <bgColor auto="1"/>
        </patternFill>
      </fill>
    </dxf>
    <dxf>
      <font>
        <color theme="9" tint="-0.499984740745262"/>
      </font>
    </dxf>
    <dxf>
      <font>
        <color theme="9" tint="-0.499984740745262"/>
      </font>
    </dxf>
    <dxf>
      <font>
        <u val="none"/>
        <color rgb="FFFF0000"/>
      </font>
      <fill>
        <patternFill patternType="none">
          <bgColor auto="1"/>
        </patternFill>
      </fill>
    </dxf>
    <dxf>
      <font>
        <u val="none"/>
        <color rgb="FFFF0000"/>
      </font>
      <fill>
        <patternFill patternType="none">
          <bgColor auto="1"/>
        </patternFill>
      </fill>
    </dxf>
    <dxf>
      <font>
        <color theme="9" tint="-0.499984740745262"/>
      </font>
    </dxf>
    <dxf>
      <font>
        <u val="none"/>
        <color rgb="FFFF0000"/>
      </font>
      <fill>
        <patternFill patternType="none">
          <bgColor auto="1"/>
        </patternFill>
      </fill>
    </dxf>
    <dxf>
      <font>
        <color theme="9" tint="-0.499984740745262"/>
      </font>
    </dxf>
    <dxf>
      <font>
        <u val="none"/>
        <color rgb="FFFF0000"/>
      </font>
      <fill>
        <patternFill patternType="none">
          <bgColor auto="1"/>
        </patternFill>
      </fill>
    </dxf>
    <dxf>
      <font>
        <color theme="9" tint="-0.499984740745262"/>
      </font>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u val="none"/>
        <color rgb="FFFF0000"/>
      </font>
      <fill>
        <patternFill patternType="none">
          <bgColor auto="1"/>
        </patternFill>
      </fill>
    </dxf>
    <dxf>
      <font>
        <color theme="9" tint="-0.499984740745262"/>
      </font>
    </dxf>
    <dxf>
      <font>
        <u val="none"/>
        <color rgb="FFFF0000"/>
      </font>
      <fill>
        <patternFill patternType="none">
          <bgColor auto="1"/>
        </patternFill>
      </fill>
    </dxf>
    <dxf>
      <font>
        <color theme="9" tint="-0.499984740745262"/>
      </font>
    </dxf>
    <dxf>
      <font>
        <color theme="9" tint="-0.499984740745262"/>
      </font>
    </dxf>
    <dxf>
      <font>
        <u val="none"/>
        <color rgb="FFFF0000"/>
      </font>
      <fill>
        <patternFill patternType="none">
          <bgColor auto="1"/>
        </patternFill>
      </fill>
    </dxf>
    <dxf>
      <fill>
        <patternFill>
          <bgColor rgb="FFFF0000"/>
        </patternFill>
      </fill>
    </dxf>
    <dxf>
      <fill>
        <patternFill>
          <bgColor rgb="FF00B050"/>
        </patternFill>
      </fill>
    </dxf>
    <dxf>
      <font>
        <color theme="9" tint="-0.499984740745262"/>
      </font>
    </dxf>
    <dxf>
      <font>
        <u val="none"/>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583791</xdr:colOff>
      <xdr:row>24</xdr:row>
      <xdr:rowOff>194596</xdr:rowOff>
    </xdr:from>
    <xdr:to>
      <xdr:col>4</xdr:col>
      <xdr:colOff>1546531</xdr:colOff>
      <xdr:row>47</xdr:row>
      <xdr:rowOff>20702</xdr:rowOff>
    </xdr:to>
    <xdr:pic>
      <xdr:nvPicPr>
        <xdr:cNvPr id="3" name="Picture 2">
          <a:extLst>
            <a:ext uri="{FF2B5EF4-FFF2-40B4-BE49-F238E27FC236}">
              <a16:creationId xmlns:a16="http://schemas.microsoft.com/office/drawing/2014/main" id="{20ABCA2D-EC45-9F99-335E-DE41AE0DA7CE}"/>
            </a:ext>
          </a:extLst>
        </xdr:cNvPr>
        <xdr:cNvPicPr>
          <a:picLocks noChangeAspect="1"/>
        </xdr:cNvPicPr>
      </xdr:nvPicPr>
      <xdr:blipFill>
        <a:blip xmlns:r="http://schemas.openxmlformats.org/officeDocument/2006/relationships" r:embed="rId1"/>
        <a:stretch>
          <a:fillRect/>
        </a:stretch>
      </xdr:blipFill>
      <xdr:spPr>
        <a:xfrm>
          <a:off x="583791" y="5336048"/>
          <a:ext cx="7538063" cy="4609089"/>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lr.org/en/insights/global-marine-trends-2030/techno-economic-assessment-of-zero-carbon-fuels/" TargetMode="External"/><Relationship Id="rId3" Type="http://schemas.openxmlformats.org/officeDocument/2006/relationships/hyperlink" Target="https://www.transportenvironment.org/wp-content/uploads/2021/07/2020_Report_RES_to_decarbonise_transport_in_EU.pdf" TargetMode="External"/><Relationship Id="rId7" Type="http://schemas.openxmlformats.org/officeDocument/2006/relationships/hyperlink" Target="https://gasnam.es/wp-content/uploads/2020/03/CE_Delft_190236_Availability_and_costs_of_liquefied_bio-_and_synthetic_methane_Def.pdf" TargetMode="External"/><Relationship Id="rId2" Type="http://schemas.openxmlformats.org/officeDocument/2006/relationships/hyperlink" Target="https://theicct.org/publication/the-potential-of-liquid-biofuels-in-reducing-ship-emissions/" TargetMode="External"/><Relationship Id="rId1" Type="http://schemas.openxmlformats.org/officeDocument/2006/relationships/hyperlink" Target="https://gasnam.es/wp-content/uploads/2020/03/CE_Delft_190236_Availability_and_costs_of_liquefied_bio-_and_synthetic_methane_Def.pdf" TargetMode="External"/><Relationship Id="rId6" Type="http://schemas.openxmlformats.org/officeDocument/2006/relationships/hyperlink" Target="https://gasnam.es/wp-content/uploads/2020/03/CE_Delft_190236_Availability_and_costs_of_liquefied_bio-_and_synthetic_methane_Def.pdf" TargetMode="External"/><Relationship Id="rId11" Type="http://schemas.openxmlformats.org/officeDocument/2006/relationships/printerSettings" Target="../printerSettings/printerSettings4.bin"/><Relationship Id="rId5" Type="http://schemas.openxmlformats.org/officeDocument/2006/relationships/hyperlink" Target="https://www.transportenvironment.org/wp-content/uploads/2021/07/2020_Report_RES_to_decarbonise_transport_in_EU.pdf" TargetMode="External"/><Relationship Id="rId10" Type="http://schemas.openxmlformats.org/officeDocument/2006/relationships/hyperlink" Target="https://www.lr.org/en/insights/global-marine-trends-2030/techno-economic-assessment-of-zero-carbon-fuels/" TargetMode="External"/><Relationship Id="rId4" Type="http://schemas.openxmlformats.org/officeDocument/2006/relationships/hyperlink" Target="https://www.transportenvironment.org/wp-content/uploads/2021/07/2020_Report_RES_to_decarbonise_transport_in_EU.pdf" TargetMode="External"/><Relationship Id="rId9" Type="http://schemas.openxmlformats.org/officeDocument/2006/relationships/hyperlink" Target="https://www.lr.org/en/insights/global-marine-trends-2030/techno-economic-assessment-of-zero-carbon-fuel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ikipedikia.org/how-many-bananas-can-fit-in-a-container/" TargetMode="External"/><Relationship Id="rId2" Type="http://schemas.openxmlformats.org/officeDocument/2006/relationships/hyperlink" Target="https://wikipedikia.org/how-many-bananas-can-fit-in-a-container/" TargetMode="External"/><Relationship Id="rId1" Type="http://schemas.openxmlformats.org/officeDocument/2006/relationships/hyperlink" Target="https://www.minneapolisfed.org/article/2017/container-imports-and-the-advantage-of-size" TargetMode="External"/><Relationship Id="rId5" Type="http://schemas.openxmlformats.org/officeDocument/2006/relationships/printerSettings" Target="../printerSettings/printerSettings6.bin"/><Relationship Id="rId4" Type="http://schemas.openxmlformats.org/officeDocument/2006/relationships/hyperlink" Target="https://wikipedikia.org/how-many-bananas-can-fit-in-a-contain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31"/>
  <sheetViews>
    <sheetView showGridLines="0" zoomScale="120" zoomScaleNormal="120" workbookViewId="0">
      <selection activeCell="G25" sqref="G25"/>
    </sheetView>
  </sheetViews>
  <sheetFormatPr defaultColWidth="11.125" defaultRowHeight="15.75"/>
  <cols>
    <col min="2" max="2" width="20.125" customWidth="1"/>
    <col min="3" max="3" width="29.875" customWidth="1"/>
    <col min="4" max="4" width="25.125" customWidth="1"/>
    <col min="5" max="5" width="26" customWidth="1"/>
    <col min="6" max="6" width="35.875" customWidth="1"/>
    <col min="7" max="7" width="24.375" customWidth="1"/>
    <col min="8" max="8" width="18.125" customWidth="1"/>
    <col min="9" max="10" width="24.375" customWidth="1"/>
  </cols>
  <sheetData>
    <row r="2" spans="2:12" ht="16.5" thickBot="1"/>
    <row r="3" spans="2:12" ht="17.100000000000001" customHeight="1" thickTop="1" thickBot="1">
      <c r="B3" s="216" t="s">
        <v>46</v>
      </c>
      <c r="C3" s="216"/>
      <c r="D3" s="216"/>
      <c r="F3" s="216" t="s">
        <v>91</v>
      </c>
      <c r="G3" s="216"/>
      <c r="H3" s="216"/>
      <c r="J3" s="217" t="s">
        <v>181</v>
      </c>
      <c r="K3" s="218"/>
      <c r="L3" s="219"/>
    </row>
    <row r="4" spans="2:12" ht="17.100000000000001" customHeight="1">
      <c r="F4" s="29"/>
      <c r="G4" s="29"/>
      <c r="H4" s="29"/>
      <c r="J4" s="220"/>
      <c r="K4" s="221"/>
      <c r="L4" s="222"/>
    </row>
    <row r="5" spans="2:12" ht="17.100000000000001" customHeight="1" thickBot="1">
      <c r="B5" s="142">
        <v>0.14000000000000001</v>
      </c>
      <c r="C5" s="25" t="s">
        <v>71</v>
      </c>
      <c r="F5" s="141" t="s">
        <v>115</v>
      </c>
      <c r="G5" s="25" t="s">
        <v>95</v>
      </c>
      <c r="J5" s="220"/>
      <c r="K5" s="221"/>
      <c r="L5" s="222"/>
    </row>
    <row r="6" spans="2:12" ht="17.100000000000001" customHeight="1">
      <c r="B6" s="26"/>
      <c r="J6" s="220"/>
      <c r="K6" s="221"/>
      <c r="L6" s="222"/>
    </row>
    <row r="7" spans="2:12" ht="17.100000000000001" customHeight="1" thickBot="1">
      <c r="B7" s="142">
        <v>0.06</v>
      </c>
      <c r="C7" s="25" t="s">
        <v>94</v>
      </c>
      <c r="F7" s="87"/>
      <c r="G7" s="87"/>
      <c r="H7" s="87"/>
      <c r="J7" s="220"/>
      <c r="K7" s="221"/>
      <c r="L7" s="222"/>
    </row>
    <row r="8" spans="2:12" ht="17.100000000000001" customHeight="1" thickBot="1">
      <c r="B8" s="26"/>
      <c r="G8" s="86" t="s">
        <v>76</v>
      </c>
      <c r="J8" s="220"/>
      <c r="K8" s="221"/>
      <c r="L8" s="222"/>
    </row>
    <row r="9" spans="2:12" ht="17.100000000000001" customHeight="1" thickTop="1" thickBot="1">
      <c r="B9" s="141">
        <v>80</v>
      </c>
      <c r="C9" s="25" t="s">
        <v>93</v>
      </c>
      <c r="F9" s="79" t="s">
        <v>64</v>
      </c>
      <c r="G9" s="80">
        <f>INDEX('Vessel - route, cargo database'!B4:B28,MATCH(Vessel_name,'Vessel - route, cargo database'!$C$4:$C$28,0))</f>
        <v>9728942</v>
      </c>
      <c r="J9" s="220"/>
      <c r="K9" s="221"/>
      <c r="L9" s="222"/>
    </row>
    <row r="10" spans="2:12" ht="17.100000000000001" customHeight="1" thickBot="1">
      <c r="B10" s="30"/>
      <c r="C10" s="30"/>
      <c r="D10" s="30"/>
      <c r="F10" s="81" t="s">
        <v>65</v>
      </c>
      <c r="G10" s="82" t="str">
        <f>INDEX('Vessel - route, cargo database'!C4:C28,MATCH(Vessel_name,'Vessel - route, cargo database'!$C$4:$C$28,0))</f>
        <v>TAURUS</v>
      </c>
      <c r="J10" s="220"/>
      <c r="K10" s="221"/>
      <c r="L10" s="222"/>
    </row>
    <row r="11" spans="2:12" ht="17.100000000000001" customHeight="1" thickTop="1" thickBot="1">
      <c r="F11" s="81" t="s">
        <v>26</v>
      </c>
      <c r="G11" s="82" t="str">
        <f>INDEX('Vessel - route, cargo database'!D4:D28,MATCH(Vessel_name,'Vessel - route, cargo database'!$C$4:$C$28,0))</f>
        <v>Container</v>
      </c>
      <c r="J11" s="223"/>
      <c r="K11" s="224"/>
      <c r="L11" s="225"/>
    </row>
    <row r="12" spans="2:12" ht="17.100000000000001" customHeight="1" thickTop="1">
      <c r="F12" s="81" t="s">
        <v>63</v>
      </c>
      <c r="G12" s="82" t="str">
        <f>INDEX('Vessel - route, cargo database'!E4:E28,MATCH(Vessel_name,'Vessel - route, cargo database'!$C$4:$C$28,0))</f>
        <v>12,000-14,499</v>
      </c>
    </row>
    <row r="13" spans="2:12" ht="17.100000000000001" customHeight="1">
      <c r="F13" s="81" t="s">
        <v>150</v>
      </c>
      <c r="G13" s="111">
        <f>INDEX('Vessel - route, cargo database'!F4:F28,MATCH(Vessel_name,'Vessel - route, cargo database'!$C$4:$C$28,0))</f>
        <v>14354</v>
      </c>
    </row>
    <row r="14" spans="2:12" ht="17.100000000000001" customHeight="1">
      <c r="B14" s="115" t="s">
        <v>157</v>
      </c>
      <c r="C14" s="115"/>
      <c r="D14" s="115"/>
      <c r="F14" s="81" t="s">
        <v>62</v>
      </c>
      <c r="G14" s="83">
        <f>INDEX('Vessel - route, cargo database'!G4:G28,MATCH(Vessel_name,'Vessel - route, cargo database'!$C$4:$C$28,0))</f>
        <v>0.7</v>
      </c>
    </row>
    <row r="15" spans="2:12" ht="17.100000000000001" customHeight="1">
      <c r="B15" s="116" t="s">
        <v>163</v>
      </c>
      <c r="C15" s="117"/>
      <c r="D15" s="117"/>
      <c r="F15" s="81" t="s">
        <v>61</v>
      </c>
      <c r="G15" s="111">
        <f>INDEX('Vessel - route, cargo database'!H4:H28,MATCH(Vessel_name,'Vessel - route, cargo database'!$C$4:$C$28,0))</f>
        <v>10047.799999999999</v>
      </c>
    </row>
    <row r="16" spans="2:12" ht="17.100000000000001" customHeight="1">
      <c r="B16" s="117"/>
      <c r="C16" s="119" t="s">
        <v>160</v>
      </c>
      <c r="D16" s="117"/>
      <c r="F16" s="81" t="s">
        <v>28</v>
      </c>
      <c r="G16" s="82" t="str">
        <f>INDEX('Vessel - route, cargo database'!I4:I28,MATCH(Vessel_name,'Vessel - route, cargo database'!$C$4:$C$28,0))</f>
        <v>T&amp;E SEA model</v>
      </c>
    </row>
    <row r="17" spans="2:8" ht="17.100000000000001" customHeight="1">
      <c r="B17" s="117"/>
      <c r="C17" s="119" t="s">
        <v>161</v>
      </c>
      <c r="D17" s="117"/>
      <c r="F17" s="81" t="s">
        <v>29</v>
      </c>
      <c r="G17" s="82" t="str">
        <f>INDEX('Vessel - route, cargo database'!J4:J28,MATCH(Vessel_name,'Vessel - route, cargo database'!$C$4:$C$28,0))</f>
        <v>Sri Lanka</v>
      </c>
    </row>
    <row r="18" spans="2:8" ht="17.100000000000001" customHeight="1">
      <c r="B18" s="117"/>
      <c r="C18" s="119" t="s">
        <v>164</v>
      </c>
      <c r="D18" s="117"/>
      <c r="F18" s="81" t="s">
        <v>31</v>
      </c>
      <c r="G18" s="82" t="str">
        <f>INDEX('Vessel - route, cargo database'!K4:K28,MATCH(Vessel_name,'Vessel - route, cargo database'!$C$4:$C$28,0))</f>
        <v>Colombo</v>
      </c>
    </row>
    <row r="19" spans="2:8" ht="17.100000000000001" customHeight="1">
      <c r="B19" s="117"/>
      <c r="C19" s="119" t="s">
        <v>165</v>
      </c>
      <c r="D19" s="117"/>
      <c r="F19" s="81" t="s">
        <v>32</v>
      </c>
      <c r="G19" s="82" t="str">
        <f>INDEX('Vessel - route, cargo database'!L4:L28,MATCH(Vessel_name,'Vessel - route, cargo database'!$C$4:$C$28,0))</f>
        <v>Belgium</v>
      </c>
    </row>
    <row r="20" spans="2:8" ht="17.100000000000001" customHeight="1">
      <c r="B20" s="117"/>
      <c r="C20" s="117"/>
      <c r="D20" s="117"/>
      <c r="F20" s="81" t="s">
        <v>34</v>
      </c>
      <c r="G20" s="82" t="str">
        <f>INDEX('Vessel - route, cargo database'!M4:M28,MATCH(Vessel_name,'Vessel - route, cargo database'!$C$4:$C$28,0))</f>
        <v>Antwerp</v>
      </c>
    </row>
    <row r="21" spans="2:8" ht="17.100000000000001" customHeight="1">
      <c r="B21" s="116" t="s">
        <v>158</v>
      </c>
      <c r="C21" s="117"/>
      <c r="D21" s="117"/>
      <c r="F21" s="81" t="s">
        <v>35</v>
      </c>
      <c r="G21" s="82">
        <f>INDEX('Vessel - route, cargo database'!N4:N28,MATCH(Vessel_name,'Vessel - route, cargo database'!$C$4:$C$28,0))</f>
        <v>16.639388764524185</v>
      </c>
    </row>
    <row r="22" spans="2:8" ht="17.100000000000001" customHeight="1">
      <c r="B22" s="117"/>
      <c r="C22" s="120" t="s">
        <v>159</v>
      </c>
      <c r="D22" s="117"/>
      <c r="F22" s="81" t="s">
        <v>60</v>
      </c>
      <c r="G22" s="82">
        <f>INDEX('Vessel - route, cargo database'!O4:O28,MATCH(Vessel_name,'Vessel - route, cargo database'!$C$4:$C$28,0))</f>
        <v>6822.1493934549162</v>
      </c>
    </row>
    <row r="23" spans="2:8" ht="17.100000000000001" customHeight="1">
      <c r="B23" s="117"/>
      <c r="C23" s="120" t="s">
        <v>162</v>
      </c>
      <c r="D23" s="117"/>
      <c r="F23" s="81" t="s">
        <v>59</v>
      </c>
      <c r="G23" s="82">
        <f>INDEX('Vessel - route, cargo database'!P4:P28,MATCH(Vessel_name,'Vessel - route, cargo database'!$C$4:$C$28,0))</f>
        <v>17.083333333333332</v>
      </c>
    </row>
    <row r="24" spans="2:8" ht="17.100000000000001" customHeight="1" thickBot="1">
      <c r="B24" s="118"/>
      <c r="C24" s="121" t="s">
        <v>166</v>
      </c>
      <c r="D24" s="118"/>
      <c r="F24" s="81" t="s">
        <v>36</v>
      </c>
      <c r="G24" s="82" t="str">
        <f>INDEX('Vessel - route, cargo database'!Q4:Q28,MATCH(Vessel_name,'Vessel - route, cargo database'!$C$4:$C$28,0))</f>
        <v>HFO 2.6%/MDO</v>
      </c>
    </row>
    <row r="25" spans="2:8" ht="17.100000000000001" customHeight="1" thickTop="1">
      <c r="F25" s="81" t="s">
        <v>58</v>
      </c>
      <c r="G25" s="111">
        <f>INDEX('Vessel - route, cargo database'!R4:R28,MATCH(Vessel_name,'Vessel - route, cargo database'!$C$4:$C$28,0))</f>
        <v>1792.5492792777436</v>
      </c>
    </row>
    <row r="26" spans="2:8" ht="17.100000000000001" customHeight="1">
      <c r="F26" s="81" t="s">
        <v>156</v>
      </c>
      <c r="G26" s="85">
        <f>INDEX('Vessel - route, cargo database'!S4:S28,MATCH(Vessel_name,'Vessel - route, cargo database'!$C$4:$C$28,0))</f>
        <v>73494520.450387478</v>
      </c>
    </row>
    <row r="27" spans="2:8" ht="17.100000000000001" customHeight="1">
      <c r="F27" s="81" t="s">
        <v>67</v>
      </c>
      <c r="G27" s="111">
        <f>INDEX('Vessel - route, cargo database'!T4:T28,MATCH(Vessel_name,'Vessel - route, cargo database'!$C$4:$C$28,0))</f>
        <v>5591.1941361674844</v>
      </c>
    </row>
    <row r="28" spans="2:8" ht="17.100000000000001" customHeight="1">
      <c r="F28" s="81" t="s">
        <v>89</v>
      </c>
      <c r="G28" s="82" t="str">
        <f>INDEX('Vessel - route, cargo database'!U4:U28,MATCH(Vessel_name,'Vessel - route, cargo database'!$C$4:$C$28,0))</f>
        <v>East Asia - Northern Europe</v>
      </c>
    </row>
    <row r="29" spans="2:8" ht="17.100000000000001" customHeight="1">
      <c r="F29" s="81" t="s">
        <v>154</v>
      </c>
      <c r="G29" s="84">
        <f>INDEX('Vessel - route, cargo database'!V4:V28,MATCH(Vessel_name,'Vessel - route, cargo database'!$C$4:$C$28,0))</f>
        <v>785.56</v>
      </c>
    </row>
    <row r="30" spans="2:8" ht="17.100000000000001" customHeight="1" thickBot="1">
      <c r="F30" s="30"/>
      <c r="G30" s="30"/>
      <c r="H30" s="30"/>
    </row>
    <row r="31" spans="2:8" ht="16.5" thickTop="1"/>
  </sheetData>
  <mergeCells count="3">
    <mergeCell ref="B3:D3"/>
    <mergeCell ref="F3:H3"/>
    <mergeCell ref="J3:L11"/>
  </mergeCells>
  <pageMargins left="0.7" right="0.7" top="0.75" bottom="0.75" header="0.3" footer="0.3"/>
  <pageSetup paperSize="9" scale="61" fitToWidth="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'Vessel - route, cargo database'!$C$4:$C$28</xm:f>
          </x14:formula1>
          <xm:sqref>F5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AM126"/>
  <sheetViews>
    <sheetView showGridLines="0" tabSelected="1" topLeftCell="M1" zoomScale="80" zoomScaleNormal="80" workbookViewId="0">
      <selection activeCell="R12" sqref="R12"/>
    </sheetView>
  </sheetViews>
  <sheetFormatPr defaultColWidth="10.875" defaultRowHeight="15.75"/>
  <cols>
    <col min="2" max="2" width="27.125" customWidth="1"/>
    <col min="3" max="3" width="55.875" customWidth="1"/>
    <col min="4" max="6" width="20.875" customWidth="1"/>
    <col min="7" max="7" width="6.375" customWidth="1"/>
    <col min="8" max="8" width="4.125" customWidth="1"/>
    <col min="9" max="9" width="27.125" customWidth="1"/>
    <col min="10" max="10" width="55.875" style="5" customWidth="1"/>
    <col min="11" max="11" width="20.875" style="3" customWidth="1"/>
    <col min="12" max="13" width="20.875" customWidth="1"/>
    <col min="14" max="14" width="6.5" customWidth="1"/>
    <col min="15" max="15" width="5.5" customWidth="1"/>
    <col min="16" max="16" width="40" customWidth="1"/>
    <col min="17" max="17" width="60.125" customWidth="1"/>
    <col min="18" max="20" width="20.875" customWidth="1"/>
    <col min="21" max="21" width="7" customWidth="1"/>
    <col min="22" max="22" width="7.375" customWidth="1"/>
    <col min="23" max="23" width="21.875" customWidth="1"/>
    <col min="24" max="24" width="55.875" customWidth="1"/>
    <col min="25" max="27" width="20.875" customWidth="1"/>
    <col min="36" max="36" width="22" bestFit="1" customWidth="1"/>
  </cols>
  <sheetData>
    <row r="2" spans="2:30">
      <c r="J2" s="20"/>
      <c r="R2" s="22"/>
    </row>
    <row r="3" spans="2:30" ht="21.75" thickBot="1">
      <c r="B3" s="255" t="s">
        <v>178</v>
      </c>
      <c r="C3" s="255"/>
      <c r="D3" s="255"/>
      <c r="E3" s="255"/>
      <c r="F3" s="255"/>
      <c r="I3" s="269" t="s">
        <v>125</v>
      </c>
      <c r="J3" s="269"/>
      <c r="K3" s="269"/>
      <c r="L3" s="269"/>
      <c r="M3" s="269"/>
      <c r="N3" s="21"/>
      <c r="O3" s="21"/>
      <c r="P3" s="271" t="s">
        <v>126</v>
      </c>
      <c r="Q3" s="271"/>
      <c r="R3" s="271"/>
      <c r="S3" s="271"/>
      <c r="T3" s="271"/>
      <c r="V3" s="21"/>
      <c r="W3" s="270" t="s">
        <v>184</v>
      </c>
      <c r="X3" s="270"/>
      <c r="Y3" s="270"/>
      <c r="Z3" s="270"/>
      <c r="AA3" s="270"/>
    </row>
    <row r="4" spans="2:30" ht="16.5" thickTop="1">
      <c r="C4" s="5"/>
      <c r="D4" s="3"/>
      <c r="X4" s="5"/>
      <c r="Y4" s="3"/>
    </row>
    <row r="5" spans="2:30">
      <c r="C5" s="5"/>
      <c r="D5" s="3"/>
      <c r="R5" s="24" t="s">
        <v>78</v>
      </c>
      <c r="X5" s="5"/>
      <c r="Y5" s="3"/>
    </row>
    <row r="6" spans="2:30" s="4" customFormat="1" ht="17.100000000000001" customHeight="1" thickBot="1">
      <c r="B6"/>
      <c r="C6" s="5"/>
      <c r="D6" s="6" t="s">
        <v>37</v>
      </c>
      <c r="E6" s="7" t="s">
        <v>38</v>
      </c>
      <c r="F6" s="7" t="s">
        <v>44</v>
      </c>
      <c r="I6"/>
      <c r="J6" s="5"/>
      <c r="K6" s="6" t="s">
        <v>37</v>
      </c>
      <c r="L6" s="7" t="s">
        <v>38</v>
      </c>
      <c r="M6" s="7" t="s">
        <v>44</v>
      </c>
      <c r="P6"/>
      <c r="Q6"/>
      <c r="R6" s="6" t="s">
        <v>37</v>
      </c>
      <c r="S6" s="7" t="s">
        <v>38</v>
      </c>
      <c r="T6" s="7" t="s">
        <v>44</v>
      </c>
      <c r="U6"/>
      <c r="V6"/>
      <c r="W6"/>
      <c r="X6" s="5"/>
      <c r="Y6" s="6" t="s">
        <v>37</v>
      </c>
      <c r="Z6" s="7" t="s">
        <v>38</v>
      </c>
      <c r="AA6" s="7" t="s">
        <v>44</v>
      </c>
      <c r="AB6"/>
      <c r="AC6"/>
      <c r="AD6"/>
    </row>
    <row r="7" spans="2:30" s="4" customFormat="1" ht="17.100000000000001" customHeight="1" thickTop="1">
      <c r="B7" s="258" t="s">
        <v>185</v>
      </c>
      <c r="C7" s="62" t="s">
        <v>40</v>
      </c>
      <c r="D7" s="63">
        <f>Price_VLSFO_Min</f>
        <v>479.7</v>
      </c>
      <c r="E7" s="63">
        <f>Price_VLSFO_Max</f>
        <v>541.19999999999993</v>
      </c>
      <c r="F7" s="63">
        <f>AVERAGE(D7:E7)</f>
        <v>510.44999999999993</v>
      </c>
      <c r="I7" s="267" t="s">
        <v>10</v>
      </c>
      <c r="J7" s="62" t="s">
        <v>40</v>
      </c>
      <c r="K7" s="63">
        <f>Price_VLSFO_Min</f>
        <v>479.7</v>
      </c>
      <c r="L7" s="63">
        <f>Price_VLSFO_Max</f>
        <v>541.19999999999993</v>
      </c>
      <c r="M7" s="63">
        <f>AVERAGE(K7:L7)</f>
        <v>510.44999999999993</v>
      </c>
      <c r="N7" s="8"/>
      <c r="P7" s="275" t="str">
        <f>"Fuel covered by FuelEU/ETS: "&amp;CONCATENATE(TEXT(R7,"0.00%")," Biodiesel | ",TEXT((100-R7*100),"0.00"),"% VLSFO (by energy)")</f>
        <v>Fuel covered by FuelEU/ETS: 17.68% Biodiesel | 82.32% VLSFO (by energy)</v>
      </c>
      <c r="Q7" s="62" t="s">
        <v>74</v>
      </c>
      <c r="R7" s="71">
        <f>MAX(0,MIN(1,((1-Regulatory_target)*baseline_GHG_intensity-WtW_VLSFO_gCO2perMJ)/(WtW_biodiesel_WCO_gCO2perMJ-WtW_VLSFO_gCO2perMJ)))</f>
        <v>0.17678937717735155</v>
      </c>
      <c r="S7" s="71">
        <f>MAX(0,MIN(1,((1-Regulatory_target)*baseline_GHG_intensity-WtW_VLSFO_gCO2perMJ)/(WtW_biodiesel_WCO_gCO2perMJ-WtW_VLSFO_gCO2perMJ)))</f>
        <v>0.17678937717735155</v>
      </c>
      <c r="T7" s="63"/>
      <c r="U7"/>
      <c r="W7" s="272" t="s">
        <v>80</v>
      </c>
      <c r="X7" s="62" t="s">
        <v>41</v>
      </c>
      <c r="Y7" s="63">
        <f>Price_biodiesel_min</f>
        <v>732.84</v>
      </c>
      <c r="Z7" s="63">
        <f>Price_biodiesel_max</f>
        <v>1190.4000000000001</v>
      </c>
      <c r="AA7" s="63">
        <f>AVERAGE(Y7:Z7)</f>
        <v>961.62000000000012</v>
      </c>
      <c r="AB7" s="8"/>
    </row>
    <row r="8" spans="2:30" s="4" customFormat="1" ht="17.100000000000001" customHeight="1">
      <c r="B8" s="259"/>
      <c r="C8" s="62" t="s">
        <v>39</v>
      </c>
      <c r="D8" s="64">
        <f>D7*fuel_consumption_per_journey_tVLSFO</f>
        <v>859885.88926953357</v>
      </c>
      <c r="E8" s="64">
        <f>E7*fuel_consumption_per_journey_tVLSFO</f>
        <v>970127.66994511476</v>
      </c>
      <c r="F8" s="63">
        <f>AVERAGE(D8:E8)</f>
        <v>915006.77960732416</v>
      </c>
      <c r="I8" s="268"/>
      <c r="J8" s="62" t="s">
        <v>39</v>
      </c>
      <c r="K8" s="64">
        <f>K7*fuel_consumption_per_journey_tVLSFO</f>
        <v>859885.88926953357</v>
      </c>
      <c r="L8" s="64">
        <f>L7*fuel_consumption_per_journey_tVLSFO</f>
        <v>970127.66994511476</v>
      </c>
      <c r="M8" s="63">
        <f>AVERAGE(K8:L8)</f>
        <v>915006.77960732416</v>
      </c>
      <c r="O8"/>
      <c r="P8" s="276"/>
      <c r="Q8" s="62" t="s">
        <v>144</v>
      </c>
      <c r="R8" s="63">
        <f>(Price_VLSFO_Min*(1-R7))+(Price_biodiesel_min*R7*LCV_VLSFO/LCV_Biodiesel_WCO)</f>
        <v>537.68691571417128</v>
      </c>
      <c r="S8" s="63">
        <f>(Price_VLSFO_Max*(1-S7))+(Price_biodiesel_max*S7*LCV_VLSFO/LCV_Biodiesel_WCO)</f>
        <v>677.46925192830258</v>
      </c>
      <c r="T8" s="63">
        <f t="shared" ref="T8:T14" si="0">AVERAGE(R8:S8)</f>
        <v>607.57808382123699</v>
      </c>
      <c r="U8"/>
      <c r="W8" s="273"/>
      <c r="X8" s="62" t="s">
        <v>42</v>
      </c>
      <c r="Y8" s="63">
        <f>Y7*LCV_VLSFO/LCV_Biodiesel_WCO</f>
        <v>807.7</v>
      </c>
      <c r="Z8" s="63">
        <f>Z7*LCV_VLSFO/LCV_Biodiesel_WCO</f>
        <v>1312</v>
      </c>
      <c r="AA8" s="63">
        <f t="shared" ref="AA8:AA9" si="1">AVERAGE(Y8:Z8)</f>
        <v>1059.8499999999999</v>
      </c>
      <c r="AB8" s="9"/>
    </row>
    <row r="9" spans="2:30" s="4" customFormat="1" ht="17.100000000000001" customHeight="1">
      <c r="B9" s="259"/>
      <c r="C9" s="62" t="s">
        <v>77</v>
      </c>
      <c r="D9" s="65">
        <f>WtW_VLSFO_gCO2perMJ</f>
        <v>92.63</v>
      </c>
      <c r="E9" s="65">
        <f>WtW_VLSFO_gCO2perMJ</f>
        <v>92.63</v>
      </c>
      <c r="F9" s="71" t="str">
        <f>IF(D9&gt;(1-Regulatory_target)*baseline_GHG_intensity,"non-compliant","compliant")</f>
        <v>non-compliant</v>
      </c>
      <c r="I9" s="268"/>
      <c r="J9" s="62" t="s">
        <v>77</v>
      </c>
      <c r="K9" s="65">
        <f>WtW_VLSFO_gCO2perMJ</f>
        <v>92.63</v>
      </c>
      <c r="L9" s="65">
        <f>WtW_VLSFO_gCO2perMJ</f>
        <v>92.63</v>
      </c>
      <c r="M9" s="71" t="str">
        <f>IF(K9&gt;(1-Regulatory_target)*baseline_GHG_intensity,"non-compliant","compliant")</f>
        <v>non-compliant</v>
      </c>
      <c r="P9" s="276"/>
      <c r="Q9" s="62" t="s">
        <v>77</v>
      </c>
      <c r="R9" s="65">
        <f>R7*WtW_biodiesel_WCO_gCO2perMJ+(1-R7)*WtW_VLSFO_gCO2perMJ</f>
        <v>78.888161712004461</v>
      </c>
      <c r="S9" s="65">
        <f>S7*WtW_biodiesel_WCO_gCO2perMJ+(1-S7)*WtW_VLSFO_gCO2perMJ</f>
        <v>78.888161712004461</v>
      </c>
      <c r="T9" s="71" t="str">
        <f>IF(R9&gt;(1-Regulatory_target)*baseline_GHG_intensity,"non-compliant","compliant")</f>
        <v>compliant</v>
      </c>
      <c r="U9"/>
      <c r="V9"/>
      <c r="W9" s="273"/>
      <c r="X9" s="62" t="s">
        <v>141</v>
      </c>
      <c r="Y9" s="64">
        <f>Y8*fuel_consumption_per_journey_tVLSFO</f>
        <v>1447842.0528726336</v>
      </c>
      <c r="Z9" s="64">
        <f>Z8*fuel_consumption_per_journey_tVLSFO</f>
        <v>2351824.6544123995</v>
      </c>
      <c r="AA9" s="64">
        <f t="shared" si="1"/>
        <v>1899833.3536425165</v>
      </c>
      <c r="AB9" s="9"/>
      <c r="AC9"/>
      <c r="AD9"/>
    </row>
    <row r="10" spans="2:30" s="4" customFormat="1" ht="17.100000000000001" customHeight="1" thickBot="1">
      <c r="B10" s="259"/>
      <c r="C10" s="62" t="s">
        <v>45</v>
      </c>
      <c r="D10" s="66">
        <f>D9*fuel_consumption_per_journey_MJ/1000000</f>
        <v>6807.797429319392</v>
      </c>
      <c r="E10" s="66">
        <f>E9*fuel_consumption_per_journey_MJ/1000000</f>
        <v>6807.797429319392</v>
      </c>
      <c r="F10" s="67"/>
      <c r="I10" s="268"/>
      <c r="J10" s="62" t="s">
        <v>45</v>
      </c>
      <c r="K10" s="104">
        <f>K9*fuel_consumption_per_journey_MJ/1000000</f>
        <v>6807.797429319392</v>
      </c>
      <c r="L10" s="104">
        <f>L9*fuel_consumption_per_journey_MJ/1000000</f>
        <v>6807.797429319392</v>
      </c>
      <c r="M10" s="67"/>
      <c r="P10" s="277"/>
      <c r="Q10" s="62" t="s">
        <v>139</v>
      </c>
      <c r="R10" s="66">
        <f>R9*fuel_consumption_per_journey_MJ/2/1000000</f>
        <v>2898.9238071181931</v>
      </c>
      <c r="S10" s="66">
        <f>S9*fuel_consumption_per_journey_MJ/2/1000000</f>
        <v>2898.9238071181931</v>
      </c>
      <c r="T10" s="65"/>
      <c r="U10"/>
      <c r="W10" s="273"/>
      <c r="X10" s="62" t="s">
        <v>77</v>
      </c>
      <c r="Y10" s="65">
        <f>WtW_biodiesel_WCO_gCO2perMJ</f>
        <v>14.900000000000007</v>
      </c>
      <c r="Z10" s="65">
        <f>WtW_biodiesel_WCO_gCO2perMJ</f>
        <v>14.900000000000007</v>
      </c>
      <c r="AA10" s="71" t="str">
        <f>IF(Y10&gt;(1-Regulatory_target)*baseline_GHG_intensity,"non-compliant","compliant")</f>
        <v>compliant</v>
      </c>
      <c r="AB10" s="9"/>
    </row>
    <row r="11" spans="2:30" s="4" customFormat="1" ht="20.100000000000001" customHeight="1" thickTop="1" thickBot="1">
      <c r="B11" s="259"/>
      <c r="C11" s="62" t="s">
        <v>179</v>
      </c>
      <c r="D11" s="69">
        <f>(D10-D10)/Real_world_TEU_carriage</f>
        <v>0</v>
      </c>
      <c r="E11" s="69">
        <f>(E10-E10)/Real_world_TEU_carriage</f>
        <v>0</v>
      </c>
      <c r="F11" s="69">
        <f t="shared" ref="F11:F12" si="2">AVERAGE(D11:E11)</f>
        <v>0</v>
      </c>
      <c r="I11" s="268"/>
      <c r="J11" s="105" t="s">
        <v>47</v>
      </c>
      <c r="K11" s="64">
        <f>K10/2*ETS_Price</f>
        <v>272311.8971727757</v>
      </c>
      <c r="L11" s="64">
        <f>L10/2*ETS_Price</f>
        <v>272311.8971727757</v>
      </c>
      <c r="M11" s="64">
        <f>AVERAGE(K11:L11)</f>
        <v>272311.8971727757</v>
      </c>
      <c r="P11" s="103" t="s">
        <v>137</v>
      </c>
      <c r="Q11" s="105" t="s">
        <v>138</v>
      </c>
      <c r="R11" s="63">
        <f>K7</f>
        <v>479.7</v>
      </c>
      <c r="S11" s="63">
        <f>L7</f>
        <v>541.19999999999993</v>
      </c>
      <c r="T11" s="65">
        <f>AVERAGE(R11:S11)</f>
        <v>510.44999999999993</v>
      </c>
      <c r="U11"/>
      <c r="W11" s="273"/>
      <c r="X11" s="105" t="s">
        <v>146</v>
      </c>
      <c r="Y11" s="104">
        <f>Y10*fuel_consumption_per_journey_MJ/1000000</f>
        <v>1095.068354710774</v>
      </c>
      <c r="Z11" s="104">
        <f>Z10*fuel_consumption_per_journey_MJ/1000000</f>
        <v>1095.068354710774</v>
      </c>
      <c r="AA11" s="66"/>
      <c r="AB11" s="9"/>
    </row>
    <row r="12" spans="2:30" s="4" customFormat="1" ht="17.100000000000001" customHeight="1" thickTop="1">
      <c r="B12" s="259"/>
      <c r="C12" s="62" t="s">
        <v>43</v>
      </c>
      <c r="D12" s="70">
        <f>(TEU_freight_rate_2021+D11-TEU_freight_rate_2021)/(TEU_freight_rate_2021)</f>
        <v>0</v>
      </c>
      <c r="E12" s="70">
        <f>(TEU_freight_rate_2021+E11-TEU_freight_rate_2021)/(TEU_freight_rate_2021)</f>
        <v>0</v>
      </c>
      <c r="F12" s="70">
        <f t="shared" si="2"/>
        <v>0</v>
      </c>
      <c r="I12" s="268"/>
      <c r="J12" s="62" t="s">
        <v>82</v>
      </c>
      <c r="K12" s="68">
        <f>K8+K11</f>
        <v>1132197.7864423092</v>
      </c>
      <c r="L12" s="68">
        <f>L8+L11</f>
        <v>1242439.5671178903</v>
      </c>
      <c r="M12" s="68">
        <f>AVERAGE(K12:L12)</f>
        <v>1187318.6767800997</v>
      </c>
      <c r="P12" s="275" t="s">
        <v>136</v>
      </c>
      <c r="Q12" s="62" t="s">
        <v>141</v>
      </c>
      <c r="R12" s="64">
        <f>(R8*fuel_consumption_per_journey_tVLSFO/2)+(R11*fuel_consumption_per_journey_tVLSFO/2)</f>
        <v>911858.0912550221</v>
      </c>
      <c r="S12" s="64">
        <f>(S8*fuel_consumption_per_journey_tVLSFO/2)+(S11*fuel_consumption_per_journey_tVLSFO/2)</f>
        <v>1092262.3446110128</v>
      </c>
      <c r="T12" s="64">
        <f>AVERAGE(R12:S12)</f>
        <v>1002060.2179330175</v>
      </c>
      <c r="U12"/>
      <c r="W12" s="273"/>
      <c r="X12" s="62" t="s">
        <v>142</v>
      </c>
      <c r="Y12" s="64">
        <f>Y11/2*ETS_Price</f>
        <v>43802.734188430957</v>
      </c>
      <c r="Z12" s="64">
        <f>Z11/2*ETS_Price</f>
        <v>43802.734188430957</v>
      </c>
      <c r="AA12" s="66">
        <f>AVERAGE(Y12:Z12)</f>
        <v>43802.734188430957</v>
      </c>
      <c r="AB12" s="9"/>
    </row>
    <row r="13" spans="2:30" s="4" customFormat="1">
      <c r="B13"/>
      <c r="C13"/>
      <c r="D13"/>
      <c r="E13"/>
      <c r="F13"/>
      <c r="I13" s="268"/>
      <c r="J13" s="62" t="s">
        <v>179</v>
      </c>
      <c r="K13" s="69">
        <f>(K12-D8)/Real_world_TEU_carriage</f>
        <v>27.101643859628535</v>
      </c>
      <c r="L13" s="69">
        <f>(L12-E8)/Real_world_TEU_carriage</f>
        <v>27.101643859628535</v>
      </c>
      <c r="M13" s="69">
        <f t="shared" ref="M13:M14" si="3">AVERAGE(K13:L13)</f>
        <v>27.101643859628535</v>
      </c>
      <c r="P13" s="276"/>
      <c r="Q13" s="62" t="s">
        <v>142</v>
      </c>
      <c r="R13" s="64">
        <f>R10*ETS_Price</f>
        <v>231913.90456945545</v>
      </c>
      <c r="S13" s="64">
        <f>S10*ETS_Price</f>
        <v>231913.90456945545</v>
      </c>
      <c r="T13" s="64">
        <f t="shared" si="0"/>
        <v>231913.90456945545</v>
      </c>
      <c r="U13"/>
      <c r="W13" s="273"/>
      <c r="X13" s="62" t="s">
        <v>143</v>
      </c>
      <c r="Y13" s="68">
        <f>Y9+Y12</f>
        <v>1491644.7870610645</v>
      </c>
      <c r="Z13" s="68">
        <f>Z9+Z12</f>
        <v>2395627.3886008305</v>
      </c>
      <c r="AA13" s="68">
        <f>AVERAGE(Y13:Z13)</f>
        <v>1943636.0878309475</v>
      </c>
      <c r="AB13" s="9"/>
    </row>
    <row r="14" spans="2:30" s="4" customFormat="1" ht="17.100000000000001" customHeight="1">
      <c r="B14"/>
      <c r="C14"/>
      <c r="D14"/>
      <c r="E14"/>
      <c r="F14"/>
      <c r="I14" s="268"/>
      <c r="J14" s="62" t="s">
        <v>43</v>
      </c>
      <c r="K14" s="70">
        <f>(TEU_freight_rate_2021+K13-TEU_freight_rate_2021)/(TEU_freight_rate_2021)</f>
        <v>3.4499775777316249E-2</v>
      </c>
      <c r="L14" s="70">
        <f>(TEU_freight_rate_2021+L13-TEU_freight_rate_2021)/(TEU_freight_rate_2021)</f>
        <v>3.4499775777316249E-2</v>
      </c>
      <c r="M14" s="70">
        <f t="shared" si="3"/>
        <v>3.4499775777316249E-2</v>
      </c>
      <c r="P14" s="276"/>
      <c r="Q14" s="62" t="s">
        <v>143</v>
      </c>
      <c r="R14" s="68">
        <f>R12+R13</f>
        <v>1143771.9958244776</v>
      </c>
      <c r="S14" s="68">
        <f>S12+S13</f>
        <v>1324176.2491804683</v>
      </c>
      <c r="T14" s="68">
        <f t="shared" si="0"/>
        <v>1233974.122502473</v>
      </c>
      <c r="U14"/>
      <c r="W14" s="273"/>
      <c r="X14" s="62" t="s">
        <v>179</v>
      </c>
      <c r="Y14" s="69">
        <f>(Y13-D8)/Real_world_TEU_carriage</f>
        <v>62.875345627055772</v>
      </c>
      <c r="Z14" s="69">
        <f>(Z13-E8)/Real_world_TEU_carriage</f>
        <v>141.87182454425007</v>
      </c>
      <c r="AA14" s="69">
        <f t="shared" ref="AA14:AA15" si="4">AVERAGE(Y14:Z14)</f>
        <v>102.37358508565292</v>
      </c>
      <c r="AB14" s="8"/>
    </row>
    <row r="15" spans="2:30" s="4" customFormat="1" ht="17.100000000000001" customHeight="1">
      <c r="B15"/>
      <c r="C15"/>
      <c r="D15"/>
      <c r="E15"/>
      <c r="F15"/>
      <c r="I15"/>
      <c r="J15" s="106"/>
      <c r="K15"/>
      <c r="L15"/>
      <c r="M15"/>
      <c r="N15" s="15"/>
      <c r="P15" s="276"/>
      <c r="Q15" s="62" t="s">
        <v>179</v>
      </c>
      <c r="R15" s="69">
        <f>(R14-D8)/Real_world_TEU_carriage</f>
        <v>28.253558645170493</v>
      </c>
      <c r="S15" s="69">
        <f>(S14-E8)/Real_world_TEU_carriage</f>
        <v>35.236427798657772</v>
      </c>
      <c r="T15" s="69">
        <f t="shared" ref="T15:T16" si="5">AVERAGE(R15:S15)</f>
        <v>31.744993221914132</v>
      </c>
      <c r="U15"/>
      <c r="W15" s="274"/>
      <c r="X15" s="62" t="s">
        <v>147</v>
      </c>
      <c r="Y15" s="70">
        <f>(TEU_freight_rate_2021+Y14-TEU_freight_rate_2021)/(TEU_freight_rate_2021)</f>
        <v>8.0038883887998152E-2</v>
      </c>
      <c r="Z15" s="70">
        <f>(TEU_freight_rate_2021+Z14-TEU_freight_rate_2021)/(TEU_freight_rate_2021)</f>
        <v>0.18059960352391938</v>
      </c>
      <c r="AA15" s="70">
        <f t="shared" si="4"/>
        <v>0.13031924370595876</v>
      </c>
      <c r="AB15" s="10"/>
    </row>
    <row r="16" spans="2:30" s="4" customFormat="1" ht="17.100000000000001" customHeight="1" thickBot="1">
      <c r="B16"/>
      <c r="C16"/>
      <c r="D16"/>
      <c r="E16"/>
      <c r="F16"/>
      <c r="I16"/>
      <c r="J16"/>
      <c r="K16"/>
      <c r="L16"/>
      <c r="M16"/>
      <c r="N16"/>
      <c r="P16" s="277"/>
      <c r="Q16" s="62" t="s">
        <v>43</v>
      </c>
      <c r="R16" s="70">
        <f>(TEU_freight_rate_2021+R15-TEU_freight_rate_2021)/(TEU_freight_rate_2021)</f>
        <v>3.596613708077108E-2</v>
      </c>
      <c r="S16" s="70">
        <f>(TEU_freight_rate_2021+S15-TEU_freight_rate_2021)/(TEU_freight_rate_2021)</f>
        <v>4.4855170577241477E-2</v>
      </c>
      <c r="T16" s="70">
        <f t="shared" si="5"/>
        <v>4.0410653829006278E-2</v>
      </c>
      <c r="U16"/>
      <c r="W16" s="138" t="s">
        <v>177</v>
      </c>
      <c r="X16" s="238" t="s">
        <v>176</v>
      </c>
      <c r="Y16" s="238"/>
      <c r="Z16" s="238"/>
      <c r="AA16" s="238"/>
      <c r="AB16" s="10"/>
    </row>
    <row r="17" spans="9:30" ht="17.100000000000001" customHeight="1" thickTop="1">
      <c r="J17"/>
      <c r="K17"/>
      <c r="P17" s="192" t="s">
        <v>177</v>
      </c>
      <c r="Q17" s="239" t="s">
        <v>176</v>
      </c>
      <c r="R17" s="239"/>
      <c r="S17" s="239"/>
      <c r="T17" s="239"/>
      <c r="W17" s="139">
        <v>1</v>
      </c>
      <c r="X17" s="125" t="s">
        <v>168</v>
      </c>
      <c r="Y17" s="64">
        <f>Y9</f>
        <v>1447842.0528726336</v>
      </c>
      <c r="Z17" s="64">
        <f>Z9</f>
        <v>2351824.6544123995</v>
      </c>
      <c r="AA17" s="64">
        <f>AVERAGE(Y17:Z17)</f>
        <v>1899833.3536425165</v>
      </c>
    </row>
    <row r="18" spans="9:30" ht="17.100000000000001" customHeight="1">
      <c r="J18"/>
      <c r="K18"/>
      <c r="P18" s="193">
        <f>R7</f>
        <v>0.17678937717735155</v>
      </c>
      <c r="Q18" s="125" t="s">
        <v>171</v>
      </c>
      <c r="R18" s="64">
        <f>$P18*Price_biodiesel_min_GJ*fuel_consumption_per_journey_MJ/1000/2</f>
        <v>127981.54738926547</v>
      </c>
      <c r="S18" s="64">
        <f>$P18*Price_biodiesel_max_GJ*fuel_consumption_per_journey_MJ/1000/2</f>
        <v>207888.80794195406</v>
      </c>
      <c r="T18" s="64">
        <f>AVERAGE(R18:S18)</f>
        <v>167935.17766560975</v>
      </c>
      <c r="W18" s="140"/>
      <c r="X18" s="125" t="s">
        <v>170</v>
      </c>
      <c r="Y18" s="64">
        <f>SUM(Y17)</f>
        <v>1447842.0528726336</v>
      </c>
      <c r="Z18" s="64">
        <f>SUM(Z17)</f>
        <v>2351824.6544123995</v>
      </c>
      <c r="AA18" s="64">
        <f t="shared" ref="AA18" si="6">AVERAGE(Y18:Z18)</f>
        <v>1899833.3536425165</v>
      </c>
    </row>
    <row r="19" spans="9:30" ht="17.100000000000001" customHeight="1">
      <c r="J19"/>
      <c r="K19"/>
      <c r="P19" s="194">
        <f>1-R7</f>
        <v>0.82321062282264845</v>
      </c>
      <c r="Q19" s="125" t="s">
        <v>172</v>
      </c>
      <c r="R19" s="64">
        <f>$P19*Price_VLSFO_Min_GJ*fuel_consumption_per_journey_MJ/1000/2</f>
        <v>353933.59923098976</v>
      </c>
      <c r="S19" s="64">
        <f>$P19*Price_VLSFO_Max_GJ*fuel_consumption_per_journey_MJ/1000/2</f>
        <v>399309.70169650129</v>
      </c>
      <c r="T19" s="64">
        <f t="shared" ref="T19:T21" si="7">AVERAGE(R19:S19)</f>
        <v>376621.65046374552</v>
      </c>
    </row>
    <row r="20" spans="9:30" ht="17.100000000000001" customHeight="1">
      <c r="J20"/>
      <c r="K20"/>
      <c r="P20" s="194">
        <v>1</v>
      </c>
      <c r="Q20" s="125" t="s">
        <v>173</v>
      </c>
      <c r="R20" s="64">
        <f>$P20*Price_VLSFO_Min_GJ*fuel_consumption_per_journey_MJ/1000/2</f>
        <v>429942.94463476673</v>
      </c>
      <c r="S20" s="64">
        <f>$P20*Price_VLSFO_Max_GJ*fuel_consumption_per_journey_MJ/1000/2</f>
        <v>485063.83497255732</v>
      </c>
      <c r="T20" s="64">
        <f t="shared" si="7"/>
        <v>457503.38980366202</v>
      </c>
      <c r="U20" s="122"/>
    </row>
    <row r="21" spans="9:30" ht="17.100000000000001" customHeight="1">
      <c r="J21"/>
      <c r="K21"/>
      <c r="P21" s="195"/>
      <c r="Q21" s="125" t="s">
        <v>170</v>
      </c>
      <c r="R21" s="64">
        <f>SUM(R18:R20)</f>
        <v>911858.09125502198</v>
      </c>
      <c r="S21" s="64">
        <f>SUM(S18:S20)</f>
        <v>1092262.3446110126</v>
      </c>
      <c r="T21" s="64">
        <f t="shared" si="7"/>
        <v>1002060.2179330173</v>
      </c>
    </row>
    <row r="22" spans="9:30" ht="17.100000000000001" customHeight="1">
      <c r="J22"/>
      <c r="K22"/>
      <c r="Q22" s="4"/>
    </row>
    <row r="23" spans="9:30" ht="17.100000000000001" customHeight="1">
      <c r="J23"/>
      <c r="K23"/>
      <c r="Q23" s="4"/>
    </row>
    <row r="24" spans="9:30" ht="17.100000000000001" customHeight="1">
      <c r="J24"/>
      <c r="K24"/>
      <c r="Q24" s="4"/>
    </row>
    <row r="25" spans="9:30" ht="17.100000000000001" customHeight="1" thickBot="1">
      <c r="J25"/>
      <c r="K25"/>
      <c r="Q25" s="4"/>
    </row>
    <row r="26" spans="9:30" s="4" customFormat="1" ht="17.100000000000001" customHeight="1" thickTop="1">
      <c r="I26" s="256" t="str">
        <f>TEXT(1-K27,"0.0%")&amp;" Fossil LNG (DF HP 2 stroke) (historical prices) - "&amp;TEXT(K27,"0.0%")&amp;" pilot VLSFO (energy shares)"</f>
        <v>93.2% Fossil LNG (DF HP 2 stroke) (historical prices) - 6.8% pilot VLSFO (energy shares)</v>
      </c>
      <c r="J26" s="62" t="s">
        <v>134</v>
      </c>
      <c r="K26" s="97">
        <v>0.08</v>
      </c>
      <c r="L26" s="97">
        <v>0.08</v>
      </c>
      <c r="M26" s="63"/>
      <c r="P26" s="249" t="str">
        <f>"Fuel covered by FuelEU/ETS: "&amp;CONCATENATE(TEXT('FF55 policy levers &amp; vessel'!B7,"0%")," e-NH3 | ",TEXT(R26,"0.00%")," Biodiesel | ",TEXT((100-(_xlfn.NUMBERVALUE('FF55 policy levers &amp; vessel'!B7)+_xlfn.NUMBERVALUE(R26))*100),"0.00"),"% VLSFO")</f>
        <v>Fuel covered by FuelEU/ETS: 6% e-NH3 | 10.53% Biodiesel | 83.47% VLSFO</v>
      </c>
      <c r="Q26" s="62" t="s">
        <v>72</v>
      </c>
      <c r="R26" s="71">
        <f>MIN(1-e_fuel_subquota,(baseline_GHG_intensity*(1-Regulatory_target)-'WtW CO2e factors'!$E$3+e_fuel_subquota*'WtW CO2e factors'!$E$3-e_fuel_subquota*'WtW CO2e factors'!$E$13)/('WtW CO2e factors'!$E$8-'WtW CO2e factors'!$E$3))</f>
        <v>0.1052880263475561</v>
      </c>
      <c r="S26" s="71">
        <f>MIN(1-e_fuel_subquota,(baseline_GHG_intensity*(1-Regulatory_target)-'WtW CO2e factors'!$E$3+e_fuel_subquota*'WtW CO2e factors'!$E$3-e_fuel_subquota*'WtW CO2e factors'!$E$13)/('WtW CO2e factors'!$E$8-'WtW CO2e factors'!$E$3))</f>
        <v>0.1052880263475561</v>
      </c>
      <c r="T26" s="63"/>
      <c r="U26"/>
      <c r="W26" s="243" t="s">
        <v>75</v>
      </c>
      <c r="X26" s="62" t="s">
        <v>41</v>
      </c>
      <c r="Y26" s="63">
        <f>Price_e_NH3_min</f>
        <v>500.34000000000003</v>
      </c>
      <c r="Z26" s="63">
        <f>Price_e_NH3_max</f>
        <v>1249.92</v>
      </c>
      <c r="AA26" s="63">
        <f>AVERAGE(Y26:Z26)</f>
        <v>875.13000000000011</v>
      </c>
      <c r="AB26" s="9"/>
    </row>
    <row r="27" spans="9:30" s="4" customFormat="1" ht="17.100000000000001" customHeight="1">
      <c r="I27" s="257"/>
      <c r="J27" s="62" t="s">
        <v>135</v>
      </c>
      <c r="K27" s="98">
        <f>K26*LCV_VLSFO/(K26*LCV_VLSFO+(1-K26)*LCV_LNG)</f>
        <v>6.7695863947824647E-2</v>
      </c>
      <c r="L27" s="98">
        <f>L26*LCV_VLSFO/(L26*LCV_VLSFO+(1-L26)*LCV_LNG)</f>
        <v>6.7695863947824647E-2</v>
      </c>
      <c r="M27" s="63"/>
      <c r="P27" s="250"/>
      <c r="Q27" s="62" t="s">
        <v>144</v>
      </c>
      <c r="R27" s="63">
        <f>(Price_VLSFO_Min*(1-(R26+e_fuel_subquota)))+(Price_e_NH3_min*e_fuel_subquota*LCV_VLSFO/LCV_e_NH3)+(Price_biodiesel_min*R26*LCV_VLSFO/LCV_Biodiesel_WCO)</f>
        <v>551.62647264199836</v>
      </c>
      <c r="S27" s="63">
        <f>(Price_VLSFO_Max*(1-(S26+e_fuel_subquota)))+(Price_e_NH3_max*e_fuel_subquota*LCV_VLSFO/LCV_e_NH3)+(Price_biodiesel_max*S26*LCV_VLSFO/LCV_Biodiesel_WCO)</f>
        <v>755.19601070869612</v>
      </c>
      <c r="T27" s="63">
        <f t="shared" ref="T27" si="8">AVERAGE(R27:S27)</f>
        <v>653.41124167534724</v>
      </c>
      <c r="U27"/>
      <c r="W27" s="244"/>
      <c r="X27" s="62" t="s">
        <v>42</v>
      </c>
      <c r="Y27" s="63">
        <f>Y26*LCV_VLSFO/LCV_e_NH3</f>
        <v>1102.9000000000001</v>
      </c>
      <c r="Z27" s="63">
        <f>Z26*LCV_VLSFO/LCV_e_NH3</f>
        <v>2755.2</v>
      </c>
      <c r="AA27" s="63">
        <f t="shared" ref="AA27:AA28" si="9">AVERAGE(Y27:Z27)</f>
        <v>1929.05</v>
      </c>
      <c r="AB27" s="8"/>
      <c r="AC27"/>
      <c r="AD27"/>
    </row>
    <row r="28" spans="9:30" s="4" customFormat="1" ht="17.100000000000001" customHeight="1">
      <c r="I28" s="257"/>
      <c r="J28" s="62" t="s">
        <v>41</v>
      </c>
      <c r="K28" s="63">
        <f>Price_historical_LNG_min*(1-8%)+Price_VLSFO_Min*8%</f>
        <v>422.33800000000002</v>
      </c>
      <c r="L28" s="63">
        <f>Price_historical_LNG_max*(1-8%)+Price_VLSFO_Max*8%</f>
        <v>463.39560000000006</v>
      </c>
      <c r="M28" s="63">
        <f>AVERAGE(K28:L28)</f>
        <v>442.86680000000001</v>
      </c>
      <c r="P28" s="250"/>
      <c r="Q28" s="62" t="s">
        <v>77</v>
      </c>
      <c r="R28" s="65">
        <f>WtW_e_NH3_gCO2perMJ*e_fuel_subquota+WtW_biodiesel_WCO_gCO2perMJ*R$26+WtW_VLSFO_gCO2perMJ*(1-(e_fuel_subquota+R$26))</f>
        <v>78.888161712004461</v>
      </c>
      <c r="S28" s="65">
        <f>WtW_e_NH3_gCO2perMJ*e_fuel_subquota+WtW_biodiesel_WCO_gCO2perMJ*S$26+WtW_VLSFO_gCO2perMJ*(1-(e_fuel_subquota+S$26))</f>
        <v>78.888161712004461</v>
      </c>
      <c r="T28" s="71" t="str">
        <f>IF(R28&gt;(1-Regulatory_target)*baseline_GHG_intensity,"non-compliant","compliant")</f>
        <v>compliant</v>
      </c>
      <c r="U28"/>
      <c r="W28" s="244"/>
      <c r="X28" s="62" t="s">
        <v>39</v>
      </c>
      <c r="Y28" s="64">
        <f>Y27*fuel_consumption_per_journey_tVLSFO</f>
        <v>1977002.6001154236</v>
      </c>
      <c r="Z28" s="64">
        <f>Z27*fuel_consumption_per_journey_tVLSFO</f>
        <v>4938831.774266039</v>
      </c>
      <c r="AA28" s="64">
        <f t="shared" si="9"/>
        <v>3457917.1871907311</v>
      </c>
      <c r="AB28" s="10"/>
      <c r="AC28"/>
      <c r="AD28"/>
    </row>
    <row r="29" spans="9:30" s="4" customFormat="1" ht="17.100000000000001" customHeight="1" thickBot="1">
      <c r="I29" s="257"/>
      <c r="J29" s="62" t="s">
        <v>42</v>
      </c>
      <c r="K29" s="63">
        <f>K28*LCV_VLSFO/(LCV_VLSFO*K26+LCV_LNG*(1-K26))</f>
        <v>357.38169734995455</v>
      </c>
      <c r="L29" s="63">
        <f>L28*LCV_VLSFO/(LCV_VLSFO*L26+LCV_LNG*(1-L26))</f>
        <v>392.12456864525723</v>
      </c>
      <c r="M29" s="63">
        <f>AVERAGE(K29:L29)</f>
        <v>374.75313299760592</v>
      </c>
      <c r="P29" s="251"/>
      <c r="Q29" s="62" t="s">
        <v>139</v>
      </c>
      <c r="R29" s="66">
        <f>R28*fuel_consumption_per_journey_MJ/2/1000000</f>
        <v>2898.9238071181931</v>
      </c>
      <c r="S29" s="66">
        <f>S28*fuel_consumption_per_journey_MJ/2/1000000</f>
        <v>2898.9238071181931</v>
      </c>
      <c r="T29" s="65"/>
      <c r="U29"/>
      <c r="W29" s="244"/>
      <c r="X29" s="62" t="s">
        <v>77</v>
      </c>
      <c r="Y29" s="65">
        <f>WtW_e_NH3_gCO2perMJ</f>
        <v>0</v>
      </c>
      <c r="Z29" s="65">
        <f>WtW_e_NH3_gCO2perMJ</f>
        <v>0</v>
      </c>
      <c r="AA29" s="71" t="str">
        <f>IF(Y29&gt;(1-Regulatory_target)*baseline_GHG_intensity,"non-compliant","compliant")</f>
        <v>compliant</v>
      </c>
      <c r="AB29" s="9"/>
      <c r="AC29"/>
      <c r="AD29"/>
    </row>
    <row r="30" spans="9:30" s="4" customFormat="1" ht="51.95" customHeight="1" thickTop="1" thickBot="1">
      <c r="I30" s="257"/>
      <c r="J30" s="105" t="s">
        <v>81</v>
      </c>
      <c r="K30" s="64">
        <f>K29*fuel_consumption_per_journey_tVLSFO</f>
        <v>640624.30401171767</v>
      </c>
      <c r="L30" s="64">
        <f>L29*fuel_consumption_per_journey_tVLSFO</f>
        <v>702902.61291215196</v>
      </c>
      <c r="M30" s="64">
        <f t="shared" ref="M30" si="10">AVERAGE(K30:L30)</f>
        <v>671763.45846193482</v>
      </c>
      <c r="P30" s="191" t="s">
        <v>137</v>
      </c>
      <c r="Q30" s="105" t="s">
        <v>138</v>
      </c>
      <c r="R30" s="63">
        <f>K7</f>
        <v>479.7</v>
      </c>
      <c r="S30" s="63">
        <f>L7</f>
        <v>541.19999999999993</v>
      </c>
      <c r="T30" s="65"/>
      <c r="U30"/>
      <c r="W30" s="244"/>
      <c r="X30" s="105" t="s">
        <v>45</v>
      </c>
      <c r="Y30" s="104">
        <f>Y29*fuel_consumption_per_journey_MJ/1000000</f>
        <v>0</v>
      </c>
      <c r="Z30" s="65">
        <f>Z29*fuel_consumption_per_journey_tVLSFO</f>
        <v>0</v>
      </c>
      <c r="AA30" s="65"/>
      <c r="AB30" s="9"/>
      <c r="AC30"/>
      <c r="AD30"/>
    </row>
    <row r="31" spans="9:30" s="4" customFormat="1" ht="16.5" thickTop="1">
      <c r="I31" s="257"/>
      <c r="J31" s="62" t="s">
        <v>77</v>
      </c>
      <c r="K31" s="65">
        <f>K27*WtW_VLSFO_gCO2perMJ+(1-K27)*WtW_LNG_DFHP_2_stroke_gCO2perMJ</f>
        <v>77.425979212416408</v>
      </c>
      <c r="L31" s="65">
        <f>L27*WtW_VLSFO_gCO2perMJ+(1-L27)*WtW_LNG_DFHP_2_stroke_gCO2perMJ</f>
        <v>77.425979212416408</v>
      </c>
      <c r="M31" s="71" t="str">
        <f>IF(K31&gt;(1-Regulatory_target)*baseline_GHG_intensity,"non-compliant","compliant")</f>
        <v>compliant</v>
      </c>
      <c r="O31"/>
      <c r="P31" s="249" t="s">
        <v>136</v>
      </c>
      <c r="Q31" s="62" t="s">
        <v>141</v>
      </c>
      <c r="R31" s="123">
        <f>(R27*fuel_consumption_per_journey_tVLSFO/2)+(R30*fuel_consumption_per_journey_tVLSFO/2)</f>
        <v>924351.76261723577</v>
      </c>
      <c r="S31" s="64">
        <f>(S27*fuel_consumption_per_journey_tVLSFO/2)+(S30*fuel_consumption_per_journey_tVLSFO/2)</f>
        <v>1161926.8673272077</v>
      </c>
      <c r="T31" s="64">
        <f>AVERAGE(R31:S31)</f>
        <v>1043139.3149722217</v>
      </c>
      <c r="U31"/>
      <c r="W31" s="244"/>
      <c r="X31" s="62" t="s">
        <v>47</v>
      </c>
      <c r="Y31" s="64">
        <f>Y30/2*fuel_consumption_per_journey_tVLSFO</f>
        <v>0</v>
      </c>
      <c r="Z31" s="64">
        <f>Z30/2*fuel_consumption_per_journey_tVLSFO</f>
        <v>0</v>
      </c>
      <c r="AA31" s="64">
        <f>AVERAGE(Y31:Z31)</f>
        <v>0</v>
      </c>
      <c r="AB31" s="9"/>
      <c r="AC31"/>
      <c r="AD31"/>
    </row>
    <row r="32" spans="9:30" s="4" customFormat="1" ht="17.100000000000001" customHeight="1">
      <c r="I32" s="257"/>
      <c r="J32" s="62" t="s">
        <v>45</v>
      </c>
      <c r="K32" s="104">
        <f>K31*fuel_consumption_per_journey_MJ/1000000</f>
        <v>5690.3852126182137</v>
      </c>
      <c r="L32" s="104">
        <f>L31*fuel_consumption_per_journey_MJ/1000000</f>
        <v>5690.3852126182137</v>
      </c>
      <c r="M32" s="66"/>
      <c r="O32"/>
      <c r="P32" s="250"/>
      <c r="Q32" s="62" t="s">
        <v>142</v>
      </c>
      <c r="R32" s="64">
        <f>R29*ETS_Price</f>
        <v>231913.90456945545</v>
      </c>
      <c r="S32" s="64">
        <f>S29*ETS_Price</f>
        <v>231913.90456945545</v>
      </c>
      <c r="T32" s="64">
        <f>AVERAGE(R32:S32)</f>
        <v>231913.90456945545</v>
      </c>
      <c r="U32"/>
      <c r="W32" s="244"/>
      <c r="X32" s="62" t="s">
        <v>82</v>
      </c>
      <c r="Y32" s="68">
        <f>Y28+Y31</f>
        <v>1977002.6001154236</v>
      </c>
      <c r="Z32" s="68">
        <f>Z28+Z31</f>
        <v>4938831.774266039</v>
      </c>
      <c r="AA32" s="68">
        <f>AVERAGE(Y32:Z32)</f>
        <v>3457917.1871907311</v>
      </c>
      <c r="AB32" s="9"/>
      <c r="AC32"/>
      <c r="AD32"/>
    </row>
    <row r="33" spans="9:30" s="4" customFormat="1" ht="17.100000000000001" customHeight="1">
      <c r="I33" s="257"/>
      <c r="J33" s="62" t="s">
        <v>47</v>
      </c>
      <c r="K33" s="64">
        <f>K32/2*ETS_Price</f>
        <v>227615.40850472855</v>
      </c>
      <c r="L33" s="64">
        <f>L32/2*ETS_Price</f>
        <v>227615.40850472855</v>
      </c>
      <c r="M33" s="66">
        <f>AVERAGE(K33:L33)</f>
        <v>227615.40850472855</v>
      </c>
      <c r="P33" s="250"/>
      <c r="Q33" s="62" t="s">
        <v>143</v>
      </c>
      <c r="R33" s="68">
        <f>R31+R32</f>
        <v>1156265.6671866912</v>
      </c>
      <c r="S33" s="68">
        <f>S31+S32</f>
        <v>1393840.7718966631</v>
      </c>
      <c r="T33" s="68">
        <f>AVERAGE(R33:S33)</f>
        <v>1275053.2195416773</v>
      </c>
      <c r="U33"/>
      <c r="W33" s="244"/>
      <c r="X33" s="62" t="s">
        <v>179</v>
      </c>
      <c r="Y33" s="69">
        <f>(Y32-D8)/Real_world_TEU_carriage</f>
        <v>111.18022958716237</v>
      </c>
      <c r="Z33" s="69">
        <f>(Z32-E8)/Real_world_TEU_carriage</f>
        <v>394.98239458597152</v>
      </c>
      <c r="AA33" s="69">
        <f>AVERAGE(Y33:Z33)</f>
        <v>253.08131208656695</v>
      </c>
      <c r="AB33" s="10"/>
      <c r="AC33"/>
      <c r="AD33"/>
    </row>
    <row r="34" spans="9:30" s="4" customFormat="1">
      <c r="I34" s="257"/>
      <c r="J34" s="62" t="s">
        <v>82</v>
      </c>
      <c r="K34" s="68">
        <f>K30+K33</f>
        <v>868239.71251644625</v>
      </c>
      <c r="L34" s="68">
        <f>L30+L33</f>
        <v>930518.02141688054</v>
      </c>
      <c r="M34" s="68">
        <f>AVERAGE(K34:L34)</f>
        <v>899378.86696666339</v>
      </c>
      <c r="P34" s="250"/>
      <c r="Q34" s="62" t="s">
        <v>179</v>
      </c>
      <c r="R34" s="69">
        <f>(R33-D8)/Real_world_TEU_carriage</f>
        <v>29.496982216719843</v>
      </c>
      <c r="S34" s="69">
        <f>(S33-E8)/Real_world_TEU_carriage</f>
        <v>42.169738843482989</v>
      </c>
      <c r="T34" s="69">
        <f>AVERAGE(R34:S34)</f>
        <v>35.833360530101416</v>
      </c>
      <c r="U34"/>
      <c r="W34" s="245"/>
      <c r="X34" s="62" t="s">
        <v>147</v>
      </c>
      <c r="Y34" s="70">
        <f>(TEU_freight_rate_2021+Y33-TEU_freight_rate_2021)/(TEU_freight_rate_2021)</f>
        <v>0.14152990170981508</v>
      </c>
      <c r="Z34" s="70">
        <f>(TEU_freight_rate_2021+Z33-TEU_freight_rate_2021)/(TEU_freight_rate_2021)</f>
        <v>0.50280359817960651</v>
      </c>
      <c r="AA34" s="70">
        <f>AVERAGE(Y34:Z34)</f>
        <v>0.32216674994471078</v>
      </c>
      <c r="AB34" s="10"/>
      <c r="AC34"/>
      <c r="AD34"/>
    </row>
    <row r="35" spans="9:30" s="4" customFormat="1" ht="17.100000000000001" customHeight="1" thickBot="1">
      <c r="I35" s="257"/>
      <c r="J35" s="62" t="s">
        <v>179</v>
      </c>
      <c r="K35" s="69">
        <f>(K34-D8)/Real_world_TEU_carriage</f>
        <v>0.83140819352621287</v>
      </c>
      <c r="L35" s="69">
        <f>(L34-E8)/Real_world_TEU_carriage</f>
        <v>-3.9421215119960809</v>
      </c>
      <c r="M35" s="69">
        <f>AVERAGE(K35:L35)</f>
        <v>-1.5553566592349339</v>
      </c>
      <c r="P35" s="251"/>
      <c r="Q35" s="62" t="s">
        <v>43</v>
      </c>
      <c r="R35" s="70">
        <f>(TEU_freight_rate_2021+R34-TEU_freight_rate_2021)/(TEU_freight_rate_2021)</f>
        <v>3.7548986985997068E-2</v>
      </c>
      <c r="S35" s="70">
        <f>(TEU_freight_rate_2021+S34-TEU_freight_rate_2021)/(TEU_freight_rate_2021)</f>
        <v>5.3681117729368795E-2</v>
      </c>
      <c r="T35" s="70">
        <f>AVERAGE(R35:S35)</f>
        <v>4.5615052357682928E-2</v>
      </c>
      <c r="U35"/>
      <c r="W35" s="129" t="s">
        <v>177</v>
      </c>
      <c r="X35" s="235" t="s">
        <v>176</v>
      </c>
      <c r="Y35" s="235"/>
      <c r="Z35" s="235"/>
      <c r="AA35" s="235"/>
      <c r="AB35" s="10"/>
    </row>
    <row r="36" spans="9:30" s="4" customFormat="1" ht="17.100000000000001" customHeight="1" thickTop="1">
      <c r="I36" s="257"/>
      <c r="J36" s="62" t="s">
        <v>43</v>
      </c>
      <c r="K36" s="70">
        <f>(TEU_freight_rate_2021+K35-TEU_freight_rate_2021)/(TEU_freight_rate_2021)</f>
        <v>1.0583637068157217E-3</v>
      </c>
      <c r="L36" s="70">
        <f>(TEU_freight_rate_2021+L35-TEU_freight_rate_2021)/(TEU_freight_rate_2021)</f>
        <v>-5.0182309588015003E-3</v>
      </c>
      <c r="M36" s="70">
        <f>AVERAGE(K36:L36)</f>
        <v>-1.9799336259928892E-3</v>
      </c>
      <c r="P36" s="196" t="s">
        <v>177</v>
      </c>
      <c r="Q36" s="240" t="s">
        <v>176</v>
      </c>
      <c r="R36" s="240"/>
      <c r="S36" s="240"/>
      <c r="T36" s="240"/>
      <c r="U36"/>
      <c r="W36" s="130">
        <v>1</v>
      </c>
      <c r="X36" s="125" t="s">
        <v>18</v>
      </c>
      <c r="Y36" s="64">
        <f>Y28</f>
        <v>1977002.6001154236</v>
      </c>
      <c r="Z36" s="64">
        <f>Z28</f>
        <v>4938831.774266039</v>
      </c>
      <c r="AA36" s="64">
        <f>AVERAGE(Y36:Z36)</f>
        <v>3457917.1871907311</v>
      </c>
      <c r="AB36" s="10"/>
    </row>
    <row r="37" spans="9:30" s="4" customFormat="1" ht="17.100000000000001" customHeight="1">
      <c r="I37" s="124" t="s">
        <v>177</v>
      </c>
      <c r="J37" s="266" t="s">
        <v>176</v>
      </c>
      <c r="K37" s="266"/>
      <c r="L37" s="266"/>
      <c r="M37" s="266"/>
      <c r="P37" s="197">
        <f>e_fuel_subquota</f>
        <v>0.06</v>
      </c>
      <c r="Q37" s="125" t="s">
        <v>18</v>
      </c>
      <c r="R37" s="64">
        <f>$P37*Price_e_NH3_min_GJ*fuel_consumption_per_journey_MJ/1000/2</f>
        <v>59310.078003462688</v>
      </c>
      <c r="S37" s="64">
        <f>$P37*Price_e_NH3_max_GJ*fuel_consumption_per_journey_MJ/1000/2</f>
        <v>148164.95322798114</v>
      </c>
      <c r="T37" s="64">
        <f>AVERAGE(R37:S37)</f>
        <v>103737.51561572192</v>
      </c>
      <c r="U37"/>
      <c r="W37" s="131"/>
      <c r="X37" s="125" t="s">
        <v>170</v>
      </c>
      <c r="Y37" s="64">
        <f>SUM(Y36)</f>
        <v>1977002.6001154236</v>
      </c>
      <c r="Z37" s="64">
        <f>SUM(Z36)</f>
        <v>4938831.774266039</v>
      </c>
      <c r="AA37" s="64">
        <f t="shared" ref="AA37" si="11">AVERAGE(Y37:Z37)</f>
        <v>3457917.1871907311</v>
      </c>
      <c r="AB37" s="10"/>
    </row>
    <row r="38" spans="9:30" s="4" customFormat="1" ht="17.100000000000001" customHeight="1">
      <c r="I38" s="126">
        <f>1-I39</f>
        <v>0.93230413605217533</v>
      </c>
      <c r="J38" s="125" t="s">
        <v>167</v>
      </c>
      <c r="K38" s="64">
        <f>$I38*Price_historical_LNG_min_GJ*fuel_consumption_per_journey_MJ/1000</f>
        <v>582413.58584107319</v>
      </c>
      <c r="L38" s="64">
        <f>$I38*Price_historical_LNG_max_GJ*fuel_consumption_per_journey_MJ/1000</f>
        <v>637228.98215552722</v>
      </c>
      <c r="M38" s="64">
        <f>AVERAGE(K38:L38)</f>
        <v>609821.2839983002</v>
      </c>
      <c r="P38" s="198">
        <f>R26</f>
        <v>0.1052880263475561</v>
      </c>
      <c r="Q38" s="125" t="s">
        <v>168</v>
      </c>
      <c r="R38" s="64">
        <f>$P38*Price_biodiesel_min_GJ*fuel_consumption_per_journey_MJ/1000/2</f>
        <v>76220.216104976775</v>
      </c>
      <c r="S38" s="64">
        <f>$P38*Price_biodiesel_max_GJ*fuel_consumption_per_journey_MJ/1000/2</f>
        <v>123809.48808930237</v>
      </c>
      <c r="T38" s="64">
        <f t="shared" ref="T38:T41" si="12">AVERAGE(R38:S38)</f>
        <v>100014.85209713958</v>
      </c>
      <c r="U38"/>
      <c r="AB38" s="8"/>
    </row>
    <row r="39" spans="9:30" s="4" customFormat="1" ht="17.100000000000001" customHeight="1">
      <c r="I39" s="127">
        <f>K27</f>
        <v>6.7695863947824647E-2</v>
      </c>
      <c r="J39" s="125" t="s">
        <v>9</v>
      </c>
      <c r="K39" s="64">
        <f>$I39*Price_VLSFO_Min_GJ*fuel_consumption_per_journey_MJ/1000</f>
        <v>58210.718170644541</v>
      </c>
      <c r="L39" s="64">
        <f>$I39*Price_VLSFO_Max_GJ*fuel_consumption_per_journey_MJ/1000</f>
        <v>65673.630756624611</v>
      </c>
      <c r="M39" s="64">
        <f t="shared" ref="M39:M40" si="13">AVERAGE(K39:L39)</f>
        <v>61942.174463634576</v>
      </c>
      <c r="P39" s="198">
        <f>1-P37-P38</f>
        <v>0.83471197365244387</v>
      </c>
      <c r="Q39" s="125" t="s">
        <v>172</v>
      </c>
      <c r="R39" s="64">
        <f>$P39*Price_VLSFO_Min_GJ*fuel_consumption_per_journey_MJ/1000/2</f>
        <v>358878.52387402958</v>
      </c>
      <c r="S39" s="64">
        <f>$P39*Price_VLSFO_Max_GJ*fuel_consumption_per_journey_MJ/1000/2</f>
        <v>404888.59103736671</v>
      </c>
      <c r="T39" s="64">
        <f t="shared" si="12"/>
        <v>381883.55745569814</v>
      </c>
      <c r="U39"/>
      <c r="AB39" s="8"/>
    </row>
    <row r="40" spans="9:30" s="4" customFormat="1" ht="17.100000000000001" customHeight="1">
      <c r="I40" s="128"/>
      <c r="J40" s="125" t="s">
        <v>170</v>
      </c>
      <c r="K40" s="64">
        <f>K38+K39</f>
        <v>640624.30401171767</v>
      </c>
      <c r="L40" s="64">
        <f>L38+L39</f>
        <v>702902.61291215185</v>
      </c>
      <c r="M40" s="64">
        <f t="shared" si="13"/>
        <v>671763.4584619347</v>
      </c>
      <c r="P40" s="198">
        <v>1</v>
      </c>
      <c r="Q40" s="125" t="s">
        <v>173</v>
      </c>
      <c r="R40" s="64">
        <f>$P40*Price_VLSFO_Min_GJ*fuel_consumption_per_journey_MJ/1000/2</f>
        <v>429942.94463476673</v>
      </c>
      <c r="S40" s="64">
        <f>$P40*Price_VLSFO_Max_GJ*fuel_consumption_per_journey_MJ/1000/2</f>
        <v>485063.83497255732</v>
      </c>
      <c r="T40" s="64">
        <f t="shared" si="12"/>
        <v>457503.38980366202</v>
      </c>
      <c r="U40" s="122"/>
      <c r="AB40" s="8"/>
    </row>
    <row r="41" spans="9:30" s="4" customFormat="1" ht="17.100000000000001" customHeight="1">
      <c r="P41" s="199"/>
      <c r="Q41" s="125" t="s">
        <v>170</v>
      </c>
      <c r="R41" s="64">
        <f>SUM(R37:R40)</f>
        <v>924351.76261723577</v>
      </c>
      <c r="S41" s="64">
        <f>SUM(S37:S40)</f>
        <v>1161926.8673272075</v>
      </c>
      <c r="T41" s="64">
        <f t="shared" si="12"/>
        <v>1043139.3149722216</v>
      </c>
      <c r="U41"/>
      <c r="AB41" s="8"/>
    </row>
    <row r="42" spans="9:30" s="4" customFormat="1" ht="17.100000000000001" customHeight="1">
      <c r="P42" s="102"/>
      <c r="U42"/>
      <c r="AB42" s="8"/>
    </row>
    <row r="43" spans="9:30" s="4" customFormat="1" ht="17.100000000000001" customHeight="1">
      <c r="O43"/>
      <c r="P43" s="102"/>
      <c r="U43"/>
      <c r="V43"/>
      <c r="AB43" s="9"/>
    </row>
    <row r="44" spans="9:30" s="4" customFormat="1" ht="17.100000000000001" customHeight="1">
      <c r="O44"/>
      <c r="P44" s="102"/>
      <c r="U44"/>
      <c r="V44"/>
      <c r="AB44" s="9"/>
    </row>
    <row r="45" spans="9:30" s="4" customFormat="1" ht="17.100000000000001" customHeight="1" thickBot="1">
      <c r="O45"/>
      <c r="P45" s="102"/>
      <c r="U45"/>
      <c r="V45"/>
      <c r="AB45" s="9"/>
    </row>
    <row r="46" spans="9:30" s="4" customFormat="1" ht="17.100000000000001" customHeight="1" thickTop="1">
      <c r="I46" s="256" t="str">
        <f>TEXT(1-K47,"0.0%")&amp;" Fossil LNG (DF HP 2 stroke) (post-COVID prices) - "&amp;TEXT(K47,"0.0%")&amp;" pilot VLSFO (energy shares)"</f>
        <v>93.2% Fossil LNG (DF HP 2 stroke) (post-COVID prices) - 6.8% pilot VLSFO (energy shares)</v>
      </c>
      <c r="J46" s="62" t="s">
        <v>134</v>
      </c>
      <c r="K46" s="97">
        <v>0.08</v>
      </c>
      <c r="L46" s="97">
        <v>0.08</v>
      </c>
      <c r="M46" s="63"/>
      <c r="O46"/>
      <c r="P46" s="252" t="str">
        <f>"Fuel covered by FuelEU/ETS: "&amp;CONCATENATE(TEXT('FF55 policy levers &amp; vessel'!B7,"0%")," e-LNG | ",TEXT((1-'FF55 policy levers &amp; vessel'!B7-R46-R47),"0.0%")," fossil LNG (historical prices) | ",TEXT(R46,"0.0%")," Biodiesel (pilot)| ",TEXT(R47,"0.0%")," VLSFO (pilot)")</f>
        <v>Fuel covered by FuelEU/ETS: 6% e-LNG | 87.2% fossil LNG (historical prices) | 0.0% Biodiesel (pilot)| 6.8% VLSFO (pilot)</v>
      </c>
      <c r="Q46" s="62" t="s">
        <v>84</v>
      </c>
      <c r="R46" s="72">
        <f>MIN(1-e_fuel_subquota,MAX(0,(baseline_GHG_intensity*(1-Regulatory_target)-e_fuel_subquota*'WtW CO2e factors'!$E$12+e_fuel_subquota*'WtW CO2e factors'!$E$7-'WtW CO2e factors'!$E$7)/('WtW CO2e factors'!$E$8-'WtW CO2e factors'!$E$7),(baseline_GHG_intensity*(1-Regulatory_target)-e_fuel_subquota*'WtW CO2e factors'!$E$12-(1-K27-e_fuel_subquota)*'WtW CO2e factors'!$E$7-K27*'WtW CO2e factors'!$E$3)/('WtW CO2e factors'!$E$8-'WtW CO2e factors'!$E$3)))</f>
        <v>0</v>
      </c>
      <c r="S46" s="72">
        <f>MIN(1-e_fuel_subquota,MAX(0,(baseline_GHG_intensity*(1-Regulatory_target)-e_fuel_subquota*'WtW CO2e factors'!$E$12+e_fuel_subquota*'WtW CO2e factors'!$E$7-'WtW CO2e factors'!$E$7)/('WtW CO2e factors'!$E$8-'WtW CO2e factors'!$E$7),(baseline_GHG_intensity*(1-Regulatory_target)-e_fuel_subquota*'WtW CO2e factors'!$E$12-(1-L27-e_fuel_subquota)*'WtW CO2e factors'!$E$7-L27*'WtW CO2e factors'!$E$3)/('WtW CO2e factors'!$E$8-'WtW CO2e factors'!$E$3)))</f>
        <v>0</v>
      </c>
      <c r="T46" s="73"/>
      <c r="U46"/>
      <c r="V46"/>
      <c r="W46" s="247" t="str">
        <f>TEXT(1-K47,"0.0%")&amp;" e-LNG (DF HP 2 stroke) - "&amp;TEXT(K47,"0.0%")&amp;" pilot biodiesel (energy shares)"</f>
        <v>93.2% e-LNG (DF HP 2 stroke) - 6.8% pilot biodiesel (energy shares)</v>
      </c>
      <c r="X46" s="62" t="s">
        <v>135</v>
      </c>
      <c r="Y46" s="98">
        <f>K47</f>
        <v>6.7695863947824647E-2</v>
      </c>
      <c r="Z46" s="98">
        <f>L47</f>
        <v>6.7695863947824647E-2</v>
      </c>
      <c r="AA46" s="63"/>
      <c r="AB46" s="9"/>
    </row>
    <row r="47" spans="9:30" s="4" customFormat="1" ht="17.100000000000001" customHeight="1">
      <c r="I47" s="257"/>
      <c r="J47" s="62" t="s">
        <v>135</v>
      </c>
      <c r="K47" s="98">
        <f>K46*LCV_VLSFO/(K46*LCV_VLSFO+(1-K46)*LCV_LNG)</f>
        <v>6.7695863947824647E-2</v>
      </c>
      <c r="L47" s="98">
        <f>L46*LCV_VLSFO/(L46*LCV_VLSFO+(1-L46)*LCV_LNG)</f>
        <v>6.7695863947824647E-2</v>
      </c>
      <c r="M47" s="63"/>
      <c r="P47" s="253"/>
      <c r="Q47" s="62" t="s">
        <v>83</v>
      </c>
      <c r="R47" s="99">
        <f>MAX(0,K27-R46)</f>
        <v>6.7695863947824647E-2</v>
      </c>
      <c r="S47" s="99">
        <f>MAX(0,L27-S46)</f>
        <v>6.7695863947824647E-2</v>
      </c>
      <c r="T47" s="73"/>
      <c r="U47"/>
      <c r="W47" s="247"/>
      <c r="X47" s="62" t="s">
        <v>134</v>
      </c>
      <c r="Y47" s="98">
        <f>Y46/LCV_Biodiesel_WCO/(Y46/LCV_Biodiesel_WCO+(1-Y46)/LCV_e_LNG)</f>
        <v>8.7457337883959041E-2</v>
      </c>
      <c r="Z47" s="98">
        <f>Z46/LCV_Biodiesel_WCO/(Z46/LCV_Biodiesel_WCO+(1-Z46)/LCV_e_LNG)</f>
        <v>8.7457337883959041E-2</v>
      </c>
      <c r="AA47" s="63"/>
      <c r="AC47"/>
      <c r="AD47"/>
    </row>
    <row r="48" spans="9:30" s="4" customFormat="1" ht="17.100000000000001" customHeight="1">
      <c r="I48" s="257"/>
      <c r="J48" s="62" t="s">
        <v>41</v>
      </c>
      <c r="K48" s="63">
        <f>Price_post_covid_LNG_min*(1-K46)+Price_VLSFO_Min*K46</f>
        <v>340.8904</v>
      </c>
      <c r="L48" s="63">
        <f>Price_post_covid_LNG_max*(1-L46)+Price_VLSFO_Max*L46</f>
        <v>1515.8848</v>
      </c>
      <c r="M48" s="63">
        <f>AVERAGE(K48:L48)</f>
        <v>928.38760000000002</v>
      </c>
      <c r="P48" s="253"/>
      <c r="Q48" s="62" t="s">
        <v>144</v>
      </c>
      <c r="R48" s="73">
        <f>(Price_historical_LNG_min*LCV_VLSFO/LCV_LNG*(1-(R46+R47+e_fuel_subquota)))+(Price_e_LNG_min*e_fuel_subquota*LCV_VLSFO/LCV_e_LNG)+(Price_biodiesel_min*R46*LCV_VLSFO/LCV_Biodiesel_WCO)+Price_VLSFO_Min*R47</f>
        <v>418.56681734995465</v>
      </c>
      <c r="S48" s="73">
        <f>(Price_historical_LNG_max*LCV_VLSFO/LCV_LNG*(1-(S46+S47+e_fuel_subquota)))+(Price_e_LNG_max*e_fuel_subquota*LCV_VLSFO/LCV_e_LNG)+(Price_biodiesel_max*S46*LCV_VLSFO/LCV_Biodiesel_WCO)+Price_VLSFO_Max*S47</f>
        <v>566.93216864525721</v>
      </c>
      <c r="T48" s="73">
        <f>AVERAGE(R48:S48)</f>
        <v>492.7494929976059</v>
      </c>
      <c r="U48"/>
      <c r="W48" s="247"/>
      <c r="X48" s="62" t="s">
        <v>41</v>
      </c>
      <c r="Y48" s="73">
        <f>Price_e_LNG_min*(1-Y47)+Price_biodiesel_min*Y47</f>
        <v>1559.3528851535837</v>
      </c>
      <c r="Z48" s="73">
        <f>Price_e_LNG_max*(1-Z47)+Price_biodiesel_max*Z47</f>
        <v>3704.7068959044368</v>
      </c>
      <c r="AA48" s="73">
        <f>AVERAGE(Y48:Z48)</f>
        <v>2632.0298905290101</v>
      </c>
    </row>
    <row r="49" spans="9:39" s="4" customFormat="1" ht="17.100000000000001" customHeight="1">
      <c r="I49" s="257"/>
      <c r="J49" s="62" t="s">
        <v>42</v>
      </c>
      <c r="K49" s="63">
        <f>K48*LCV_VLSFO/(LCV_VLSFO*K46+LCV_LNG*(1-K46))</f>
        <v>288.46087674399405</v>
      </c>
      <c r="L49" s="63">
        <f>L48*LCV_VLSFO/(LCV_VLSFO*L46+LCV_LNG*(1-L46))</f>
        <v>1282.7391397671922</v>
      </c>
      <c r="M49" s="63">
        <f>AVERAGE(K49:L49)</f>
        <v>785.60000825559314</v>
      </c>
      <c r="P49" s="253"/>
      <c r="Q49" s="62" t="s">
        <v>77</v>
      </c>
      <c r="R49" s="65">
        <f>WtW_LNG_DFHP_2_stroke_gCO2perMJ*(1-(e_fuel_subquota+R46+R47))+WtW_e_LNG_DFHP_2_stroke_gCO2perMJ*e_fuel_subquota+WtW_biodiesel_WCO_gCO2perMJ*R$46+WtW_VLSFO_gCO2perMJ*R$47</f>
        <v>74.719979212416419</v>
      </c>
      <c r="S49" s="65">
        <f>WtW_LNG_DFHP_2_stroke_gCO2perMJ*(1-(e_fuel_subquota+S46+S47))+WtW_e_LNG_DFHP_2_stroke_gCO2perMJ*e_fuel_subquota+WtW_biodiesel_WCO_gCO2perMJ*S$46+WtW_VLSFO_gCO2perMJ*S$47</f>
        <v>74.719979212416419</v>
      </c>
      <c r="T49" s="71" t="str">
        <f>IF(R49&gt;(1-Regulatory_target)*baseline_GHG_intensity,"non-compliant","compliant")</f>
        <v>compliant</v>
      </c>
      <c r="U49"/>
      <c r="W49" s="247"/>
      <c r="X49" s="62" t="s">
        <v>42</v>
      </c>
      <c r="Y49" s="63">
        <f>Y48*LCV_VLSFO/(LCV_Biodiesel_WCO*Y47+LCV_e_LNG*(1-Y47))</f>
        <v>1330.3049480723189</v>
      </c>
      <c r="Z49" s="63">
        <f>Z48*LCV_VLSFO/(LCV_Biodiesel_WCO*Z47+LCV_e_LNG*(1-Z47))</f>
        <v>3160.5353487988109</v>
      </c>
      <c r="AA49" s="73">
        <f>AVERAGE(Y49:Z49)</f>
        <v>2245.4201484355649</v>
      </c>
    </row>
    <row r="50" spans="9:39" s="4" customFormat="1" ht="17.100000000000001" customHeight="1" thickBot="1">
      <c r="I50" s="257"/>
      <c r="J50" s="62" t="s">
        <v>81</v>
      </c>
      <c r="K50" s="64">
        <f>K49*fuel_consumption_per_journey_tVLSFO</f>
        <v>517080.33670727257</v>
      </c>
      <c r="L50" s="64">
        <f>L49*fuel_consumption_per_journey_tVLSFO</f>
        <v>2299373.1204910334</v>
      </c>
      <c r="M50" s="64">
        <f t="shared" ref="M50" si="14">AVERAGE(K50:L50)</f>
        <v>1408226.728599153</v>
      </c>
      <c r="P50" s="254"/>
      <c r="Q50" s="62" t="s">
        <v>139</v>
      </c>
      <c r="R50" s="66">
        <f>R49*fuel_consumption_per_journey_MJ/2/1000000</f>
        <v>2745.7545201397329</v>
      </c>
      <c r="S50" s="66">
        <f>S49*fuel_consumption_per_journey_MJ/2/1000000</f>
        <v>2745.7545201397329</v>
      </c>
      <c r="T50" s="66"/>
      <c r="U50"/>
      <c r="W50" s="247"/>
      <c r="X50" s="62" t="s">
        <v>39</v>
      </c>
      <c r="Y50" s="64">
        <f>Y49*fuel_consumption_per_journey_tVLSFO</f>
        <v>2384637.1758866515</v>
      </c>
      <c r="Z50" s="64">
        <f>Z49*fuel_consumption_per_journey_tVLSFO</f>
        <v>5665415.3616211405</v>
      </c>
      <c r="AA50" s="64">
        <f>AVERAGE(Y50:Z50)</f>
        <v>4025026.268753896</v>
      </c>
    </row>
    <row r="51" spans="9:39" s="4" customFormat="1" ht="68.099999999999994" customHeight="1" thickTop="1" thickBot="1">
      <c r="I51" s="257"/>
      <c r="J51" s="105" t="s">
        <v>77</v>
      </c>
      <c r="K51" s="65">
        <f>K47*WtW_VLSFO_gCO2perMJ+(1-K47)*WtW_LNG_DFHP_2_stroke_gCO2perMJ</f>
        <v>77.425979212416408</v>
      </c>
      <c r="L51" s="65">
        <f>L47*WtW_VLSFO_gCO2perMJ+(1-L47)*WtW_LNG_DFHP_2_stroke_gCO2perMJ</f>
        <v>77.425979212416408</v>
      </c>
      <c r="M51" s="71" t="str">
        <f>IF(K51&gt;(1-Regulatory_target)*baseline_GHG_intensity,"non-compliant","compliant")</f>
        <v>compliant</v>
      </c>
      <c r="P51" s="101" t="str">
        <f>"Fuel not covered by FuelEU/ETS: "&amp;I26</f>
        <v>Fuel not covered by FuelEU/ETS: 93.2% Fossil LNG (DF HP 2 stroke) (historical prices) - 6.8% pilot VLSFO (energy shares)</v>
      </c>
      <c r="Q51" s="105" t="s">
        <v>138</v>
      </c>
      <c r="R51" s="63">
        <f>K29</f>
        <v>357.38169734995455</v>
      </c>
      <c r="S51" s="63">
        <f>L29</f>
        <v>392.12456864525723</v>
      </c>
      <c r="T51" s="73">
        <f>AVERAGE(R51:S51)</f>
        <v>374.75313299760592</v>
      </c>
      <c r="U51"/>
      <c r="W51" s="247"/>
      <c r="X51" s="62" t="s">
        <v>77</v>
      </c>
      <c r="Y51" s="65">
        <f>K47*WtW_biodiesel_WCO_gCO2perMJ+(1-K47)*WtW_e_LNG_DFHP_2_stroke_gCO2perMJ</f>
        <v>30.117063171798886</v>
      </c>
      <c r="Z51" s="65">
        <f>L47*WtW_biodiesel_WCO_gCO2perMJ+(1-L47)*WtW_e_LNG_DFHP_2_stroke_gCO2perMJ</f>
        <v>30.117063171798886</v>
      </c>
      <c r="AA51" s="71" t="str">
        <f>IF(Y51&gt;(1-Regulatory_target)*baseline_GHG_intensity,"non-compliant","compliant")</f>
        <v>compliant</v>
      </c>
    </row>
    <row r="52" spans="9:39" s="4" customFormat="1" ht="62.1" customHeight="1" thickTop="1">
      <c r="I52" s="257"/>
      <c r="J52" s="62" t="s">
        <v>45</v>
      </c>
      <c r="K52" s="104">
        <f>K51*fuel_consumption_per_journey_MJ/1000000</f>
        <v>5690.3852126182137</v>
      </c>
      <c r="L52" s="104">
        <f>L51*fuel_consumption_per_journey_MJ/1000000</f>
        <v>5690.3852126182137</v>
      </c>
      <c r="M52" s="66"/>
      <c r="P52" s="260" t="s">
        <v>136</v>
      </c>
      <c r="Q52" s="62" t="s">
        <v>141</v>
      </c>
      <c r="R52" s="64">
        <f>(R48*fuel_consumption_per_journey_tVLSFO/2)+(R51*fuel_consumption_per_journey_tVLSFO/2)</f>
        <v>695462.97539097886</v>
      </c>
      <c r="S52" s="64">
        <f>(S48*fuel_consumption_per_journey_tVLSFO/2)+(S51*fuel_consumption_per_journey_tVLSFO/2)</f>
        <v>859578.2316082879</v>
      </c>
      <c r="T52" s="64">
        <f t="shared" ref="T52" si="15">AVERAGE(R52:S52)</f>
        <v>777520.60349963338</v>
      </c>
      <c r="U52"/>
      <c r="W52" s="247"/>
      <c r="X52" s="62" t="s">
        <v>45</v>
      </c>
      <c r="Y52" s="104">
        <f>Y51*fuel_consumption_per_journey_MJ/1000000</f>
        <v>2213.4391151853847</v>
      </c>
      <c r="Z52" s="104">
        <f>Z51*fuel_consumption_per_journey_MJ/1000000</f>
        <v>2213.4391151853847</v>
      </c>
      <c r="AA52" s="73"/>
    </row>
    <row r="53" spans="9:39" s="4" customFormat="1">
      <c r="I53" s="257"/>
      <c r="J53" s="62" t="s">
        <v>47</v>
      </c>
      <c r="K53" s="64">
        <f>K52/2*ETS_Price</f>
        <v>227615.40850472855</v>
      </c>
      <c r="L53" s="64">
        <f>L52/2*ETS_Price</f>
        <v>227615.40850472855</v>
      </c>
      <c r="M53" s="66">
        <f t="shared" ref="M53:M56" si="16">AVERAGE(K53:L53)</f>
        <v>227615.40850472855</v>
      </c>
      <c r="P53" s="261"/>
      <c r="Q53" s="62" t="s">
        <v>142</v>
      </c>
      <c r="R53" s="64">
        <f>R50*ETS_Price</f>
        <v>219660.36161117864</v>
      </c>
      <c r="S53" s="64">
        <f>S50*ETS_Price</f>
        <v>219660.36161117864</v>
      </c>
      <c r="T53" s="64">
        <f>AVERAGE(R53:S53)</f>
        <v>219660.36161117864</v>
      </c>
      <c r="U53"/>
      <c r="W53" s="247"/>
      <c r="X53" s="105" t="s">
        <v>47</v>
      </c>
      <c r="Y53" s="64">
        <f>Y52/2*ETS_Price</f>
        <v>88537.564607415392</v>
      </c>
      <c r="Z53" s="64">
        <f>Z52/2*ETS_Price</f>
        <v>88537.564607415392</v>
      </c>
      <c r="AA53" s="64">
        <f>AVERAGE(Y53:Z53)</f>
        <v>88537.564607415392</v>
      </c>
    </row>
    <row r="54" spans="9:39" s="4" customFormat="1" ht="17.100000000000001" customHeight="1">
      <c r="I54" s="257"/>
      <c r="J54" s="62" t="s">
        <v>82</v>
      </c>
      <c r="K54" s="68">
        <f>K50+K53</f>
        <v>744695.74521200114</v>
      </c>
      <c r="L54" s="68">
        <f>L50+L53</f>
        <v>2526988.5289957621</v>
      </c>
      <c r="M54" s="68">
        <f t="shared" si="16"/>
        <v>1635842.1371038817</v>
      </c>
      <c r="P54" s="261"/>
      <c r="Q54" s="62" t="s">
        <v>143</v>
      </c>
      <c r="R54" s="68">
        <f>R52+R53</f>
        <v>915123.33700215747</v>
      </c>
      <c r="S54" s="68">
        <f>S52+S53</f>
        <v>1079238.5932194665</v>
      </c>
      <c r="T54" s="68">
        <f>AVERAGE(R54:S54)</f>
        <v>997180.96511081199</v>
      </c>
      <c r="U54"/>
      <c r="W54" s="247"/>
      <c r="X54" s="62" t="s">
        <v>82</v>
      </c>
      <c r="Y54" s="68">
        <f>Y50+Y53</f>
        <v>2473174.7404940668</v>
      </c>
      <c r="Z54" s="68">
        <f>Z50+Z53</f>
        <v>5753952.9262285559</v>
      </c>
      <c r="AA54" s="68">
        <f>AVERAGE(Y54:Z54)</f>
        <v>4113563.8333613114</v>
      </c>
    </row>
    <row r="55" spans="9:39" s="4" customFormat="1" ht="17.100000000000001" customHeight="1">
      <c r="I55" s="257"/>
      <c r="J55" s="62" t="s">
        <v>179</v>
      </c>
      <c r="K55" s="69">
        <f>(K54-D8)/Real_world_TEU_carriage</f>
        <v>-11.464215455874164</v>
      </c>
      <c r="L55" s="69">
        <f>(L54-E8)/Real_world_TEU_carriage</f>
        <v>154.94544666998223</v>
      </c>
      <c r="M55" s="69">
        <f t="shared" si="16"/>
        <v>71.740615607054039</v>
      </c>
      <c r="P55" s="261"/>
      <c r="Q55" s="62" t="s">
        <v>179</v>
      </c>
      <c r="R55" s="69">
        <f>(R54-D8)/Real_world_TEU_carriage</f>
        <v>5.4974668815684931</v>
      </c>
      <c r="S55" s="69">
        <f>(S54-E8)/Real_world_TEU_carriage</f>
        <v>10.859185421122211</v>
      </c>
      <c r="T55" s="69">
        <f>AVERAGE(R55:S55)</f>
        <v>8.1783261513453525</v>
      </c>
      <c r="U55"/>
      <c r="W55" s="247"/>
      <c r="X55" s="62" t="s">
        <v>179</v>
      </c>
      <c r="Y55" s="69">
        <f>(Y54-D8)/Real_world_TEU_carriage</f>
        <v>160.56140162269685</v>
      </c>
      <c r="Z55" s="69">
        <f>(Z54-E8)/Real_world_TEU_carriage</f>
        <v>476.10673543297457</v>
      </c>
      <c r="AA55" s="69">
        <f>AVERAGE(Y55:Z55)</f>
        <v>318.33406852783571</v>
      </c>
    </row>
    <row r="56" spans="9:39" s="4" customFormat="1" ht="17.100000000000001" customHeight="1" thickBot="1">
      <c r="I56" s="257"/>
      <c r="J56" s="62" t="s">
        <v>43</v>
      </c>
      <c r="K56" s="70">
        <f>(TEU_freight_rate_2021+K55-TEU_freight_rate_2021)/(TEU_freight_rate_2021)</f>
        <v>-1.4593685340233952E-2</v>
      </c>
      <c r="L56" s="70">
        <f>(TEU_freight_rate_2021+L55-TEU_freight_rate_2021)/(TEU_freight_rate_2021)</f>
        <v>0.19724202692344592</v>
      </c>
      <c r="M56" s="70">
        <f t="shared" si="16"/>
        <v>9.1324170791605985E-2</v>
      </c>
      <c r="P56" s="262"/>
      <c r="Q56" s="62" t="s">
        <v>43</v>
      </c>
      <c r="R56" s="70">
        <f>(TEU_freight_rate_2021+R55-TEU_freight_rate_2021)/(TEU_freight_rate_2021)</f>
        <v>6.9981502133108497E-3</v>
      </c>
      <c r="S56" s="70">
        <f>(TEU_freight_rate_2021+S55-TEU_freight_rate_2021)/(TEU_freight_rate_2021)</f>
        <v>1.3823495876982306E-2</v>
      </c>
      <c r="T56" s="70">
        <f>AVERAGE(R56:S56)</f>
        <v>1.0410823045146577E-2</v>
      </c>
      <c r="U56"/>
      <c r="W56" s="248"/>
      <c r="X56" s="62" t="s">
        <v>147</v>
      </c>
      <c r="Y56" s="70">
        <f>(TEU_freight_rate_2021+Y55-TEU_freight_rate_2021)/(TEU_freight_rate_2021)</f>
        <v>0.20439100975443869</v>
      </c>
      <c r="Z56" s="70">
        <f>(TEU_freight_rate_2021+Z55-TEU_freight_rate_2021)/(TEU_freight_rate_2021)</f>
        <v>0.60607303762026399</v>
      </c>
      <c r="AA56" s="70">
        <f>AVERAGE(Y56:Z56)</f>
        <v>0.40523202368735134</v>
      </c>
      <c r="AB56" s="8"/>
    </row>
    <row r="57" spans="9:39" s="4" customFormat="1" ht="16.5" thickTop="1">
      <c r="I57" s="124" t="s">
        <v>177</v>
      </c>
      <c r="J57" s="266" t="s">
        <v>176</v>
      </c>
      <c r="K57" s="266"/>
      <c r="L57" s="266"/>
      <c r="M57" s="266"/>
      <c r="P57" s="200" t="s">
        <v>177</v>
      </c>
      <c r="Q57" s="241" t="s">
        <v>176</v>
      </c>
      <c r="R57" s="241"/>
      <c r="S57" s="241"/>
      <c r="T57" s="241"/>
      <c r="U57"/>
      <c r="W57" s="132" t="s">
        <v>177</v>
      </c>
      <c r="X57" s="236" t="s">
        <v>176</v>
      </c>
      <c r="Y57" s="236"/>
      <c r="Z57" s="236"/>
      <c r="AA57" s="236"/>
      <c r="AB57" s="8"/>
      <c r="AK57" s="13"/>
      <c r="AM57" s="15"/>
    </row>
    <row r="58" spans="9:39">
      <c r="I58" s="126">
        <f>1-I59</f>
        <v>0.93230413605217533</v>
      </c>
      <c r="J58" s="125" t="s">
        <v>167</v>
      </c>
      <c r="K58" s="64">
        <f>$I58*Price_post_covid_LNG_min_GJ*fuel_consumption_per_journey_MJ/1000</f>
        <v>458869.61853662797</v>
      </c>
      <c r="L58" s="64">
        <f>$I58*Price_post_covid_LNG_max_GJ*fuel_consumption_per_journey_MJ/1000</f>
        <v>2233699.489734408</v>
      </c>
      <c r="M58" s="64">
        <f>AVERAGE(K58:L58)</f>
        <v>1346284.5541355179</v>
      </c>
      <c r="P58" s="201">
        <f>e_fuel_subquota</f>
        <v>0.06</v>
      </c>
      <c r="Q58" s="125" t="s">
        <v>11</v>
      </c>
      <c r="R58" s="64">
        <f>$P58*Price_e_LNG_min_GJ*fuel_consumption_per_journey_MJ/1000/2</f>
        <v>73579.774094109933</v>
      </c>
      <c r="S58" s="64">
        <f>$P58*Price_e_LNG_max_GJ*fuel_consumption_per_journey_MJ/1000/2</f>
        <v>177180.58990179413</v>
      </c>
      <c r="T58" s="64">
        <f>AVERAGE(R58:S58)</f>
        <v>125380.18199795202</v>
      </c>
      <c r="W58" s="133">
        <f>1-Y46</f>
        <v>0.93230413605217533</v>
      </c>
      <c r="X58" s="125" t="s">
        <v>11</v>
      </c>
      <c r="Y58" s="64">
        <f>$W58*Price_e_LNG_min_GJ*fuel_consumption_per_journey_MJ/1000</f>
        <v>2286624.2572574462</v>
      </c>
      <c r="Z58" s="64">
        <f>W58*Price_e_LNG_max_GJ*fuel_consumption_per_journey_MJ/1000</f>
        <v>5506206.559786899</v>
      </c>
      <c r="AA58" s="64">
        <f>AVERAGE(Y58:Z58)</f>
        <v>3896415.4085221728</v>
      </c>
    </row>
    <row r="59" spans="9:39" s="4" customFormat="1" ht="17.100000000000001" customHeight="1">
      <c r="I59" s="127">
        <f>K47</f>
        <v>6.7695863947824647E-2</v>
      </c>
      <c r="J59" s="125" t="s">
        <v>9</v>
      </c>
      <c r="K59" s="64">
        <f>$I59*Price_VLSFO_Min_GJ*fuel_consumption_per_journey_MJ/1000</f>
        <v>58210.718170644541</v>
      </c>
      <c r="L59" s="64">
        <f>$I59*Price_VLSFO_Max_GJ*fuel_consumption_per_journey_MJ/1000</f>
        <v>65673.630756624611</v>
      </c>
      <c r="M59" s="64">
        <f t="shared" ref="M59:M60" si="17">AVERAGE(K59:L59)</f>
        <v>61942.174463634576</v>
      </c>
      <c r="O59"/>
      <c r="P59" s="202">
        <f>R46</f>
        <v>0</v>
      </c>
      <c r="Q59" s="125" t="s">
        <v>168</v>
      </c>
      <c r="R59" s="64">
        <f>$P59*Price_biodiesel_min_GJ*fuel_consumption_per_journey_MJ/1000/2</f>
        <v>0</v>
      </c>
      <c r="S59" s="64">
        <f>$P59*Price_biodiesel_max_GJ*fuel_consumption_per_journey_MJ/1000/2</f>
        <v>0</v>
      </c>
      <c r="T59" s="64">
        <f t="shared" ref="T59:T64" si="18">AVERAGE(R59:S59)</f>
        <v>0</v>
      </c>
      <c r="U59"/>
      <c r="W59" s="134">
        <f>Y46</f>
        <v>6.7695863947824647E-2</v>
      </c>
      <c r="X59" s="125" t="s">
        <v>168</v>
      </c>
      <c r="Y59" s="64">
        <f>W59*Price_biodiesel_min_GJ*fuel_consumption_per_journey_MJ/1000</f>
        <v>98012.918629204913</v>
      </c>
      <c r="Z59" s="64">
        <f>W59*Price_biodiesel_max_GJ*fuel_consumption_per_journey_MJ/1000</f>
        <v>159208.80183424152</v>
      </c>
      <c r="AA59" s="64">
        <f>AVERAGE(Y59:Z59)</f>
        <v>128610.86023172321</v>
      </c>
      <c r="AB59" s="9"/>
      <c r="AJ59" s="18"/>
      <c r="AK59" s="18"/>
      <c r="AL59" s="18"/>
    </row>
    <row r="60" spans="9:39" s="4" customFormat="1" ht="17.100000000000001" customHeight="1">
      <c r="I60" s="128"/>
      <c r="J60" s="125" t="s">
        <v>170</v>
      </c>
      <c r="K60" s="64">
        <f>K58+K59</f>
        <v>517080.33670727251</v>
      </c>
      <c r="L60" s="64">
        <f>L58+L59</f>
        <v>2299373.1204910325</v>
      </c>
      <c r="M60" s="64">
        <f t="shared" si="17"/>
        <v>1408226.7285991525</v>
      </c>
      <c r="O60"/>
      <c r="P60" s="202">
        <f>R47</f>
        <v>6.7695863947824647E-2</v>
      </c>
      <c r="Q60" s="125" t="s">
        <v>172</v>
      </c>
      <c r="R60" s="64">
        <f>$P60*Price_VLSFO_Min_GJ*fuel_consumption_per_journey_MJ/1000/2</f>
        <v>29105.35908532227</v>
      </c>
      <c r="S60" s="64">
        <f>$P60*Price_VLSFO_Max_GJ*fuel_consumption_per_journey_MJ/1000/2</f>
        <v>32836.815378312305</v>
      </c>
      <c r="T60" s="64">
        <f t="shared" si="18"/>
        <v>30971.087231817288</v>
      </c>
      <c r="U60"/>
      <c r="W60" s="134"/>
      <c r="X60" s="125" t="s">
        <v>170</v>
      </c>
      <c r="Y60" s="64">
        <f>SUM(Y58:Y59)</f>
        <v>2384637.175886651</v>
      </c>
      <c r="Z60" s="64">
        <f>SUM(Z58:Z59)</f>
        <v>5665415.3616211405</v>
      </c>
      <c r="AA60" s="64">
        <f>AVERAGE(Y60:Z60)</f>
        <v>4025026.2687538955</v>
      </c>
      <c r="AB60" s="9"/>
      <c r="AJ60" s="18"/>
      <c r="AK60" s="18"/>
      <c r="AL60" s="18"/>
    </row>
    <row r="61" spans="9:39" s="4" customFormat="1" ht="17.100000000000001" customHeight="1">
      <c r="O61"/>
      <c r="P61" s="202">
        <f>1-P58-P59-P60</f>
        <v>0.87230413605217527</v>
      </c>
      <c r="Q61" s="125" t="s">
        <v>174</v>
      </c>
      <c r="R61" s="64">
        <f>$P61*Price_historical_LNG_min_GJ*fuel_consumption_per_journey_MJ/1000/2</f>
        <v>272465.69020568777</v>
      </c>
      <c r="S61" s="64">
        <f>$P61*Price_historical_LNG_max_GJ*fuel_consumption_per_journey_MJ/1000/2</f>
        <v>298109.51987210545</v>
      </c>
      <c r="T61" s="64">
        <f t="shared" si="18"/>
        <v>285287.60503889661</v>
      </c>
      <c r="U61"/>
      <c r="AB61" s="9"/>
      <c r="AJ61" s="18"/>
      <c r="AK61" s="18"/>
      <c r="AL61" s="18"/>
    </row>
    <row r="62" spans="9:39" s="4" customFormat="1" ht="17.100000000000001" customHeight="1">
      <c r="O62"/>
      <c r="P62" s="201">
        <f>R47</f>
        <v>6.7695863947824647E-2</v>
      </c>
      <c r="Q62" s="125" t="s">
        <v>173</v>
      </c>
      <c r="R62" s="64">
        <f>$P62*Price_VLSFO_Min_GJ*fuel_consumption_per_journey_MJ/1000/2</f>
        <v>29105.35908532227</v>
      </c>
      <c r="S62" s="64">
        <f>$P62*Price_VLSFO_Max_GJ*fuel_consumption_per_journey_MJ/1000/2</f>
        <v>32836.815378312305</v>
      </c>
      <c r="T62" s="64">
        <f t="shared" si="18"/>
        <v>30971.087231817288</v>
      </c>
      <c r="U62" s="122"/>
      <c r="W62"/>
      <c r="AB62"/>
      <c r="AC62"/>
      <c r="AJ62" s="18"/>
      <c r="AK62" s="18"/>
      <c r="AL62" s="18"/>
    </row>
    <row r="63" spans="9:39" s="4" customFormat="1" ht="17.100000000000001" customHeight="1">
      <c r="O63"/>
      <c r="P63" s="202">
        <f>1-P62</f>
        <v>0.93230413605217533</v>
      </c>
      <c r="Q63" s="125" t="s">
        <v>175</v>
      </c>
      <c r="R63" s="64">
        <f>$P63*Price_historical_LNG_min_GJ*fuel_consumption_per_journey_MJ/1000/2</f>
        <v>291206.79292053659</v>
      </c>
      <c r="S63" s="64">
        <f>$P63*Price_historical_LNG_max_GJ*fuel_consumption_per_journey_MJ/1000/2</f>
        <v>318614.49107776361</v>
      </c>
      <c r="T63" s="64">
        <f t="shared" si="18"/>
        <v>304910.6419991501</v>
      </c>
      <c r="U63" s="122"/>
      <c r="W63"/>
      <c r="AB63"/>
      <c r="AC63"/>
      <c r="AJ63" s="18"/>
      <c r="AK63" s="18"/>
      <c r="AL63" s="18"/>
    </row>
    <row r="64" spans="9:39" s="4" customFormat="1" ht="17.100000000000001" customHeight="1">
      <c r="O64"/>
      <c r="P64" s="202"/>
      <c r="Q64" s="125" t="s">
        <v>170</v>
      </c>
      <c r="R64" s="64">
        <f>SUM(R58:R63)</f>
        <v>695462.97539097886</v>
      </c>
      <c r="S64" s="64">
        <f>SUM(S58:S63)</f>
        <v>859578.23160828778</v>
      </c>
      <c r="T64" s="64">
        <f t="shared" si="18"/>
        <v>777520.60349963326</v>
      </c>
      <c r="U64"/>
      <c r="W64"/>
      <c r="AB64"/>
      <c r="AC64"/>
      <c r="AJ64" s="18"/>
      <c r="AK64" s="18"/>
      <c r="AL64" s="18"/>
    </row>
    <row r="65" spans="9:38" s="4" customFormat="1" ht="17.100000000000001" customHeight="1">
      <c r="O65"/>
      <c r="P65" s="102"/>
      <c r="U65"/>
      <c r="W65"/>
      <c r="AB65"/>
      <c r="AC65"/>
      <c r="AJ65" s="18"/>
      <c r="AK65" s="18"/>
      <c r="AL65" s="18"/>
    </row>
    <row r="66" spans="9:38" s="4" customFormat="1" ht="17.100000000000001" customHeight="1">
      <c r="O66"/>
      <c r="P66" s="102"/>
      <c r="U66"/>
      <c r="W66"/>
      <c r="AB66"/>
      <c r="AC66"/>
      <c r="AJ66" s="18"/>
      <c r="AK66" s="18"/>
      <c r="AL66" s="18"/>
    </row>
    <row r="67" spans="9:38" s="4" customFormat="1" ht="17.100000000000001" customHeight="1">
      <c r="O67"/>
      <c r="P67" s="102"/>
      <c r="U67"/>
      <c r="W67"/>
      <c r="AB67"/>
      <c r="AC67"/>
      <c r="AJ67" s="18"/>
      <c r="AK67" s="18"/>
      <c r="AL67" s="18"/>
    </row>
    <row r="68" spans="9:38" s="4" customFormat="1" ht="17.100000000000001" customHeight="1" thickBot="1">
      <c r="O68"/>
      <c r="P68" s="102"/>
      <c r="U68"/>
      <c r="W68"/>
      <c r="AB68"/>
      <c r="AC68"/>
      <c r="AJ68" s="18"/>
      <c r="AK68" s="18"/>
      <c r="AL68" s="18"/>
    </row>
    <row r="69" spans="9:38" s="4" customFormat="1" ht="17.100000000000001" customHeight="1" thickTop="1">
      <c r="O69"/>
      <c r="P69" s="252" t="str">
        <f>"Fuel covered by FuelEU/ETS: "&amp;CONCATENATE(TEXT('FF55 policy levers &amp; vessel'!B7,"0%")," e-LNG | ",TEXT((1-'FF55 policy levers &amp; vessel'!B7-R69-R70),"0.0%")," fossil LNG (post-COVID prices) | ",TEXT(R69,"0.0%")," Biodiesel (pilot)| ",TEXT(R70,"0.0%")," VLSFO (pilot)")</f>
        <v>Fuel covered by FuelEU/ETS: 6% e-LNG | 87.2% fossil LNG (post-COVID prices) | 0.0% Biodiesel (pilot)| 6.8% VLSFO (pilot)</v>
      </c>
      <c r="Q69" s="62" t="s">
        <v>84</v>
      </c>
      <c r="R69" s="72">
        <f>MIN(1-e_fuel_subquota,MAX(0,(baseline_GHG_intensity*(1-Regulatory_target)-e_fuel_subquota*'WtW CO2e factors'!$E$12+e_fuel_subquota*'WtW CO2e factors'!$E$7-'WtW CO2e factors'!$E$7)/('WtW CO2e factors'!$E$8-'WtW CO2e factors'!$E$7),(baseline_GHG_intensity*(1-Regulatory_target)-e_fuel_subquota*'WtW CO2e factors'!$E$12-(1-K47-e_fuel_subquota)*'WtW CO2e factors'!$E$7-K47*'WtW CO2e factors'!$E$3)/('WtW CO2e factors'!$E$8-'WtW CO2e factors'!$E$3)))</f>
        <v>0</v>
      </c>
      <c r="S69" s="72">
        <f>MIN(1-e_fuel_subquota,MAX(0,(baseline_GHG_intensity*(1-Regulatory_target)-e_fuel_subquota*'WtW CO2e factors'!$E$12+e_fuel_subquota*'WtW CO2e factors'!$E$7-'WtW CO2e factors'!$E$7)/('WtW CO2e factors'!$E$8-'WtW CO2e factors'!$E$7),(baseline_GHG_intensity*(1-Regulatory_target)-e_fuel_subquota*'WtW CO2e factors'!$E$12-(1-L47-e_fuel_subquota)*'WtW CO2e factors'!$E$7-L47*'WtW CO2e factors'!$E$3)/('WtW CO2e factors'!$E$8-'WtW CO2e factors'!$E$3)))</f>
        <v>0</v>
      </c>
      <c r="T69" s="73"/>
      <c r="U69"/>
      <c r="W69"/>
      <c r="AB69"/>
      <c r="AC69"/>
      <c r="AJ69" s="18"/>
      <c r="AK69" s="18"/>
      <c r="AL69" s="18"/>
    </row>
    <row r="70" spans="9:38" s="4" customFormat="1" ht="17.100000000000001" customHeight="1">
      <c r="O70"/>
      <c r="P70" s="253"/>
      <c r="Q70" s="62" t="s">
        <v>83</v>
      </c>
      <c r="R70" s="99">
        <f>MAX(0,K47-R69)</f>
        <v>6.7695863947824647E-2</v>
      </c>
      <c r="S70" s="99">
        <f>MAX(0,L47-S69)</f>
        <v>6.7695863947824647E-2</v>
      </c>
      <c r="T70" s="73"/>
      <c r="U70"/>
      <c r="W70"/>
      <c r="AB70"/>
      <c r="AC70"/>
      <c r="AJ70" s="18"/>
      <c r="AK70" s="18"/>
      <c r="AL70" s="18"/>
    </row>
    <row r="71" spans="9:38" s="4" customFormat="1" ht="17.100000000000001" customHeight="1">
      <c r="O71"/>
      <c r="P71" s="253"/>
      <c r="Q71" s="62" t="s">
        <v>145</v>
      </c>
      <c r="R71" s="73">
        <f>(Price_post_covid_LNG_min*LCV_VLSFO/LCV_LNG*(1-(R69+R70+e_fuel_subquota)))+(Price_e_LNG_min*e_fuel_subquota*LCV_VLSFO/LCV_e_LNG)+(Price_biodiesel_min*R69*LCV_VLSFO/LCV_Biodiesel_WCO)+Price_VLSFO_Min*R70</f>
        <v>354.08151201894316</v>
      </c>
      <c r="S71" s="73">
        <f>(Price_post_covid_LNG_max*LCV_VLSFO/LCV_LNG*(1-(S69+S70+e_fuel_subquota)))+(Price_e_LNG_max*e_fuel_subquota*LCV_VLSFO/LCV_e_LNG)+(Price_biodiesel_max*S69*LCV_VLSFO/LCV_Biodiesel_WCO)+Price_VLSFO_Max*S70</f>
        <v>1400.229741803852</v>
      </c>
      <c r="T71" s="73">
        <f>AVERAGE(R71:S71)</f>
        <v>877.15562691139758</v>
      </c>
      <c r="U71"/>
      <c r="W71"/>
      <c r="AB71"/>
      <c r="AC71"/>
      <c r="AJ71" s="18"/>
      <c r="AK71" s="18"/>
      <c r="AL71" s="18"/>
    </row>
    <row r="72" spans="9:38" s="4" customFormat="1" ht="17.100000000000001" customHeight="1">
      <c r="O72"/>
      <c r="P72" s="253"/>
      <c r="Q72" s="62" t="s">
        <v>77</v>
      </c>
      <c r="R72" s="65">
        <f>WtW_LNG_DFHP_2_stroke_gCO2perMJ*(1-(e_fuel_subquota+R69+R70))+WtW_e_LNG_DFHP_2_stroke_gCO2perMJ*e_fuel_subquota+WtW_biodiesel_WCO_gCO2perMJ*R$46+WtW_VLSFO_gCO2perMJ*R$47</f>
        <v>74.719979212416419</v>
      </c>
      <c r="S72" s="65">
        <f>WtW_LNG_DFHP_2_stroke_gCO2perMJ*(1-(e_fuel_subquota+S69+S70))+WtW_e_LNG_DFHP_2_stroke_gCO2perMJ*e_fuel_subquota+WtW_biodiesel_WCO_gCO2perMJ*S$46+WtW_VLSFO_gCO2perMJ*S$47</f>
        <v>74.719979212416419</v>
      </c>
      <c r="T72" s="71" t="str">
        <f>IF(R72&gt;(1-Regulatory_target)*baseline_GHG_intensity,"non-compliant","compliant")</f>
        <v>compliant</v>
      </c>
      <c r="U72"/>
      <c r="W72"/>
      <c r="X72"/>
      <c r="Y72"/>
      <c r="Z72"/>
      <c r="AA72"/>
      <c r="AB72"/>
      <c r="AC72"/>
      <c r="AJ72" s="18"/>
      <c r="AK72" s="18"/>
      <c r="AL72" s="18"/>
    </row>
    <row r="73" spans="9:38" s="4" customFormat="1" ht="17.100000000000001" customHeight="1" thickBot="1">
      <c r="O73"/>
      <c r="P73" s="254"/>
      <c r="Q73" s="62" t="s">
        <v>139</v>
      </c>
      <c r="R73" s="66">
        <f>R72*fuel_consumption_per_journey_MJ/2/1000000</f>
        <v>2745.7545201397329</v>
      </c>
      <c r="S73" s="66">
        <f>S72*fuel_consumption_per_journey_MJ/2/1000000</f>
        <v>2745.7545201397329</v>
      </c>
      <c r="T73" s="66"/>
      <c r="U73"/>
      <c r="W73"/>
      <c r="X73"/>
      <c r="Y73"/>
      <c r="Z73"/>
      <c r="AA73"/>
      <c r="AB73"/>
      <c r="AC73"/>
      <c r="AJ73" s="18"/>
      <c r="AK73" s="18"/>
      <c r="AL73" s="18"/>
    </row>
    <row r="74" spans="9:38" s="4" customFormat="1" ht="63" customHeight="1" thickTop="1" thickBot="1">
      <c r="I74"/>
      <c r="J74"/>
      <c r="K74"/>
      <c r="L74"/>
      <c r="M74"/>
      <c r="O74"/>
      <c r="P74" s="101" t="str">
        <f>"Fuel not covered by FuelEU/ETS: "&amp;I46</f>
        <v>Fuel not covered by FuelEU/ETS: 93.2% Fossil LNG (DF HP 2 stroke) (post-COVID prices) - 6.8% pilot VLSFO (energy shares)</v>
      </c>
      <c r="Q74" s="105" t="s">
        <v>138</v>
      </c>
      <c r="R74" s="63">
        <f>K49</f>
        <v>288.46087674399405</v>
      </c>
      <c r="S74" s="63">
        <f>L49</f>
        <v>1282.7391397671922</v>
      </c>
      <c r="T74" s="73">
        <f>AVERAGE(R74:S74)</f>
        <v>785.60000825559314</v>
      </c>
      <c r="U74"/>
      <c r="W74"/>
      <c r="X74"/>
      <c r="Y74"/>
      <c r="Z74"/>
      <c r="AA74"/>
      <c r="AB74"/>
      <c r="AC74"/>
      <c r="AJ74" s="18"/>
      <c r="AK74" s="18"/>
      <c r="AL74" s="18"/>
    </row>
    <row r="75" spans="9:38" s="4" customFormat="1" ht="17.100000000000001" customHeight="1" thickTop="1">
      <c r="I75"/>
      <c r="J75"/>
      <c r="K75"/>
      <c r="L75"/>
      <c r="M75"/>
      <c r="O75"/>
      <c r="P75" s="260" t="s">
        <v>136</v>
      </c>
      <c r="Q75" s="62" t="s">
        <v>141</v>
      </c>
      <c r="R75" s="64">
        <f>(R71*fuel_consumption_per_journey_tVLSFO/2)+(R74*fuel_consumption_per_journey_tVLSFO/2)</f>
        <v>575894.44794120139</v>
      </c>
      <c r="S75" s="64">
        <f>(S71*fuel_consumption_per_journey_tVLSFO/2)+(S74*fuel_consumption_per_journey_tVLSFO/2)</f>
        <v>2404676.9674923946</v>
      </c>
      <c r="T75" s="64">
        <f t="shared" ref="T75" si="19">AVERAGE(R75:S75)</f>
        <v>1490285.7077167979</v>
      </c>
      <c r="U75"/>
      <c r="W75"/>
      <c r="X75"/>
      <c r="Y75"/>
      <c r="Z75"/>
      <c r="AA75"/>
      <c r="AB75"/>
      <c r="AC75"/>
      <c r="AJ75" s="18"/>
      <c r="AK75" s="18"/>
      <c r="AL75" s="18"/>
    </row>
    <row r="76" spans="9:38" s="4" customFormat="1" ht="60" customHeight="1">
      <c r="I76"/>
      <c r="J76"/>
      <c r="K76"/>
      <c r="L76"/>
      <c r="M76"/>
      <c r="N76"/>
      <c r="O76"/>
      <c r="P76" s="261"/>
      <c r="Q76" s="62" t="s">
        <v>142</v>
      </c>
      <c r="R76" s="64">
        <f>R73*ETS_Price</f>
        <v>219660.36161117864</v>
      </c>
      <c r="S76" s="64">
        <f>S73*ETS_Price</f>
        <v>219660.36161117864</v>
      </c>
      <c r="T76" s="64">
        <f>AVERAGE(R76:S76)</f>
        <v>219660.36161117864</v>
      </c>
      <c r="U76"/>
      <c r="W76"/>
      <c r="X76"/>
      <c r="Y76"/>
      <c r="Z76"/>
      <c r="AA76"/>
      <c r="AB76"/>
      <c r="AC76"/>
      <c r="AJ76" s="18"/>
      <c r="AK76" s="18"/>
      <c r="AL76" s="18"/>
    </row>
    <row r="77" spans="9:38" s="4" customFormat="1" ht="17.100000000000001" customHeight="1">
      <c r="I77"/>
      <c r="J77"/>
      <c r="K77"/>
      <c r="L77"/>
      <c r="M77"/>
      <c r="N77"/>
      <c r="O77"/>
      <c r="P77" s="261"/>
      <c r="Q77" s="62" t="s">
        <v>143</v>
      </c>
      <c r="R77" s="68">
        <f>R75+R76</f>
        <v>795554.80955238</v>
      </c>
      <c r="S77" s="68">
        <f>S75+S76</f>
        <v>2624337.3291035732</v>
      </c>
      <c r="T77" s="68">
        <f>AVERAGE(R77:S77)</f>
        <v>1709946.0693279766</v>
      </c>
      <c r="U77"/>
      <c r="W77"/>
      <c r="X77"/>
      <c r="Y77"/>
      <c r="Z77"/>
      <c r="AA77"/>
      <c r="AB77"/>
      <c r="AC77"/>
      <c r="AJ77" s="18"/>
      <c r="AK77" s="18"/>
      <c r="AL77" s="18"/>
    </row>
    <row r="78" spans="9:38" s="4" customFormat="1" ht="17.100000000000001" customHeight="1">
      <c r="I78"/>
      <c r="J78"/>
      <c r="K78"/>
      <c r="L78"/>
      <c r="M78"/>
      <c r="N78"/>
      <c r="O78"/>
      <c r="P78" s="261"/>
      <c r="Q78" s="62" t="s">
        <v>179</v>
      </c>
      <c r="R78" s="69">
        <f>(R77-D8)/Real_world_TEU_carriage</f>
        <v>-6.4025040025830107</v>
      </c>
      <c r="S78" s="69">
        <f>(S77-E8)/Real_world_TEU_carriage</f>
        <v>164.6340153226038</v>
      </c>
      <c r="T78" s="69">
        <f>AVERAGE(R78:S78)</f>
        <v>79.115755660010393</v>
      </c>
      <c r="U78"/>
      <c r="W78"/>
      <c r="X78"/>
      <c r="Y78"/>
      <c r="Z78"/>
      <c r="AA78"/>
      <c r="AB78"/>
      <c r="AC78"/>
      <c r="AJ78" s="18"/>
      <c r="AK78" s="18"/>
      <c r="AL78" s="18"/>
    </row>
    <row r="79" spans="9:38" s="4" customFormat="1" ht="17.100000000000001" customHeight="1" thickBot="1">
      <c r="I79"/>
      <c r="J79"/>
      <c r="K79"/>
      <c r="L79"/>
      <c r="M79"/>
      <c r="N79"/>
      <c r="O79"/>
      <c r="P79" s="262"/>
      <c r="Q79" s="62" t="s">
        <v>43</v>
      </c>
      <c r="R79" s="70">
        <f>(TEU_freight_rate_2021+R78-TEU_freight_rate_2021)/(TEU_freight_rate_2021)</f>
        <v>-8.1502418689635252E-3</v>
      </c>
      <c r="S79" s="70">
        <f>(TEU_freight_rate_2021+S78-TEU_freight_rate_2021)/(TEU_freight_rate_2021)</f>
        <v>0.20957535429833976</v>
      </c>
      <c r="T79" s="70">
        <f>AVERAGE(R79:S79)</f>
        <v>0.10071255621468812</v>
      </c>
      <c r="U79"/>
      <c r="W79"/>
      <c r="X79"/>
      <c r="Y79"/>
      <c r="Z79"/>
      <c r="AA79"/>
      <c r="AB79"/>
      <c r="AC79"/>
      <c r="AJ79" s="18"/>
      <c r="AK79" s="18"/>
      <c r="AL79" s="18"/>
    </row>
    <row r="80" spans="9:38" s="4" customFormat="1" ht="17.100000000000001" customHeight="1" thickTop="1">
      <c r="I80"/>
      <c r="J80"/>
      <c r="K80"/>
      <c r="L80"/>
      <c r="M80"/>
      <c r="N80"/>
      <c r="O80"/>
      <c r="P80" s="200" t="s">
        <v>177</v>
      </c>
      <c r="Q80" s="241" t="s">
        <v>176</v>
      </c>
      <c r="R80" s="241"/>
      <c r="S80" s="241"/>
      <c r="T80" s="241"/>
      <c r="U80"/>
      <c r="AB80" s="9"/>
      <c r="AJ80" s="18"/>
      <c r="AK80" s="18"/>
      <c r="AL80" s="18"/>
    </row>
    <row r="81" spans="9:38" s="4" customFormat="1" ht="17.100000000000001" customHeight="1">
      <c r="I81"/>
      <c r="J81"/>
      <c r="K81"/>
      <c r="L81"/>
      <c r="M81"/>
      <c r="N81"/>
      <c r="O81"/>
      <c r="P81" s="201">
        <f>e_fuel_subquota</f>
        <v>0.06</v>
      </c>
      <c r="Q81" s="125" t="s">
        <v>11</v>
      </c>
      <c r="R81" s="64">
        <f>$P81*Price_e_LNG_min_GJ*fuel_consumption_per_journey_MJ/1000/2</f>
        <v>73579.774094109933</v>
      </c>
      <c r="S81" s="64">
        <f>$P81*Price_e_LNG_max_GJ*fuel_consumption_per_journey_MJ/1000/2</f>
        <v>177180.58990179413</v>
      </c>
      <c r="T81" s="64">
        <f>AVERAGE(R81:S81)</f>
        <v>125380.18199795202</v>
      </c>
      <c r="U81"/>
      <c r="AB81" s="9"/>
      <c r="AJ81" s="18"/>
      <c r="AK81" s="18"/>
      <c r="AL81" s="18"/>
    </row>
    <row r="82" spans="9:38" ht="17.100000000000001" customHeight="1">
      <c r="J82"/>
      <c r="K82"/>
      <c r="P82" s="202">
        <f>R69</f>
        <v>0</v>
      </c>
      <c r="Q82" s="125" t="s">
        <v>168</v>
      </c>
      <c r="R82" s="64">
        <f>$P82*Price_biodiesel_min_GJ*fuel_consumption_per_journey_MJ/1000/2</f>
        <v>0</v>
      </c>
      <c r="S82" s="64">
        <f>$P82*Price_biodiesel_max_GJ*fuel_consumption_per_journey_MJ/1000/2</f>
        <v>0</v>
      </c>
      <c r="T82" s="64">
        <f t="shared" ref="T82:T87" si="20">AVERAGE(R82:S82)</f>
        <v>0</v>
      </c>
    </row>
    <row r="83" spans="9:38" ht="17.100000000000001" customHeight="1">
      <c r="J83"/>
      <c r="K83"/>
      <c r="P83" s="202">
        <f>R70</f>
        <v>6.7695863947824647E-2</v>
      </c>
      <c r="Q83" s="125" t="s">
        <v>172</v>
      </c>
      <c r="R83" s="64">
        <f>$P83*Price_VLSFO_Min_GJ*fuel_consumption_per_journey_MJ/1000/2</f>
        <v>29105.35908532227</v>
      </c>
      <c r="S83" s="64">
        <f>$P83*Price_VLSFO_Max_GJ*fuel_consumption_per_journey_MJ/1000/2</f>
        <v>32836.815378312305</v>
      </c>
      <c r="T83" s="64">
        <f t="shared" si="20"/>
        <v>30971.087231817288</v>
      </c>
    </row>
    <row r="84" spans="9:38" ht="17.100000000000001" customHeight="1">
      <c r="J84"/>
      <c r="K84"/>
      <c r="P84" s="202">
        <f>1-P81-P82-P83</f>
        <v>0.87230413605217527</v>
      </c>
      <c r="Q84" s="125" t="s">
        <v>174</v>
      </c>
      <c r="R84" s="64">
        <f>$P84*Price_post_covid_LNG_min_GJ*fuel_consumption_per_journey_MJ/1000/2</f>
        <v>214669.14640813283</v>
      </c>
      <c r="S84" s="64">
        <f>$P84*Price_post_covid_LNG_max_GJ*fuel_consumption_per_journey_MJ/1000/2</f>
        <v>1044973.0019667712</v>
      </c>
      <c r="T84" s="64">
        <f t="shared" si="20"/>
        <v>629821.07418745197</v>
      </c>
    </row>
    <row r="85" spans="9:38" ht="17.100000000000001" customHeight="1">
      <c r="J85"/>
      <c r="K85"/>
      <c r="P85" s="201">
        <f>R70</f>
        <v>6.7695863947824647E-2</v>
      </c>
      <c r="Q85" s="125" t="s">
        <v>173</v>
      </c>
      <c r="R85" s="64">
        <f>$P85*Price_VLSFO_Min_GJ*fuel_consumption_per_journey_MJ/1000/2</f>
        <v>29105.35908532227</v>
      </c>
      <c r="S85" s="64">
        <f>$P85*Price_VLSFO_Max_GJ*fuel_consumption_per_journey_MJ/1000/2</f>
        <v>32836.815378312305</v>
      </c>
      <c r="T85" s="64">
        <f t="shared" si="20"/>
        <v>30971.087231817288</v>
      </c>
      <c r="U85" s="122"/>
    </row>
    <row r="86" spans="9:38" ht="17.100000000000001" customHeight="1">
      <c r="J86"/>
      <c r="K86"/>
      <c r="P86" s="202">
        <f>1-P85</f>
        <v>0.93230413605217533</v>
      </c>
      <c r="Q86" s="125" t="s">
        <v>175</v>
      </c>
      <c r="R86" s="64">
        <f>$P86*Price_post_covid_LNG_min_GJ*fuel_consumption_per_journey_MJ/1000/2</f>
        <v>229434.80926831398</v>
      </c>
      <c r="S86" s="64">
        <f>$P86*Price_post_covid_LNG_max_GJ*fuel_consumption_per_journey_MJ/1000/2</f>
        <v>1116849.744867204</v>
      </c>
      <c r="T86" s="64">
        <f t="shared" si="20"/>
        <v>673142.27706775896</v>
      </c>
      <c r="U86" s="122"/>
    </row>
    <row r="87" spans="9:38" ht="17.100000000000001" customHeight="1">
      <c r="J87"/>
      <c r="K87"/>
      <c r="P87" s="202"/>
      <c r="Q87" s="125" t="s">
        <v>170</v>
      </c>
      <c r="R87" s="64">
        <f>SUM(R81:R86)</f>
        <v>575894.44794120127</v>
      </c>
      <c r="S87" s="64">
        <f>SUM(S81:S86)</f>
        <v>2404676.9674923941</v>
      </c>
      <c r="T87" s="64">
        <f t="shared" si="20"/>
        <v>1490285.7077167977</v>
      </c>
    </row>
    <row r="88" spans="9:38" ht="17.100000000000001" customHeight="1">
      <c r="J88"/>
      <c r="K88"/>
      <c r="P88" s="203"/>
    </row>
    <row r="89" spans="9:38" ht="17.100000000000001" customHeight="1">
      <c r="J89"/>
      <c r="K89"/>
      <c r="P89" s="203"/>
    </row>
    <row r="90" spans="9:38" ht="17.100000000000001" customHeight="1">
      <c r="J90"/>
      <c r="K90"/>
      <c r="P90" s="203"/>
    </row>
    <row r="91" spans="9:38" s="4" customFormat="1" ht="16.5" thickBot="1">
      <c r="I91"/>
      <c r="J91"/>
      <c r="K91"/>
      <c r="L91"/>
      <c r="M91"/>
      <c r="N91"/>
      <c r="O91"/>
      <c r="P91" s="203"/>
      <c r="Q91"/>
      <c r="R91"/>
      <c r="S91"/>
      <c r="T91"/>
      <c r="U91"/>
      <c r="AB91" s="9"/>
      <c r="AJ91" s="18"/>
      <c r="AK91" s="18"/>
      <c r="AL91" s="18"/>
    </row>
    <row r="92" spans="9:38" s="4" customFormat="1" ht="32.25" thickTop="1">
      <c r="I92"/>
      <c r="J92"/>
      <c r="K92"/>
      <c r="L92"/>
      <c r="M92"/>
      <c r="N92"/>
      <c r="O92"/>
      <c r="P92" s="263" t="str">
        <f>"Fuel covered by FuelEU/ETS: "&amp;CONCATENATE(TEXT('FF55 policy levers &amp; vessel'!B7,"0%")," e-Methanol | ",TEXT(R92,"0.00%")," Biodiesel | ",TEXT((100-(_xlfn.NUMBERVALUE('FF55 policy levers &amp; vessel'!B7)+_xlfn.NUMBERVALUE(R92))*100),"0.00"),"% VLSFO")</f>
        <v>Fuel covered by FuelEU/ETS: 6% e-Methanol | 10.87% Biodiesel | 83.13% VLSFO</v>
      </c>
      <c r="Q92" s="62" t="s">
        <v>72</v>
      </c>
      <c r="R92" s="72">
        <f>MIN(1-e_fuel_subquota,MAX(0,(baseline_GHG_intensity*(1-Regulatory_target)-'WtW CO2e factors'!$E$3+e_fuel_subquota*'WtW CO2e factors'!$E$3-e_fuel_subquota*'WtW CO2e factors'!$E$9)/('WtW CO2e factors'!$E$8-'WtW CO2e factors'!$E$3)))</f>
        <v>0.10873637577512621</v>
      </c>
      <c r="S92" s="72">
        <f>MIN(1-e_fuel_subquota,MAX(0,(baseline_GHG_intensity*(1-Regulatory_target)-'WtW CO2e factors'!$E$3+e_fuel_subquota*'WtW CO2e factors'!$E$3-e_fuel_subquota*'WtW CO2e factors'!$E$9)/('WtW CO2e factors'!$E$8-'WtW CO2e factors'!$E$3)))</f>
        <v>0.10873637577512621</v>
      </c>
      <c r="T92" s="73"/>
      <c r="U92"/>
      <c r="AB92" s="9"/>
      <c r="AJ92" s="18"/>
      <c r="AK92" s="18"/>
      <c r="AL92" s="18"/>
    </row>
    <row r="93" spans="9:38" s="4" customFormat="1">
      <c r="I93"/>
      <c r="J93"/>
      <c r="K93"/>
      <c r="L93"/>
      <c r="M93"/>
      <c r="N93"/>
      <c r="O93"/>
      <c r="P93" s="264"/>
      <c r="Q93" s="62" t="s">
        <v>144</v>
      </c>
      <c r="R93" s="73">
        <f>(Price_VLSFO_Min*(1-(R92+e_fuel_subquota)))+(Price_e_methanol_min*e_fuel_subquota*LCV_VLSFO/LCV_e_methanol)+(Price_biodiesel_min*R92*LCV_VLSFO/LCV_Biodiesel_WCO)</f>
        <v>579.92577125424134</v>
      </c>
      <c r="S93" s="73">
        <f>(Price_VLSFO_Max*(1-(S92+e_fuel_subquota)))+(Price_e_methanol_max*e_fuel_subquota*LCV_VLSFO/LCV_e_methanol)+(Price_biodiesel_max*S92*LCV_VLSFO/LCV_Biodiesel_WCO)</f>
        <v>830.57159844746707</v>
      </c>
      <c r="T93" s="73">
        <f>AVERAGE(R93:S93)</f>
        <v>705.24868485085426</v>
      </c>
      <c r="U93"/>
      <c r="AB93" s="9"/>
      <c r="AJ93" s="18"/>
      <c r="AK93" s="18"/>
      <c r="AL93" s="18"/>
    </row>
    <row r="94" spans="9:38" s="4" customFormat="1">
      <c r="I94"/>
      <c r="J94"/>
      <c r="K94"/>
      <c r="L94"/>
      <c r="M94"/>
      <c r="N94"/>
      <c r="O94"/>
      <c r="P94" s="264"/>
      <c r="Q94" s="62" t="s">
        <v>77</v>
      </c>
      <c r="R94" s="65">
        <f>WtW_e_methanol_gCO2perMJ*e_fuel_subquota+WtW_biodiesel_WCO_gCO2perMJ*R$92+WtW_VLSFO_gCO2perMJ*(1-(e_fuel_subquota+R$92))</f>
        <v>78.888161712004461</v>
      </c>
      <c r="S94" s="65">
        <f>WtW_e_methanol_gCO2perMJ*e_fuel_subquota+WtW_biodiesel_WCO_gCO2perMJ*S$92+WtW_VLSFO_gCO2perMJ*(1-(e_fuel_subquota+S$92))</f>
        <v>78.888161712004461</v>
      </c>
      <c r="T94" s="71" t="str">
        <f>IF(R94&gt;(1-Regulatory_target)*baseline_GHG_intensity,"non-compliant","compliant")</f>
        <v>compliant</v>
      </c>
      <c r="U94"/>
      <c r="AB94" s="9"/>
      <c r="AJ94" s="18"/>
      <c r="AK94" s="18"/>
      <c r="AL94" s="18"/>
    </row>
    <row r="95" spans="9:38" s="4" customFormat="1" ht="17.100000000000001" customHeight="1" thickBot="1">
      <c r="I95"/>
      <c r="J95"/>
      <c r="K95"/>
      <c r="L95"/>
      <c r="M95"/>
      <c r="N95"/>
      <c r="O95"/>
      <c r="P95" s="265"/>
      <c r="Q95" s="62" t="s">
        <v>139</v>
      </c>
      <c r="R95" s="66">
        <f>R94*fuel_consumption_per_journey_MJ/2/1000000</f>
        <v>2898.9238071181931</v>
      </c>
      <c r="S95" s="66">
        <f>S94*fuel_consumption_per_journey_MJ/2/1000000</f>
        <v>2898.9238071181931</v>
      </c>
      <c r="T95" s="66"/>
      <c r="U95"/>
      <c r="W95" s="246" t="s">
        <v>79</v>
      </c>
      <c r="X95" s="62" t="s">
        <v>41</v>
      </c>
      <c r="Y95" s="73">
        <f>Price_e_methanol_min</f>
        <v>755.0856</v>
      </c>
      <c r="Z95" s="73">
        <f>Price_e_methanol_max</f>
        <v>1925.5239999999997</v>
      </c>
      <c r="AA95" s="73">
        <f>AVERAGE(Y95:Z95)</f>
        <v>1340.3047999999999</v>
      </c>
      <c r="AB95" s="9"/>
      <c r="AJ95" s="18"/>
      <c r="AK95" s="18"/>
      <c r="AL95" s="18"/>
    </row>
    <row r="96" spans="9:38" s="4" customFormat="1" ht="33.950000000000003" customHeight="1" thickTop="1" thickBot="1">
      <c r="I96"/>
      <c r="J96"/>
      <c r="K96"/>
      <c r="L96"/>
      <c r="M96"/>
      <c r="N96"/>
      <c r="P96" s="100" t="s">
        <v>137</v>
      </c>
      <c r="Q96" s="105" t="s">
        <v>138</v>
      </c>
      <c r="R96" s="73">
        <f>K7</f>
        <v>479.7</v>
      </c>
      <c r="S96" s="73">
        <f>L7</f>
        <v>541.19999999999993</v>
      </c>
      <c r="T96" s="73">
        <f>AVERAGE(R96:S96)</f>
        <v>510.44999999999993</v>
      </c>
      <c r="U96"/>
      <c r="W96" s="246"/>
      <c r="X96" s="62" t="s">
        <v>42</v>
      </c>
      <c r="Y96" s="73">
        <f>Y95*LCV_VLSFO/LCV_e_methanol</f>
        <v>1555.7040000000002</v>
      </c>
      <c r="Z96" s="73">
        <f>Z95*LCV_VLSFO/LCV_e_methanol</f>
        <v>3967.1599999999994</v>
      </c>
      <c r="AA96" s="73">
        <f t="shared" ref="AA96:AA97" si="21">AVERAGE(Y96:Z96)</f>
        <v>2761.4319999999998</v>
      </c>
      <c r="AB96" s="8"/>
      <c r="AD96" s="13"/>
      <c r="AJ96" s="18"/>
      <c r="AK96" s="18"/>
      <c r="AL96" s="18"/>
    </row>
    <row r="97" spans="9:38" s="4" customFormat="1" ht="17.100000000000001" customHeight="1" thickTop="1">
      <c r="I97"/>
      <c r="J97"/>
      <c r="K97"/>
      <c r="L97"/>
      <c r="M97"/>
      <c r="N97"/>
      <c r="P97" s="263" t="s">
        <v>136</v>
      </c>
      <c r="Q97" s="62" t="s">
        <v>141</v>
      </c>
      <c r="R97" s="64">
        <f>(R93*fuel_consumption_per_journey_tVLSFO/2)+(R96*fuel_consumption_per_journey_tVLSFO/2)</f>
        <v>949715.70628295676</v>
      </c>
      <c r="S97" s="64">
        <f>(S93*fuel_consumption_per_journey_tVLSFO/2)+(S96*fuel_consumption_per_journey_tVLSFO/2)</f>
        <v>1229484.0950653427</v>
      </c>
      <c r="T97" s="64">
        <f>AVERAGE(R97:S97)</f>
        <v>1089599.9006741499</v>
      </c>
      <c r="U97"/>
      <c r="W97" s="246"/>
      <c r="X97" s="62" t="s">
        <v>141</v>
      </c>
      <c r="Y97" s="64">
        <f>Y96*fuel_consumption_per_journey_tVLSFO</f>
        <v>2788676.0839695032</v>
      </c>
      <c r="Z97" s="64">
        <f>Z96*fuel_consumption_per_journey_tVLSFO</f>
        <v>7111329.7987794923</v>
      </c>
      <c r="AA97" s="64">
        <f t="shared" si="21"/>
        <v>4950002.9413744975</v>
      </c>
      <c r="AB97" s="8"/>
      <c r="AD97" s="13"/>
      <c r="AJ97" s="18"/>
      <c r="AK97" s="18"/>
      <c r="AL97" s="18"/>
    </row>
    <row r="98" spans="9:38" s="4" customFormat="1" ht="17.100000000000001" customHeight="1">
      <c r="I98"/>
      <c r="J98"/>
      <c r="K98"/>
      <c r="L98"/>
      <c r="M98"/>
      <c r="N98"/>
      <c r="P98" s="264"/>
      <c r="Q98" s="62" t="s">
        <v>142</v>
      </c>
      <c r="R98" s="64">
        <f>R95*ETS_Price</f>
        <v>231913.90456945545</v>
      </c>
      <c r="S98" s="64">
        <f>S95*ETS_Price</f>
        <v>231913.90456945545</v>
      </c>
      <c r="T98" s="64">
        <f t="shared" ref="T98:T101" si="22">AVERAGE(R98:S98)</f>
        <v>231913.90456945545</v>
      </c>
      <c r="U98"/>
      <c r="W98" s="246"/>
      <c r="X98" s="62" t="s">
        <v>77</v>
      </c>
      <c r="Y98" s="65">
        <f>WtW_e_methanol_gCO2perMJ</f>
        <v>4.4673366834170958</v>
      </c>
      <c r="Z98" s="65">
        <f>WtW_e_methanol_gCO2perMJ</f>
        <v>4.4673366834170958</v>
      </c>
      <c r="AA98" s="71" t="str">
        <f>IF(Y98&gt;(1-Regulatory_target)*baseline_GHG_intensity,"non-compliant","compliant")</f>
        <v>compliant</v>
      </c>
      <c r="AB98" s="8"/>
      <c r="AD98" s="14"/>
      <c r="AJ98" s="18"/>
      <c r="AK98" s="18"/>
      <c r="AL98" s="18"/>
    </row>
    <row r="99" spans="9:38" s="4" customFormat="1">
      <c r="I99"/>
      <c r="J99"/>
      <c r="K99"/>
      <c r="L99"/>
      <c r="M99"/>
      <c r="N99"/>
      <c r="P99" s="264"/>
      <c r="Q99" s="62" t="s">
        <v>82</v>
      </c>
      <c r="R99" s="68">
        <f>R97+R98</f>
        <v>1181629.6108524122</v>
      </c>
      <c r="S99" s="68">
        <f>S97+S98</f>
        <v>1461397.9996347982</v>
      </c>
      <c r="T99" s="68">
        <f t="shared" si="22"/>
        <v>1321513.8052436053</v>
      </c>
      <c r="U99"/>
      <c r="V99"/>
      <c r="W99" s="246"/>
      <c r="X99" s="105" t="s">
        <v>146</v>
      </c>
      <c r="Y99" s="104">
        <f>Y98*fuel_consumption_per_journey_MJ/1000000</f>
        <v>328.32476723816387</v>
      </c>
      <c r="Z99" s="104">
        <f>Z98*fuel_consumption_per_journey_MJ/1000000</f>
        <v>328.32476723816387</v>
      </c>
      <c r="AA99" s="66"/>
      <c r="AB99" s="8"/>
      <c r="AJ99" s="18"/>
      <c r="AK99" s="18"/>
      <c r="AL99" s="18"/>
    </row>
    <row r="100" spans="9:38" ht="17.100000000000001" customHeight="1">
      <c r="J100"/>
      <c r="K100"/>
      <c r="P100" s="264"/>
      <c r="Q100" s="62" t="s">
        <v>179</v>
      </c>
      <c r="R100" s="69">
        <f>(R99-D8)/Real_world_TEU_carriage</f>
        <v>32.021310295077392</v>
      </c>
      <c r="S100" s="69">
        <f>(S99-E8)/Real_world_TEU_carriage</f>
        <v>48.893322885575294</v>
      </c>
      <c r="T100" s="69">
        <f t="shared" si="22"/>
        <v>40.457316590326343</v>
      </c>
      <c r="W100" s="246"/>
      <c r="X100" s="62" t="s">
        <v>47</v>
      </c>
      <c r="Y100" s="64">
        <f>Y99/2*ETS_Price</f>
        <v>13132.990689526556</v>
      </c>
      <c r="Z100" s="64">
        <f>Z99/2*ETS_Price</f>
        <v>13132.990689526556</v>
      </c>
      <c r="AA100" s="64">
        <f>AVERAGE(Y100:Z100)</f>
        <v>13132.990689526556</v>
      </c>
      <c r="AB100" s="8"/>
      <c r="AC100" s="4"/>
      <c r="AD100" s="4"/>
      <c r="AJ100" s="17"/>
      <c r="AK100" s="17"/>
      <c r="AL100" s="17"/>
    </row>
    <row r="101" spans="9:38" ht="16.5" thickBot="1">
      <c r="J101"/>
      <c r="K101"/>
      <c r="P101" s="265"/>
      <c r="Q101" s="62" t="s">
        <v>43</v>
      </c>
      <c r="R101" s="70">
        <f>(TEU_freight_rate_2021+R100-TEU_freight_rate_2021)/(TEU_freight_rate_2021)</f>
        <v>4.0762399173936231E-2</v>
      </c>
      <c r="S101" s="70">
        <f>(TEU_freight_rate_2021+S100-TEU_freight_rate_2021)/(TEU_freight_rate_2021)</f>
        <v>6.2240087180578628E-2</v>
      </c>
      <c r="T101" s="70">
        <f t="shared" si="22"/>
        <v>5.1501243177257433E-2</v>
      </c>
      <c r="W101" s="246"/>
      <c r="X101" s="62" t="s">
        <v>143</v>
      </c>
      <c r="Y101" s="68">
        <f>Y97+Y100</f>
        <v>2801809.07465903</v>
      </c>
      <c r="Z101" s="68">
        <f>Z97+Z100</f>
        <v>7124462.7894690186</v>
      </c>
      <c r="AA101" s="68">
        <f>AVERAGE(Y101:Z101)</f>
        <v>4963135.9320640247</v>
      </c>
      <c r="AB101" s="8"/>
      <c r="AJ101" s="17"/>
      <c r="AK101" s="17"/>
      <c r="AL101" s="17"/>
    </row>
    <row r="102" spans="9:38" ht="16.5" thickTop="1">
      <c r="J102"/>
      <c r="K102"/>
      <c r="P102" s="204" t="s">
        <v>177</v>
      </c>
      <c r="Q102" s="242" t="s">
        <v>176</v>
      </c>
      <c r="R102" s="242"/>
      <c r="S102" s="242"/>
      <c r="T102" s="242"/>
      <c r="W102" s="246"/>
      <c r="X102" s="62" t="s">
        <v>179</v>
      </c>
      <c r="Y102" s="69">
        <f>(Y101-D8)/Real_world_TEU_carriage</f>
        <v>193.26849513221765</v>
      </c>
      <c r="Z102" s="69">
        <f>(Z101-E8)/Real_world_TEU_carriage</f>
        <v>612.505734541283</v>
      </c>
      <c r="AA102" s="69">
        <f>AVERAGE(Y102:Z102)</f>
        <v>402.88711483675036</v>
      </c>
      <c r="AB102" s="8"/>
      <c r="AJ102" s="17"/>
      <c r="AK102" s="17"/>
      <c r="AL102" s="17"/>
    </row>
    <row r="103" spans="9:38">
      <c r="J103"/>
      <c r="K103"/>
      <c r="P103" s="205">
        <f>e_fuel_subquota</f>
        <v>0.06</v>
      </c>
      <c r="Q103" s="125" t="s">
        <v>169</v>
      </c>
      <c r="R103" s="64">
        <f>$P103*Price_e_methanol_min_GJ*fuel_consumption_per_journey_MJ/1000/2</f>
        <v>83660.282519085085</v>
      </c>
      <c r="S103" s="64">
        <f>$P103*Price_e_methanol_max_GJ*fuel_consumption_per_journey_MJ/1000/2</f>
        <v>213339.89396338473</v>
      </c>
      <c r="T103" s="64">
        <f>AVERAGE(R103:S103)</f>
        <v>148500.08824123492</v>
      </c>
      <c r="W103" s="246"/>
      <c r="X103" s="62" t="s">
        <v>43</v>
      </c>
      <c r="Y103" s="70">
        <f>(TEU_freight_rate_2021+Y102-TEU_freight_rate_2021)/(TEU_freight_rate_2021)</f>
        <v>0.24602639535136414</v>
      </c>
      <c r="Z103" s="70">
        <f>(TEU_freight_rate_2021+Z102-TEU_freight_rate_2021)/(TEU_freight_rate_2021)</f>
        <v>0.77970585893029554</v>
      </c>
      <c r="AA103" s="70">
        <f>AVERAGE(Y103:Z103)</f>
        <v>0.5128661271408298</v>
      </c>
      <c r="AB103" s="8"/>
      <c r="AJ103" s="19"/>
      <c r="AK103" s="17"/>
      <c r="AL103" s="17"/>
    </row>
    <row r="104" spans="9:38">
      <c r="J104"/>
      <c r="K104"/>
      <c r="P104" s="206">
        <f>R92</f>
        <v>0.10873637577512621</v>
      </c>
      <c r="Q104" s="125" t="s">
        <v>168</v>
      </c>
      <c r="R104" s="64">
        <f>$P104*Price_biodiesel_min_GJ*fuel_consumption_per_journey_MJ/1000/2</f>
        <v>78716.548762094404</v>
      </c>
      <c r="S104" s="64">
        <f>$P104*Price_biodiesel_max_GJ*fuel_consumption_per_journey_MJ/1000/2</f>
        <v>127864.44468969649</v>
      </c>
      <c r="T104" s="64">
        <f t="shared" ref="T104:T107" si="23">AVERAGE(R104:S104)</f>
        <v>103290.49672589544</v>
      </c>
      <c r="V104" s="4"/>
      <c r="W104" s="135" t="s">
        <v>177</v>
      </c>
      <c r="X104" s="237" t="s">
        <v>176</v>
      </c>
      <c r="Y104" s="237"/>
      <c r="Z104" s="237"/>
      <c r="AA104" s="237"/>
      <c r="AB104" s="8"/>
      <c r="AJ104" s="17"/>
      <c r="AK104" s="17"/>
      <c r="AL104" s="17"/>
    </row>
    <row r="105" spans="9:38" s="4" customFormat="1">
      <c r="I105"/>
      <c r="J105"/>
      <c r="K105"/>
      <c r="L105"/>
      <c r="M105"/>
      <c r="N105"/>
      <c r="P105" s="206">
        <f>1-P103-P104</f>
        <v>0.83126362422487377</v>
      </c>
      <c r="Q105" s="125" t="s">
        <v>172</v>
      </c>
      <c r="R105" s="64">
        <f>$P105*Price_VLSFO_Min_GJ*fuel_consumption_per_journey_MJ/1000/2</f>
        <v>357395.93036701041</v>
      </c>
      <c r="S105" s="64">
        <f>$P105*Price_VLSFO_Max_GJ*fuel_consumption_per_journey_MJ/1000/2</f>
        <v>403215.92143970408</v>
      </c>
      <c r="T105" s="64">
        <f t="shared" si="23"/>
        <v>380305.92590335722</v>
      </c>
      <c r="U105"/>
      <c r="V105"/>
      <c r="W105" s="136">
        <v>1</v>
      </c>
      <c r="X105" s="125" t="s">
        <v>169</v>
      </c>
      <c r="Y105" s="64">
        <f>Y97</f>
        <v>2788676.0839695032</v>
      </c>
      <c r="Z105" s="64">
        <f>Z97</f>
        <v>7111329.7987794923</v>
      </c>
      <c r="AA105" s="64">
        <f>AVERAGE(Y105:Z105)</f>
        <v>4950002.9413744975</v>
      </c>
      <c r="AC105"/>
      <c r="AD105"/>
      <c r="AJ105" s="18"/>
      <c r="AK105" s="18"/>
      <c r="AL105" s="18"/>
    </row>
    <row r="106" spans="9:38" s="4" customFormat="1">
      <c r="I106"/>
      <c r="J106"/>
      <c r="K106"/>
      <c r="L106"/>
      <c r="M106"/>
      <c r="N106"/>
      <c r="P106" s="206">
        <v>1</v>
      </c>
      <c r="Q106" s="125" t="s">
        <v>173</v>
      </c>
      <c r="R106" s="64">
        <f>$P106*Price_VLSFO_Min_GJ*fuel_consumption_per_journey_MJ/1000/2</f>
        <v>429942.94463476673</v>
      </c>
      <c r="S106" s="64">
        <f>$P106*Price_VLSFO_Max_GJ*fuel_consumption_per_journey_MJ/1000/2</f>
        <v>485063.83497255732</v>
      </c>
      <c r="T106" s="64">
        <f t="shared" si="23"/>
        <v>457503.38980366202</v>
      </c>
      <c r="U106" s="122"/>
      <c r="V106"/>
      <c r="W106" s="137"/>
      <c r="X106" s="125" t="s">
        <v>170</v>
      </c>
      <c r="Y106" s="64">
        <f>SUM(Y105)</f>
        <v>2788676.0839695032</v>
      </c>
      <c r="Z106" s="64">
        <f>SUM(Z105)</f>
        <v>7111329.7987794923</v>
      </c>
      <c r="AA106" s="64">
        <f t="shared" ref="AA106" si="24">AVERAGE(Y106:Z106)</f>
        <v>4950002.9413744975</v>
      </c>
      <c r="AC106"/>
      <c r="AD106"/>
      <c r="AJ106" s="18"/>
      <c r="AK106" s="18"/>
      <c r="AL106" s="18"/>
    </row>
    <row r="107" spans="9:38">
      <c r="J107"/>
      <c r="K107"/>
      <c r="P107" s="206"/>
      <c r="Q107" s="125" t="s">
        <v>170</v>
      </c>
      <c r="R107" s="64">
        <f>SUM(R103:R106)</f>
        <v>949715.70628295664</v>
      </c>
      <c r="S107" s="64">
        <f>SUM(S103:S106)</f>
        <v>1229484.0950653427</v>
      </c>
      <c r="T107" s="64">
        <f t="shared" si="23"/>
        <v>1089599.9006741496</v>
      </c>
    </row>
    <row r="108" spans="9:38">
      <c r="J108"/>
      <c r="K108"/>
    </row>
    <row r="109" spans="9:38">
      <c r="J109"/>
      <c r="K109"/>
    </row>
    <row r="110" spans="9:38">
      <c r="J110"/>
      <c r="K110"/>
    </row>
    <row r="111" spans="9:38">
      <c r="J111"/>
      <c r="K111"/>
    </row>
    <row r="112" spans="9:38">
      <c r="J112"/>
      <c r="K112"/>
    </row>
    <row r="113" spans="10:11">
      <c r="J113"/>
      <c r="K113"/>
    </row>
    <row r="119" spans="10:11">
      <c r="J119"/>
      <c r="K119"/>
    </row>
    <row r="120" spans="10:11">
      <c r="J120"/>
      <c r="K120"/>
    </row>
    <row r="121" spans="10:11">
      <c r="J121"/>
      <c r="K121"/>
    </row>
    <row r="122" spans="10:11">
      <c r="J122"/>
      <c r="K122"/>
    </row>
    <row r="123" spans="10:11">
      <c r="J123"/>
      <c r="K123"/>
    </row>
    <row r="124" spans="10:11">
      <c r="J124"/>
      <c r="K124"/>
    </row>
    <row r="125" spans="10:11">
      <c r="J125"/>
      <c r="K125"/>
    </row>
    <row r="126" spans="10:11">
      <c r="J126"/>
      <c r="K126"/>
    </row>
  </sheetData>
  <mergeCells count="33">
    <mergeCell ref="W3:AA3"/>
    <mergeCell ref="P3:T3"/>
    <mergeCell ref="W7:W15"/>
    <mergeCell ref="P7:P10"/>
    <mergeCell ref="P12:P16"/>
    <mergeCell ref="P75:P79"/>
    <mergeCell ref="P97:P101"/>
    <mergeCell ref="P92:P95"/>
    <mergeCell ref="J37:M37"/>
    <mergeCell ref="J57:M57"/>
    <mergeCell ref="P46:P50"/>
    <mergeCell ref="P52:P56"/>
    <mergeCell ref="P26:P29"/>
    <mergeCell ref="P31:P35"/>
    <mergeCell ref="P69:P73"/>
    <mergeCell ref="B3:F3"/>
    <mergeCell ref="I26:I36"/>
    <mergeCell ref="I46:I56"/>
    <mergeCell ref="B7:B12"/>
    <mergeCell ref="I7:I14"/>
    <mergeCell ref="I3:M3"/>
    <mergeCell ref="X35:AA35"/>
    <mergeCell ref="X57:AA57"/>
    <mergeCell ref="X104:AA104"/>
    <mergeCell ref="X16:AA16"/>
    <mergeCell ref="Q17:T17"/>
    <mergeCell ref="Q36:T36"/>
    <mergeCell ref="Q57:T57"/>
    <mergeCell ref="Q80:T80"/>
    <mergeCell ref="Q102:T102"/>
    <mergeCell ref="W26:W34"/>
    <mergeCell ref="W95:W103"/>
    <mergeCell ref="W46:W56"/>
  </mergeCells>
  <conditionalFormatting sqref="D9:E9">
    <cfRule type="expression" dxfId="52" priority="3">
      <formula>D9&gt;baseline_GHG_intensity*(1-Regulatory_target)</formula>
    </cfRule>
    <cfRule type="expression" dxfId="51" priority="4">
      <formula>D9&lt;=baseline_GHG_intensity*(1-Regulatory_target)</formula>
    </cfRule>
  </conditionalFormatting>
  <conditionalFormatting sqref="F9">
    <cfRule type="cellIs" dxfId="50" priority="1" operator="equal">
      <formula>"compliant"</formula>
    </cfRule>
    <cfRule type="cellIs" dxfId="49" priority="2" operator="equal">
      <formula>"non-compliant"</formula>
    </cfRule>
  </conditionalFormatting>
  <conditionalFormatting sqref="K9:L9">
    <cfRule type="expression" dxfId="48" priority="101">
      <formula>K9&gt;baseline_GHG_intensity*(1-Regulatory_target)</formula>
    </cfRule>
    <cfRule type="expression" dxfId="47" priority="102">
      <formula>K9&lt;=baseline_GHG_intensity*(1-Regulatory_target)</formula>
    </cfRule>
  </conditionalFormatting>
  <conditionalFormatting sqref="K31:L31">
    <cfRule type="expression" dxfId="46" priority="78">
      <formula>K31&lt;=baseline_GHG_intensity*(1-Regulatory_target)</formula>
    </cfRule>
    <cfRule type="expression" dxfId="45" priority="77">
      <formula>K31&gt;baseline_GHG_intensity*(1-Regulatory_target)</formula>
    </cfRule>
  </conditionalFormatting>
  <conditionalFormatting sqref="K51:L51">
    <cfRule type="expression" dxfId="44" priority="76">
      <formula>K51&lt;=baseline_GHG_intensity*(1-Regulatory_target)</formula>
    </cfRule>
    <cfRule type="expression" dxfId="43" priority="75">
      <formula>K51&gt;baseline_GHG_intensity*(1-Regulatory_target)</formula>
    </cfRule>
  </conditionalFormatting>
  <conditionalFormatting sqref="M9">
    <cfRule type="cellIs" dxfId="42" priority="25" operator="equal">
      <formula>"compliant"</formula>
    </cfRule>
    <cfRule type="cellIs" dxfId="41" priority="26" operator="equal">
      <formula>"non-compliant"</formula>
    </cfRule>
  </conditionalFormatting>
  <conditionalFormatting sqref="M31">
    <cfRule type="cellIs" dxfId="40" priority="23" operator="equal">
      <formula>"compliant"</formula>
    </cfRule>
    <cfRule type="cellIs" dxfId="39" priority="24" operator="equal">
      <formula>"non-compliant"</formula>
    </cfRule>
  </conditionalFormatting>
  <conditionalFormatting sqref="M51">
    <cfRule type="cellIs" dxfId="38" priority="21" operator="equal">
      <formula>"compliant"</formula>
    </cfRule>
    <cfRule type="cellIs" dxfId="37" priority="22" operator="equal">
      <formula>"non-compliant"</formula>
    </cfRule>
  </conditionalFormatting>
  <conditionalFormatting sqref="R7:S7">
    <cfRule type="cellIs" dxfId="36" priority="56" operator="equal">
      <formula>"non-compliant"</formula>
    </cfRule>
  </conditionalFormatting>
  <conditionalFormatting sqref="R9:S9">
    <cfRule type="expression" dxfId="35" priority="74">
      <formula>R9&lt;=baseline_GHG_intensity*(1-Regulatory_target)</formula>
    </cfRule>
    <cfRule type="expression" dxfId="34" priority="73">
      <formula>R9&gt;baseline_GHG_intensity*(1-Regulatory_target)</formula>
    </cfRule>
  </conditionalFormatting>
  <conditionalFormatting sqref="R28:S28">
    <cfRule type="expression" dxfId="33" priority="72">
      <formula>R28&lt;=baseline_GHG_intensity*(1-Regulatory_target)</formula>
    </cfRule>
    <cfRule type="expression" dxfId="32" priority="71">
      <formula>R28&gt;baseline_GHG_intensity*(1-Regulatory_target)</formula>
    </cfRule>
  </conditionalFormatting>
  <conditionalFormatting sqref="R49:S49">
    <cfRule type="expression" dxfId="31" priority="70">
      <formula>R49&lt;=baseline_GHG_intensity*(1-Regulatory_target)</formula>
    </cfRule>
    <cfRule type="expression" dxfId="30" priority="69">
      <formula>R49&gt;baseline_GHG_intensity*(1-Regulatory_target)</formula>
    </cfRule>
  </conditionalFormatting>
  <conditionalFormatting sqref="R72:S72">
    <cfRule type="expression" dxfId="29" priority="67">
      <formula>R72&gt;baseline_GHG_intensity*(1-Regulatory_target)</formula>
    </cfRule>
    <cfRule type="expression" dxfId="28" priority="68">
      <formula>R72&lt;=baseline_GHG_intensity*(1-Regulatory_target)</formula>
    </cfRule>
  </conditionalFormatting>
  <conditionalFormatting sqref="R94:S94">
    <cfRule type="expression" dxfId="27" priority="66">
      <formula>R94&lt;=baseline_GHG_intensity*(1-Regulatory_target)</formula>
    </cfRule>
    <cfRule type="expression" dxfId="26" priority="65">
      <formula>R94&gt;baseline_GHG_intensity*(1-Regulatory_target)</formula>
    </cfRule>
  </conditionalFormatting>
  <conditionalFormatting sqref="T9">
    <cfRule type="cellIs" dxfId="25" priority="49" operator="equal">
      <formula>"non-compliant"</formula>
    </cfRule>
    <cfRule type="cellIs" dxfId="24" priority="47" operator="equal">
      <formula>"compliant"</formula>
    </cfRule>
  </conditionalFormatting>
  <conditionalFormatting sqref="T28">
    <cfRule type="cellIs" dxfId="23" priority="19" operator="equal">
      <formula>"compliant"</formula>
    </cfRule>
    <cfRule type="cellIs" dxfId="22" priority="20" operator="equal">
      <formula>"non-compliant"</formula>
    </cfRule>
  </conditionalFormatting>
  <conditionalFormatting sqref="T49">
    <cfRule type="cellIs" dxfId="21" priority="18" operator="equal">
      <formula>"non-compliant"</formula>
    </cfRule>
    <cfRule type="cellIs" dxfId="20" priority="17" operator="equal">
      <formula>"compliant"</formula>
    </cfRule>
  </conditionalFormatting>
  <conditionalFormatting sqref="T72">
    <cfRule type="cellIs" dxfId="19" priority="16" operator="equal">
      <formula>"non-compliant"</formula>
    </cfRule>
    <cfRule type="cellIs" dxfId="18" priority="15" operator="equal">
      <formula>"compliant"</formula>
    </cfRule>
  </conditionalFormatting>
  <conditionalFormatting sqref="T94">
    <cfRule type="cellIs" dxfId="17" priority="14" operator="equal">
      <formula>"non-compliant"</formula>
    </cfRule>
    <cfRule type="cellIs" dxfId="16" priority="13" operator="equal">
      <formula>"compliant"</formula>
    </cfRule>
  </conditionalFormatting>
  <conditionalFormatting sqref="Y10:Z10">
    <cfRule type="expression" dxfId="15" priority="57">
      <formula>Y10&gt;baseline_GHG_intensity*(1-Regulatory_target)</formula>
    </cfRule>
    <cfRule type="expression" dxfId="14" priority="58">
      <formula>Y10&lt;=baseline_GHG_intensity*(1-Regulatory_target)</formula>
    </cfRule>
  </conditionalFormatting>
  <conditionalFormatting sqref="Y29:Z29">
    <cfRule type="expression" dxfId="13" priority="59">
      <formula>Y29&gt;baseline_GHG_intensity*(1-Regulatory_target)</formula>
    </cfRule>
    <cfRule type="expression" dxfId="12" priority="60">
      <formula>Y29&lt;=baseline_GHG_intensity*(1-Regulatory_target)</formula>
    </cfRule>
  </conditionalFormatting>
  <conditionalFormatting sqref="Y51:Z51">
    <cfRule type="expression" dxfId="11" priority="61">
      <formula>Y51&gt;baseline_GHG_intensity*(1-Regulatory_target)</formula>
    </cfRule>
    <cfRule type="expression" dxfId="10" priority="62">
      <formula>Y51&lt;=baseline_GHG_intensity*(1-Regulatory_target)</formula>
    </cfRule>
  </conditionalFormatting>
  <conditionalFormatting sqref="Y98:Z98">
    <cfRule type="expression" dxfId="9" priority="63">
      <formula>Y98&gt;baseline_GHG_intensity*(1-Regulatory_target)</formula>
    </cfRule>
    <cfRule type="expression" dxfId="8" priority="64">
      <formula>Y98&lt;=baseline_GHG_intensity*(1-Regulatory_target)</formula>
    </cfRule>
  </conditionalFormatting>
  <conditionalFormatting sqref="AA10">
    <cfRule type="cellIs" dxfId="7" priority="7" operator="equal">
      <formula>"compliant"</formula>
    </cfRule>
    <cfRule type="cellIs" dxfId="6" priority="8" operator="equal">
      <formula>"non-compliant"</formula>
    </cfRule>
  </conditionalFormatting>
  <conditionalFormatting sqref="AA29">
    <cfRule type="cellIs" dxfId="5" priority="6" operator="equal">
      <formula>"non-compliant"</formula>
    </cfRule>
    <cfRule type="cellIs" dxfId="4" priority="5" operator="equal">
      <formula>"compliant"</formula>
    </cfRule>
  </conditionalFormatting>
  <conditionalFormatting sqref="AA51">
    <cfRule type="cellIs" dxfId="3" priority="10" operator="equal">
      <formula>"non-compliant"</formula>
    </cfRule>
    <cfRule type="cellIs" dxfId="2" priority="9" operator="equal">
      <formula>"compliant"</formula>
    </cfRule>
  </conditionalFormatting>
  <conditionalFormatting sqref="AA98">
    <cfRule type="cellIs" dxfId="1" priority="12" operator="equal">
      <formula>"non-compliant"</formula>
    </cfRule>
    <cfRule type="cellIs" dxfId="0" priority="11" operator="equal">
      <formula>"compliant"</formula>
    </cfRule>
  </conditionalFormatting>
  <pageMargins left="0.7" right="0.7" top="0.75" bottom="0.75" header="0.3" footer="0.3"/>
  <pageSetup paperSize="8" scale="28" fitToHeight="0" orientation="landscape" r:id="rId1"/>
  <ignoredErrors>
    <ignoredError sqref="Z2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32"/>
  <sheetViews>
    <sheetView showGridLines="0" zoomScale="110" zoomScaleNormal="110" workbookViewId="0">
      <selection activeCell="E3" sqref="E3"/>
    </sheetView>
  </sheetViews>
  <sheetFormatPr defaultColWidth="11.125" defaultRowHeight="15.75"/>
  <cols>
    <col min="2" max="2" width="33" style="2" customWidth="1"/>
    <col min="3" max="3" width="83.625" style="2" customWidth="1"/>
    <col min="4" max="4" width="9.625" style="3" customWidth="1"/>
    <col min="5" max="5" width="9.625" customWidth="1"/>
    <col min="6" max="6" width="10.5" customWidth="1"/>
    <col min="7" max="7" width="23.5" customWidth="1"/>
  </cols>
  <sheetData>
    <row r="1" spans="2:8">
      <c r="E1" s="3"/>
      <c r="F1" s="3"/>
    </row>
    <row r="2" spans="2:8" s="3" customFormat="1" ht="114" customHeight="1" thickBot="1">
      <c r="B2" s="40" t="s">
        <v>96</v>
      </c>
      <c r="C2" s="40" t="s">
        <v>20</v>
      </c>
      <c r="D2" s="41" t="s">
        <v>73</v>
      </c>
      <c r="E2" s="143" t="s">
        <v>149</v>
      </c>
      <c r="F2" s="143" t="s">
        <v>148</v>
      </c>
      <c r="G2" s="41" t="s">
        <v>140</v>
      </c>
    </row>
    <row r="3" spans="2:8" ht="17.100000000000001" customHeight="1" thickTop="1">
      <c r="B3" s="35" t="s">
        <v>10</v>
      </c>
      <c r="C3" s="38" t="s">
        <v>9</v>
      </c>
      <c r="D3" s="31">
        <v>41</v>
      </c>
      <c r="E3" s="144">
        <v>92.63</v>
      </c>
      <c r="F3" s="145">
        <f t="shared" ref="F3:F13" si="0">E3*D3/1000</f>
        <v>3.7978299999999998</v>
      </c>
      <c r="G3" s="32" t="str">
        <f t="shared" ref="G3:G13" si="1">IFERROR(IF(OR((($E$3-(1-Regulatory_target)*baseline_GHG_intensity)/($E$3-E3))&gt;1,(($E$3-(1-Regulatory_target)*baseline_GHG_intensity)/($E$3-E3))&lt;0),"non-compliant",(($E$3-(1-Regulatory_target)*baseline_GHG_intensity)/($E$3-E3))),"non-compliant")</f>
        <v>non-compliant</v>
      </c>
      <c r="H3" s="23"/>
    </row>
    <row r="4" spans="2:8" ht="17.100000000000001" customHeight="1">
      <c r="B4" s="36" t="s">
        <v>19</v>
      </c>
      <c r="C4" s="39" t="s">
        <v>12</v>
      </c>
      <c r="D4" s="33">
        <v>42.7</v>
      </c>
      <c r="E4" s="146">
        <v>90.66768149882904</v>
      </c>
      <c r="F4" s="147">
        <f t="shared" si="0"/>
        <v>3.8715100000000002</v>
      </c>
      <c r="G4" s="34" t="str">
        <f t="shared" si="1"/>
        <v>non-compliant</v>
      </c>
      <c r="H4" s="16"/>
    </row>
    <row r="5" spans="2:8" ht="17.100000000000001" customHeight="1">
      <c r="B5" s="37" t="s">
        <v>70</v>
      </c>
      <c r="C5" s="39" t="s">
        <v>13</v>
      </c>
      <c r="D5" s="33">
        <v>49.1</v>
      </c>
      <c r="E5" s="146">
        <v>92.277883299388989</v>
      </c>
      <c r="F5" s="147">
        <f t="shared" si="0"/>
        <v>4.5308440699999988</v>
      </c>
      <c r="G5" s="34" t="str">
        <f t="shared" si="1"/>
        <v>non-compliant</v>
      </c>
      <c r="H5" s="16"/>
    </row>
    <row r="6" spans="2:8" ht="17.100000000000001" customHeight="1">
      <c r="B6" s="36" t="s">
        <v>69</v>
      </c>
      <c r="C6" s="39" t="s">
        <v>14</v>
      </c>
      <c r="D6" s="33">
        <v>49.1</v>
      </c>
      <c r="E6" s="146">
        <v>84.575040529531577</v>
      </c>
      <c r="F6" s="147">
        <f t="shared" si="0"/>
        <v>4.1526344900000005</v>
      </c>
      <c r="G6" s="34" t="str">
        <f t="shared" si="1"/>
        <v>non-compliant</v>
      </c>
      <c r="H6" s="16"/>
    </row>
    <row r="7" spans="2:8" ht="17.100000000000001" customHeight="1">
      <c r="B7" s="36" t="s">
        <v>68</v>
      </c>
      <c r="C7" s="39" t="s">
        <v>15</v>
      </c>
      <c r="D7" s="33">
        <v>49.1</v>
      </c>
      <c r="E7" s="146">
        <v>76.321994704684315</v>
      </c>
      <c r="F7" s="147">
        <f t="shared" si="0"/>
        <v>3.7474099399999998</v>
      </c>
      <c r="G7" s="34">
        <f t="shared" si="1"/>
        <v>0.84264372246327068</v>
      </c>
      <c r="H7" s="16"/>
    </row>
    <row r="8" spans="2:8" ht="17.100000000000001" customHeight="1">
      <c r="B8" s="36" t="s">
        <v>21</v>
      </c>
      <c r="C8" s="39" t="s">
        <v>16</v>
      </c>
      <c r="D8" s="33">
        <v>37.200000000000003</v>
      </c>
      <c r="E8" s="146">
        <v>14.900000000000007</v>
      </c>
      <c r="F8" s="147">
        <f t="shared" si="0"/>
        <v>0.55428000000000033</v>
      </c>
      <c r="G8" s="34">
        <f t="shared" si="1"/>
        <v>0.17678937717735155</v>
      </c>
      <c r="H8" s="16"/>
    </row>
    <row r="9" spans="2:8" ht="17.100000000000001" customHeight="1">
      <c r="B9" s="36" t="s">
        <v>22</v>
      </c>
      <c r="C9" s="39" t="s">
        <v>17</v>
      </c>
      <c r="D9" s="33">
        <v>19.899999999999999</v>
      </c>
      <c r="E9" s="146">
        <v>4.4673366834170958</v>
      </c>
      <c r="F9" s="147">
        <f t="shared" si="0"/>
        <v>8.8900000000000201E-2</v>
      </c>
      <c r="G9" s="34">
        <f t="shared" si="1"/>
        <v>0.15586913746752445</v>
      </c>
      <c r="H9" s="16"/>
    </row>
    <row r="10" spans="2:8" ht="17.100000000000001" customHeight="1">
      <c r="B10" s="36" t="s">
        <v>23</v>
      </c>
      <c r="C10" s="39" t="s">
        <v>85</v>
      </c>
      <c r="D10" s="33">
        <v>49.1</v>
      </c>
      <c r="E10" s="146">
        <v>47.177883299388995</v>
      </c>
      <c r="F10" s="147">
        <f t="shared" si="0"/>
        <v>2.3164340699999997</v>
      </c>
      <c r="G10" s="34">
        <f t="shared" si="1"/>
        <v>0.3023365969622886</v>
      </c>
      <c r="H10" s="16"/>
    </row>
    <row r="11" spans="2:8" ht="17.100000000000001" customHeight="1">
      <c r="B11" s="36" t="s">
        <v>24</v>
      </c>
      <c r="C11" s="39" t="s">
        <v>86</v>
      </c>
      <c r="D11" s="33">
        <v>49.1</v>
      </c>
      <c r="E11" s="146">
        <v>39.475040529531569</v>
      </c>
      <c r="F11" s="147">
        <f t="shared" si="0"/>
        <v>1.9382244900000001</v>
      </c>
      <c r="G11" s="34">
        <f t="shared" si="1"/>
        <v>0.2585241043336729</v>
      </c>
      <c r="H11" s="16"/>
    </row>
    <row r="12" spans="2:8" ht="17.100000000000001" customHeight="1">
      <c r="B12" s="36" t="s">
        <v>25</v>
      </c>
      <c r="C12" s="39" t="s">
        <v>87</v>
      </c>
      <c r="D12" s="33">
        <v>49.1</v>
      </c>
      <c r="E12" s="146">
        <v>31.22199470468431</v>
      </c>
      <c r="F12" s="147">
        <f t="shared" si="0"/>
        <v>1.5329999399999996</v>
      </c>
      <c r="G12" s="34">
        <f t="shared" si="1"/>
        <v>0.22377926496569961</v>
      </c>
      <c r="H12" s="16"/>
    </row>
    <row r="13" spans="2:8" ht="17.100000000000001" customHeight="1">
      <c r="B13" s="36" t="s">
        <v>18</v>
      </c>
      <c r="C13" s="39" t="s">
        <v>18</v>
      </c>
      <c r="D13" s="33">
        <v>18.600000000000001</v>
      </c>
      <c r="E13" s="146">
        <v>0</v>
      </c>
      <c r="F13" s="147">
        <f t="shared" si="0"/>
        <v>0</v>
      </c>
      <c r="G13" s="34">
        <f t="shared" si="1"/>
        <v>0.14835191933494046</v>
      </c>
      <c r="H13" s="16"/>
    </row>
    <row r="14" spans="2:8" ht="17.100000000000001" customHeight="1">
      <c r="B14" s="1"/>
      <c r="C14" s="11"/>
      <c r="D14" s="12"/>
      <c r="E14" s="148"/>
      <c r="F14" s="149"/>
    </row>
    <row r="15" spans="2:8" ht="17.100000000000001" customHeight="1">
      <c r="B15" s="110" t="s">
        <v>114</v>
      </c>
      <c r="C15" s="109"/>
      <c r="D15" s="107"/>
      <c r="E15" s="150">
        <v>91.730420595354019</v>
      </c>
      <c r="F15" s="151"/>
      <c r="G15" s="108"/>
    </row>
    <row r="16" spans="2:8" ht="17.100000000000001" customHeight="1">
      <c r="B16" s="74" t="s">
        <v>113</v>
      </c>
    </row>
    <row r="17" spans="2:4" ht="17.100000000000001" customHeight="1">
      <c r="B17" s="74" t="s">
        <v>97</v>
      </c>
    </row>
    <row r="18" spans="2:4" ht="17.100000000000001" customHeight="1">
      <c r="B18" s="74" t="s">
        <v>88</v>
      </c>
    </row>
    <row r="21" spans="2:4">
      <c r="C21"/>
      <c r="D21"/>
    </row>
    <row r="22" spans="2:4">
      <c r="C22"/>
      <c r="D22"/>
    </row>
    <row r="23" spans="2:4">
      <c r="C23"/>
      <c r="D23"/>
    </row>
    <row r="24" spans="2:4">
      <c r="C24"/>
      <c r="D24"/>
    </row>
    <row r="25" spans="2:4">
      <c r="C25"/>
      <c r="D25"/>
    </row>
    <row r="26" spans="2:4">
      <c r="C26"/>
      <c r="D26"/>
    </row>
    <row r="27" spans="2:4">
      <c r="C27"/>
      <c r="D27"/>
    </row>
    <row r="28" spans="2:4">
      <c r="C28"/>
      <c r="D28"/>
    </row>
    <row r="29" spans="2:4">
      <c r="C29"/>
      <c r="D29"/>
    </row>
    <row r="30" spans="2:4">
      <c r="C30"/>
      <c r="D30"/>
    </row>
    <row r="31" spans="2:4">
      <c r="C31"/>
      <c r="D31"/>
    </row>
    <row r="32" spans="2:4">
      <c r="C32"/>
      <c r="D32"/>
    </row>
  </sheetData>
  <pageMargins left="0.7" right="0.7" top="0.75" bottom="0.75" header="0.3" footer="0.3"/>
  <pageSetup paperSize="9" scale="38" fitToHeight="0" orientation="portrait" r:id="rId1"/>
  <ignoredErrors>
    <ignoredError sqref="F3:F13"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G21"/>
  <sheetViews>
    <sheetView showGridLines="0" zoomScale="90" zoomScaleNormal="90" workbookViewId="0">
      <selection activeCell="D4" sqref="D4"/>
    </sheetView>
  </sheetViews>
  <sheetFormatPr defaultColWidth="11.125" defaultRowHeight="15.75"/>
  <cols>
    <col min="2" max="2" width="28.875" customWidth="1"/>
    <col min="4" max="4" width="13.375" customWidth="1"/>
    <col min="5" max="5" width="13.625" customWidth="1"/>
    <col min="6" max="6" width="137.125" customWidth="1"/>
    <col min="7" max="7" width="14" customWidth="1"/>
  </cols>
  <sheetData>
    <row r="1" spans="2:7">
      <c r="D1" s="280">
        <v>2030</v>
      </c>
      <c r="E1" s="280"/>
    </row>
    <row r="2" spans="2:7" ht="17.100000000000001" customHeight="1" thickBot="1">
      <c r="B2" s="44" t="s">
        <v>0</v>
      </c>
      <c r="C2" s="45" t="s">
        <v>1</v>
      </c>
      <c r="D2" s="152" t="s">
        <v>2</v>
      </c>
      <c r="E2" s="152" t="s">
        <v>3</v>
      </c>
      <c r="F2" s="49" t="s">
        <v>4</v>
      </c>
    </row>
    <row r="3" spans="2:7" ht="17.100000000000001" customHeight="1" thickTop="1">
      <c r="B3" s="47" t="s">
        <v>10</v>
      </c>
      <c r="C3" s="46" t="s">
        <v>5</v>
      </c>
      <c r="D3" s="153">
        <f>Price_VLSFO_Min_GJ*LCV_VLSFO</f>
        <v>479.7</v>
      </c>
      <c r="E3" s="154">
        <v>11.7</v>
      </c>
      <c r="F3" s="279" t="s">
        <v>98</v>
      </c>
      <c r="G3" s="1"/>
    </row>
    <row r="4" spans="2:7" ht="17.100000000000001" customHeight="1">
      <c r="B4" s="42" t="s">
        <v>10</v>
      </c>
      <c r="C4" s="43" t="s">
        <v>6</v>
      </c>
      <c r="D4" s="155">
        <f>Price_VLSFO_Max_GJ*LCV_VLSFO</f>
        <v>541.19999999999993</v>
      </c>
      <c r="E4" s="156">
        <v>13.2</v>
      </c>
      <c r="F4" s="278"/>
      <c r="G4" s="1"/>
    </row>
    <row r="5" spans="2:7" ht="17.100000000000001" customHeight="1">
      <c r="B5" s="42" t="s">
        <v>7</v>
      </c>
      <c r="C5" s="43" t="s">
        <v>5</v>
      </c>
      <c r="D5" s="157">
        <f>Price_biodiesel_min_GJ*LCV_Biodiesel_WCO</f>
        <v>732.84</v>
      </c>
      <c r="E5" s="156">
        <v>19.7</v>
      </c>
      <c r="F5" s="278" t="s">
        <v>99</v>
      </c>
      <c r="G5" s="1"/>
    </row>
    <row r="6" spans="2:7" ht="17.100000000000001" customHeight="1">
      <c r="B6" s="42" t="s">
        <v>7</v>
      </c>
      <c r="C6" s="43" t="s">
        <v>6</v>
      </c>
      <c r="D6" s="157">
        <f>Price_biodiesel_max_GJ*LCV_Biodiesel_WCO</f>
        <v>1190.4000000000001</v>
      </c>
      <c r="E6" s="156">
        <v>32</v>
      </c>
      <c r="F6" s="278"/>
      <c r="G6" s="1"/>
    </row>
    <row r="7" spans="2:7" ht="17.100000000000001" customHeight="1">
      <c r="B7" s="42" t="s">
        <v>18</v>
      </c>
      <c r="C7" s="43" t="s">
        <v>5</v>
      </c>
      <c r="D7" s="157">
        <f>Price_e_NH3_min_GJ*LCV_e_NH3</f>
        <v>500.34000000000003</v>
      </c>
      <c r="E7" s="156">
        <v>26.9</v>
      </c>
      <c r="F7" s="48" t="s">
        <v>100</v>
      </c>
      <c r="G7" s="1"/>
    </row>
    <row r="8" spans="2:7" ht="17.100000000000001" customHeight="1">
      <c r="B8" s="42" t="s">
        <v>18</v>
      </c>
      <c r="C8" s="43" t="s">
        <v>6</v>
      </c>
      <c r="D8" s="157">
        <f>Price_e_NH3_max_GJ*LCV_e_NH3</f>
        <v>1249.92</v>
      </c>
      <c r="E8" s="156">
        <v>67.2</v>
      </c>
      <c r="F8" s="48" t="s">
        <v>103</v>
      </c>
      <c r="G8" s="1"/>
    </row>
    <row r="9" spans="2:7" ht="17.100000000000001" customHeight="1">
      <c r="B9" s="42" t="s">
        <v>127</v>
      </c>
      <c r="C9" s="43" t="s">
        <v>5</v>
      </c>
      <c r="D9" s="157">
        <f>Price_historical_LNG_min_GJ*LCV_LNG</f>
        <v>417.35</v>
      </c>
      <c r="E9" s="156">
        <v>8.5</v>
      </c>
      <c r="F9" s="278" t="s">
        <v>101</v>
      </c>
      <c r="G9" s="1"/>
    </row>
    <row r="10" spans="2:7" ht="17.100000000000001" customHeight="1">
      <c r="B10" s="42" t="s">
        <v>127</v>
      </c>
      <c r="C10" s="43" t="s">
        <v>6</v>
      </c>
      <c r="D10" s="157">
        <f>Price_historical_LNG_max_GJ*LCV_LNG</f>
        <v>456.63000000000005</v>
      </c>
      <c r="E10" s="156">
        <v>9.3000000000000007</v>
      </c>
      <c r="F10" s="278"/>
      <c r="G10" s="1"/>
    </row>
    <row r="11" spans="2:7" ht="17.100000000000001" customHeight="1">
      <c r="B11" s="42" t="s">
        <v>128</v>
      </c>
      <c r="C11" s="43" t="s">
        <v>5</v>
      </c>
      <c r="D11" s="157">
        <f>401*currency_exchange_rate</f>
        <v>328.82</v>
      </c>
      <c r="E11" s="158">
        <f>D11/LCV_LNG</f>
        <v>6.696945010183299</v>
      </c>
      <c r="F11" s="96" t="s">
        <v>129</v>
      </c>
      <c r="G11" s="1"/>
    </row>
    <row r="12" spans="2:7" ht="17.100000000000001" customHeight="1">
      <c r="B12" s="42" t="s">
        <v>128</v>
      </c>
      <c r="C12" s="43" t="s">
        <v>6</v>
      </c>
      <c r="D12" s="157">
        <f>1952*currency_exchange_rate</f>
        <v>1600.6399999999999</v>
      </c>
      <c r="E12" s="158">
        <f>D12/LCV_LNG</f>
        <v>32.599592668024435</v>
      </c>
      <c r="F12" s="96" t="s">
        <v>130</v>
      </c>
      <c r="G12" s="1"/>
    </row>
    <row r="13" spans="2:7" ht="17.100000000000001" customHeight="1">
      <c r="B13" s="42" t="s">
        <v>8</v>
      </c>
      <c r="C13" s="43" t="s">
        <v>5</v>
      </c>
      <c r="D13" s="157">
        <v>1127</v>
      </c>
      <c r="E13" s="156">
        <v>22.5</v>
      </c>
      <c r="F13" s="278" t="s">
        <v>102</v>
      </c>
      <c r="G13" s="1"/>
    </row>
    <row r="14" spans="2:7" ht="17.100000000000001" customHeight="1">
      <c r="B14" s="42" t="s">
        <v>8</v>
      </c>
      <c r="C14" s="43" t="s">
        <v>6</v>
      </c>
      <c r="D14" s="157">
        <v>2448</v>
      </c>
      <c r="E14" s="156">
        <v>49</v>
      </c>
      <c r="F14" s="278"/>
      <c r="G14" s="1"/>
    </row>
    <row r="15" spans="2:7" ht="17.100000000000001" customHeight="1">
      <c r="B15" s="42" t="s">
        <v>11</v>
      </c>
      <c r="C15" s="43" t="s">
        <v>5</v>
      </c>
      <c r="D15" s="157">
        <f>Price_e_LNG_min_GJ*LCV_e_LNG</f>
        <v>1638.5652</v>
      </c>
      <c r="E15" s="156">
        <v>33.372</v>
      </c>
      <c r="F15" s="48" t="s">
        <v>100</v>
      </c>
    </row>
    <row r="16" spans="2:7" ht="17.100000000000001" customHeight="1">
      <c r="B16" s="42" t="s">
        <v>11</v>
      </c>
      <c r="C16" s="43" t="s">
        <v>6</v>
      </c>
      <c r="D16" s="157">
        <f>Price_e_LNG_max_GJ*LCV_e_LNG</f>
        <v>3945.6759999999999</v>
      </c>
      <c r="E16" s="156">
        <f>98*currency_exchange_rate</f>
        <v>80.36</v>
      </c>
      <c r="F16" s="48" t="s">
        <v>104</v>
      </c>
    </row>
    <row r="17" spans="2:6" ht="17.100000000000001" customHeight="1">
      <c r="B17" s="42" t="s">
        <v>22</v>
      </c>
      <c r="C17" s="43" t="s">
        <v>5</v>
      </c>
      <c r="D17" s="157">
        <f>Price_e_methanol_min_GJ*LCV_e_methanol</f>
        <v>755.0856</v>
      </c>
      <c r="E17" s="156">
        <v>37.944000000000003</v>
      </c>
      <c r="F17" s="48" t="s">
        <v>100</v>
      </c>
    </row>
    <row r="18" spans="2:6" ht="17.100000000000001" customHeight="1">
      <c r="B18" s="42" t="s">
        <v>22</v>
      </c>
      <c r="C18" s="43" t="s">
        <v>6</v>
      </c>
      <c r="D18" s="159">
        <f>Price_e_methanol_max_GJ*LCV_e_methanol</f>
        <v>1925.5239999999997</v>
      </c>
      <c r="E18" s="160">
        <f>118*currency_exchange_rate</f>
        <v>96.759999999999991</v>
      </c>
      <c r="F18" s="48" t="s">
        <v>105</v>
      </c>
    </row>
    <row r="19" spans="2:6" ht="17.100000000000001" customHeight="1"/>
    <row r="20" spans="2:6" ht="17.100000000000001" customHeight="1"/>
    <row r="21" spans="2:6" ht="17.100000000000001" customHeight="1">
      <c r="B21" s="51" t="s">
        <v>106</v>
      </c>
      <c r="C21" s="50">
        <v>0.82</v>
      </c>
    </row>
  </sheetData>
  <mergeCells count="5">
    <mergeCell ref="F13:F14"/>
    <mergeCell ref="F3:F4"/>
    <mergeCell ref="F5:F6"/>
    <mergeCell ref="F9:F10"/>
    <mergeCell ref="D1:E1"/>
  </mergeCells>
  <hyperlinks>
    <hyperlink ref="F3" r:id="rId1" display="https://gasnam.es/wp-content/uploads/2020/03/CE_Delft_190236_Availability_and_costs_of_liquefied_bio-_and_synthetic_methane_Def.pdf" xr:uid="{00000000-0004-0000-0400-000000000000}"/>
    <hyperlink ref="F5" r:id="rId2" display="https://theicct.org/publication/the-potential-of-liquid-biofuels-in-reducing-ship-emissions/" xr:uid="{00000000-0004-0000-0400-000001000000}"/>
    <hyperlink ref="F7" r:id="rId3" display="https://www.transportenvironment.org/wp-content/uploads/2021/07/2020_Report_RES_to_decarbonise_transport_in_EU.pdf" xr:uid="{00000000-0004-0000-0400-000002000000}"/>
    <hyperlink ref="F15" r:id="rId4" display="https://www.transportenvironment.org/wp-content/uploads/2021/07/2020_Report_RES_to_decarbonise_transport_in_EU.pdf" xr:uid="{00000000-0004-0000-0400-000003000000}"/>
    <hyperlink ref="F17" r:id="rId5" display="https://www.transportenvironment.org/wp-content/uploads/2021/07/2020_Report_RES_to_decarbonise_transport_in_EU.pdf" xr:uid="{00000000-0004-0000-0400-000004000000}"/>
    <hyperlink ref="F9" r:id="rId6" display="https://gasnam.es/wp-content/uploads/2020/03/CE_Delft_190236_Availability_and_costs_of_liquefied_bio-_and_synthetic_methane_Def.pdf" xr:uid="{00000000-0004-0000-0400-000005000000}"/>
    <hyperlink ref="F13" r:id="rId7" display="https://gasnam.es/wp-content/uploads/2020/03/CE_Delft_190236_Availability_and_costs_of_liquefied_bio-_and_synthetic_methane_Def.pdf" xr:uid="{00000000-0004-0000-0400-000006000000}"/>
    <hyperlink ref="F8" r:id="rId8" location=":~:text=This%20evolution%20through%20the%202020s,competitive%20from%20today%20to%202050." display="https://www.lr.org/en/insights/global-marine-trends-2030/techno-economic-assessment-of-zero-carbon-fuels/ - :~:text=This%20evolution%20through%20the%202020s,competitive%20from%20today%20to%202050." xr:uid="{00000000-0004-0000-0400-000007000000}"/>
    <hyperlink ref="F16" r:id="rId9" location=":~:text=This%20evolution%20through%20the%202020s,competitive%20from%20today%20to%202050." display="https://www.lr.org/en/insights/global-marine-trends-2030/techno-economic-assessment-of-zero-carbon-fuels/ - :~:text=This%20evolution%20through%20the%202020s,competitive%20from%20today%20to%202050." xr:uid="{00000000-0004-0000-0400-000008000000}"/>
    <hyperlink ref="F18" r:id="rId10" location=":~:text=This%20evolution%20through%20the%202020s,competitive%20from%20today%20to%202050." display="https://www.lr.org/en/insights/global-marine-trends-2030/techno-economic-assessment-of-zero-carbon-fuels/ - :~:text=This%20evolution%20through%20the%202020s,competitive%20from%20today%20to%202050." xr:uid="{00000000-0004-0000-0400-000009000000}"/>
  </hyperlinks>
  <pageMargins left="0.7" right="0.7" top="0.75" bottom="0.75" header="0.3" footer="0.3"/>
  <pageSetup paperSize="9" scale="36" fitToHeight="0" orientation="portrait" r:id="rId11"/>
  <ignoredErrors>
    <ignoredError sqref="D3:E18"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V67"/>
  <sheetViews>
    <sheetView showGridLines="0" zoomScaleNormal="100" workbookViewId="0">
      <pane xSplit="3" topLeftCell="D1" activePane="topRight" state="frozen"/>
      <selection pane="topRight" activeCell="C18" sqref="C18"/>
    </sheetView>
  </sheetViews>
  <sheetFormatPr defaultColWidth="11.125" defaultRowHeight="15.75"/>
  <cols>
    <col min="1" max="1" width="5.5" customWidth="1"/>
    <col min="2" max="2" width="84.875" customWidth="1"/>
    <col min="3" max="3" width="90.5" customWidth="1"/>
    <col min="4" max="6" width="11.125" customWidth="1"/>
    <col min="7" max="7" width="22.625" customWidth="1"/>
    <col min="8" max="18" width="12.375" style="3" customWidth="1"/>
    <col min="19" max="22" width="12.375" customWidth="1"/>
  </cols>
  <sheetData>
    <row r="2" spans="2:22" s="3" customFormat="1">
      <c r="B2" s="228" t="s">
        <v>112</v>
      </c>
      <c r="C2" s="226" t="s">
        <v>111</v>
      </c>
      <c r="D2" s="227" t="s">
        <v>182</v>
      </c>
      <c r="E2" s="233"/>
      <c r="F2" s="234"/>
      <c r="G2" s="231" t="s">
        <v>183</v>
      </c>
      <c r="H2" s="226" t="s">
        <v>180</v>
      </c>
      <c r="I2" s="226"/>
      <c r="J2" s="226"/>
      <c r="K2" s="226"/>
      <c r="L2" s="226"/>
      <c r="M2" s="226"/>
      <c r="N2" s="226"/>
      <c r="O2" s="226"/>
      <c r="P2" s="226"/>
      <c r="Q2" s="226"/>
      <c r="R2" s="226"/>
      <c r="S2" s="226"/>
      <c r="T2" s="226"/>
      <c r="U2" s="226"/>
      <c r="V2" s="227"/>
    </row>
    <row r="3" spans="2:22" s="3" customFormat="1" ht="16.5" thickBot="1">
      <c r="B3" s="229"/>
      <c r="C3" s="230"/>
      <c r="D3" s="77" t="s">
        <v>5</v>
      </c>
      <c r="E3" s="77" t="s">
        <v>6</v>
      </c>
      <c r="F3" s="78" t="s">
        <v>44</v>
      </c>
      <c r="G3" s="232"/>
      <c r="H3" s="77" t="str">
        <f>'Vessel - route, cargo database'!C43</f>
        <v>Pair of shoes</v>
      </c>
      <c r="I3" s="77" t="str">
        <f>'Vessel - route, cargo database'!C44</f>
        <v>Banana</v>
      </c>
      <c r="J3" s="77" t="str">
        <f>'Vessel - route, cargo database'!C45</f>
        <v>TV</v>
      </c>
      <c r="K3" s="77" t="str">
        <f>'Vessel - route, cargo database'!C46</f>
        <v>Refrigerator</v>
      </c>
      <c r="L3" s="77">
        <f>'Vessel - route, cargo database'!C47</f>
        <v>0</v>
      </c>
      <c r="M3" s="77">
        <f>'Vessel - route, cargo database'!C48</f>
        <v>0</v>
      </c>
      <c r="N3" s="77">
        <f>'Vessel - route, cargo database'!C49</f>
        <v>0</v>
      </c>
      <c r="O3" s="77">
        <f>'Vessel - route, cargo database'!C50</f>
        <v>0</v>
      </c>
      <c r="P3" s="77">
        <f>'Vessel - route, cargo database'!C51</f>
        <v>0</v>
      </c>
      <c r="Q3" s="77">
        <f>'Vessel - route, cargo database'!C52</f>
        <v>0</v>
      </c>
      <c r="R3" s="77">
        <f>'Vessel - route, cargo database'!C53</f>
        <v>0</v>
      </c>
      <c r="S3" s="77">
        <f>'Vessel - route, cargo database'!C54</f>
        <v>0</v>
      </c>
      <c r="T3" s="77">
        <f>'Vessel - route, cargo database'!C55</f>
        <v>0</v>
      </c>
      <c r="U3" s="77">
        <f>'Vessel - route, cargo database'!C56</f>
        <v>0</v>
      </c>
      <c r="V3" s="78">
        <f>'Vessel - route, cargo database'!C57</f>
        <v>0</v>
      </c>
    </row>
    <row r="4" spans="2:22" ht="33.75" customHeight="1" thickTop="1">
      <c r="B4" s="207" t="str">
        <f>Calculations!I3</f>
        <v>Scenario 1: No fuel switch (i.e. no FuelEU Maritime) + ETS carbon pricing (50% of extra-EU voyage)</v>
      </c>
      <c r="C4" s="208" t="str">
        <f>Calculations!I7</f>
        <v>Fuel Oil (VLSFO)</v>
      </c>
      <c r="D4" s="215">
        <f>Calculations!K13</f>
        <v>27.101643859628535</v>
      </c>
      <c r="E4" s="214">
        <f>Calculations!L13</f>
        <v>27.101643859628535</v>
      </c>
      <c r="F4" s="214">
        <f>Calculations!M13</f>
        <v>27.101643859628535</v>
      </c>
      <c r="G4" s="210">
        <f t="shared" ref="G4:G15" si="0">(TEU_freight_rate_2021+F4-TEU_freight_rate_2021)/(TEU_freight_rate_2021)</f>
        <v>3.4499775777316249E-2</v>
      </c>
      <c r="H4" s="213">
        <f t="shared" ref="H4:V15" si="1">IFERROR($F4/(INDEX(number_of_items_per_TEU,MATCH(H$3,containerised_goods,0))),"")</f>
        <v>5.4203287719257068E-3</v>
      </c>
      <c r="I4" s="213">
        <f t="shared" si="1"/>
        <v>5.6461758040892785E-4</v>
      </c>
      <c r="J4" s="213">
        <f t="shared" si="1"/>
        <v>6.7754109649071331E-2</v>
      </c>
      <c r="K4" s="213">
        <f t="shared" si="1"/>
        <v>0.54203287719257065</v>
      </c>
      <c r="L4" s="213" t="str">
        <f t="shared" si="1"/>
        <v/>
      </c>
      <c r="M4" s="213" t="str">
        <f t="shared" si="1"/>
        <v/>
      </c>
      <c r="N4" s="213" t="str">
        <f t="shared" si="1"/>
        <v/>
      </c>
      <c r="O4" s="213" t="str">
        <f t="shared" si="1"/>
        <v/>
      </c>
      <c r="P4" s="213" t="str">
        <f t="shared" si="1"/>
        <v/>
      </c>
      <c r="Q4" s="213" t="str">
        <f t="shared" si="1"/>
        <v/>
      </c>
      <c r="R4" s="213" t="str">
        <f t="shared" si="1"/>
        <v/>
      </c>
      <c r="S4" s="213" t="str">
        <f t="shared" si="1"/>
        <v/>
      </c>
      <c r="T4" s="213" t="str">
        <f t="shared" si="1"/>
        <v/>
      </c>
      <c r="U4" s="213" t="str">
        <f t="shared" si="1"/>
        <v/>
      </c>
      <c r="V4" s="213" t="str">
        <f t="shared" si="1"/>
        <v/>
      </c>
    </row>
    <row r="5" spans="2:22" ht="42.75" customHeight="1">
      <c r="B5" s="209" t="str">
        <f>Calculations!I3</f>
        <v>Scenario 1: No fuel switch (i.e. no FuelEU Maritime) + ETS carbon pricing (50% of extra-EU voyage)</v>
      </c>
      <c r="C5" s="208" t="str">
        <f>Calculations!I26</f>
        <v>93.2% Fossil LNG (DF HP 2 stroke) (historical prices) - 6.8% pilot VLSFO (energy shares)</v>
      </c>
      <c r="D5" s="215">
        <f>Calculations!K35</f>
        <v>0.83140819352621287</v>
      </c>
      <c r="E5" s="214">
        <f>Calculations!L35</f>
        <v>-3.9421215119960809</v>
      </c>
      <c r="F5" s="214">
        <f>Calculations!M35</f>
        <v>-1.5553566592349339</v>
      </c>
      <c r="G5" s="210">
        <f t="shared" si="0"/>
        <v>-1.9799336259928167E-3</v>
      </c>
      <c r="H5" s="213">
        <f t="shared" si="1"/>
        <v>-3.110713318469868E-4</v>
      </c>
      <c r="I5" s="213">
        <f t="shared" si="1"/>
        <v>-3.2403263734061121E-5</v>
      </c>
      <c r="J5" s="213">
        <f t="shared" si="1"/>
        <v>-3.8883916480873348E-3</v>
      </c>
      <c r="K5" s="213">
        <f t="shared" si="1"/>
        <v>-3.1107133184698679E-2</v>
      </c>
      <c r="L5" s="213" t="str">
        <f t="shared" si="1"/>
        <v/>
      </c>
      <c r="M5" s="213" t="str">
        <f t="shared" si="1"/>
        <v/>
      </c>
      <c r="N5" s="213" t="str">
        <f t="shared" si="1"/>
        <v/>
      </c>
      <c r="O5" s="213" t="str">
        <f t="shared" si="1"/>
        <v/>
      </c>
      <c r="P5" s="213" t="str">
        <f t="shared" si="1"/>
        <v/>
      </c>
      <c r="Q5" s="213" t="str">
        <f t="shared" si="1"/>
        <v/>
      </c>
      <c r="R5" s="213" t="str">
        <f t="shared" si="1"/>
        <v/>
      </c>
      <c r="S5" s="213" t="str">
        <f t="shared" si="1"/>
        <v/>
      </c>
      <c r="T5" s="213" t="str">
        <f t="shared" si="1"/>
        <v/>
      </c>
      <c r="U5" s="213" t="str">
        <f t="shared" si="1"/>
        <v/>
      </c>
      <c r="V5" s="213" t="str">
        <f t="shared" si="1"/>
        <v/>
      </c>
    </row>
    <row r="6" spans="2:22" ht="33" customHeight="1">
      <c r="B6" s="209" t="str">
        <f>Calculations!I3</f>
        <v>Scenario 1: No fuel switch (i.e. no FuelEU Maritime) + ETS carbon pricing (50% of extra-EU voyage)</v>
      </c>
      <c r="C6" s="208" t="str">
        <f>Calculations!I46</f>
        <v>93.2% Fossil LNG (DF HP 2 stroke) (post-COVID prices) - 6.8% pilot VLSFO (energy shares)</v>
      </c>
      <c r="D6" s="215">
        <f>Calculations!K55</f>
        <v>-11.464215455874164</v>
      </c>
      <c r="E6" s="214">
        <f>Calculations!L55</f>
        <v>154.94544666998223</v>
      </c>
      <c r="F6" s="214">
        <f>Calculations!M55</f>
        <v>71.740615607054039</v>
      </c>
      <c r="G6" s="210">
        <f t="shared" si="0"/>
        <v>9.1324170791605985E-2</v>
      </c>
      <c r="H6" s="213">
        <f t="shared" si="1"/>
        <v>1.4348123121410808E-2</v>
      </c>
      <c r="I6" s="213">
        <f t="shared" si="1"/>
        <v>1.4945961584802924E-3</v>
      </c>
      <c r="J6" s="213">
        <f t="shared" si="1"/>
        <v>0.17935153901763509</v>
      </c>
      <c r="K6" s="213">
        <f t="shared" si="1"/>
        <v>1.4348123121410807</v>
      </c>
      <c r="L6" s="213" t="str">
        <f t="shared" si="1"/>
        <v/>
      </c>
      <c r="M6" s="213" t="str">
        <f t="shared" si="1"/>
        <v/>
      </c>
      <c r="N6" s="213" t="str">
        <f t="shared" si="1"/>
        <v/>
      </c>
      <c r="O6" s="213" t="str">
        <f t="shared" si="1"/>
        <v/>
      </c>
      <c r="P6" s="213" t="str">
        <f t="shared" si="1"/>
        <v/>
      </c>
      <c r="Q6" s="213" t="str">
        <f t="shared" si="1"/>
        <v/>
      </c>
      <c r="R6" s="213" t="str">
        <f t="shared" si="1"/>
        <v/>
      </c>
      <c r="S6" s="213" t="str">
        <f t="shared" si="1"/>
        <v/>
      </c>
      <c r="T6" s="213" t="str">
        <f t="shared" si="1"/>
        <v/>
      </c>
      <c r="U6" s="213" t="str">
        <f t="shared" si="1"/>
        <v/>
      </c>
      <c r="V6" s="213" t="str">
        <f t="shared" si="1"/>
        <v/>
      </c>
    </row>
    <row r="7" spans="2:22" ht="36" customHeight="1">
      <c r="B7" s="209" t="str">
        <f>Calculations!P3</f>
        <v>Scenario 2: Limited fuel blending/co-combustion (50% of voyage) + ETS carbon pricing (50% of the voyage)</v>
      </c>
      <c r="C7" s="208" t="str">
        <f>Calculations!P7&amp;" || "&amp;Calculations!P11</f>
        <v>Fuel covered by FuelEU/ETS: 17.68% Biodiesel | 82.32% VLSFO (by energy) || Fuel not covered by FuelEU/ETS: 100% VLSFO</v>
      </c>
      <c r="D7" s="211">
        <f>Calculations!R15</f>
        <v>28.253558645170493</v>
      </c>
      <c r="E7" s="212">
        <f>Calculations!S15</f>
        <v>35.236427798657772</v>
      </c>
      <c r="F7" s="212">
        <f>Calculations!T15</f>
        <v>31.744993221914132</v>
      </c>
      <c r="G7" s="210">
        <f t="shared" si="0"/>
        <v>4.0410653829006209E-2</v>
      </c>
      <c r="H7" s="213">
        <f t="shared" si="1"/>
        <v>6.3489986443828264E-3</v>
      </c>
      <c r="I7" s="213">
        <f t="shared" si="1"/>
        <v>6.6135402545654438E-4</v>
      </c>
      <c r="J7" s="213">
        <f t="shared" si="1"/>
        <v>7.9362483054785327E-2</v>
      </c>
      <c r="K7" s="213">
        <f t="shared" si="1"/>
        <v>0.63489986443828261</v>
      </c>
      <c r="L7" s="213" t="str">
        <f t="shared" si="1"/>
        <v/>
      </c>
      <c r="M7" s="213" t="str">
        <f t="shared" si="1"/>
        <v/>
      </c>
      <c r="N7" s="213" t="str">
        <f t="shared" si="1"/>
        <v/>
      </c>
      <c r="O7" s="213" t="str">
        <f t="shared" si="1"/>
        <v/>
      </c>
      <c r="P7" s="213" t="str">
        <f t="shared" si="1"/>
        <v/>
      </c>
      <c r="Q7" s="213" t="str">
        <f t="shared" si="1"/>
        <v/>
      </c>
      <c r="R7" s="213" t="str">
        <f t="shared" si="1"/>
        <v/>
      </c>
      <c r="S7" s="213" t="str">
        <f t="shared" si="1"/>
        <v/>
      </c>
      <c r="T7" s="213" t="str">
        <f t="shared" si="1"/>
        <v/>
      </c>
      <c r="U7" s="213" t="str">
        <f t="shared" si="1"/>
        <v/>
      </c>
      <c r="V7" s="213" t="str">
        <f t="shared" si="1"/>
        <v/>
      </c>
    </row>
    <row r="8" spans="2:22" ht="27.75" customHeight="1">
      <c r="B8" s="209" t="str">
        <f>Calculations!P3</f>
        <v>Scenario 2: Limited fuel blending/co-combustion (50% of voyage) + ETS carbon pricing (50% of the voyage)</v>
      </c>
      <c r="C8" s="208" t="str">
        <f>Calculations!P26&amp;" || "&amp;Calculations!P30</f>
        <v>Fuel covered by FuelEU/ETS: 6% e-NH3 | 10.53% Biodiesel | 83.47% VLSFO || Fuel not covered by FuelEU/ETS: 100% VLSFO</v>
      </c>
      <c r="D8" s="211">
        <f>Calculations!R34</f>
        <v>29.496982216719843</v>
      </c>
      <c r="E8" s="212">
        <f>Calculations!S34</f>
        <v>42.169738843482989</v>
      </c>
      <c r="F8" s="212">
        <f>Calculations!T34</f>
        <v>35.833360530101416</v>
      </c>
      <c r="G8" s="210">
        <f t="shared" si="0"/>
        <v>4.5615052357683004E-2</v>
      </c>
      <c r="H8" s="213">
        <f t="shared" si="1"/>
        <v>7.1666721060202835E-3</v>
      </c>
      <c r="I8" s="213">
        <f t="shared" si="1"/>
        <v>7.4652834437711286E-4</v>
      </c>
      <c r="J8" s="213">
        <f t="shared" si="1"/>
        <v>8.9583401325253539E-2</v>
      </c>
      <c r="K8" s="213">
        <f t="shared" si="1"/>
        <v>0.71666721060202832</v>
      </c>
      <c r="L8" s="213" t="str">
        <f t="shared" si="1"/>
        <v/>
      </c>
      <c r="M8" s="213" t="str">
        <f t="shared" si="1"/>
        <v/>
      </c>
      <c r="N8" s="213" t="str">
        <f t="shared" si="1"/>
        <v/>
      </c>
      <c r="O8" s="213" t="str">
        <f t="shared" si="1"/>
        <v/>
      </c>
      <c r="P8" s="213" t="str">
        <f t="shared" si="1"/>
        <v/>
      </c>
      <c r="Q8" s="213" t="str">
        <f t="shared" si="1"/>
        <v/>
      </c>
      <c r="R8" s="213" t="str">
        <f t="shared" si="1"/>
        <v/>
      </c>
      <c r="S8" s="213" t="str">
        <f t="shared" si="1"/>
        <v/>
      </c>
      <c r="T8" s="213" t="str">
        <f t="shared" si="1"/>
        <v/>
      </c>
      <c r="U8" s="213" t="str">
        <f t="shared" si="1"/>
        <v/>
      </c>
      <c r="V8" s="213" t="str">
        <f t="shared" si="1"/>
        <v/>
      </c>
    </row>
    <row r="9" spans="2:22" ht="36" customHeight="1">
      <c r="B9" s="209" t="str">
        <f>Calculations!P3</f>
        <v>Scenario 2: Limited fuel blending/co-combustion (50% of voyage) + ETS carbon pricing (50% of the voyage)</v>
      </c>
      <c r="C9" s="208" t="str">
        <f>Calculations!P46&amp;" || "&amp;Calculations!P51</f>
        <v>Fuel covered by FuelEU/ETS: 6% e-LNG | 87.2% fossil LNG (historical prices) | 0.0% Biodiesel (pilot)| 6.8% VLSFO (pilot) || Fuel not covered by FuelEU/ETS: 93.2% Fossil LNG (DF HP 2 stroke) (historical prices) - 6.8% pilot VLSFO (energy shares)</v>
      </c>
      <c r="D9" s="211">
        <f>Calculations!R55</f>
        <v>5.4974668815684931</v>
      </c>
      <c r="E9" s="212">
        <f>Calculations!S55</f>
        <v>10.859185421122211</v>
      </c>
      <c r="F9" s="212">
        <f>Calculations!T55</f>
        <v>8.1783261513453525</v>
      </c>
      <c r="G9" s="210">
        <f t="shared" si="0"/>
        <v>1.0410823045146579E-2</v>
      </c>
      <c r="H9" s="213">
        <f t="shared" si="1"/>
        <v>1.6356652302690704E-3</v>
      </c>
      <c r="I9" s="213">
        <f t="shared" si="1"/>
        <v>1.7038179481969484E-4</v>
      </c>
      <c r="J9" s="213">
        <f t="shared" si="1"/>
        <v>2.0445815378363381E-2</v>
      </c>
      <c r="K9" s="213">
        <f t="shared" si="1"/>
        <v>0.16356652302690705</v>
      </c>
      <c r="L9" s="213" t="str">
        <f t="shared" si="1"/>
        <v/>
      </c>
      <c r="M9" s="213" t="str">
        <f t="shared" si="1"/>
        <v/>
      </c>
      <c r="N9" s="213" t="str">
        <f t="shared" si="1"/>
        <v/>
      </c>
      <c r="O9" s="213" t="str">
        <f t="shared" si="1"/>
        <v/>
      </c>
      <c r="P9" s="213" t="str">
        <f t="shared" si="1"/>
        <v/>
      </c>
      <c r="Q9" s="213" t="str">
        <f t="shared" si="1"/>
        <v/>
      </c>
      <c r="R9" s="213" t="str">
        <f t="shared" si="1"/>
        <v/>
      </c>
      <c r="S9" s="213" t="str">
        <f t="shared" si="1"/>
        <v/>
      </c>
      <c r="T9" s="213" t="str">
        <f t="shared" si="1"/>
        <v/>
      </c>
      <c r="U9" s="213" t="str">
        <f t="shared" si="1"/>
        <v/>
      </c>
      <c r="V9" s="213" t="str">
        <f t="shared" si="1"/>
        <v/>
      </c>
    </row>
    <row r="10" spans="2:22" ht="39" customHeight="1">
      <c r="B10" s="209" t="str">
        <f>Calculations!P3</f>
        <v>Scenario 2: Limited fuel blending/co-combustion (50% of voyage) + ETS carbon pricing (50% of the voyage)</v>
      </c>
      <c r="C10" s="208" t="str">
        <f>Calculations!P69&amp;" || "&amp;Calculations!P74</f>
        <v>Fuel covered by FuelEU/ETS: 6% e-LNG | 87.2% fossil LNG (post-COVID prices) | 0.0% Biodiesel (pilot)| 6.8% VLSFO (pilot) || Fuel not covered by FuelEU/ETS: 93.2% Fossil LNG (DF HP 2 stroke) (post-COVID prices) - 6.8% pilot VLSFO (energy shares)</v>
      </c>
      <c r="D10" s="211">
        <f>Calculations!R78</f>
        <v>-6.4025040025830107</v>
      </c>
      <c r="E10" s="212">
        <f>Calculations!S78</f>
        <v>164.6340153226038</v>
      </c>
      <c r="F10" s="212">
        <f>Calculations!T78</f>
        <v>79.115755660010393</v>
      </c>
      <c r="G10" s="210">
        <f t="shared" si="0"/>
        <v>0.10071255621468804</v>
      </c>
      <c r="H10" s="213">
        <f t="shared" si="1"/>
        <v>1.582315113200208E-2</v>
      </c>
      <c r="I10" s="213">
        <f t="shared" si="1"/>
        <v>1.6482449095835499E-3</v>
      </c>
      <c r="J10" s="213">
        <f t="shared" si="1"/>
        <v>0.19778938915002597</v>
      </c>
      <c r="K10" s="213">
        <f t="shared" si="1"/>
        <v>1.5823151132002078</v>
      </c>
      <c r="L10" s="213" t="str">
        <f t="shared" si="1"/>
        <v/>
      </c>
      <c r="M10" s="213" t="str">
        <f t="shared" si="1"/>
        <v/>
      </c>
      <c r="N10" s="213" t="str">
        <f t="shared" si="1"/>
        <v/>
      </c>
      <c r="O10" s="213" t="str">
        <f t="shared" si="1"/>
        <v/>
      </c>
      <c r="P10" s="213" t="str">
        <f t="shared" si="1"/>
        <v/>
      </c>
      <c r="Q10" s="213" t="str">
        <f t="shared" si="1"/>
        <v/>
      </c>
      <c r="R10" s="213" t="str">
        <f t="shared" si="1"/>
        <v/>
      </c>
      <c r="S10" s="213" t="str">
        <f t="shared" si="1"/>
        <v/>
      </c>
      <c r="T10" s="213" t="str">
        <f t="shared" si="1"/>
        <v/>
      </c>
      <c r="U10" s="213" t="str">
        <f t="shared" si="1"/>
        <v/>
      </c>
      <c r="V10" s="213" t="str">
        <f t="shared" si="1"/>
        <v/>
      </c>
    </row>
    <row r="11" spans="2:22" ht="41.25" customHeight="1">
      <c r="B11" s="209" t="str">
        <f>Calculations!P3</f>
        <v>Scenario 2: Limited fuel blending/co-combustion (50% of voyage) + ETS carbon pricing (50% of the voyage)</v>
      </c>
      <c r="C11" s="208" t="str">
        <f>Calculations!P92&amp;" || "&amp;Calculations!P96</f>
        <v>Fuel covered by FuelEU/ETS: 6% e-Methanol | 10.87% Biodiesel | 83.13% VLSFO || Fuel not covered by FuelEU/ETS: 100% VLSFO</v>
      </c>
      <c r="D11" s="211">
        <f>Calculations!R100</f>
        <v>32.021310295077392</v>
      </c>
      <c r="E11" s="212">
        <f>Calculations!S100</f>
        <v>48.893322885575294</v>
      </c>
      <c r="F11" s="212">
        <f>Calculations!T100</f>
        <v>40.457316590326343</v>
      </c>
      <c r="G11" s="210">
        <f t="shared" si="0"/>
        <v>5.1501243177257502E-2</v>
      </c>
      <c r="H11" s="213">
        <f t="shared" si="1"/>
        <v>8.0914633180652687E-3</v>
      </c>
      <c r="I11" s="213">
        <f t="shared" si="1"/>
        <v>8.4286076229846553E-4</v>
      </c>
      <c r="J11" s="213">
        <f t="shared" si="1"/>
        <v>0.10114329147581586</v>
      </c>
      <c r="K11" s="213">
        <f t="shared" si="1"/>
        <v>0.80914633180652684</v>
      </c>
      <c r="L11" s="213" t="str">
        <f t="shared" si="1"/>
        <v/>
      </c>
      <c r="M11" s="213" t="str">
        <f t="shared" si="1"/>
        <v/>
      </c>
      <c r="N11" s="213" t="str">
        <f t="shared" si="1"/>
        <v/>
      </c>
      <c r="O11" s="213" t="str">
        <f t="shared" si="1"/>
        <v/>
      </c>
      <c r="P11" s="213" t="str">
        <f t="shared" si="1"/>
        <v/>
      </c>
      <c r="Q11" s="213" t="str">
        <f t="shared" si="1"/>
        <v/>
      </c>
      <c r="R11" s="213" t="str">
        <f t="shared" si="1"/>
        <v/>
      </c>
      <c r="S11" s="213" t="str">
        <f t="shared" si="1"/>
        <v/>
      </c>
      <c r="T11" s="213" t="str">
        <f t="shared" si="1"/>
        <v/>
      </c>
      <c r="U11" s="213" t="str">
        <f t="shared" si="1"/>
        <v/>
      </c>
      <c r="V11" s="213" t="str">
        <f t="shared" si="1"/>
        <v/>
      </c>
    </row>
    <row r="12" spans="2:22" ht="42.75" customHeight="1">
      <c r="B12" s="209" t="str">
        <f>Calculations!W3</f>
        <v>Scenario 3: Complete FEUM fuel blending/co-combustion (entire voyage covered by MRV) + ETS carbon pricing (50% voyage)</v>
      </c>
      <c r="C12" s="208" t="str">
        <f>Calculations!W7</f>
        <v>100% Biodiesel</v>
      </c>
      <c r="D12" s="211">
        <f>Calculations!Y14</f>
        <v>62.875345627055772</v>
      </c>
      <c r="E12" s="212">
        <f>Calculations!Z14</f>
        <v>141.87182454425007</v>
      </c>
      <c r="F12" s="212">
        <f>Calculations!AA14</f>
        <v>102.37358508565292</v>
      </c>
      <c r="G12" s="210">
        <f t="shared" si="0"/>
        <v>0.13031924370595876</v>
      </c>
      <c r="H12" s="213">
        <f t="shared" si="1"/>
        <v>2.0474717017130585E-2</v>
      </c>
      <c r="I12" s="213">
        <f t="shared" si="1"/>
        <v>2.1327830226177693E-3</v>
      </c>
      <c r="J12" s="213">
        <f t="shared" si="1"/>
        <v>0.25593396271413232</v>
      </c>
      <c r="K12" s="213">
        <f t="shared" si="1"/>
        <v>2.0474717017130586</v>
      </c>
      <c r="L12" s="213" t="str">
        <f t="shared" si="1"/>
        <v/>
      </c>
      <c r="M12" s="213" t="str">
        <f t="shared" si="1"/>
        <v/>
      </c>
      <c r="N12" s="213" t="str">
        <f t="shared" si="1"/>
        <v/>
      </c>
      <c r="O12" s="213" t="str">
        <f t="shared" si="1"/>
        <v/>
      </c>
      <c r="P12" s="213" t="str">
        <f t="shared" si="1"/>
        <v/>
      </c>
      <c r="Q12" s="213" t="str">
        <f t="shared" si="1"/>
        <v/>
      </c>
      <c r="R12" s="213" t="str">
        <f t="shared" si="1"/>
        <v/>
      </c>
      <c r="S12" s="213" t="str">
        <f t="shared" si="1"/>
        <v/>
      </c>
      <c r="T12" s="213" t="str">
        <f t="shared" si="1"/>
        <v/>
      </c>
      <c r="U12" s="213" t="str">
        <f t="shared" si="1"/>
        <v/>
      </c>
      <c r="V12" s="213" t="str">
        <f t="shared" si="1"/>
        <v/>
      </c>
    </row>
    <row r="13" spans="2:22" ht="39.75" customHeight="1">
      <c r="B13" s="209" t="str">
        <f>Calculations!W3</f>
        <v>Scenario 3: Complete FEUM fuel blending/co-combustion (entire voyage covered by MRV) + ETS carbon pricing (50% voyage)</v>
      </c>
      <c r="C13" s="208" t="str">
        <f>Calculations!W26</f>
        <v>100% e-NH3</v>
      </c>
      <c r="D13" s="211">
        <f>Calculations!Y33</f>
        <v>111.18022958716237</v>
      </c>
      <c r="E13" s="212">
        <f>Calculations!Z33</f>
        <v>394.98239458597152</v>
      </c>
      <c r="F13" s="212">
        <f>Calculations!AA33</f>
        <v>253.08131208656695</v>
      </c>
      <c r="G13" s="210">
        <f t="shared" si="0"/>
        <v>0.32216674994471062</v>
      </c>
      <c r="H13" s="213">
        <f t="shared" si="1"/>
        <v>5.0616262417313387E-2</v>
      </c>
      <c r="I13" s="213">
        <f t="shared" si="1"/>
        <v>5.2725273351368115E-3</v>
      </c>
      <c r="J13" s="213">
        <f t="shared" si="1"/>
        <v>0.63270328021641742</v>
      </c>
      <c r="K13" s="213">
        <f t="shared" si="1"/>
        <v>5.0616262417313393</v>
      </c>
      <c r="L13" s="213" t="str">
        <f t="shared" si="1"/>
        <v/>
      </c>
      <c r="M13" s="213" t="str">
        <f t="shared" si="1"/>
        <v/>
      </c>
      <c r="N13" s="213" t="str">
        <f t="shared" si="1"/>
        <v/>
      </c>
      <c r="O13" s="213" t="str">
        <f t="shared" si="1"/>
        <v/>
      </c>
      <c r="P13" s="213" t="str">
        <f t="shared" si="1"/>
        <v/>
      </c>
      <c r="Q13" s="213" t="str">
        <f t="shared" si="1"/>
        <v/>
      </c>
      <c r="R13" s="213" t="str">
        <f t="shared" si="1"/>
        <v/>
      </c>
      <c r="S13" s="213" t="str">
        <f t="shared" si="1"/>
        <v/>
      </c>
      <c r="T13" s="213" t="str">
        <f t="shared" si="1"/>
        <v/>
      </c>
      <c r="U13" s="213" t="str">
        <f t="shared" si="1"/>
        <v/>
      </c>
      <c r="V13" s="213" t="str">
        <f t="shared" si="1"/>
        <v/>
      </c>
    </row>
    <row r="14" spans="2:22" ht="45" customHeight="1">
      <c r="B14" s="209" t="str">
        <f>Calculations!W3</f>
        <v>Scenario 3: Complete FEUM fuel blending/co-combustion (entire voyage covered by MRV) + ETS carbon pricing (50% voyage)</v>
      </c>
      <c r="C14" s="208" t="str">
        <f>Calculations!W46</f>
        <v>93.2% e-LNG (DF HP 2 stroke) - 6.8% pilot biodiesel (energy shares)</v>
      </c>
      <c r="D14" s="211">
        <f>Calculations!Y55</f>
        <v>160.56140162269685</v>
      </c>
      <c r="E14" s="212">
        <f>Calculations!Z55</f>
        <v>476.10673543297457</v>
      </c>
      <c r="F14" s="212">
        <f>Calculations!AA55</f>
        <v>318.33406852783571</v>
      </c>
      <c r="G14" s="210">
        <f t="shared" si="0"/>
        <v>0.40523202368735151</v>
      </c>
      <c r="H14" s="213">
        <f t="shared" si="1"/>
        <v>6.3666813705567149E-2</v>
      </c>
      <c r="I14" s="213">
        <f t="shared" si="1"/>
        <v>6.6319597609965772E-3</v>
      </c>
      <c r="J14" s="213">
        <f t="shared" si="1"/>
        <v>0.79583517131958925</v>
      </c>
      <c r="K14" s="213">
        <f t="shared" si="1"/>
        <v>6.366681370556714</v>
      </c>
      <c r="L14" s="213" t="str">
        <f t="shared" si="1"/>
        <v/>
      </c>
      <c r="M14" s="213" t="str">
        <f t="shared" si="1"/>
        <v/>
      </c>
      <c r="N14" s="213" t="str">
        <f t="shared" si="1"/>
        <v/>
      </c>
      <c r="O14" s="213" t="str">
        <f t="shared" si="1"/>
        <v/>
      </c>
      <c r="P14" s="213" t="str">
        <f t="shared" si="1"/>
        <v/>
      </c>
      <c r="Q14" s="213" t="str">
        <f t="shared" si="1"/>
        <v/>
      </c>
      <c r="R14" s="213" t="str">
        <f t="shared" si="1"/>
        <v/>
      </c>
      <c r="S14" s="213" t="str">
        <f t="shared" si="1"/>
        <v/>
      </c>
      <c r="T14" s="213" t="str">
        <f t="shared" si="1"/>
        <v/>
      </c>
      <c r="U14" s="213" t="str">
        <f t="shared" si="1"/>
        <v/>
      </c>
      <c r="V14" s="213" t="str">
        <f t="shared" si="1"/>
        <v/>
      </c>
    </row>
    <row r="15" spans="2:22" ht="51.75" customHeight="1">
      <c r="B15" s="209" t="str">
        <f>Calculations!W3</f>
        <v>Scenario 3: Complete FEUM fuel blending/co-combustion (entire voyage covered by MRV) + ETS carbon pricing (50% voyage)</v>
      </c>
      <c r="C15" s="208" t="str">
        <f>Calculations!W95</f>
        <v>100% e-Methanol</v>
      </c>
      <c r="D15" s="211">
        <f>Calculations!Y102</f>
        <v>193.26849513221765</v>
      </c>
      <c r="E15" s="212">
        <f>Calculations!Z102</f>
        <v>612.505734541283</v>
      </c>
      <c r="F15" s="212">
        <f>Calculations!AA102</f>
        <v>402.88711483675036</v>
      </c>
      <c r="G15" s="210">
        <f t="shared" si="0"/>
        <v>0.5128661271408298</v>
      </c>
      <c r="H15" s="213">
        <f t="shared" si="1"/>
        <v>8.0577422967350071E-2</v>
      </c>
      <c r="I15" s="213">
        <f t="shared" si="1"/>
        <v>8.3934815590989663E-3</v>
      </c>
      <c r="J15" s="213">
        <f t="shared" si="1"/>
        <v>1.0072177870918759</v>
      </c>
      <c r="K15" s="213">
        <f t="shared" si="1"/>
        <v>8.0577422967350074</v>
      </c>
      <c r="L15" s="213" t="str">
        <f t="shared" si="1"/>
        <v/>
      </c>
      <c r="M15" s="213" t="str">
        <f t="shared" si="1"/>
        <v/>
      </c>
      <c r="N15" s="213" t="str">
        <f t="shared" si="1"/>
        <v/>
      </c>
      <c r="O15" s="213" t="str">
        <f t="shared" si="1"/>
        <v/>
      </c>
      <c r="P15" s="213" t="str">
        <f t="shared" si="1"/>
        <v/>
      </c>
      <c r="Q15" s="213" t="str">
        <f t="shared" si="1"/>
        <v/>
      </c>
      <c r="R15" s="213" t="str">
        <f t="shared" si="1"/>
        <v/>
      </c>
      <c r="S15" s="213" t="str">
        <f t="shared" si="1"/>
        <v/>
      </c>
      <c r="T15" s="213" t="str">
        <f t="shared" si="1"/>
        <v/>
      </c>
      <c r="U15" s="213" t="str">
        <f t="shared" si="1"/>
        <v/>
      </c>
      <c r="V15" s="213" t="str">
        <f t="shared" si="1"/>
        <v/>
      </c>
    </row>
    <row r="16" spans="2:22">
      <c r="H16"/>
      <c r="I16"/>
      <c r="J16"/>
      <c r="K16"/>
      <c r="L16"/>
      <c r="M16"/>
      <c r="N16"/>
      <c r="O16"/>
      <c r="P16"/>
      <c r="Q16"/>
      <c r="R16"/>
    </row>
    <row r="17" spans="8:18">
      <c r="H17"/>
      <c r="I17"/>
      <c r="J17"/>
      <c r="K17"/>
      <c r="L17"/>
      <c r="M17"/>
      <c r="N17"/>
      <c r="O17"/>
      <c r="P17"/>
      <c r="Q17"/>
      <c r="R17"/>
    </row>
    <row r="18" spans="8:18">
      <c r="H18"/>
      <c r="I18"/>
      <c r="J18"/>
      <c r="K18"/>
      <c r="L18"/>
      <c r="M18"/>
      <c r="N18"/>
      <c r="O18"/>
      <c r="P18"/>
      <c r="Q18"/>
      <c r="R18"/>
    </row>
    <row r="19" spans="8:18">
      <c r="H19"/>
      <c r="I19"/>
      <c r="J19"/>
      <c r="K19"/>
      <c r="L19"/>
      <c r="M19"/>
      <c r="N19"/>
      <c r="O19"/>
      <c r="P19"/>
      <c r="Q19"/>
      <c r="R19"/>
    </row>
    <row r="20" spans="8:18">
      <c r="J20"/>
      <c r="K20"/>
      <c r="L20"/>
      <c r="M20"/>
      <c r="N20"/>
      <c r="O20"/>
      <c r="P20"/>
      <c r="Q20"/>
      <c r="R20"/>
    </row>
    <row r="21" spans="8:18">
      <c r="J21"/>
      <c r="K21"/>
      <c r="L21"/>
      <c r="M21"/>
      <c r="N21"/>
      <c r="O21"/>
      <c r="P21"/>
      <c r="Q21"/>
      <c r="R21"/>
    </row>
    <row r="22" spans="8:18">
      <c r="J22"/>
      <c r="K22"/>
      <c r="L22"/>
      <c r="M22"/>
      <c r="N22"/>
      <c r="O22"/>
      <c r="P22"/>
      <c r="Q22"/>
      <c r="R22"/>
    </row>
    <row r="23" spans="8:18">
      <c r="J23"/>
      <c r="K23"/>
      <c r="L23"/>
      <c r="M23"/>
      <c r="N23"/>
      <c r="O23"/>
      <c r="P23"/>
      <c r="Q23"/>
      <c r="R23"/>
    </row>
    <row r="24" spans="8:18">
      <c r="J24"/>
      <c r="K24"/>
      <c r="L24"/>
      <c r="M24"/>
      <c r="N24"/>
      <c r="O24"/>
      <c r="P24"/>
      <c r="Q24"/>
      <c r="R24"/>
    </row>
    <row r="25" spans="8:18">
      <c r="J25"/>
      <c r="K25"/>
      <c r="L25"/>
      <c r="M25"/>
      <c r="N25"/>
      <c r="O25"/>
      <c r="P25"/>
      <c r="Q25"/>
      <c r="R25"/>
    </row>
    <row r="26" spans="8:18">
      <c r="J26"/>
      <c r="K26"/>
      <c r="L26"/>
      <c r="M26"/>
      <c r="N26"/>
      <c r="O26"/>
      <c r="P26"/>
      <c r="Q26"/>
      <c r="R26"/>
    </row>
    <row r="27" spans="8:18">
      <c r="J27"/>
      <c r="K27"/>
      <c r="L27"/>
      <c r="M27"/>
      <c r="N27"/>
      <c r="O27"/>
      <c r="P27"/>
      <c r="Q27"/>
      <c r="R27"/>
    </row>
    <row r="28" spans="8:18">
      <c r="J28"/>
      <c r="K28"/>
      <c r="L28"/>
      <c r="M28"/>
      <c r="N28"/>
      <c r="O28"/>
      <c r="P28"/>
      <c r="Q28"/>
      <c r="R28"/>
    </row>
    <row r="29" spans="8:18">
      <c r="J29"/>
      <c r="K29"/>
      <c r="L29"/>
      <c r="M29"/>
      <c r="N29"/>
      <c r="O29"/>
      <c r="P29"/>
      <c r="Q29"/>
      <c r="R29"/>
    </row>
    <row r="30" spans="8:18">
      <c r="J30"/>
      <c r="K30"/>
      <c r="L30"/>
      <c r="M30"/>
      <c r="N30"/>
      <c r="O30"/>
      <c r="P30"/>
      <c r="Q30"/>
      <c r="R30"/>
    </row>
    <row r="31" spans="8:18">
      <c r="J31"/>
      <c r="K31"/>
      <c r="L31"/>
      <c r="M31"/>
      <c r="N31"/>
      <c r="O31"/>
      <c r="P31"/>
      <c r="Q31"/>
      <c r="R31"/>
    </row>
    <row r="32" spans="8:18">
      <c r="J32"/>
      <c r="K32"/>
      <c r="L32"/>
      <c r="M32"/>
      <c r="N32"/>
      <c r="O32"/>
      <c r="P32"/>
      <c r="Q32"/>
      <c r="R32"/>
    </row>
    <row r="33" spans="8:18">
      <c r="J33"/>
      <c r="K33"/>
      <c r="L33"/>
      <c r="M33"/>
      <c r="N33"/>
      <c r="O33"/>
      <c r="P33"/>
      <c r="Q33"/>
      <c r="R33"/>
    </row>
    <row r="34" spans="8:18">
      <c r="H34"/>
      <c r="I34"/>
      <c r="J34"/>
      <c r="K34"/>
      <c r="L34"/>
      <c r="M34"/>
      <c r="N34"/>
      <c r="O34"/>
      <c r="P34"/>
      <c r="Q34"/>
      <c r="R34"/>
    </row>
    <row r="35" spans="8:18">
      <c r="H35"/>
      <c r="I35"/>
      <c r="J35"/>
      <c r="K35"/>
      <c r="L35"/>
      <c r="M35"/>
      <c r="N35"/>
      <c r="O35"/>
      <c r="P35"/>
      <c r="Q35"/>
      <c r="R35"/>
    </row>
    <row r="36" spans="8:18">
      <c r="H36"/>
      <c r="I36"/>
      <c r="J36"/>
      <c r="K36"/>
      <c r="L36"/>
      <c r="M36"/>
      <c r="N36"/>
      <c r="O36"/>
      <c r="P36"/>
      <c r="Q36"/>
      <c r="R36"/>
    </row>
    <row r="37" spans="8:18">
      <c r="H37"/>
      <c r="I37"/>
      <c r="J37"/>
      <c r="K37"/>
      <c r="L37"/>
      <c r="M37"/>
      <c r="N37"/>
      <c r="O37"/>
      <c r="P37"/>
      <c r="Q37"/>
      <c r="R37"/>
    </row>
    <row r="38" spans="8:18">
      <c r="H38"/>
      <c r="I38"/>
      <c r="J38"/>
      <c r="K38"/>
      <c r="L38"/>
      <c r="M38"/>
      <c r="N38"/>
      <c r="O38"/>
      <c r="P38"/>
      <c r="Q38"/>
      <c r="R38"/>
    </row>
    <row r="39" spans="8:18">
      <c r="H39"/>
      <c r="I39"/>
      <c r="J39"/>
      <c r="K39"/>
      <c r="L39"/>
      <c r="M39"/>
      <c r="N39"/>
      <c r="O39"/>
      <c r="P39"/>
      <c r="Q39"/>
      <c r="R39"/>
    </row>
    <row r="40" spans="8:18">
      <c r="H40"/>
      <c r="I40"/>
      <c r="J40"/>
      <c r="K40"/>
      <c r="L40"/>
      <c r="M40"/>
      <c r="N40"/>
      <c r="O40"/>
      <c r="P40"/>
      <c r="Q40"/>
      <c r="R40"/>
    </row>
    <row r="41" spans="8:18">
      <c r="H41"/>
      <c r="I41"/>
      <c r="J41"/>
      <c r="K41"/>
      <c r="L41"/>
      <c r="M41"/>
      <c r="N41"/>
      <c r="O41"/>
      <c r="P41"/>
      <c r="Q41"/>
      <c r="R41"/>
    </row>
    <row r="42" spans="8:18">
      <c r="H42"/>
      <c r="I42"/>
      <c r="J42"/>
      <c r="K42"/>
      <c r="L42"/>
      <c r="M42"/>
      <c r="N42"/>
      <c r="O42"/>
      <c r="P42"/>
      <c r="Q42"/>
      <c r="R42"/>
    </row>
    <row r="43" spans="8:18">
      <c r="H43"/>
      <c r="I43"/>
      <c r="J43"/>
      <c r="K43"/>
      <c r="L43"/>
      <c r="M43"/>
      <c r="N43"/>
      <c r="O43"/>
      <c r="P43"/>
      <c r="Q43"/>
      <c r="R43"/>
    </row>
    <row r="44" spans="8:18">
      <c r="H44"/>
      <c r="I44"/>
      <c r="J44"/>
      <c r="K44"/>
      <c r="L44"/>
      <c r="M44"/>
      <c r="N44"/>
      <c r="O44"/>
      <c r="P44"/>
      <c r="Q44"/>
      <c r="R44"/>
    </row>
    <row r="45" spans="8:18">
      <c r="H45"/>
      <c r="I45"/>
      <c r="J45"/>
      <c r="K45"/>
      <c r="L45"/>
      <c r="M45"/>
      <c r="N45"/>
      <c r="O45"/>
      <c r="P45"/>
      <c r="Q45"/>
      <c r="R45"/>
    </row>
    <row r="46" spans="8:18">
      <c r="H46"/>
      <c r="I46"/>
      <c r="J46"/>
      <c r="K46"/>
      <c r="L46"/>
      <c r="M46"/>
      <c r="N46"/>
      <c r="O46"/>
      <c r="P46"/>
      <c r="Q46"/>
      <c r="R46"/>
    </row>
    <row r="47" spans="8:18">
      <c r="H47"/>
      <c r="I47"/>
      <c r="J47"/>
      <c r="K47"/>
      <c r="L47"/>
      <c r="M47"/>
      <c r="N47"/>
      <c r="O47"/>
      <c r="P47"/>
      <c r="Q47"/>
      <c r="R47"/>
    </row>
    <row r="48" spans="8:18">
      <c r="H48"/>
      <c r="I48"/>
      <c r="J48"/>
      <c r="K48"/>
      <c r="L48"/>
      <c r="M48"/>
      <c r="N48"/>
      <c r="O48"/>
      <c r="P48"/>
      <c r="Q48"/>
      <c r="R48"/>
    </row>
    <row r="49" spans="7:18">
      <c r="H49"/>
      <c r="I49"/>
      <c r="J49"/>
      <c r="K49"/>
      <c r="L49"/>
      <c r="M49"/>
      <c r="N49"/>
      <c r="O49"/>
      <c r="P49"/>
      <c r="Q49"/>
      <c r="R49"/>
    </row>
    <row r="50" spans="7:18">
      <c r="H50"/>
      <c r="I50"/>
      <c r="J50"/>
      <c r="K50"/>
      <c r="L50"/>
      <c r="M50"/>
      <c r="N50"/>
      <c r="O50"/>
      <c r="P50"/>
      <c r="Q50"/>
      <c r="R50"/>
    </row>
    <row r="51" spans="7:18">
      <c r="H51"/>
      <c r="I51"/>
      <c r="J51"/>
      <c r="K51"/>
      <c r="L51"/>
      <c r="M51"/>
      <c r="N51"/>
      <c r="O51"/>
      <c r="P51"/>
      <c r="Q51"/>
      <c r="R51"/>
    </row>
    <row r="54" spans="7:18">
      <c r="H54"/>
      <c r="I54"/>
    </row>
    <row r="55" spans="7:18">
      <c r="H55"/>
      <c r="I55"/>
    </row>
    <row r="56" spans="7:18">
      <c r="H56"/>
      <c r="I56"/>
    </row>
    <row r="57" spans="7:18">
      <c r="H57"/>
      <c r="I57"/>
    </row>
    <row r="58" spans="7:18">
      <c r="H58"/>
      <c r="I58"/>
    </row>
    <row r="59" spans="7:18">
      <c r="H59"/>
      <c r="I59"/>
    </row>
    <row r="60" spans="7:18">
      <c r="H60"/>
      <c r="I60"/>
    </row>
    <row r="61" spans="7:18">
      <c r="H61"/>
      <c r="I61"/>
    </row>
    <row r="62" spans="7:18">
      <c r="G62" s="113"/>
      <c r="H62" s="113"/>
      <c r="I62"/>
    </row>
    <row r="63" spans="7:18">
      <c r="G63" s="114"/>
      <c r="H63" s="114"/>
      <c r="I63"/>
    </row>
    <row r="64" spans="7:18">
      <c r="G64" s="16"/>
      <c r="H64" s="16"/>
      <c r="I64"/>
    </row>
    <row r="65" spans="8:9">
      <c r="H65"/>
      <c r="I65"/>
    </row>
    <row r="66" spans="8:9">
      <c r="H66"/>
      <c r="I66"/>
    </row>
    <row r="67" spans="8:9">
      <c r="H67"/>
      <c r="I67"/>
    </row>
  </sheetData>
  <mergeCells count="5">
    <mergeCell ref="H2:V2"/>
    <mergeCell ref="B2:B3"/>
    <mergeCell ref="C2:C3"/>
    <mergeCell ref="G2:G3"/>
    <mergeCell ref="D2:F2"/>
  </mergeCells>
  <pageMargins left="0.23622047244094491" right="0.23622047244094491" top="0.74803149606299213" bottom="0.74803149606299213" header="0.31496062992125984" footer="0.31496062992125984"/>
  <pageSetup paperSize="9" scale="3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3:W57"/>
  <sheetViews>
    <sheetView showGridLines="0" zoomScale="60" zoomScaleNormal="60" workbookViewId="0">
      <selection activeCell="R4" sqref="R4"/>
    </sheetView>
  </sheetViews>
  <sheetFormatPr defaultColWidth="11.125" defaultRowHeight="15.75"/>
  <cols>
    <col min="2" max="2" width="16.5" customWidth="1"/>
    <col min="4" max="4" width="14" customWidth="1"/>
    <col min="5" max="5" width="17.125" customWidth="1"/>
    <col min="9" max="9" width="20.875" customWidth="1"/>
    <col min="10" max="10" width="23.875" customWidth="1"/>
    <col min="11" max="13" width="17.5" customWidth="1"/>
    <col min="14" max="14" width="16.75" customWidth="1"/>
    <col min="15" max="15" width="20.75" customWidth="1"/>
    <col min="16" max="16" width="22.75" customWidth="1"/>
    <col min="17" max="17" width="23.375" customWidth="1"/>
    <col min="18" max="18" width="17" customWidth="1"/>
    <col min="19" max="19" width="14.5" customWidth="1"/>
    <col min="20" max="20" width="19.25" customWidth="1"/>
    <col min="21" max="21" width="21.875" customWidth="1"/>
    <col min="22" max="22" width="16.75" customWidth="1"/>
    <col min="23" max="23" width="20.875" customWidth="1"/>
  </cols>
  <sheetData>
    <row r="3" spans="2:23" ht="96" customHeight="1" thickBot="1">
      <c r="B3" s="27" t="s">
        <v>64</v>
      </c>
      <c r="C3" s="27" t="s">
        <v>65</v>
      </c>
      <c r="D3" s="27" t="s">
        <v>26</v>
      </c>
      <c r="E3" s="27" t="s">
        <v>63</v>
      </c>
      <c r="F3" s="27" t="s">
        <v>56</v>
      </c>
      <c r="G3" s="27" t="s">
        <v>118</v>
      </c>
      <c r="H3" s="27" t="s">
        <v>61</v>
      </c>
      <c r="I3" s="27" t="s">
        <v>153</v>
      </c>
      <c r="J3" s="27" t="s">
        <v>29</v>
      </c>
      <c r="K3" s="27" t="s">
        <v>31</v>
      </c>
      <c r="L3" s="27" t="s">
        <v>32</v>
      </c>
      <c r="M3" s="27" t="s">
        <v>34</v>
      </c>
      <c r="N3" s="27" t="s">
        <v>123</v>
      </c>
      <c r="O3" s="27" t="s">
        <v>60</v>
      </c>
      <c r="P3" s="27" t="s">
        <v>59</v>
      </c>
      <c r="Q3" s="27" t="s">
        <v>36</v>
      </c>
      <c r="R3" s="27" t="s">
        <v>58</v>
      </c>
      <c r="S3" s="27" t="s">
        <v>156</v>
      </c>
      <c r="T3" s="27" t="s">
        <v>67</v>
      </c>
      <c r="U3" s="27" t="s">
        <v>89</v>
      </c>
      <c r="V3" s="27" t="s">
        <v>133</v>
      </c>
      <c r="W3" s="28" t="s">
        <v>92</v>
      </c>
    </row>
    <row r="4" spans="2:23" ht="17.100000000000001" customHeight="1" thickTop="1">
      <c r="B4" s="88">
        <v>9300790</v>
      </c>
      <c r="C4" s="88" t="s">
        <v>66</v>
      </c>
      <c r="D4" s="89" t="s">
        <v>27</v>
      </c>
      <c r="E4" s="89" t="s">
        <v>152</v>
      </c>
      <c r="F4" s="112">
        <v>8063</v>
      </c>
      <c r="G4" s="90">
        <v>0.7</v>
      </c>
      <c r="H4" s="112">
        <f>G4*F4</f>
        <v>5644.0999999999995</v>
      </c>
      <c r="I4" s="89" t="s">
        <v>109</v>
      </c>
      <c r="J4" s="89" t="s">
        <v>30</v>
      </c>
      <c r="K4" s="89" t="s">
        <v>120</v>
      </c>
      <c r="L4" s="89" t="s">
        <v>33</v>
      </c>
      <c r="M4" s="89" t="s">
        <v>122</v>
      </c>
      <c r="N4" s="92">
        <f>O4/(P4*24)</f>
        <v>14.708797145522389</v>
      </c>
      <c r="O4" s="91">
        <v>3941.9576350000002</v>
      </c>
      <c r="P4" s="93">
        <f>268/24</f>
        <v>11.166666666666666</v>
      </c>
      <c r="Q4" s="89" t="s">
        <v>57</v>
      </c>
      <c r="R4" s="112">
        <f>876.863992/(1-0.0977086309826994)</f>
        <v>971.81910645449943</v>
      </c>
      <c r="S4" s="112">
        <f>R4*1000*LCV_VLSFO</f>
        <v>39844583.364634477</v>
      </c>
      <c r="T4" s="112">
        <f>2743768.891/(1-0.0977086309826994)/1000</f>
        <v>3040.8900996008429</v>
      </c>
      <c r="U4" s="94" t="s">
        <v>90</v>
      </c>
      <c r="V4" s="91">
        <f>1323*currency_exchange_rate/2</f>
        <v>542.42999999999995</v>
      </c>
      <c r="W4" s="95"/>
    </row>
    <row r="5" spans="2:23" ht="17.100000000000001" customHeight="1">
      <c r="B5" s="163">
        <v>9728942</v>
      </c>
      <c r="C5" s="163" t="s">
        <v>115</v>
      </c>
      <c r="D5" s="164" t="s">
        <v>27</v>
      </c>
      <c r="E5" s="164" t="s">
        <v>151</v>
      </c>
      <c r="F5" s="165">
        <v>14354</v>
      </c>
      <c r="G5" s="166">
        <v>0.7</v>
      </c>
      <c r="H5" s="165">
        <f>G5*F5</f>
        <v>10047.799999999999</v>
      </c>
      <c r="I5" s="164" t="s">
        <v>109</v>
      </c>
      <c r="J5" s="164" t="s">
        <v>131</v>
      </c>
      <c r="K5" s="164" t="s">
        <v>132</v>
      </c>
      <c r="L5" s="164" t="s">
        <v>119</v>
      </c>
      <c r="M5" s="164" t="s">
        <v>121</v>
      </c>
      <c r="N5" s="167">
        <v>16.639388764524185</v>
      </c>
      <c r="O5" s="168">
        <v>6822.1493934549162</v>
      </c>
      <c r="P5" s="169">
        <v>17.083333333333332</v>
      </c>
      <c r="Q5" s="164" t="s">
        <v>57</v>
      </c>
      <c r="R5" s="165">
        <v>1792.5492792777436</v>
      </c>
      <c r="S5" s="165">
        <f>R5*1000*LCV_VLSFO</f>
        <v>73494520.450387478</v>
      </c>
      <c r="T5" s="165">
        <v>5591.1941361674844</v>
      </c>
      <c r="U5" s="170" t="s">
        <v>155</v>
      </c>
      <c r="V5" s="168">
        <f>1916*currency_exchange_rate/2</f>
        <v>785.56</v>
      </c>
      <c r="W5" s="170"/>
    </row>
    <row r="6" spans="2:23" ht="17.100000000000001" customHeight="1">
      <c r="B6" s="171"/>
      <c r="C6" s="172"/>
      <c r="D6" s="172"/>
      <c r="E6" s="172"/>
      <c r="F6" s="172"/>
      <c r="G6" s="172"/>
      <c r="H6" s="172"/>
      <c r="I6" s="172"/>
      <c r="J6" s="172"/>
      <c r="K6" s="172"/>
      <c r="L6" s="172"/>
      <c r="M6" s="172"/>
      <c r="N6" s="172"/>
      <c r="O6" s="172"/>
      <c r="P6" s="172"/>
      <c r="Q6" s="172"/>
      <c r="R6" s="172"/>
      <c r="S6" s="172"/>
      <c r="T6" s="172"/>
      <c r="U6" s="172"/>
      <c r="V6" s="172"/>
      <c r="W6" s="173"/>
    </row>
    <row r="7" spans="2:23" ht="17.100000000000001" customHeight="1">
      <c r="B7" s="174"/>
      <c r="C7" s="161"/>
      <c r="D7" s="161"/>
      <c r="E7" s="161"/>
      <c r="F7" s="161"/>
      <c r="G7" s="161"/>
      <c r="H7" s="161"/>
      <c r="I7" s="161"/>
      <c r="J7" s="161"/>
      <c r="K7" s="161"/>
      <c r="L7" s="161"/>
      <c r="M7" s="161"/>
      <c r="N7" s="161"/>
      <c r="O7" s="161"/>
      <c r="P7" s="161"/>
      <c r="Q7" s="161"/>
      <c r="R7" s="161"/>
      <c r="S7" s="161"/>
      <c r="T7" s="161"/>
      <c r="U7" s="161"/>
      <c r="V7" s="161"/>
      <c r="W7" s="175"/>
    </row>
    <row r="8" spans="2:23" ht="17.100000000000001" customHeight="1">
      <c r="B8" s="174"/>
      <c r="C8" s="161"/>
      <c r="D8" s="161"/>
      <c r="E8" s="161"/>
      <c r="F8" s="161"/>
      <c r="G8" s="161"/>
      <c r="H8" s="161"/>
      <c r="I8" s="161"/>
      <c r="J8" s="161"/>
      <c r="K8" s="161"/>
      <c r="L8" s="161"/>
      <c r="M8" s="161"/>
      <c r="N8" s="161"/>
      <c r="O8" s="161"/>
      <c r="P8" s="161"/>
      <c r="Q8" s="161"/>
      <c r="R8" s="161"/>
      <c r="S8" s="161"/>
      <c r="T8" s="161"/>
      <c r="U8" s="161"/>
      <c r="V8" s="161"/>
      <c r="W8" s="175"/>
    </row>
    <row r="9" spans="2:23" ht="17.100000000000001" customHeight="1">
      <c r="B9" s="174"/>
      <c r="C9" s="161"/>
      <c r="D9" s="161"/>
      <c r="E9" s="161"/>
      <c r="F9" s="161"/>
      <c r="G9" s="161"/>
      <c r="H9" s="161"/>
      <c r="I9" s="161"/>
      <c r="J9" s="161"/>
      <c r="K9" s="161"/>
      <c r="L9" s="161"/>
      <c r="M9" s="161"/>
      <c r="N9" s="161"/>
      <c r="O9" s="161"/>
      <c r="P9" s="161"/>
      <c r="Q9" s="161"/>
      <c r="R9" s="161"/>
      <c r="S9" s="161"/>
      <c r="T9" s="161"/>
      <c r="U9" s="161"/>
      <c r="V9" s="161"/>
      <c r="W9" s="175"/>
    </row>
    <row r="10" spans="2:23" ht="17.100000000000001" customHeight="1">
      <c r="B10" s="174"/>
      <c r="C10" s="161"/>
      <c r="D10" s="161"/>
      <c r="E10" s="161"/>
      <c r="F10" s="161"/>
      <c r="G10" s="161"/>
      <c r="H10" s="161"/>
      <c r="I10" s="161"/>
      <c r="J10" s="161"/>
      <c r="K10" s="161"/>
      <c r="L10" s="161"/>
      <c r="M10" s="161"/>
      <c r="N10" s="161"/>
      <c r="O10" s="161"/>
      <c r="P10" s="161"/>
      <c r="Q10" s="161"/>
      <c r="R10" s="161"/>
      <c r="S10" s="161"/>
      <c r="T10" s="161"/>
      <c r="U10" s="161"/>
      <c r="V10" s="161"/>
      <c r="W10" s="175"/>
    </row>
    <row r="11" spans="2:23" ht="17.100000000000001" customHeight="1">
      <c r="B11" s="174"/>
      <c r="C11" s="161"/>
      <c r="D11" s="161"/>
      <c r="E11" s="161"/>
      <c r="F11" s="161"/>
      <c r="G11" s="161"/>
      <c r="H11" s="161"/>
      <c r="I11" s="161"/>
      <c r="J11" s="161"/>
      <c r="K11" s="161"/>
      <c r="L11" s="161"/>
      <c r="M11" s="161"/>
      <c r="N11" s="161"/>
      <c r="O11" s="161"/>
      <c r="P11" s="161"/>
      <c r="Q11" s="161"/>
      <c r="R11" s="161"/>
      <c r="S11" s="161"/>
      <c r="T11" s="161"/>
      <c r="U11" s="161"/>
      <c r="V11" s="161"/>
      <c r="W11" s="175"/>
    </row>
    <row r="12" spans="2:23" ht="17.100000000000001" customHeight="1">
      <c r="B12" s="174"/>
      <c r="C12" s="161"/>
      <c r="D12" s="161"/>
      <c r="E12" s="161"/>
      <c r="F12" s="161"/>
      <c r="G12" s="161"/>
      <c r="H12" s="161"/>
      <c r="I12" s="161"/>
      <c r="J12" s="161"/>
      <c r="K12" s="161"/>
      <c r="L12" s="161"/>
      <c r="M12" s="161"/>
      <c r="N12" s="161"/>
      <c r="O12" s="161"/>
      <c r="P12" s="161"/>
      <c r="Q12" s="161"/>
      <c r="R12" s="161"/>
      <c r="S12" s="161"/>
      <c r="T12" s="161"/>
      <c r="U12" s="161"/>
      <c r="V12" s="161"/>
      <c r="W12" s="175"/>
    </row>
    <row r="13" spans="2:23" ht="17.100000000000001" customHeight="1">
      <c r="B13" s="174"/>
      <c r="C13" s="161"/>
      <c r="D13" s="161"/>
      <c r="E13" s="161"/>
      <c r="F13" s="161"/>
      <c r="G13" s="161"/>
      <c r="H13" s="161"/>
      <c r="I13" s="161"/>
      <c r="J13" s="161"/>
      <c r="K13" s="161"/>
      <c r="L13" s="161"/>
      <c r="M13" s="161"/>
      <c r="N13" s="161"/>
      <c r="O13" s="161"/>
      <c r="P13" s="161"/>
      <c r="Q13" s="161"/>
      <c r="R13" s="161"/>
      <c r="S13" s="161"/>
      <c r="T13" s="161"/>
      <c r="U13" s="161"/>
      <c r="V13" s="161"/>
      <c r="W13" s="175"/>
    </row>
    <row r="14" spans="2:23" ht="17.100000000000001" customHeight="1">
      <c r="B14" s="174"/>
      <c r="C14" s="161"/>
      <c r="D14" s="161"/>
      <c r="E14" s="161"/>
      <c r="F14" s="161"/>
      <c r="G14" s="161"/>
      <c r="H14" s="161"/>
      <c r="I14" s="161"/>
      <c r="J14" s="161"/>
      <c r="K14" s="161"/>
      <c r="L14" s="161"/>
      <c r="M14" s="161"/>
      <c r="N14" s="161"/>
      <c r="O14" s="161"/>
      <c r="P14" s="161"/>
      <c r="Q14" s="161"/>
      <c r="R14" s="161"/>
      <c r="S14" s="161"/>
      <c r="T14" s="161"/>
      <c r="U14" s="161"/>
      <c r="V14" s="161"/>
      <c r="W14" s="175"/>
    </row>
    <row r="15" spans="2:23" ht="17.100000000000001" customHeight="1">
      <c r="B15" s="174"/>
      <c r="C15" s="161"/>
      <c r="D15" s="161"/>
      <c r="E15" s="161"/>
      <c r="F15" s="161"/>
      <c r="G15" s="161"/>
      <c r="H15" s="161"/>
      <c r="I15" s="161"/>
      <c r="J15" s="161"/>
      <c r="K15" s="161"/>
      <c r="L15" s="161"/>
      <c r="M15" s="161"/>
      <c r="N15" s="161"/>
      <c r="O15" s="161"/>
      <c r="P15" s="161"/>
      <c r="Q15" s="161"/>
      <c r="R15" s="161"/>
      <c r="S15" s="161"/>
      <c r="T15" s="161"/>
      <c r="U15" s="161"/>
      <c r="V15" s="161"/>
      <c r="W15" s="175"/>
    </row>
    <row r="16" spans="2:23" ht="17.100000000000001" customHeight="1">
      <c r="B16" s="174"/>
      <c r="C16" s="161"/>
      <c r="D16" s="161"/>
      <c r="E16" s="161"/>
      <c r="F16" s="161"/>
      <c r="G16" s="161"/>
      <c r="H16" s="161"/>
      <c r="I16" s="161"/>
      <c r="J16" s="161"/>
      <c r="K16" s="161"/>
      <c r="L16" s="161"/>
      <c r="M16" s="161"/>
      <c r="N16" s="161"/>
      <c r="O16" s="161"/>
      <c r="P16" s="161"/>
      <c r="Q16" s="161"/>
      <c r="R16" s="161"/>
      <c r="S16" s="161"/>
      <c r="T16" s="161"/>
      <c r="U16" s="161"/>
      <c r="V16" s="161"/>
      <c r="W16" s="175"/>
    </row>
    <row r="17" spans="2:23" ht="17.100000000000001" customHeight="1">
      <c r="B17" s="174"/>
      <c r="C17" s="161"/>
      <c r="D17" s="161"/>
      <c r="E17" s="161"/>
      <c r="F17" s="161"/>
      <c r="G17" s="161"/>
      <c r="H17" s="161"/>
      <c r="I17" s="161"/>
      <c r="J17" s="161"/>
      <c r="K17" s="161"/>
      <c r="L17" s="161"/>
      <c r="M17" s="161"/>
      <c r="N17" s="161"/>
      <c r="O17" s="161"/>
      <c r="P17" s="161"/>
      <c r="Q17" s="161"/>
      <c r="R17" s="161"/>
      <c r="S17" s="161"/>
      <c r="T17" s="161"/>
      <c r="U17" s="161"/>
      <c r="V17" s="161"/>
      <c r="W17" s="175"/>
    </row>
    <row r="18" spans="2:23" ht="17.100000000000001" customHeight="1">
      <c r="B18" s="174"/>
      <c r="C18" s="161"/>
      <c r="D18" s="161"/>
      <c r="E18" s="161"/>
      <c r="F18" s="161"/>
      <c r="G18" s="161"/>
      <c r="H18" s="161"/>
      <c r="I18" s="161"/>
      <c r="J18" s="161"/>
      <c r="K18" s="161"/>
      <c r="L18" s="161"/>
      <c r="M18" s="161"/>
      <c r="N18" s="161"/>
      <c r="O18" s="161"/>
      <c r="P18" s="161"/>
      <c r="Q18" s="161"/>
      <c r="R18" s="161"/>
      <c r="S18" s="161"/>
      <c r="T18" s="161"/>
      <c r="U18" s="161"/>
      <c r="V18" s="161"/>
      <c r="W18" s="175"/>
    </row>
    <row r="19" spans="2:23" ht="17.100000000000001" customHeight="1">
      <c r="B19" s="174"/>
      <c r="C19" s="161"/>
      <c r="D19" s="161"/>
      <c r="E19" s="161"/>
      <c r="F19" s="161"/>
      <c r="G19" s="161"/>
      <c r="H19" s="161"/>
      <c r="I19" s="161"/>
      <c r="J19" s="161"/>
      <c r="K19" s="161"/>
      <c r="L19" s="161"/>
      <c r="M19" s="161"/>
      <c r="N19" s="161"/>
      <c r="O19" s="161"/>
      <c r="P19" s="161"/>
      <c r="Q19" s="161"/>
      <c r="R19" s="161"/>
      <c r="S19" s="161"/>
      <c r="T19" s="161"/>
      <c r="U19" s="161"/>
      <c r="V19" s="161"/>
      <c r="W19" s="175"/>
    </row>
    <row r="20" spans="2:23" ht="17.100000000000001" customHeight="1">
      <c r="B20" s="174"/>
      <c r="C20" s="161"/>
      <c r="D20" s="161"/>
      <c r="E20" s="161"/>
      <c r="F20" s="161"/>
      <c r="G20" s="161"/>
      <c r="H20" s="161"/>
      <c r="I20" s="161"/>
      <c r="J20" s="161"/>
      <c r="K20" s="161"/>
      <c r="L20" s="161"/>
      <c r="M20" s="161"/>
      <c r="N20" s="161"/>
      <c r="O20" s="161"/>
      <c r="P20" s="161"/>
      <c r="Q20" s="161"/>
      <c r="R20" s="161"/>
      <c r="S20" s="161"/>
      <c r="T20" s="161"/>
      <c r="U20" s="161"/>
      <c r="V20" s="161"/>
      <c r="W20" s="175"/>
    </row>
    <row r="21" spans="2:23" ht="17.100000000000001" customHeight="1">
      <c r="B21" s="174"/>
      <c r="C21" s="161"/>
      <c r="D21" s="161"/>
      <c r="E21" s="161"/>
      <c r="F21" s="161"/>
      <c r="G21" s="161"/>
      <c r="H21" s="161"/>
      <c r="I21" s="161"/>
      <c r="J21" s="161"/>
      <c r="K21" s="161"/>
      <c r="L21" s="161"/>
      <c r="M21" s="161"/>
      <c r="N21" s="161"/>
      <c r="O21" s="161"/>
      <c r="P21" s="161"/>
      <c r="Q21" s="161"/>
      <c r="R21" s="161"/>
      <c r="S21" s="161"/>
      <c r="T21" s="161"/>
      <c r="U21" s="161"/>
      <c r="V21" s="161"/>
      <c r="W21" s="175"/>
    </row>
    <row r="22" spans="2:23" ht="17.100000000000001" customHeight="1">
      <c r="B22" s="174"/>
      <c r="C22" s="161"/>
      <c r="D22" s="161"/>
      <c r="E22" s="161"/>
      <c r="F22" s="161"/>
      <c r="G22" s="161"/>
      <c r="H22" s="161"/>
      <c r="I22" s="161"/>
      <c r="J22" s="161"/>
      <c r="K22" s="161"/>
      <c r="L22" s="161"/>
      <c r="M22" s="161"/>
      <c r="N22" s="161"/>
      <c r="O22" s="161"/>
      <c r="P22" s="161"/>
      <c r="Q22" s="161"/>
      <c r="R22" s="161"/>
      <c r="S22" s="161"/>
      <c r="T22" s="161"/>
      <c r="U22" s="161"/>
      <c r="V22" s="161"/>
      <c r="W22" s="175"/>
    </row>
    <row r="23" spans="2:23" ht="17.100000000000001" customHeight="1">
      <c r="B23" s="174"/>
      <c r="C23" s="161"/>
      <c r="D23" s="161"/>
      <c r="E23" s="161"/>
      <c r="F23" s="161"/>
      <c r="G23" s="161"/>
      <c r="H23" s="161"/>
      <c r="I23" s="161"/>
      <c r="J23" s="161"/>
      <c r="K23" s="161"/>
      <c r="L23" s="161"/>
      <c r="M23" s="161"/>
      <c r="N23" s="161"/>
      <c r="O23" s="161"/>
      <c r="P23" s="161"/>
      <c r="Q23" s="161"/>
      <c r="R23" s="161"/>
      <c r="S23" s="161"/>
      <c r="T23" s="161"/>
      <c r="U23" s="161"/>
      <c r="V23" s="161"/>
      <c r="W23" s="175"/>
    </row>
    <row r="24" spans="2:23" ht="17.100000000000001" customHeight="1">
      <c r="B24" s="174"/>
      <c r="C24" s="161"/>
      <c r="D24" s="161"/>
      <c r="E24" s="161"/>
      <c r="F24" s="161"/>
      <c r="G24" s="161"/>
      <c r="H24" s="161"/>
      <c r="I24" s="161"/>
      <c r="J24" s="161"/>
      <c r="K24" s="161"/>
      <c r="L24" s="161"/>
      <c r="M24" s="161"/>
      <c r="N24" s="161"/>
      <c r="O24" s="161"/>
      <c r="P24" s="161"/>
      <c r="Q24" s="161"/>
      <c r="R24" s="161"/>
      <c r="S24" s="161"/>
      <c r="T24" s="161"/>
      <c r="U24" s="161"/>
      <c r="V24" s="161"/>
      <c r="W24" s="175"/>
    </row>
    <row r="25" spans="2:23" ht="17.100000000000001" customHeight="1">
      <c r="B25" s="174"/>
      <c r="C25" s="161"/>
      <c r="D25" s="161"/>
      <c r="E25" s="161"/>
      <c r="F25" s="161"/>
      <c r="G25" s="161"/>
      <c r="H25" s="161"/>
      <c r="I25" s="161"/>
      <c r="J25" s="161"/>
      <c r="K25" s="161"/>
      <c r="L25" s="161"/>
      <c r="M25" s="161"/>
      <c r="N25" s="161"/>
      <c r="O25" s="161"/>
      <c r="P25" s="161"/>
      <c r="Q25" s="161"/>
      <c r="R25" s="161"/>
      <c r="S25" s="161"/>
      <c r="T25" s="161"/>
      <c r="U25" s="161"/>
      <c r="V25" s="161"/>
      <c r="W25" s="175"/>
    </row>
    <row r="26" spans="2:23" ht="17.100000000000001" customHeight="1">
      <c r="B26" s="174"/>
      <c r="C26" s="161"/>
      <c r="D26" s="161"/>
      <c r="E26" s="161"/>
      <c r="F26" s="161"/>
      <c r="G26" s="161"/>
      <c r="H26" s="161"/>
      <c r="I26" s="161"/>
      <c r="J26" s="161"/>
      <c r="K26" s="161"/>
      <c r="L26" s="161"/>
      <c r="M26" s="161"/>
      <c r="N26" s="161"/>
      <c r="O26" s="161"/>
      <c r="P26" s="161"/>
      <c r="Q26" s="161"/>
      <c r="R26" s="161"/>
      <c r="S26" s="161"/>
      <c r="T26" s="161"/>
      <c r="U26" s="161"/>
      <c r="V26" s="161"/>
      <c r="W26" s="175"/>
    </row>
    <row r="27" spans="2:23" ht="17.100000000000001" customHeight="1">
      <c r="B27" s="174"/>
      <c r="C27" s="161"/>
      <c r="D27" s="161"/>
      <c r="E27" s="161"/>
      <c r="F27" s="161"/>
      <c r="G27" s="161"/>
      <c r="H27" s="161"/>
      <c r="I27" s="161"/>
      <c r="J27" s="161"/>
      <c r="K27" s="161"/>
      <c r="L27" s="161"/>
      <c r="M27" s="161"/>
      <c r="N27" s="161"/>
      <c r="O27" s="161"/>
      <c r="P27" s="161"/>
      <c r="Q27" s="161"/>
      <c r="R27" s="161"/>
      <c r="S27" s="161"/>
      <c r="T27" s="161"/>
      <c r="U27" s="161"/>
      <c r="V27" s="161"/>
      <c r="W27" s="175"/>
    </row>
    <row r="28" spans="2:23" ht="17.100000000000001" customHeight="1">
      <c r="B28" s="176"/>
      <c r="C28" s="177"/>
      <c r="D28" s="177"/>
      <c r="E28" s="177"/>
      <c r="F28" s="177"/>
      <c r="G28" s="177"/>
      <c r="H28" s="177"/>
      <c r="I28" s="177"/>
      <c r="J28" s="177"/>
      <c r="K28" s="177"/>
      <c r="L28" s="177"/>
      <c r="M28" s="177"/>
      <c r="N28" s="177"/>
      <c r="O28" s="177"/>
      <c r="P28" s="177"/>
      <c r="Q28" s="177"/>
      <c r="R28" s="177"/>
      <c r="S28" s="177"/>
      <c r="T28" s="177"/>
      <c r="U28" s="177"/>
      <c r="V28" s="177"/>
      <c r="W28" s="178"/>
    </row>
    <row r="29" spans="2:23">
      <c r="B29" s="74" t="s">
        <v>117</v>
      </c>
    </row>
    <row r="30" spans="2:23">
      <c r="B30" s="74" t="s">
        <v>116</v>
      </c>
    </row>
    <row r="31" spans="2:23">
      <c r="B31" s="74" t="s">
        <v>124</v>
      </c>
    </row>
    <row r="41" spans="2:6">
      <c r="B41" s="283" t="s">
        <v>110</v>
      </c>
      <c r="C41" s="283" t="s">
        <v>107</v>
      </c>
      <c r="D41" s="61" t="s">
        <v>108</v>
      </c>
      <c r="E41" s="61"/>
      <c r="F41" s="281" t="s">
        <v>4</v>
      </c>
    </row>
    <row r="42" spans="2:6" ht="16.5" thickBot="1">
      <c r="B42" s="284"/>
      <c r="C42" s="284"/>
      <c r="D42" s="56" t="s">
        <v>48</v>
      </c>
      <c r="E42" s="56" t="s">
        <v>49</v>
      </c>
      <c r="F42" s="282"/>
    </row>
    <row r="43" spans="2:6" ht="17.100000000000001" customHeight="1" thickTop="1">
      <c r="B43" s="75">
        <v>1</v>
      </c>
      <c r="C43" s="57" t="s">
        <v>51</v>
      </c>
      <c r="D43" s="58">
        <v>10000</v>
      </c>
      <c r="E43" s="59">
        <f>D43/2</f>
        <v>5000</v>
      </c>
      <c r="F43" s="60" t="s">
        <v>50</v>
      </c>
    </row>
    <row r="44" spans="2:6" ht="17.100000000000001" customHeight="1">
      <c r="B44" s="76">
        <v>2</v>
      </c>
      <c r="C44" s="52" t="s">
        <v>53</v>
      </c>
      <c r="D44" s="53">
        <f>E44*2</f>
        <v>96000</v>
      </c>
      <c r="E44" s="54">
        <v>48000</v>
      </c>
      <c r="F44" s="55" t="s">
        <v>52</v>
      </c>
    </row>
    <row r="45" spans="2:6" ht="17.100000000000001" customHeight="1">
      <c r="B45" s="76">
        <v>3</v>
      </c>
      <c r="C45" s="52" t="s">
        <v>54</v>
      </c>
      <c r="D45" s="53">
        <f>E45*2</f>
        <v>800</v>
      </c>
      <c r="E45" s="54">
        <v>400</v>
      </c>
      <c r="F45" s="55" t="s">
        <v>52</v>
      </c>
    </row>
    <row r="46" spans="2:6" ht="17.100000000000001" customHeight="1">
      <c r="B46" s="76">
        <v>4</v>
      </c>
      <c r="C46" s="179" t="s">
        <v>55</v>
      </c>
      <c r="D46" s="180">
        <f>E46*2</f>
        <v>100</v>
      </c>
      <c r="E46" s="181">
        <v>50</v>
      </c>
      <c r="F46" s="182" t="s">
        <v>52</v>
      </c>
    </row>
    <row r="47" spans="2:6" ht="17.100000000000001" customHeight="1">
      <c r="B47" s="76">
        <v>5</v>
      </c>
      <c r="C47" s="183"/>
      <c r="D47" s="184"/>
      <c r="E47" s="184"/>
      <c r="F47" s="185"/>
    </row>
    <row r="48" spans="2:6" ht="17.100000000000001" customHeight="1">
      <c r="B48" s="76">
        <v>6</v>
      </c>
      <c r="C48" s="186"/>
      <c r="D48" s="162"/>
      <c r="E48" s="162"/>
      <c r="F48" s="187"/>
    </row>
    <row r="49" spans="2:6" ht="17.100000000000001" customHeight="1">
      <c r="B49" s="76">
        <v>7</v>
      </c>
      <c r="C49" s="186"/>
      <c r="D49" s="162"/>
      <c r="E49" s="162"/>
      <c r="F49" s="187"/>
    </row>
    <row r="50" spans="2:6" ht="17.100000000000001" customHeight="1">
      <c r="B50" s="76">
        <v>8</v>
      </c>
      <c r="C50" s="186"/>
      <c r="D50" s="162"/>
      <c r="E50" s="162"/>
      <c r="F50" s="187"/>
    </row>
    <row r="51" spans="2:6" ht="17.100000000000001" customHeight="1">
      <c r="B51" s="76">
        <v>9</v>
      </c>
      <c r="C51" s="186"/>
      <c r="D51" s="162"/>
      <c r="E51" s="162"/>
      <c r="F51" s="187"/>
    </row>
    <row r="52" spans="2:6" ht="17.100000000000001" customHeight="1">
      <c r="B52" s="76">
        <v>10</v>
      </c>
      <c r="C52" s="186"/>
      <c r="D52" s="162"/>
      <c r="E52" s="162"/>
      <c r="F52" s="187"/>
    </row>
    <row r="53" spans="2:6" ht="17.100000000000001" customHeight="1">
      <c r="B53" s="76">
        <v>11</v>
      </c>
      <c r="C53" s="186"/>
      <c r="D53" s="162"/>
      <c r="E53" s="162"/>
      <c r="F53" s="187"/>
    </row>
    <row r="54" spans="2:6" ht="17.100000000000001" customHeight="1">
      <c r="B54" s="76">
        <v>12</v>
      </c>
      <c r="C54" s="186"/>
      <c r="D54" s="162"/>
      <c r="E54" s="162"/>
      <c r="F54" s="187"/>
    </row>
    <row r="55" spans="2:6" ht="17.100000000000001" customHeight="1">
      <c r="B55" s="76">
        <v>13</v>
      </c>
      <c r="C55" s="186"/>
      <c r="D55" s="162"/>
      <c r="E55" s="162"/>
      <c r="F55" s="187"/>
    </row>
    <row r="56" spans="2:6" ht="17.100000000000001" customHeight="1">
      <c r="B56" s="76">
        <v>14</v>
      </c>
      <c r="C56" s="186"/>
      <c r="D56" s="162"/>
      <c r="E56" s="162"/>
      <c r="F56" s="187"/>
    </row>
    <row r="57" spans="2:6" ht="17.100000000000001" customHeight="1">
      <c r="B57" s="76">
        <v>15</v>
      </c>
      <c r="C57" s="188"/>
      <c r="D57" s="189"/>
      <c r="E57" s="189"/>
      <c r="F57" s="190"/>
    </row>
  </sheetData>
  <mergeCells count="3">
    <mergeCell ref="F41:F42"/>
    <mergeCell ref="C41:C42"/>
    <mergeCell ref="B41:B42"/>
  </mergeCells>
  <hyperlinks>
    <hyperlink ref="F43" r:id="rId1" location=":~:text=A%20standard%20container%20may%20hold,the%20container%20is%20half%20empty." xr:uid="{00000000-0004-0000-0500-000000000000}"/>
    <hyperlink ref="F44" r:id="rId2" xr:uid="{00000000-0004-0000-0500-000001000000}"/>
    <hyperlink ref="F45" r:id="rId3" xr:uid="{00000000-0004-0000-0500-000002000000}"/>
    <hyperlink ref="F46" r:id="rId4" xr:uid="{00000000-0004-0000-0500-000003000000}"/>
  </hyperlinks>
  <pageMargins left="0.7" right="0.7" top="0.75" bottom="0.75" header="0.3" footer="0.3"/>
  <pageSetup paperSize="9" scale="47" fitToWidth="0"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66</vt:i4>
      </vt:variant>
    </vt:vector>
  </HeadingPairs>
  <TitlesOfParts>
    <vt:vector size="72" baseType="lpstr">
      <vt:lpstr>FF55 policy levers &amp; vessel</vt:lpstr>
      <vt:lpstr>Calculations</vt:lpstr>
      <vt:lpstr>WtW CO2e factors</vt:lpstr>
      <vt:lpstr>Fuel Prices</vt:lpstr>
      <vt:lpstr>Results</vt:lpstr>
      <vt:lpstr>Vessel - route, cargo database</vt:lpstr>
      <vt:lpstr>baseline_GHG_intensity</vt:lpstr>
      <vt:lpstr>Biodiesel_required_share</vt:lpstr>
      <vt:lpstr>containerised_goods</vt:lpstr>
      <vt:lpstr>currency_exchange_rate</vt:lpstr>
      <vt:lpstr>e_fuel_subquota</vt:lpstr>
      <vt:lpstr>e_Methanol_required_share</vt:lpstr>
      <vt:lpstr>e_NH3_required_share</vt:lpstr>
      <vt:lpstr>ETS_Price</vt:lpstr>
      <vt:lpstr>fuel_consumption_per_journey_MJ</vt:lpstr>
      <vt:lpstr>fuel_consumption_per_journey_tVLSFO</vt:lpstr>
      <vt:lpstr>gravimetric_density</vt:lpstr>
      <vt:lpstr>LCV_Biodiesel_WCO</vt:lpstr>
      <vt:lpstr>LCV_e_LNG</vt:lpstr>
      <vt:lpstr>LCV_e_methanol</vt:lpstr>
      <vt:lpstr>LCV_e_NH3</vt:lpstr>
      <vt:lpstr>LCV_LNG</vt:lpstr>
      <vt:lpstr>LCV_VLSFO</vt:lpstr>
      <vt:lpstr>number_of_items_per_TEU</vt:lpstr>
      <vt:lpstr>Price_biodiesel_max</vt:lpstr>
      <vt:lpstr>Price_biodiesel_max_GJ</vt:lpstr>
      <vt:lpstr>Price_biodiesel_min</vt:lpstr>
      <vt:lpstr>Price_biodiesel_min_GJ</vt:lpstr>
      <vt:lpstr>Price_bioLNG_max</vt:lpstr>
      <vt:lpstr>Price_bioLNG_min</vt:lpstr>
      <vt:lpstr>Price_e_LNG_max</vt:lpstr>
      <vt:lpstr>Price_e_LNG_max_GJ</vt:lpstr>
      <vt:lpstr>Price_e_LNG_min</vt:lpstr>
      <vt:lpstr>Price_e_LNG_min_GJ</vt:lpstr>
      <vt:lpstr>Price_e_methanol_max</vt:lpstr>
      <vt:lpstr>Price_e_methanol_max_GJ</vt:lpstr>
      <vt:lpstr>Price_e_methanol_min</vt:lpstr>
      <vt:lpstr>Price_e_methanol_min_GJ</vt:lpstr>
      <vt:lpstr>Price_e_NH3_max</vt:lpstr>
      <vt:lpstr>Price_e_NH3_max_GJ</vt:lpstr>
      <vt:lpstr>Price_e_NH3_min</vt:lpstr>
      <vt:lpstr>Price_e_NH3_min_GJ</vt:lpstr>
      <vt:lpstr>Price_historical_LNG_max</vt:lpstr>
      <vt:lpstr>Price_historical_LNG_max_GJ</vt:lpstr>
      <vt:lpstr>Price_historical_LNG_min</vt:lpstr>
      <vt:lpstr>Price_historical_LNG_min_GJ</vt:lpstr>
      <vt:lpstr>Price_post_covid_LNG_max</vt:lpstr>
      <vt:lpstr>Price_post_covid_LNG_max_GJ</vt:lpstr>
      <vt:lpstr>Price_post_covid_LNG_min</vt:lpstr>
      <vt:lpstr>Price_post_covid_LNG_min_GJ</vt:lpstr>
      <vt:lpstr>Price_VLSFO_Max</vt:lpstr>
      <vt:lpstr>Price_VLSFO_Max_GJ</vt:lpstr>
      <vt:lpstr>Price_VLSFO_Min</vt:lpstr>
      <vt:lpstr>Price_VLSFO_Min_GJ</vt:lpstr>
      <vt:lpstr>Real_world_TEU_carriage</vt:lpstr>
      <vt:lpstr>Regulatory_target</vt:lpstr>
      <vt:lpstr>shipping_corridor</vt:lpstr>
      <vt:lpstr>TEU_freight_rate_2021</vt:lpstr>
      <vt:lpstr>Vessel_name</vt:lpstr>
      <vt:lpstr>WtW_biodiesel_WCO</vt:lpstr>
      <vt:lpstr>WtW_biodiesel_WCO_gCO2perMJ</vt:lpstr>
      <vt:lpstr>WtW_e_LNG_DFHP_2_stroke</vt:lpstr>
      <vt:lpstr>WtW_e_LNG_DFHP_2_stroke_gCO2perMJ</vt:lpstr>
      <vt:lpstr>WtW_e_methanol</vt:lpstr>
      <vt:lpstr>WtW_e_methanol_gCO2perMJ</vt:lpstr>
      <vt:lpstr>WtW_e_NH3</vt:lpstr>
      <vt:lpstr>WtW_e_NH3_gCO2perMJ</vt:lpstr>
      <vt:lpstr>WtW_LNG_DFHP_2_stroke</vt:lpstr>
      <vt:lpstr>WtW_LNG_DFHP_2_stroke_gCO2perMJ</vt:lpstr>
      <vt:lpstr>wtw_MJperkg_eLNG</vt:lpstr>
      <vt:lpstr>WtW_VLSFO</vt:lpstr>
      <vt:lpstr>WtW_VLSFO_gCO2perMJ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Papoutsis, Ignatios</cp:lastModifiedBy>
  <cp:lastPrinted>2024-03-15T14:04:13Z</cp:lastPrinted>
  <dcterms:created xsi:type="dcterms:W3CDTF">2022-03-04T09:42:21Z</dcterms:created>
  <dcterms:modified xsi:type="dcterms:W3CDTF">2024-03-15T15:23:55Z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264674-cd8f-466c-b856-e08499a2c724_Enabled">
    <vt:lpwstr>true</vt:lpwstr>
  </property>
  <property fmtid="{D5CDD505-2E9C-101B-9397-08002B2CF9AE}" pid="3" name="MSIP_Label_a2264674-cd8f-466c-b856-e08499a2c724_SetDate">
    <vt:lpwstr>2024-03-15T15:23:55Z</vt:lpwstr>
  </property>
  <property fmtid="{D5CDD505-2E9C-101B-9397-08002B2CF9AE}" pid="4" name="MSIP_Label_a2264674-cd8f-466c-b856-e08499a2c724_Method">
    <vt:lpwstr>Standard</vt:lpwstr>
  </property>
  <property fmtid="{D5CDD505-2E9C-101B-9397-08002B2CF9AE}" pid="5" name="MSIP_Label_a2264674-cd8f-466c-b856-e08499a2c724_Name">
    <vt:lpwstr>Default Un-Marked Label</vt:lpwstr>
  </property>
  <property fmtid="{D5CDD505-2E9C-101B-9397-08002B2CF9AE}" pid="6" name="MSIP_Label_a2264674-cd8f-466c-b856-e08499a2c724_SiteId">
    <vt:lpwstr>ecbee5ca-a1e4-4d4e-9c24-621b2df3f698</vt:lpwstr>
  </property>
  <property fmtid="{D5CDD505-2E9C-101B-9397-08002B2CF9AE}" pid="7" name="MSIP_Label_a2264674-cd8f-466c-b856-e08499a2c724_ActionId">
    <vt:lpwstr>7e1ad5f5-a15b-4cfe-9b56-bcbed2cc46c3</vt:lpwstr>
  </property>
  <property fmtid="{D5CDD505-2E9C-101B-9397-08002B2CF9AE}" pid="8" name="MSIP_Label_a2264674-cd8f-466c-b856-e08499a2c724_ContentBits">
    <vt:lpwstr>0</vt:lpwstr>
  </property>
</Properties>
</file>