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8"/>
  <workbookPr/>
  <mc:AlternateContent xmlns:mc="http://schemas.openxmlformats.org/markup-compatibility/2006">
    <mc:Choice Requires="x15">
      <x15ac:absPath xmlns:x15ac="http://schemas.microsoft.com/office/spreadsheetml/2010/11/ac" url="https://zerocarbonshipping.sharepoint.com/sites/40033/Delte dokumenter/General/1 Working documents/4 FuelEU Newsletter/Drafts/NL 2 - Pooling Value/"/>
    </mc:Choice>
  </mc:AlternateContent>
  <xr:revisionPtr revIDLastSave="0" documentId="8_{0AD0638E-6EDE-49C4-B03B-E71DD7CDE754}" xr6:coauthVersionLast="47" xr6:coauthVersionMax="47" xr10:uidLastSave="{00000000-0000-0000-0000-000000000000}"/>
  <bookViews>
    <workbookView xWindow="-28920" yWindow="-9300" windowWidth="29040" windowHeight="15720" xr2:uid="{649E441B-96E7-48D1-938C-E13C8B8466E6}"/>
  </bookViews>
  <sheets>
    <sheet name="Calculator" sheetId="18" r:id="rId1"/>
  </sheets>
  <externalReferences>
    <externalReference r:id="rId2"/>
    <externalReference r:id="rId3"/>
  </externalReferences>
  <definedNames>
    <definedName name="__Ampler.Charts.0a6d1a90283444afb12196d473f6545a" localSheetId="0" hidden="1">#REF!</definedName>
    <definedName name="__Ampler.Charts.0a6d1a90283444afb12196d473f6545a" hidden="1">#REF!</definedName>
    <definedName name="__Ampler.Charts.34f1c03d97b345f9a4353d08cf28e475" localSheetId="0" hidden="1">[1]RouteAssessment!#REF!</definedName>
    <definedName name="__Ampler.Charts.34f1c03d97b345f9a4353d08cf28e475" hidden="1">[1]RouteAssessment!#REF!</definedName>
    <definedName name="__Ampler.Charts.4949497296a941e7b1dd898b06a43188" localSheetId="0" hidden="1">#REF!</definedName>
    <definedName name="__Ampler.Charts.4949497296a941e7b1dd898b06a43188" hidden="1">#REF!</definedName>
    <definedName name="__Ampler.Charts.4db02dabf638459889fa4705ee1aa0e7" localSheetId="0" hidden="1">#REF!</definedName>
    <definedName name="__Ampler.Charts.4db02dabf638459889fa4705ee1aa0e7" hidden="1">#REF!</definedName>
    <definedName name="__Ampler.Charts.4dbcb68e429b4e53b9337bb3cf75a6b2" hidden="1">#REF!</definedName>
    <definedName name="__Ampler.Charts.4eeae91c0b67498a8a436f0c0c38dece" hidden="1">[1]RouteAssessment!#REF!</definedName>
    <definedName name="__Ampler.Charts.5728b5bb58e949dfa3a26fa526f1025b" hidden="1">[1]RouteAssessment!#REF!</definedName>
    <definedName name="__Ampler.Charts.68bc14e0267446caab76e6e7a191a791" localSheetId="0" hidden="1">#REF!</definedName>
    <definedName name="__Ampler.Charts.68bc14e0267446caab76e6e7a191a791" hidden="1">#REF!</definedName>
    <definedName name="__Ampler.Charts.75a81f14f29d46e0b4e39cf665ff6370" localSheetId="0" hidden="1">[1]RouteAssessment!#REF!</definedName>
    <definedName name="__Ampler.Charts.75a81f14f29d46e0b4e39cf665ff6370" hidden="1">[1]RouteAssessment!#REF!</definedName>
    <definedName name="__Ampler.Charts.95df8f6dc046443690eba9763d4c43b9" localSheetId="0" hidden="1">#REF!</definedName>
    <definedName name="__Ampler.Charts.95df8f6dc046443690eba9763d4c43b9" hidden="1">#REF!</definedName>
    <definedName name="__Ampler.Charts.ac3a886e354c4182957999ac64699388" localSheetId="0" hidden="1">#REF!</definedName>
    <definedName name="__Ampler.Charts.ac3a886e354c4182957999ac64699388" hidden="1">#REF!</definedName>
    <definedName name="__Ampler.Charts.c817a1644e39488c8e9e7ad399afe5e3" localSheetId="0" hidden="1">#REF!</definedName>
    <definedName name="__Ampler.Charts.c817a1644e39488c8e9e7ad399afe5e3" hidden="1">#REF!</definedName>
    <definedName name="__Ampler.Charts.ccf74908bffc4081a620e52ce9827f62" localSheetId="0" hidden="1">[1]RouteAssessment!#REF!</definedName>
    <definedName name="__Ampler.Charts.ccf74908bffc4081a620e52ce9827f62" hidden="1">[1]RouteAssessment!#REF!</definedName>
    <definedName name="__Ampler.Charts.e84d9270cbb94356a40d81dc703d7694" localSheetId="0" hidden="1">#REF!</definedName>
    <definedName name="__Ampler.Charts.e84d9270cbb94356a40d81dc703d7694" hidden="1">#REF!</definedName>
    <definedName name="__Ampler.Charts.fa765f69abe84d24a3c4c841a6828b6f" localSheetId="0" hidden="1">#REF!</definedName>
    <definedName name="__Ampler.Charts.fa765f69abe84d24a3c4c841a6828b6f" hidden="1">#REF!</definedName>
    <definedName name="CostUnit" localSheetId="0">'[2]Fuel Cost'!#REF!</definedName>
    <definedName name="CostUnit">'[2]Fuel Cost'!#REF!</definedName>
    <definedName name="Lifetime" localSheetId="0">#REF!</definedName>
    <definedName name="Lifetime">#REF!</definedName>
    <definedName name="x" localSheetId="0">'[2]Fuel Cost'!#REF!</definedName>
    <definedName name="x">'[2]Fuel Cost'!#REF!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6" i="18" l="1"/>
  <c r="E107" i="18" s="1"/>
  <c r="E108" i="18" s="1"/>
  <c r="E109" i="18" s="1"/>
  <c r="E105" i="18"/>
  <c r="C99" i="18"/>
  <c r="B99" i="18"/>
  <c r="C91" i="18"/>
  <c r="C85" i="18"/>
  <c r="B85" i="18"/>
  <c r="E81" i="18"/>
  <c r="E76" i="18"/>
  <c r="E72" i="18"/>
  <c r="E67" i="18"/>
  <c r="E70" i="18" s="1"/>
  <c r="C67" i="18"/>
  <c r="E66" i="18"/>
  <c r="E65" i="18"/>
  <c r="E62" i="18"/>
  <c r="C62" i="18"/>
  <c r="E60" i="18"/>
  <c r="E57" i="18"/>
  <c r="L49" i="18"/>
  <c r="M42" i="18"/>
  <c r="M40" i="18"/>
  <c r="B35" i="18"/>
  <c r="P33" i="18"/>
  <c r="M33" i="18"/>
  <c r="K33" i="18"/>
  <c r="P32" i="18"/>
  <c r="M32" i="18"/>
  <c r="K32" i="18"/>
  <c r="P31" i="18"/>
  <c r="M31" i="18"/>
  <c r="K31" i="18"/>
  <c r="B31" i="18"/>
  <c r="P30" i="18"/>
  <c r="M30" i="18"/>
  <c r="K30" i="18"/>
  <c r="P29" i="18"/>
  <c r="M29" i="18"/>
  <c r="K29" i="18"/>
  <c r="P28" i="18"/>
  <c r="M28" i="18"/>
  <c r="K28" i="18"/>
  <c r="P27" i="18"/>
  <c r="M27" i="18"/>
  <c r="K27" i="18"/>
  <c r="D27" i="18"/>
  <c r="B27" i="18"/>
  <c r="P26" i="18"/>
  <c r="M26" i="18"/>
  <c r="K26" i="18"/>
  <c r="P25" i="18"/>
  <c r="M25" i="18"/>
  <c r="K25" i="18"/>
  <c r="P24" i="18"/>
  <c r="M24" i="18"/>
  <c r="K24" i="18"/>
  <c r="P23" i="18"/>
  <c r="M23" i="18"/>
  <c r="K23" i="18"/>
  <c r="P22" i="18"/>
  <c r="M22" i="18"/>
  <c r="K22" i="18"/>
  <c r="P21" i="18"/>
  <c r="M21" i="18"/>
  <c r="K21" i="18"/>
  <c r="P20" i="18"/>
  <c r="M20" i="18"/>
  <c r="K20" i="18"/>
  <c r="P19" i="18"/>
  <c r="M19" i="18"/>
  <c r="K19" i="18"/>
  <c r="P18" i="18"/>
  <c r="M18" i="18"/>
  <c r="K18" i="18"/>
  <c r="P17" i="18"/>
  <c r="M17" i="18"/>
  <c r="K17" i="18"/>
  <c r="P16" i="18"/>
  <c r="M16" i="18"/>
  <c r="K16" i="18"/>
  <c r="P15" i="18"/>
  <c r="M15" i="18"/>
  <c r="K15" i="18"/>
  <c r="P14" i="18"/>
  <c r="M14" i="18"/>
  <c r="K14" i="18"/>
  <c r="P13" i="18"/>
  <c r="M13" i="18"/>
  <c r="K13" i="18"/>
  <c r="P12" i="18"/>
  <c r="M12" i="18"/>
  <c r="K12" i="18"/>
  <c r="P11" i="18"/>
  <c r="M11" i="18"/>
  <c r="K11" i="18"/>
  <c r="P10" i="18"/>
  <c r="M10" i="18"/>
  <c r="K10" i="18"/>
  <c r="P9" i="18"/>
  <c r="M9" i="18"/>
  <c r="K9" i="18"/>
  <c r="P8" i="18"/>
  <c r="E85" i="18" s="1"/>
  <c r="M8" i="18"/>
  <c r="K8" i="18"/>
  <c r="E91" i="18" s="1"/>
  <c r="E79" i="18" l="1"/>
  <c r="E80" i="18" s="1"/>
  <c r="E110" i="18"/>
  <c r="B38" i="18" s="1"/>
  <c r="E99" i="18"/>
  <c r="E100" i="18" s="1"/>
  <c r="E61" i="18"/>
  <c r="E71" i="18" s="1"/>
  <c r="E73" i="18" s="1"/>
  <c r="D35" i="18" l="1"/>
  <c r="E83" i="18"/>
  <c r="E82" i="18"/>
  <c r="E84" i="18" s="1"/>
  <c r="E86" i="18" s="1"/>
  <c r="E87" i="18" l="1"/>
  <c r="E88" i="18" s="1"/>
  <c r="E92" i="18" l="1"/>
  <c r="E101" i="18"/>
  <c r="E93" i="18"/>
  <c r="B39" i="18" l="1"/>
  <c r="E102" i="18"/>
  <c r="E111" i="18" s="1"/>
  <c r="E94" i="18"/>
  <c r="E112" i="18" l="1"/>
  <c r="B40" i="18"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<sst xmlns="http://schemas.openxmlformats.org/spreadsheetml/2006/main" count="255" uniqueCount="213">
  <si>
    <t>Mærsk Mc-Kinney Møller Center for Zero Carbon Shipping</t>
  </si>
  <si>
    <r>
      <t xml:space="preserve">Assumptions and Parameters </t>
    </r>
    <r>
      <rPr>
        <b/>
        <sz val="14"/>
        <color theme="0"/>
        <rFont val="Aptos Narrow"/>
        <family val="2"/>
      </rPr>
      <t>↓↓</t>
    </r>
  </si>
  <si>
    <t>FuelEU Pooling Value Calculator</t>
  </si>
  <si>
    <t>Assumptions and Parameters</t>
  </si>
  <si>
    <r>
      <rPr>
        <b/>
        <sz val="9"/>
        <color theme="1"/>
        <rFont val="Aptos Narrow"/>
        <family val="2"/>
        <scheme val="minor"/>
      </rPr>
      <t>Disclaimer</t>
    </r>
    <r>
      <rPr>
        <sz val="9"/>
        <color theme="1"/>
        <rFont val="Aptos Narrow"/>
        <family val="2"/>
        <scheme val="minor"/>
      </rPr>
      <t>: this calculator is intended to be used as an indicator of the potential/possible price of pooling; however, it is not designed to forecast prices. This should not be construed as investment, financial, legal, tax, or accounting advice. Please question the assumptions before incorporating them into your company’s decision-making process. This calculator is provided without warranty or representation of any kind, express or implied, and Fonden Mærsk Mc-Kinney Møller Center for Zero Carbon Shipping shall not be held liable for any errors or omissions in the content, nor for any loss or damage arising from the use of it.</t>
    </r>
  </si>
  <si>
    <t>All from public sources, see links at the bottom of the table.</t>
  </si>
  <si>
    <r>
      <rPr>
        <b/>
        <sz val="12"/>
        <color theme="0"/>
        <rFont val="Aptos Narrow"/>
        <family val="2"/>
        <scheme val="minor"/>
      </rPr>
      <t>Purpose:</t>
    </r>
    <r>
      <rPr>
        <sz val="12"/>
        <color theme="0"/>
        <rFont val="Aptos Narrow"/>
        <family val="2"/>
        <scheme val="minor"/>
      </rPr>
      <t xml:space="preserve"> The tool is designed to estimate the value of surplus tonnes CO2e generated by a vessel that overachieves on FuelEU targets and decides to sell surplus to other vessels through pooling arrangements. </t>
    </r>
  </si>
  <si>
    <t>Fuel Cost Assumptions</t>
  </si>
  <si>
    <t>ETS Allowance Price Assumptions</t>
  </si>
  <si>
    <t>FuelEU</t>
  </si>
  <si>
    <r>
      <rPr>
        <b/>
        <sz val="12"/>
        <color theme="0"/>
        <rFont val="Aptos Narrow"/>
        <family val="2"/>
        <scheme val="minor"/>
      </rPr>
      <t xml:space="preserve">Basic logic: </t>
    </r>
    <r>
      <rPr>
        <sz val="12"/>
        <color theme="0"/>
        <rFont val="Aptos Narrow"/>
        <family val="2"/>
        <scheme val="minor"/>
      </rPr>
      <t>Assuming green vessels are scarce, the price of pooling is likely to be set at the business as usual (BAU) cost of FuelEU compliance which we assume will be the lowest cost option between paying the penalty and blending biodiesel with conventional fuel (here we use LSFO as the BAU fuel). Therefore, this model shows the benefits for an alternative fueled vessel that sells surplus compliance at a price based on the BAU compliance cost (See flow chart with process to determine the pooling price).</t>
    </r>
  </si>
  <si>
    <t>LSFO</t>
  </si>
  <si>
    <t>LSFO cost per tonne</t>
  </si>
  <si>
    <t>100% Biodiesel (FAME)</t>
  </si>
  <si>
    <t>100% Biodiesel (FAME) cost per tonne</t>
  </si>
  <si>
    <t>Phase-in of allowances surrendered</t>
  </si>
  <si>
    <t>Base ETS Price Projections [USD/EUA]</t>
  </si>
  <si>
    <t>ETS price projection with phase-in</t>
  </si>
  <si>
    <t>FuelEU Target Intensity</t>
  </si>
  <si>
    <t>Drop downs</t>
  </si>
  <si>
    <r>
      <rPr>
        <b/>
        <sz val="12"/>
        <color theme="0"/>
        <rFont val="Aptos Narrow"/>
        <family val="2"/>
        <scheme val="minor"/>
      </rPr>
      <t>How to use the model:</t>
    </r>
    <r>
      <rPr>
        <sz val="12"/>
        <color theme="0"/>
        <rFont val="Aptos Narrow"/>
        <family val="2"/>
        <scheme val="minor"/>
      </rPr>
      <t xml:space="preserve"> For 'Input 1' provide values for an alternative fuel that reflects values from your organization. The calculator applies benefits of pooling to the modeled alternative fuel. 'Input 2' is to create a baseline. Here you can decide to use our standard assumptions (right) or enter your own to establish a baseline for comparison.</t>
    </r>
  </si>
  <si>
    <t>USD/GJ</t>
  </si>
  <si>
    <t>USD/tonne</t>
  </si>
  <si>
    <t>%</t>
  </si>
  <si>
    <t>USD/EUA</t>
  </si>
  <si>
    <t>gCO2eq/MJ</t>
  </si>
  <si>
    <t>Yes</t>
  </si>
  <si>
    <r>
      <rPr>
        <b/>
        <sz val="12"/>
        <color theme="0"/>
        <rFont val="Aptos Narrow"/>
        <family val="2"/>
        <scheme val="minor"/>
      </rPr>
      <t>The results:</t>
    </r>
    <r>
      <rPr>
        <sz val="12"/>
        <color theme="0"/>
        <rFont val="Aptos Narrow"/>
        <family val="2"/>
        <scheme val="minor"/>
      </rPr>
      <t xml:space="preserve"> The figures show a cost comparison of alternative fuel with pooling benefits and BAU baseline with additional costs from EU ETS and FuelEU.</t>
    </r>
  </si>
  <si>
    <t>No</t>
  </si>
  <si>
    <t>User Input</t>
  </si>
  <si>
    <t>Input 1: Setup alternative fuel</t>
  </si>
  <si>
    <t>Notes</t>
  </si>
  <si>
    <t>Year for estimation</t>
  </si>
  <si>
    <t>Year is used for cost assumptions and FuelEU target</t>
  </si>
  <si>
    <t>Set a low-emissions fuel</t>
  </si>
  <si>
    <t>CO2e reduction share below reference: 91.16 g/MJ</t>
  </si>
  <si>
    <t>Note: assumes satisfies the zero ETS rated criteria (btw 65-100%)</t>
  </si>
  <si>
    <t>Renewable fuel of non-biological origin (RFNBO)?</t>
  </si>
  <si>
    <t>Rewarded before 2033 (Note: CO2e reduction must be &gt;70%)</t>
  </si>
  <si>
    <t>Cost of alternative fuel [USD/tonnes LSFO-eq]</t>
  </si>
  <si>
    <t>Set alternative fuel cost to estimate impact</t>
  </si>
  <si>
    <t>↑ If unsure on cost, use our Fuel Cost Calculator</t>
  </si>
  <si>
    <t>Sensitivity analysis on the pooling price</t>
  </si>
  <si>
    <t>Adjust the price for each surplus tonne of abatement</t>
  </si>
  <si>
    <t xml:space="preserve">Adjust price for surplus tonnes (max +100% above, min -100%) to account for e.g., transaction costs (-%), or high demand (+%). </t>
  </si>
  <si>
    <t>Input 2: Set business as usual (BAU) baseline</t>
  </si>
  <si>
    <t>Center Assumption Sources</t>
  </si>
  <si>
    <t>LSFO Fuel Costs [USD/tonne LSFO]</t>
  </si>
  <si>
    <t xml:space="preserve">Use Center Estimate? </t>
  </si>
  <si>
    <t>MMM Fuel Cost Calculator, 2024</t>
  </si>
  <si>
    <t>Biodiesel Fuel Costs [USD/tonne biodiesel]</t>
  </si>
  <si>
    <t>Use LR &amp; UMAS Estimate?</t>
  </si>
  <si>
    <t>LR &amp; UMAS, 2021</t>
  </si>
  <si>
    <t/>
  </si>
  <si>
    <t>ETS Allowance Price [USD/tonne CO2e]</t>
  </si>
  <si>
    <t>Use Pietzcker et al., 2021 EUA Forecast?</t>
  </si>
  <si>
    <t>Pietzcker et al., 2021</t>
  </si>
  <si>
    <t>Sources:</t>
  </si>
  <si>
    <t>MMMCZCS, 2024</t>
  </si>
  <si>
    <t>LR &amp; UMAS, 2020</t>
  </si>
  <si>
    <t>FuelEU Article 4(2)</t>
  </si>
  <si>
    <t>Results Comparing Alternative Fuel with BAU:</t>
  </si>
  <si>
    <t>Fuel Emissions Factors</t>
  </si>
  <si>
    <t>LSFO (HFO)</t>
  </si>
  <si>
    <t>FAME (Waste Cooking Oil)</t>
  </si>
  <si>
    <t>Alternative</t>
  </si>
  <si>
    <t>Source</t>
  </si>
  <si>
    <t>Note</t>
  </si>
  <si>
    <t>FuelEU WtW EF (gCO2e/MJ)</t>
  </si>
  <si>
    <t>FuelEU Annex II</t>
  </si>
  <si>
    <t>Lower Calorific Value (MJ/g)</t>
  </si>
  <si>
    <t>use LSFO-eq</t>
  </si>
  <si>
    <t>LSFO: FuelEU Annex II; Biodiesel: RED Annex III</t>
  </si>
  <si>
    <t>EU ETS TtW EF (gCO2e/MJ)</t>
  </si>
  <si>
    <t>MRV Delegated Regulation Annex II (1.2)</t>
  </si>
  <si>
    <t>Note: We simplify the ETS EF for FAME to be 0 CO2e, however, there will be TtW emissions from CH4 and N2O (1.3gCO2e/MJ)</t>
  </si>
  <si>
    <t>FuelEU Parameters</t>
  </si>
  <si>
    <t>Parameters</t>
  </si>
  <si>
    <t>Unit</t>
  </si>
  <si>
    <t>Value</t>
  </si>
  <si>
    <t>FuelEU Reference Value</t>
  </si>
  <si>
    <t>Intensity reduction targets are based on this value</t>
  </si>
  <si>
    <t>FuelEU Penalty in tonnes fuel</t>
  </si>
  <si>
    <t>EUR/tonne VLSFOeq</t>
  </si>
  <si>
    <t>FuelEU Annex IV</t>
  </si>
  <si>
    <t>Non-compliance in tons of VLSFO x 2400</t>
  </si>
  <si>
    <t>USD per EUR</t>
  </si>
  <si>
    <t>USD/EUR</t>
  </si>
  <si>
    <t>ECB, 2024</t>
  </si>
  <si>
    <t>European Central Bank: March 2014 to March 2024</t>
  </si>
  <si>
    <t>LSFO Penalty per tCO2e deficit</t>
  </si>
  <si>
    <t>USD/tonne CO2e deficit</t>
  </si>
  <si>
    <t>Penalty / (LSFO tonnesCO2 /tonnes fuel)</t>
  </si>
  <si>
    <t>EUR penalty per tonne of fuel, converted to cost per tonne CO2e, converted to USD</t>
  </si>
  <si>
    <t>Calculation of BAU Costs</t>
  </si>
  <si>
    <t>FuelEU Target</t>
  </si>
  <si>
    <t>Source or Calculation</t>
  </si>
  <si>
    <t>Units</t>
  </si>
  <si>
    <t>Target Emissions Factor</t>
  </si>
  <si>
    <t>g/MJ</t>
  </si>
  <si>
    <t>Emissions Factor (gCO2e/MJ)</t>
  </si>
  <si>
    <t>We use LSFO as our BAU fuel</t>
  </si>
  <si>
    <t>Emissions Factor (tonnes CO2e/GJ)</t>
  </si>
  <si>
    <t>g/MJ x 1000</t>
  </si>
  <si>
    <t>tonnes/GJ</t>
  </si>
  <si>
    <t>Convered to tonnes CO2e per GJ</t>
  </si>
  <si>
    <t>Fuel Cost</t>
  </si>
  <si>
    <t>Biodiesel</t>
  </si>
  <si>
    <t>Based on waste cooking oil FAME</t>
  </si>
  <si>
    <t>Biodiesel Compliance Cost</t>
  </si>
  <si>
    <t>Biodiesel cost premium</t>
  </si>
  <si>
    <t>bio USD - LSFO USD</t>
  </si>
  <si>
    <t>Biodiesel additional cost per GJ</t>
  </si>
  <si>
    <t>Biodiesel abatement per GJ</t>
  </si>
  <si>
    <t>bio EF - LSFO EF</t>
  </si>
  <si>
    <t>tCO2e abatement/GJ</t>
  </si>
  <si>
    <t>LSFO tonnes abatement required per GJ</t>
  </si>
  <si>
    <t>target - LSFO actual</t>
  </si>
  <si>
    <t>Required reduction to comply</t>
  </si>
  <si>
    <t>Biodiesel blend abatement cost</t>
  </si>
  <si>
    <t>Cost diff/EF diff</t>
  </si>
  <si>
    <t>USD/tCO2e abatement</t>
  </si>
  <si>
    <t>Additional cost per t of abatement</t>
  </si>
  <si>
    <t>Penalty Compliance Cost</t>
  </si>
  <si>
    <t>Penalty abatement cost</t>
  </si>
  <si>
    <t>Penalty / (LSFO EF converted to tonnes VLSFO)</t>
  </si>
  <si>
    <t>Cost per t of abatement via penalty</t>
  </si>
  <si>
    <t>What is the cheapest FuelEU compliance option?</t>
  </si>
  <si>
    <t>FuelEU Required CO2e abatement</t>
  </si>
  <si>
    <t>Target - LSFO actual (converted)</t>
  </si>
  <si>
    <t>tCO2e abatement/t fuel</t>
  </si>
  <si>
    <t>The required reduction in tonnes CO2e per tonne of LSFO</t>
  </si>
  <si>
    <t>Penalty compliance cost</t>
  </si>
  <si>
    <t>Penalty cost x required abatement</t>
  </si>
  <si>
    <t>USD/t fuel</t>
  </si>
  <si>
    <t>The penalty for each tonne of fuel</t>
  </si>
  <si>
    <t>TtW emissions</t>
  </si>
  <si>
    <t>LSFO x TtW CO2e</t>
  </si>
  <si>
    <t>TtW tCO2e/t fuel</t>
  </si>
  <si>
    <t>TtW emissions if not blending bio</t>
  </si>
  <si>
    <t>Share of biodiesel per GJ</t>
  </si>
  <si>
    <t>Required abatement / reduction of bio</t>
  </si>
  <si>
    <t>% per GJ</t>
  </si>
  <si>
    <t>Min share of biodiesel to meet target</t>
  </si>
  <si>
    <t>Biodiesel compliance cost</t>
  </si>
  <si>
    <t>Abatement x blend abatement cost</t>
  </si>
  <si>
    <t>Additional biodiesel cost to achieve target CO2e reduction</t>
  </si>
  <si>
    <t>TtW emissions with biodiesel blend</t>
  </si>
  <si>
    <t>(Share LSFO x TtW CO2e) + (Share biodiesel x TtW CO2e)</t>
  </si>
  <si>
    <t>TtW emissions if biodiesel blended to meet FuelEU target</t>
  </si>
  <si>
    <t>USD/TtW tCO2e</t>
  </si>
  <si>
    <t>We account for the reduced TtW emissions due to biodiesel blending</t>
  </si>
  <si>
    <t>ETS savings with biodiesel blend</t>
  </si>
  <si>
    <t>TtW emissions reduction x ETS price</t>
  </si>
  <si>
    <t>USD/tonne of fuel</t>
  </si>
  <si>
    <t>Reduction in ETS costs due to blend</t>
  </si>
  <si>
    <t>Biodiesel blend cost with ETS savings</t>
  </si>
  <si>
    <t>Bioblend cost - ETS savings</t>
  </si>
  <si>
    <t>Additional costs to blend biodiesel - savings from ETS reduction</t>
  </si>
  <si>
    <t>What is the cheapest option?</t>
  </si>
  <si>
    <t>Minimum of biodiesel and penalty</t>
  </si>
  <si>
    <t>Conventional fuel costs with FuelEU and ETS</t>
  </si>
  <si>
    <t>LSFO cost</t>
  </si>
  <si>
    <t>FuelEU compliance cost</t>
  </si>
  <si>
    <t>Min cost compliance option</t>
  </si>
  <si>
    <t>Minimum between biodiesel and penalty</t>
  </si>
  <si>
    <t>ETS Costs</t>
  </si>
  <si>
    <t>Price x TtW emissions</t>
  </si>
  <si>
    <t>Costs with lower TtW emissions blending</t>
  </si>
  <si>
    <t>Total</t>
  </si>
  <si>
    <t>fuel cost + compliance cost</t>
  </si>
  <si>
    <t>Calculation of Alternative Fuel Costs with Pooling Benefits</t>
  </si>
  <si>
    <t>Surplus Value</t>
  </si>
  <si>
    <t>Price per allowance (based on TtW)</t>
  </si>
  <si>
    <t>ETS Savings converted to 1 tonne WtW abatement</t>
  </si>
  <si>
    <t>ETS price x (TtW/WtW)</t>
  </si>
  <si>
    <t>USD/WtW tCO2e</t>
  </si>
  <si>
    <t>Account for the fact that the savings is only for the TtW portion of abatement</t>
  </si>
  <si>
    <t>FuelEU Market compliance cost per tonne of abatement</t>
  </si>
  <si>
    <t>Minimum: (Blend - ETS) or (Penalty)</t>
  </si>
  <si>
    <t>USD/tonne WtW abatement CO2e</t>
  </si>
  <si>
    <t>Conventional vessels will choose the cheapest between 1) additional cost to blend bio with savings on their ETS costs, or 2) the penalty</t>
  </si>
  <si>
    <t>Value of a surplus tonne of abatement</t>
  </si>
  <si>
    <t>Compliance cost x pooling premium</t>
  </si>
  <si>
    <t>USD/tonne abatement CO2e</t>
  </si>
  <si>
    <t>Applies premium from Input 1 to determine if price is at, above, or below the market cost</t>
  </si>
  <si>
    <t>Alternative pooling surplus value</t>
  </si>
  <si>
    <t>Alt fuel cost</t>
  </si>
  <si>
    <t>USD/tLSFO-eq</t>
  </si>
  <si>
    <t>Alt WtW emissions factor</t>
  </si>
  <si>
    <t>91.16 x reduction</t>
  </si>
  <si>
    <t>gCO2e/MJ</t>
  </si>
  <si>
    <t>Note: We simplify the ETS EF to be 0 CO2e, however, there will be TtW emissions from CH4 and N2O</t>
  </si>
  <si>
    <t>Alt WtW emissions factor with RFNBO Multiplier (&lt;2033)</t>
  </si>
  <si>
    <t>EF/2</t>
  </si>
  <si>
    <t>Applies to the MJ denominator</t>
  </si>
  <si>
    <t>Alt surplus intensity</t>
  </si>
  <si>
    <t>FuelEU Target - alt EF</t>
  </si>
  <si>
    <t>Note: negative values is a deficit that must be reduced</t>
  </si>
  <si>
    <t>Convert to abatement per tonne of LSFO-eq</t>
  </si>
  <si>
    <t>Alt surplus x LSFO LCV</t>
  </si>
  <si>
    <t>tCO2e/tLSFO-eq</t>
  </si>
  <si>
    <t>The surplus CO2e per tonne of fuel (in LSFO-eq)</t>
  </si>
  <si>
    <t>Number of equal ships that can pool</t>
  </si>
  <si>
    <t>Alt fuel surplus / LSFO deficit</t>
  </si>
  <si>
    <t>Ships</t>
  </si>
  <si>
    <t>Max ships with identical consumption that can be pooled</t>
  </si>
  <si>
    <t xml:space="preserve">Surplus value </t>
  </si>
  <si>
    <t>Abatement x surplus value</t>
  </si>
  <si>
    <t>Note: or deficit in the case of negative</t>
  </si>
  <si>
    <t>Cost after pooling</t>
  </si>
  <si>
    <t>Alt fuel cost - surplus value</t>
  </si>
  <si>
    <t>If all surplus sold, the remaining fuel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</si>
</sst>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0">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b/>
      <sz val="14"/>
      <color theme="0"/>
      <name val="Aptos Narrow"/>
      <family val="2"/>
      <scheme val="minor"/>
    </font>
    <font>
      <b/>
      <sz val="14"/>
      <color theme="0"/>
      <name val="Aptos Narrow"/>
      <family val="2"/>
    </font>
    <font>
      <sz val="12"/>
      <color theme="0"/>
      <name val="Aptos Narrow"/>
      <family val="2"/>
      <scheme val="minor"/>
    </font>
    <font>
      <sz val="14"/>
      <color theme="0"/>
      <name val="Aptos Narrow"/>
      <family val="2"/>
      <scheme val="minor"/>
    </font>
    <font>
      <sz val="16"/>
      <color theme="0"/>
      <name val="Aptos Display"/>
      <family val="2"/>
      <scheme val="major"/>
    </font>
    <font>
      <b/>
      <sz val="14"/>
      <color theme="1" tint="0.249977111117893"/>
      <name val="Aptos Narrow"/>
      <family val="2"/>
      <scheme val="minor"/>
    </font>
    <font>
      <b/>
      <sz val="11"/>
      <color rgb="FFB8E0C2"/>
      <name val="Aptos Narrow"/>
      <family val="2"/>
      <scheme val="minor"/>
    </font>
    <font>
      <i/>
      <sz val="11"/>
      <color rgb="FF3C5E86"/>
      <name val="Aptos Narrow"/>
      <family val="2"/>
      <scheme val="minor"/>
    </font>
    <font>
      <i/>
      <sz val="12"/>
      <color theme="8" tint="-0.499984740745262"/>
      <name val="Aptos Narrow"/>
      <family val="2"/>
      <scheme val="minor"/>
    </font>
    <font>
      <i/>
      <sz val="12"/>
      <color rgb="FF4C7870"/>
      <name val="Aptos Narrow"/>
      <family val="2"/>
      <scheme val="minor"/>
    </font>
    <font>
      <b/>
      <sz val="11"/>
      <color rgb="FF3C5E86"/>
      <name val="Aptos Narrow"/>
      <family val="2"/>
      <scheme val="minor"/>
    </font>
    <font>
      <i/>
      <sz val="11"/>
      <color theme="1" tint="0.499984740745262"/>
      <name val="Aptos Narrow"/>
      <family val="2"/>
      <scheme val="minor"/>
    </font>
    <font>
      <i/>
      <sz val="10"/>
      <color theme="1"/>
      <name val="Aptos Narrow"/>
      <family val="2"/>
      <scheme val="minor"/>
    </font>
    <font>
      <i/>
      <sz val="11"/>
      <color theme="1"/>
      <name val="Aptos Narrow"/>
      <family val="2"/>
      <scheme val="minor"/>
    </font>
    <font>
      <u/>
      <sz val="11"/>
      <color rgb="FFB8E0C2"/>
      <name val="Aptos Narrow"/>
      <family val="2"/>
      <scheme val="minor"/>
    </font>
    <font>
      <sz val="11"/>
      <color theme="0" tint="-4.9989318521683403E-2"/>
      <name val="Aptos Narrow"/>
      <family val="2"/>
      <scheme val="minor"/>
    </font>
    <font>
      <b/>
      <i/>
      <sz val="10"/>
      <color theme="0"/>
      <name val="Aptos Narrow"/>
      <family val="2"/>
      <scheme val="minor"/>
    </font>
    <font>
      <i/>
      <u/>
      <sz val="8"/>
      <color theme="10"/>
      <name val="Aptos Narrow"/>
      <family val="2"/>
      <scheme val="minor"/>
    </font>
    <font>
      <i/>
      <sz val="9"/>
      <color theme="0" tint="-0.499984740745262"/>
      <name val="Aptos Narrow"/>
      <family val="2"/>
      <scheme val="minor"/>
    </font>
    <font>
      <sz val="9"/>
      <color theme="0" tint="-0.499984740745262"/>
      <name val="Aptos Narrow"/>
      <family val="2"/>
      <scheme val="minor"/>
    </font>
    <font>
      <u/>
      <sz val="9"/>
      <color theme="0" tint="-0.499984740745262"/>
      <name val="Aptos Narrow"/>
      <family val="2"/>
      <scheme val="minor"/>
    </font>
    <font>
      <b/>
      <i/>
      <sz val="11"/>
      <color theme="0"/>
      <name val="Aptos Narrow"/>
      <family val="2"/>
      <scheme val="minor"/>
    </font>
    <font>
      <sz val="12"/>
      <color theme="1"/>
      <name val="Aptos Narrow"/>
      <family val="2"/>
      <scheme val="minor"/>
    </font>
    <font>
      <sz val="12"/>
      <color rgb="FF3C5E86"/>
      <name val="Aptos Narrow"/>
      <family val="2"/>
      <scheme val="minor"/>
    </font>
    <font>
      <i/>
      <sz val="12"/>
      <color theme="0" tint="-0.499984740745262"/>
      <name val="Aptos Narrow"/>
      <family val="2"/>
      <scheme val="minor"/>
    </font>
    <font>
      <sz val="11"/>
      <color theme="0" tint="-0.14999847407452621"/>
      <name val="Aptos Narrow"/>
      <family val="2"/>
      <scheme val="minor"/>
    </font>
    <font>
      <sz val="11"/>
      <color theme="0" tint="-0.249977111117893"/>
      <name val="Aptos Narrow"/>
      <family val="2"/>
      <scheme val="minor"/>
    </font>
    <font>
      <b/>
      <i/>
      <sz val="10"/>
      <color theme="1"/>
      <name val="Aptos Narrow"/>
      <family val="2"/>
      <scheme val="minor"/>
    </font>
    <font>
      <sz val="11"/>
      <color theme="1"/>
      <name val="Aktiv Grotesk Light"/>
      <family val="2"/>
    </font>
    <font>
      <b/>
      <sz val="18"/>
      <color theme="0"/>
      <name val="Aptos Display"/>
      <family val="2"/>
      <scheme val="major"/>
    </font>
    <font>
      <b/>
      <sz val="18"/>
      <color theme="1"/>
      <name val="Aptos Display"/>
      <family val="2"/>
      <scheme val="major"/>
    </font>
    <font>
      <b/>
      <sz val="12"/>
      <color theme="0"/>
      <name val="Aptos Narrow"/>
      <family val="2"/>
      <scheme val="minor"/>
    </font>
    <font>
      <b/>
      <i/>
      <sz val="11"/>
      <color rgb="FF3C5E86"/>
      <name val="Aptos Narrow"/>
      <family val="2"/>
      <scheme val="minor"/>
    </font>
    <font>
      <sz val="18"/>
      <color theme="0"/>
      <name val="Aptos Display"/>
      <family val="2"/>
      <scheme val="major"/>
    </font>
    <font>
      <sz val="8"/>
      <color theme="0"/>
      <name val="Aptos Narrow"/>
      <family val="2"/>
      <scheme val="minor"/>
    </font>
    <font>
      <sz val="10"/>
      <color theme="1"/>
      <name val="Aptos Narrow"/>
      <family val="2"/>
      <scheme val="minor"/>
    </font>
    <font>
      <b/>
      <sz val="11"/>
      <color theme="1" tint="0.34998626667073579"/>
      <name val="Aptos Narrow"/>
      <family val="2"/>
      <scheme val="minor"/>
    </font>
    <font>
      <b/>
      <sz val="12"/>
      <color theme="1"/>
      <name val="Aptos Narrow"/>
      <family val="2"/>
      <scheme val="minor"/>
    </font>
    <font>
      <sz val="10"/>
      <color theme="1"/>
      <name val="Aktiv Grotesk Light"/>
      <family val="2"/>
    </font>
    <font>
      <i/>
      <sz val="8"/>
      <color theme="1" tint="0.499984740745262"/>
      <name val="Aptos Narrow"/>
      <family val="2"/>
      <scheme val="minor"/>
    </font>
    <font>
      <sz val="9"/>
      <color theme="1"/>
      <name val="Aptos Narrow"/>
      <family val="2"/>
      <scheme val="minor"/>
    </font>
    <font>
      <b/>
      <sz val="9"/>
      <color theme="1"/>
      <name val="Aptos Narrow"/>
      <family val="2"/>
      <scheme val="minor"/>
    </font>
    <font>
      <sz val="11"/>
      <color theme="0" tint="-0.34998626667073579"/>
      <name val="Aptos Narrow"/>
      <family val="2"/>
      <scheme val="minor"/>
    </font>
    <font>
      <i/>
      <sz val="11"/>
      <color theme="0" tint="-0.34998626667073579"/>
      <name val="Aptos Narrow"/>
      <family val="2"/>
      <scheme val="minor"/>
    </font>
  </fonts>
  <fills count="13">
    <fill>
      <patternFill patternType="none"/>
    </fill>
    <fill>
      <patternFill patternType="gray125"/>
    </fill>
    <fill>
      <patternFill patternType="solid">
        <fgColor rgb="FF4C7870"/>
        <bgColor indexed="64"/>
      </patternFill>
    </fill>
    <fill>
      <patternFill patternType="solid">
        <fgColor rgb="FF3C5E86"/>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rgb="FF5E948A"/>
        <bgColor indexed="64"/>
      </patternFill>
    </fill>
    <fill>
      <patternFill patternType="solid">
        <fgColor theme="8" tint="0.79998168889431442"/>
        <bgColor indexed="64"/>
      </patternFill>
    </fill>
    <fill>
      <patternFill patternType="solid">
        <fgColor rgb="FFBFD7D2"/>
        <bgColor indexed="64"/>
      </patternFill>
    </fill>
    <fill>
      <patternFill patternType="solid">
        <fgColor rgb="FFD7E5E2"/>
        <bgColor indexed="64"/>
      </patternFill>
    </fill>
    <fill>
      <patternFill patternType="solid">
        <fgColor rgb="FFE8F0EE"/>
        <bgColor indexed="64"/>
      </patternFill>
    </fill>
    <fill>
      <patternFill patternType="solid">
        <fgColor theme="0" tint="-4.9989318521683403E-2"/>
        <bgColor indexed="64"/>
      </patternFill>
    </fill>
  </fills>
  <borders count="1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7F7F7F"/>
      </left>
      <right style="double">
        <color rgb="FF7F7F7F"/>
      </right>
      <top style="double">
        <color rgb="FF7F7F7F"/>
      </top>
      <bottom style="double">
        <color rgb="FF7F7F7F"/>
      </bottom>
      <diagonal/>
    </border>
    <border>
      <left/>
      <right/>
      <top style="double">
        <color rgb="FF7F7F7F"/>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9" fontId="1" fillId="0" borderId="0" applyFont="0" applyFill="0" applyBorder="0" applyAlignment="0" applyProtection="0"/>
    <xf numFmtId="0" fontId="14" fillId="8" borderId="11" applyNumberFormat="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32">
    <xf numFmtId="0" fontId="0" fillId="0" borderId="0" xfId="0"/>
    <xf numFmtId="0" fontId="0" fillId="2" borderId="0" xfId="0" applyFill="1"/>
    <xf numFmtId="0" fontId="6" fillId="3" borderId="0" xfId="0" applyFont="1" applyFill="1" applyAlignment="1">
      <alignment horizontal="center" vertical="center" textRotation="90"/>
    </xf>
    <xf numFmtId="0" fontId="0" fillId="4" borderId="0" xfId="0" applyFill="1"/>
    <xf numFmtId="0" fontId="2" fillId="2" borderId="0" xfId="0" applyFont="1" applyFill="1"/>
    <xf numFmtId="0" fontId="9" fillId="5" borderId="4" xfId="0" applyFont="1" applyFill="1" applyBorder="1" applyAlignment="1">
      <alignment horizontal="center" vertical="center"/>
    </xf>
    <xf numFmtId="0" fontId="11" fillId="7" borderId="0" xfId="0" applyFont="1" applyFill="1"/>
    <xf numFmtId="0" fontId="16" fillId="4" borderId="0" xfId="0" applyFont="1" applyFill="1"/>
    <xf numFmtId="2" fontId="0" fillId="4" borderId="5" xfId="0" applyNumberFormat="1" applyFill="1" applyBorder="1"/>
    <xf numFmtId="2" fontId="17" fillId="4" borderId="0" xfId="0" applyNumberFormat="1" applyFont="1" applyFill="1"/>
    <xf numFmtId="2" fontId="0" fillId="4" borderId="0" xfId="0" applyNumberFormat="1" applyFill="1"/>
    <xf numFmtId="2" fontId="17" fillId="4" borderId="6" xfId="0" applyNumberFormat="1" applyFont="1" applyFill="1" applyBorder="1"/>
    <xf numFmtId="9" fontId="0" fillId="4" borderId="5" xfId="1" applyFont="1" applyFill="1" applyBorder="1"/>
    <xf numFmtId="1" fontId="0" fillId="4" borderId="0" xfId="0" applyNumberFormat="1" applyFill="1"/>
    <xf numFmtId="1" fontId="0" fillId="4" borderId="6" xfId="0" applyNumberFormat="1" applyFill="1" applyBorder="1"/>
    <xf numFmtId="2" fontId="0" fillId="4" borderId="7" xfId="0" applyNumberFormat="1" applyFill="1" applyBorder="1"/>
    <xf numFmtId="0" fontId="18" fillId="2" borderId="0" xfId="0" applyFont="1" applyFill="1" applyAlignment="1">
      <alignment horizontal="center" vertical="center"/>
    </xf>
    <xf numFmtId="0" fontId="4" fillId="2" borderId="0" xfId="0" applyFont="1" applyFill="1"/>
    <xf numFmtId="0" fontId="20" fillId="2" borderId="0" xfId="3" applyFont="1" applyFill="1"/>
    <xf numFmtId="0" fontId="6" fillId="2" borderId="0" xfId="0" applyFont="1" applyFill="1"/>
    <xf numFmtId="0" fontId="22" fillId="2" borderId="0" xfId="0" applyFont="1" applyFill="1" applyAlignment="1">
      <alignment horizontal="center" vertical="center"/>
    </xf>
    <xf numFmtId="0" fontId="23" fillId="10" borderId="0" xfId="4" applyFont="1" applyFill="1" applyBorder="1" applyAlignment="1">
      <alignment horizontal="center" vertical="center" wrapText="1"/>
    </xf>
    <xf numFmtId="2" fontId="0" fillId="4" borderId="13" xfId="0" applyNumberFormat="1" applyFill="1" applyBorder="1"/>
    <xf numFmtId="2" fontId="17" fillId="4" borderId="14" xfId="0" applyNumberFormat="1" applyFont="1" applyFill="1" applyBorder="1"/>
    <xf numFmtId="2" fontId="0" fillId="4" borderId="14" xfId="0" applyNumberFormat="1" applyFill="1" applyBorder="1"/>
    <xf numFmtId="2" fontId="17" fillId="4" borderId="15" xfId="0" applyNumberFormat="1" applyFont="1" applyFill="1" applyBorder="1"/>
    <xf numFmtId="9" fontId="0" fillId="4" borderId="13" xfId="1" applyFont="1" applyFill="1" applyBorder="1"/>
    <xf numFmtId="1" fontId="0" fillId="4" borderId="14" xfId="0" applyNumberFormat="1" applyFill="1" applyBorder="1"/>
    <xf numFmtId="1" fontId="0" fillId="4" borderId="15" xfId="0" applyNumberFormat="1" applyFill="1" applyBorder="1"/>
    <xf numFmtId="2" fontId="0" fillId="4" borderId="16" xfId="0" applyNumberFormat="1" applyFill="1" applyBorder="1"/>
    <xf numFmtId="0" fontId="24" fillId="4" borderId="0" xfId="0" applyFont="1" applyFill="1" applyAlignment="1">
      <alignment horizontal="right"/>
    </xf>
    <xf numFmtId="0" fontId="25" fillId="4" borderId="0" xfId="0" applyFont="1" applyFill="1"/>
    <xf numFmtId="0" fontId="26" fillId="4" borderId="0" xfId="4" applyFont="1" applyFill="1" applyBorder="1" applyAlignment="1">
      <alignment vertical="center"/>
    </xf>
    <xf numFmtId="0" fontId="27" fillId="2" borderId="0" xfId="0" applyFont="1" applyFill="1" applyAlignment="1">
      <alignment horizontal="center" vertical="center"/>
    </xf>
    <xf numFmtId="0" fontId="18" fillId="10" borderId="0" xfId="0" applyFont="1" applyFill="1" applyAlignment="1">
      <alignment horizontal="center" vertical="center"/>
    </xf>
    <xf numFmtId="0" fontId="29" fillId="4" borderId="0" xfId="0" applyFont="1" applyFill="1" applyAlignment="1">
      <alignment horizontal="left" wrapText="1"/>
    </xf>
    <xf numFmtId="0" fontId="30" fillId="4" borderId="0" xfId="0" applyFont="1" applyFill="1" applyAlignment="1">
      <alignment horizontal="left"/>
    </xf>
    <xf numFmtId="0" fontId="16" fillId="4" borderId="0" xfId="0" applyFont="1" applyFill="1" applyAlignment="1">
      <alignment horizontal="right"/>
    </xf>
    <xf numFmtId="0" fontId="31" fillId="4" borderId="0" xfId="0" applyFont="1" applyFill="1"/>
    <xf numFmtId="0" fontId="29" fillId="4" borderId="0" xfId="0" applyFont="1" applyFill="1" applyAlignment="1">
      <alignment wrapText="1"/>
    </xf>
    <xf numFmtId="0" fontId="16" fillId="4" borderId="0" xfId="0" applyFont="1" applyFill="1" applyAlignment="1">
      <alignment horizontal="right" vertical="center"/>
    </xf>
    <xf numFmtId="2" fontId="17" fillId="4" borderId="0" xfId="0" applyNumberFormat="1" applyFont="1" applyFill="1" applyAlignment="1">
      <alignment horizontal="left" vertical="center"/>
    </xf>
    <xf numFmtId="0" fontId="26" fillId="4" borderId="0" xfId="4" applyFont="1" applyFill="1" applyBorder="1" applyAlignment="1">
      <alignment horizontal="left" vertical="center" wrapText="1"/>
    </xf>
    <xf numFmtId="0" fontId="32" fillId="4" borderId="0" xfId="0" applyFont="1" applyFill="1"/>
    <xf numFmtId="0" fontId="33" fillId="10" borderId="0" xfId="0" applyFont="1" applyFill="1" applyAlignment="1">
      <alignment horizontal="center" vertical="center"/>
    </xf>
    <xf numFmtId="0" fontId="33" fillId="10" borderId="0" xfId="0" applyFont="1" applyFill="1" applyAlignment="1">
      <alignment horizontal="left" vertical="center" wrapText="1"/>
    </xf>
    <xf numFmtId="2" fontId="3" fillId="11" borderId="0" xfId="0" applyNumberFormat="1" applyFont="1" applyFill="1" applyAlignment="1">
      <alignment vertical="center"/>
    </xf>
    <xf numFmtId="0" fontId="3" fillId="10" borderId="0" xfId="0" applyFont="1" applyFill="1" applyAlignment="1">
      <alignment vertical="center"/>
    </xf>
    <xf numFmtId="0" fontId="18" fillId="0" borderId="0" xfId="0" applyFont="1" applyAlignment="1">
      <alignment horizontal="center" vertical="center"/>
    </xf>
    <xf numFmtId="0" fontId="3" fillId="4" borderId="0" xfId="0" applyFont="1" applyFill="1"/>
    <xf numFmtId="0" fontId="35" fillId="2" borderId="0" xfId="0" applyFont="1" applyFill="1"/>
    <xf numFmtId="0" fontId="36" fillId="4" borderId="0" xfId="0" applyFont="1" applyFill="1"/>
    <xf numFmtId="0" fontId="16" fillId="4" borderId="5" xfId="0" applyFont="1" applyFill="1" applyBorder="1" applyAlignment="1">
      <alignment wrapText="1"/>
    </xf>
    <xf numFmtId="0" fontId="38" fillId="4" borderId="0" xfId="0" applyFont="1" applyFill="1" applyAlignment="1">
      <alignment wrapText="1"/>
    </xf>
    <xf numFmtId="0" fontId="16" fillId="4" borderId="0" xfId="0" applyFont="1" applyFill="1" applyAlignment="1">
      <alignment wrapText="1"/>
    </xf>
    <xf numFmtId="0" fontId="38" fillId="4" borderId="6" xfId="0" applyFont="1" applyFill="1" applyBorder="1" applyAlignment="1">
      <alignment wrapText="1"/>
    </xf>
    <xf numFmtId="0" fontId="16" fillId="4" borderId="6" xfId="0" applyFont="1" applyFill="1" applyBorder="1" applyAlignment="1">
      <alignment wrapText="1"/>
    </xf>
    <xf numFmtId="0" fontId="16" fillId="4" borderId="7" xfId="0" applyFont="1" applyFill="1" applyBorder="1" applyAlignment="1">
      <alignment wrapText="1"/>
    </xf>
    <xf numFmtId="0" fontId="13" fillId="4" borderId="8" xfId="0" applyFont="1" applyFill="1" applyBorder="1" applyAlignment="1">
      <alignment vertical="center"/>
    </xf>
    <xf numFmtId="0" fontId="13" fillId="4" borderId="9" xfId="0" applyFont="1" applyFill="1" applyBorder="1" applyAlignment="1">
      <alignment vertical="center"/>
    </xf>
    <xf numFmtId="0" fontId="13" fillId="4" borderId="10" xfId="0" applyFont="1" applyFill="1" applyBorder="1" applyAlignment="1">
      <alignment vertical="center"/>
    </xf>
    <xf numFmtId="0" fontId="39" fillId="2" borderId="0" xfId="0" applyFont="1" applyFill="1"/>
    <xf numFmtId="0" fontId="21" fillId="2" borderId="0" xfId="0" applyFont="1" applyFill="1" applyAlignment="1">
      <alignment vertical="center" wrapText="1"/>
    </xf>
    <xf numFmtId="0" fontId="24" fillId="4" borderId="0" xfId="0" applyFont="1" applyFill="1"/>
    <xf numFmtId="0" fontId="26" fillId="4" borderId="0" xfId="4" applyFont="1" applyFill="1" applyBorder="1" applyAlignment="1">
      <alignment horizontal="left" vertical="center"/>
    </xf>
    <xf numFmtId="0" fontId="0" fillId="2" borderId="0" xfId="0" quotePrefix="1" applyFill="1"/>
    <xf numFmtId="164" fontId="0" fillId="4" borderId="0" xfId="0" applyNumberFormat="1" applyFill="1"/>
    <xf numFmtId="164" fontId="19" fillId="4" borderId="0" xfId="0" applyNumberFormat="1" applyFont="1" applyFill="1"/>
    <xf numFmtId="0" fontId="0" fillId="2" borderId="0" xfId="0" applyFill="1" applyAlignment="1">
      <alignment vertical="center"/>
    </xf>
    <xf numFmtId="0" fontId="10" fillId="2" borderId="0" xfId="0" applyFont="1" applyFill="1" applyAlignment="1">
      <alignment vertical="center"/>
    </xf>
    <xf numFmtId="0" fontId="6" fillId="2" borderId="0" xfId="0" applyFont="1" applyFill="1" applyAlignment="1">
      <alignment vertical="center"/>
    </xf>
    <xf numFmtId="0" fontId="2" fillId="2" borderId="0" xfId="0" applyFont="1" applyFill="1" applyAlignment="1">
      <alignment vertical="center"/>
    </xf>
    <xf numFmtId="0" fontId="27" fillId="2" borderId="0" xfId="0" applyFont="1" applyFill="1" applyAlignment="1">
      <alignment vertical="center"/>
    </xf>
    <xf numFmtId="2" fontId="2" fillId="2" borderId="0" xfId="0" applyNumberFormat="1" applyFont="1" applyFill="1" applyAlignment="1">
      <alignment vertical="center"/>
    </xf>
    <xf numFmtId="0" fontId="0" fillId="10" borderId="0" xfId="0" applyFill="1" applyAlignment="1">
      <alignment vertical="center"/>
    </xf>
    <xf numFmtId="0" fontId="18" fillId="10" borderId="0" xfId="0" applyFont="1" applyFill="1" applyAlignment="1">
      <alignment vertical="center"/>
    </xf>
    <xf numFmtId="2" fontId="0" fillId="11" borderId="0" xfId="0" applyNumberFormat="1" applyFill="1" applyAlignment="1">
      <alignment vertical="center"/>
    </xf>
    <xf numFmtId="0" fontId="40" fillId="2" borderId="0" xfId="0" applyFont="1" applyFill="1" applyAlignment="1">
      <alignment vertical="center"/>
    </xf>
    <xf numFmtId="0" fontId="18" fillId="2" borderId="0" xfId="0" applyFont="1" applyFill="1" applyAlignment="1">
      <alignment vertical="center"/>
    </xf>
    <xf numFmtId="2" fontId="0" fillId="2" borderId="0" xfId="0" applyNumberFormat="1" applyFill="1" applyAlignment="1">
      <alignment vertical="center"/>
    </xf>
    <xf numFmtId="0" fontId="22" fillId="2" borderId="0" xfId="0" applyFont="1" applyFill="1" applyAlignment="1">
      <alignment vertical="center"/>
    </xf>
    <xf numFmtId="164" fontId="0" fillId="11" borderId="0" xfId="0" applyNumberFormat="1" applyFill="1" applyAlignment="1">
      <alignment vertical="center"/>
    </xf>
    <xf numFmtId="9" fontId="1" fillId="11" borderId="0" xfId="1" applyFont="1" applyFill="1" applyAlignment="1">
      <alignment vertical="center"/>
    </xf>
    <xf numFmtId="0" fontId="33" fillId="10" borderId="0" xfId="0" applyFont="1" applyFill="1" applyAlignment="1">
      <alignment vertical="center"/>
    </xf>
    <xf numFmtId="1" fontId="0" fillId="11" borderId="0" xfId="0" applyNumberFormat="1" applyFill="1" applyAlignment="1">
      <alignment vertical="center"/>
    </xf>
    <xf numFmtId="0" fontId="40" fillId="2" borderId="0" xfId="0" applyFont="1" applyFill="1" applyAlignment="1">
      <alignment vertical="center" wrapText="1"/>
    </xf>
    <xf numFmtId="0" fontId="18" fillId="10" borderId="0" xfId="0" applyFont="1" applyFill="1" applyAlignment="1">
      <alignment horizontal="center" vertical="center" wrapText="1"/>
    </xf>
    <xf numFmtId="0" fontId="0" fillId="10" borderId="0" xfId="0" quotePrefix="1" applyFill="1" applyAlignment="1">
      <alignment vertical="center"/>
    </xf>
    <xf numFmtId="1" fontId="3" fillId="11" borderId="0" xfId="0" applyNumberFormat="1" applyFont="1" applyFill="1" applyAlignment="1">
      <alignment vertical="center"/>
    </xf>
    <xf numFmtId="0" fontId="0" fillId="10" borderId="0" xfId="0" applyFill="1" applyAlignment="1">
      <alignment vertical="center" wrapText="1"/>
    </xf>
    <xf numFmtId="0" fontId="18" fillId="10" borderId="0" xfId="0" applyFont="1" applyFill="1" applyAlignment="1">
      <alignment horizontal="left" vertical="center" wrapText="1"/>
    </xf>
    <xf numFmtId="0" fontId="28" fillId="4" borderId="0" xfId="0" applyFont="1" applyFill="1" applyAlignment="1">
      <alignment horizontal="left"/>
    </xf>
    <xf numFmtId="0" fontId="26" fillId="4" borderId="0" xfId="4" applyFont="1" applyFill="1" applyBorder="1" applyAlignment="1">
      <alignment horizontal="center" vertical="center"/>
    </xf>
    <xf numFmtId="0" fontId="25" fillId="4" borderId="0" xfId="4" applyFont="1" applyFill="1" applyBorder="1" applyAlignment="1">
      <alignment horizontal="left" vertical="center"/>
    </xf>
    <xf numFmtId="0" fontId="3" fillId="0" borderId="0" xfId="0" applyFont="1" applyAlignment="1">
      <alignment vertical="center"/>
    </xf>
    <xf numFmtId="0" fontId="41" fillId="0" borderId="0" xfId="0" applyFont="1" applyAlignment="1">
      <alignment vertical="center" wrapText="1"/>
    </xf>
    <xf numFmtId="0" fontId="0" fillId="12" borderId="0" xfId="0" applyFill="1"/>
    <xf numFmtId="0" fontId="42" fillId="12" borderId="0" xfId="0" applyFont="1" applyFill="1" applyAlignment="1">
      <alignment vertical="center"/>
    </xf>
    <xf numFmtId="0" fontId="18" fillId="12" borderId="0" xfId="0" applyFont="1" applyFill="1" applyAlignment="1">
      <alignment horizontal="center" vertical="center"/>
    </xf>
    <xf numFmtId="0" fontId="6" fillId="7" borderId="0" xfId="0" applyFont="1" applyFill="1" applyAlignment="1">
      <alignment vertical="center"/>
    </xf>
    <xf numFmtId="0" fontId="11" fillId="7" borderId="0" xfId="0" applyFont="1" applyFill="1" applyAlignment="1">
      <alignment vertical="center"/>
    </xf>
    <xf numFmtId="0" fontId="12" fillId="7" borderId="0" xfId="0" applyFont="1" applyFill="1" applyAlignment="1">
      <alignment vertical="center"/>
    </xf>
    <xf numFmtId="2" fontId="17" fillId="4" borderId="0" xfId="0" applyNumberFormat="1" applyFont="1" applyFill="1" applyAlignment="1">
      <alignment horizontal="left" vertical="center" wrapText="1"/>
    </xf>
    <xf numFmtId="0" fontId="3" fillId="10" borderId="0" xfId="0" quotePrefix="1" applyFont="1" applyFill="1" applyAlignment="1">
      <alignment vertical="center"/>
    </xf>
    <xf numFmtId="0" fontId="43" fillId="4" borderId="0" xfId="0" applyFont="1" applyFill="1"/>
    <xf numFmtId="0" fontId="33" fillId="10" borderId="0" xfId="0" applyFont="1" applyFill="1" applyAlignment="1">
      <alignment horizontal="center" vertical="center" wrapText="1"/>
    </xf>
    <xf numFmtId="0" fontId="44" fillId="4" borderId="0" xfId="0" applyFont="1" applyFill="1" applyAlignment="1">
      <alignment vertical="center"/>
    </xf>
    <xf numFmtId="0" fontId="28" fillId="4" borderId="0" xfId="0" applyFont="1" applyFill="1" applyAlignment="1">
      <alignment vertical="center"/>
    </xf>
    <xf numFmtId="2" fontId="0" fillId="11" borderId="0" xfId="0" quotePrefix="1" applyNumberFormat="1" applyFill="1" applyAlignment="1">
      <alignment vertical="center"/>
    </xf>
    <xf numFmtId="2" fontId="0" fillId="11" borderId="0" xfId="1" applyNumberFormat="1" applyFont="1" applyFill="1" applyBorder="1" applyAlignment="1">
      <alignment vertical="center"/>
    </xf>
    <xf numFmtId="1" fontId="0" fillId="0" borderId="0" xfId="0" applyNumberFormat="1"/>
    <xf numFmtId="0" fontId="48" fillId="6" borderId="0" xfId="0" applyFont="1" applyFill="1"/>
    <xf numFmtId="0" fontId="49" fillId="6" borderId="0" xfId="0" applyFont="1" applyFill="1"/>
    <xf numFmtId="9" fontId="49" fillId="0" borderId="0" xfId="1" applyFont="1"/>
    <xf numFmtId="0" fontId="19" fillId="0" borderId="0" xfId="0" applyFont="1"/>
    <xf numFmtId="0" fontId="15" fillId="9" borderId="11" xfId="2" applyFont="1" applyFill="1" applyAlignment="1">
      <alignment horizontal="center" vertical="center"/>
    </xf>
    <xf numFmtId="9" fontId="15" fillId="9" borderId="11" xfId="1" applyFont="1" applyFill="1" applyBorder="1" applyAlignment="1">
      <alignment horizontal="center" vertical="center"/>
    </xf>
    <xf numFmtId="0" fontId="18" fillId="2" borderId="0" xfId="0" quotePrefix="1" applyFont="1" applyFill="1" applyAlignment="1">
      <alignment horizontal="center" vertical="center"/>
    </xf>
    <xf numFmtId="2" fontId="45" fillId="4" borderId="0" xfId="0" applyNumberFormat="1" applyFont="1" applyFill="1" applyAlignment="1">
      <alignment horizontal="left" vertical="center" wrapText="1"/>
    </xf>
    <xf numFmtId="0" fontId="34" fillId="0" borderId="0" xfId="0" applyFont="1" applyAlignment="1">
      <alignment horizontal="left" vertical="center"/>
    </xf>
    <xf numFmtId="0" fontId="21" fillId="2" borderId="0" xfId="0" applyFont="1" applyFill="1" applyAlignment="1">
      <alignment horizontal="left" vertical="center" wrapText="1"/>
    </xf>
    <xf numFmtId="0" fontId="40" fillId="2" borderId="0" xfId="0" applyFont="1" applyFill="1" applyAlignment="1">
      <alignment horizontal="left" vertical="top" wrapText="1"/>
    </xf>
    <xf numFmtId="0" fontId="8" fillId="2" borderId="0" xfId="0" applyFont="1" applyFill="1" applyAlignment="1">
      <alignment horizontal="left" vertical="top" wrapText="1"/>
    </xf>
    <xf numFmtId="0" fontId="6" fillId="3" borderId="0" xfId="0" applyFont="1" applyFill="1" applyAlignment="1">
      <alignment horizontal="center" vertical="center" textRotation="90"/>
    </xf>
    <xf numFmtId="0" fontId="46" fillId="4" borderId="0" xfId="0" applyFont="1" applyFill="1" applyAlignment="1">
      <alignment horizontal="left" vertical="center" wrapText="1"/>
    </xf>
    <xf numFmtId="0" fontId="8" fillId="2" borderId="0" xfId="0" applyFont="1" applyFill="1" applyAlignment="1">
      <alignment horizontal="left" vertical="center" wrapText="1"/>
    </xf>
    <xf numFmtId="0" fontId="9" fillId="5" borderId="1"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4" fillId="2" borderId="0" xfId="0" applyFont="1" applyFill="1" applyAlignment="1">
      <alignment horizontal="left" vertical="center" wrapText="1"/>
    </xf>
    <xf numFmtId="9" fontId="15" fillId="9" borderId="12" xfId="1" applyFont="1" applyFill="1" applyBorder="1" applyAlignment="1">
      <alignment horizontal="center" vertical="center"/>
    </xf>
    <xf numFmtId="9" fontId="15" fillId="9" borderId="0" xfId="1" applyFont="1" applyFill="1" applyBorder="1" applyAlignment="1">
      <alignment horizontal="center" vertical="center"/>
    </xf>
  </cellXfs>
  <cellStyles count="5">
    <cellStyle name="Hyperlink" xfId="3" builtinId="8"/>
    <cellStyle name="Hyperlink 2" xfId="4" xr:uid="{63B70930-174D-498A-AFB6-17D1AC348C97}"/>
    <cellStyle name="Input" xfId="2" builtinId="20"/>
    <cellStyle name="Normal" xfId="0" builtinId="0"/>
    <cellStyle name="Percent" xfId="1" builtinId="5"/>
  </cellStyles>
  <dxfs count="3">
    <dxf>
      <font>
        <color rgb="FF4C7870"/>
      </font>
      <fill>
        <patternFill>
          <bgColor rgb="FF4C7870"/>
        </patternFill>
      </fill>
      <border>
        <left/>
        <right/>
        <top/>
        <bottom/>
      </border>
    </dxf>
    <dxf>
      <font>
        <color rgb="FF4C7870"/>
      </font>
      <fill>
        <patternFill>
          <bgColor rgb="FF4C7870"/>
        </patternFill>
      </fill>
      <border>
        <left/>
        <right/>
        <top/>
        <bottom/>
      </border>
    </dxf>
    <dxf>
      <font>
        <color rgb="FF4C7870"/>
      </font>
      <fill>
        <patternFill>
          <bgColor rgb="FF4C7870"/>
        </patternFill>
      </fill>
      <border>
        <left/>
        <right/>
        <top/>
        <bottom/>
      </border>
    </dxf>
  </dxfs>
  <tableStyles count="0" defaultTableStyle="TableStyleMedium2" defaultPivotStyle="PivotStyleLight16"/>
  <colors>
    <mruColors>
      <color rgb="FFD1E1DE"/>
      <color rgb="FFC7DBD7"/>
      <color rgb="FF4C78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13"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5" Type="http://schemas.openxmlformats.org/officeDocument/2006/relationships/customXml" Target="../customXml/item3.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Pool lead: </a:t>
            </a:r>
            <a:r>
              <a:rPr lang="en-US" sz="1200"/>
              <a:t>Alt Fuel</a:t>
            </a:r>
            <a:r>
              <a:rPr lang="en-US" sz="1200" baseline="0"/>
              <a:t> with Benefit from Pooling Surplus</a:t>
            </a:r>
            <a:endParaRPr lang="en-US" sz="1200"/>
          </a:p>
        </c:rich>
      </c:tx>
      <c:layout>
        <c:manualLayout>
          <c:xMode val="edge"/>
          <c:yMode val="edge"/>
          <c:x val="0.13299674238316997"/>
          <c:y val="1.481782245681829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9029705910907368E-2"/>
          <c:y val="0.25666140847875024"/>
          <c:w val="0.93288409201374478"/>
          <c:h val="0.60182722030096125"/>
        </c:manualLayout>
      </c:layout>
      <c:barChart>
        <c:barDir val="col"/>
        <c:grouping val="stacked"/>
        <c:varyColors val="0"/>
        <c:ser>
          <c:idx val="1"/>
          <c:order val="0"/>
          <c:tx>
            <c:strRef>
              <c:f>Calculator!$B$112</c:f>
              <c:strCache>
                <c:ptCount val="1"/>
                <c:pt idx="0">
                  <c:v>Cost after pooling</c:v>
                </c:pt>
              </c:strCache>
            </c:strRef>
          </c:tx>
          <c:spPr>
            <a:solidFill>
              <a:srgbClr val="5E948A"/>
            </a:solidFill>
            <a:ln>
              <a:noFill/>
            </a:ln>
            <a:effectLst/>
          </c:spPr>
          <c:invertIfNegative val="0"/>
          <c:dLbls>
            <c:dLbl>
              <c:idx val="0"/>
              <c:layout>
                <c:manualLayout>
                  <c:x val="0.32043812024896318"/>
                  <c:y val="-2.41202062386684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0-82C7-4EB1-8EE5-DD0319A0FFE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val>
            <c:numRef>
              <c:f>Calculator!$E$112</c:f>
              <c:numCache>
                <c:formatCode>0</c:formatCode>
                <c:ptCount val="1"/>
                <c:pt idx="0">
                  <c:v>1277.0521331844241</c:v>
                </c:pt>
              </c:numCache>
            </c:numRef>
          </c:val>
          <c:extLst>
            <c:ext xmlns:c16="http://schemas.microsoft.com/office/drawing/2014/chart" uri="{C3380CC4-5D6E-409C-BE32-E72D297353CC}">
              <c16:uniqueId val="{00000001-82C7-4EB1-8EE5-DD0319A0FFE8}"/>
            </c:ext>
          </c:extLst>
        </c:ser>
        <c:ser>
          <c:idx val="0"/>
          <c:order val="1"/>
          <c:tx>
            <c:strRef>
              <c:f>Calculator!$B$111</c:f>
              <c:strCache>
                <c:ptCount val="1"/>
                <c:pt idx="0">
                  <c:v>Surplus value </c:v>
                </c:pt>
              </c:strCache>
            </c:strRef>
          </c:tx>
          <c:spPr>
            <a:pattFill prst="ltUpDiag">
              <a:fgClr>
                <a:srgbClr val="4C7870"/>
              </a:fgClr>
              <a:bgClr>
                <a:schemeClr val="bg1"/>
              </a:bgClr>
            </a:pattFill>
            <a:ln>
              <a:noFill/>
            </a:ln>
            <a:effectLst/>
          </c:spPr>
          <c:invertIfNegative val="0"/>
          <c:dLbls>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4C787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Calculator!$C$12</c:f>
              <c:numCache>
                <c:formatCode>General</c:formatCode>
                <c:ptCount val="1"/>
                <c:pt idx="0">
                  <c:v>2030</c:v>
                </c:pt>
              </c:numCache>
            </c:numRef>
          </c:cat>
          <c:val>
            <c:numRef>
              <c:f>Calculator!$E$111</c:f>
              <c:numCache>
                <c:formatCode>0</c:formatCode>
                <c:ptCount val="1"/>
                <c:pt idx="0">
                  <c:v>522.94786681557594</c:v>
                </c:pt>
              </c:numCache>
            </c:numRef>
          </c:val>
          <c:extLst>
            <c:ext xmlns:c16="http://schemas.microsoft.com/office/drawing/2014/chart" uri="{C3380CC4-5D6E-409C-BE32-E72D297353CC}">
              <c16:uniqueId val="{00000002-82C7-4EB1-8EE5-DD0319A0FFE8}"/>
            </c:ext>
          </c:extLst>
        </c:ser>
        <c:dLbls>
          <c:showLegendKey val="0"/>
          <c:showVal val="0"/>
          <c:showCatName val="0"/>
          <c:showSerName val="0"/>
          <c:showPercent val="0"/>
          <c:showBubbleSize val="0"/>
        </c:dLbls>
        <c:gapWidth val="150"/>
        <c:overlap val="100"/>
        <c:axId val="1015178368"/>
        <c:axId val="1015175488"/>
      </c:barChart>
      <c:catAx>
        <c:axId val="1015178368"/>
        <c:scaling>
          <c:orientation val="minMax"/>
        </c:scaling>
        <c:delete val="1"/>
        <c:axPos val="b"/>
        <c:numFmt formatCode="General" sourceLinked="1"/>
        <c:majorTickMark val="none"/>
        <c:minorTickMark val="none"/>
        <c:tickLblPos val="nextTo"/>
        <c:crossAx val="1015175488"/>
        <c:crosses val="autoZero"/>
        <c:auto val="1"/>
        <c:lblAlgn val="ctr"/>
        <c:lblOffset val="100"/>
        <c:noMultiLvlLbl val="0"/>
      </c:catAx>
      <c:valAx>
        <c:axId val="1015175488"/>
        <c:scaling>
          <c:orientation val="minMax"/>
          <c:min val="0"/>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USD/Tonne</a:t>
                </a:r>
                <a:r>
                  <a:rPr lang="en-US" baseline="0"/>
                  <a:t> LSFO-eq</a:t>
                </a:r>
                <a:endParaRPr lang="en-US"/>
              </a:p>
            </c:rich>
          </c:tx>
          <c:layout>
            <c:manualLayout>
              <c:xMode val="edge"/>
              <c:yMode val="edge"/>
              <c:x val="1.1900693863552454E-2"/>
              <c:y val="0.273230277466627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crossAx val="1015178368"/>
        <c:crosses val="autoZero"/>
        <c:crossBetween val="between"/>
      </c:valAx>
      <c:spPr>
        <a:noFill/>
        <a:ln>
          <a:noFill/>
        </a:ln>
        <a:effectLst/>
      </c:spPr>
    </c:plotArea>
    <c:legend>
      <c:legendPos val="t"/>
      <c:layout>
        <c:manualLayout>
          <c:xMode val="edge"/>
          <c:yMode val="edge"/>
          <c:x val="7.0954373177022981E-2"/>
          <c:y val="0.88092052438261448"/>
          <c:w val="0.82643848236837869"/>
          <c:h val="9.646335070617055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ysClr val="windowText" lastClr="000000">
                    <a:lumMod val="65000"/>
                    <a:lumOff val="35000"/>
                  </a:sysClr>
                </a:solidFill>
              </a:rPr>
              <a:t>BAU: </a:t>
            </a:r>
            <a:r>
              <a:rPr lang="en-US" sz="1200" b="0" i="0" u="none" strike="noStrike" kern="1200" spc="0" baseline="0">
                <a:solidFill>
                  <a:sysClr val="windowText" lastClr="000000">
                    <a:lumMod val="65000"/>
                    <a:lumOff val="35000"/>
                  </a:sysClr>
                </a:solidFill>
              </a:rPr>
              <a:t>LSFO with ETS and lowest cost FuelEU compliance</a:t>
            </a:r>
          </a:p>
        </c:rich>
      </c:tx>
      <c:layout>
        <c:manualLayout>
          <c:xMode val="edge"/>
          <c:yMode val="edge"/>
          <c:x val="0.15252145908104642"/>
          <c:y val="1.477610707364435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9029705910907368E-2"/>
          <c:y val="0.27421003092123403"/>
          <c:w val="0.93288409201374478"/>
          <c:h val="0.62233356227896441"/>
        </c:manualLayout>
      </c:layout>
      <c:barChart>
        <c:barDir val="col"/>
        <c:grouping val="stacked"/>
        <c:varyColors val="0"/>
        <c:ser>
          <c:idx val="0"/>
          <c:order val="0"/>
          <c:tx>
            <c:strRef>
              <c:f>Calculator!$B$91</c:f>
              <c:strCache>
                <c:ptCount val="1"/>
                <c:pt idx="0">
                  <c:v>LSFO cost</c:v>
                </c:pt>
              </c:strCache>
            </c:strRef>
          </c:tx>
          <c:spPr>
            <a:solidFill>
              <a:schemeClr val="bg1">
                <a:lumMod val="50000"/>
              </a:schemeClr>
            </a:solidFill>
            <a:ln>
              <a:noFill/>
            </a:ln>
            <a:effectLst/>
          </c:spPr>
          <c:invertIfNegative val="0"/>
          <c:dLbls>
            <c:dLbl>
              <c:idx val="0"/>
              <c:layout>
                <c:manualLayout>
                  <c:x val="-0.24586058921810272"/>
                  <c:y val="-5.7807335887476883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FD3-4D3E-B0BC-205E364410B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numRef>
              <c:f>Calculator!$C$12</c:f>
              <c:numCache>
                <c:formatCode>General</c:formatCode>
                <c:ptCount val="1"/>
                <c:pt idx="0">
                  <c:v>2030</c:v>
                </c:pt>
              </c:numCache>
            </c:numRef>
          </c:cat>
          <c:val>
            <c:numRef>
              <c:f>Calculator!$E$91</c:f>
              <c:numCache>
                <c:formatCode>0</c:formatCode>
                <c:ptCount val="1"/>
                <c:pt idx="0">
                  <c:v>525.8360655737705</c:v>
                </c:pt>
              </c:numCache>
            </c:numRef>
          </c:val>
          <c:extLst>
            <c:ext xmlns:c16="http://schemas.microsoft.com/office/drawing/2014/chart" uri="{C3380CC4-5D6E-409C-BE32-E72D297353CC}">
              <c16:uniqueId val="{00000001-BFD3-4D3E-B0BC-205E364410B6}"/>
            </c:ext>
          </c:extLst>
        </c:ser>
        <c:ser>
          <c:idx val="2"/>
          <c:order val="1"/>
          <c:tx>
            <c:strRef>
              <c:f>Calculator!$B$93</c:f>
              <c:strCache>
                <c:ptCount val="1"/>
                <c:pt idx="0">
                  <c:v>ETS Costs</c:v>
                </c:pt>
              </c:strCache>
            </c:strRef>
          </c:tx>
          <c:spPr>
            <a:solidFill>
              <a:srgbClr val="FFD9D9"/>
            </a:solidFill>
            <a:ln>
              <a:noFill/>
            </a:ln>
            <a:effectLst/>
          </c:spPr>
          <c:invertIfNegative val="0"/>
          <c:dLbls>
            <c:dLbl>
              <c:idx val="0"/>
              <c:layout>
                <c:manualLayout>
                  <c:x val="0.2338189917258347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FD3-4D3E-B0BC-205E364410B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numRef>
              <c:f>Calculator!$C$12</c:f>
              <c:numCache>
                <c:formatCode>General</c:formatCode>
                <c:ptCount val="1"/>
                <c:pt idx="0">
                  <c:v>2030</c:v>
                </c:pt>
              </c:numCache>
            </c:numRef>
          </c:cat>
          <c:val>
            <c:numRef>
              <c:f>Calculator!$E$93</c:f>
              <c:numCache>
                <c:formatCode>0</c:formatCode>
                <c:ptCount val="1"/>
                <c:pt idx="0">
                  <c:v>448.60645304109426</c:v>
                </c:pt>
              </c:numCache>
            </c:numRef>
          </c:val>
          <c:extLst>
            <c:ext xmlns:c16="http://schemas.microsoft.com/office/drawing/2014/chart" uri="{C3380CC4-5D6E-409C-BE32-E72D297353CC}">
              <c16:uniqueId val="{00000003-BFD3-4D3E-B0BC-205E364410B6}"/>
            </c:ext>
          </c:extLst>
        </c:ser>
        <c:ser>
          <c:idx val="1"/>
          <c:order val="2"/>
          <c:tx>
            <c:strRef>
              <c:f>Calculator!$B$92</c:f>
              <c:strCache>
                <c:ptCount val="1"/>
                <c:pt idx="0">
                  <c:v>FuelEU compliance cost</c:v>
                </c:pt>
              </c:strCache>
            </c:strRef>
          </c:tx>
          <c:spPr>
            <a:solidFill>
              <a:srgbClr val="A9313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numRef>
              <c:f>Calculator!$C$12</c:f>
              <c:numCache>
                <c:formatCode>General</c:formatCode>
                <c:ptCount val="1"/>
                <c:pt idx="0">
                  <c:v>2030</c:v>
                </c:pt>
              </c:numCache>
            </c:numRef>
          </c:cat>
          <c:val>
            <c:numRef>
              <c:f>Calculator!$E$92</c:f>
              <c:numCache>
                <c:formatCode>0</c:formatCode>
                <c:ptCount val="1"/>
                <c:pt idx="0">
                  <c:v>74.513044208655558</c:v>
                </c:pt>
              </c:numCache>
            </c:numRef>
          </c:val>
          <c:extLst>
            <c:ext xmlns:c16="http://schemas.microsoft.com/office/drawing/2014/chart" uri="{C3380CC4-5D6E-409C-BE32-E72D297353CC}">
              <c16:uniqueId val="{00000004-BFD3-4D3E-B0BC-205E364410B6}"/>
            </c:ext>
          </c:extLst>
        </c:ser>
        <c:dLbls>
          <c:dLblPos val="ctr"/>
          <c:showLegendKey val="0"/>
          <c:showVal val="1"/>
          <c:showCatName val="0"/>
          <c:showSerName val="0"/>
          <c:showPercent val="0"/>
          <c:showBubbleSize val="0"/>
        </c:dLbls>
        <c:gapWidth val="150"/>
        <c:overlap val="100"/>
        <c:axId val="1015178368"/>
        <c:axId val="1015175488"/>
      </c:barChart>
      <c:lineChart>
        <c:grouping val="standard"/>
        <c:varyColors val="0"/>
        <c:ser>
          <c:idx val="3"/>
          <c:order val="3"/>
          <c:tx>
            <c:strRef>
              <c:f>Calculator!$B$94</c:f>
              <c:strCache>
                <c:ptCount val="1"/>
                <c:pt idx="0">
                  <c:v>Total</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val>
            <c:numRef>
              <c:f>Calculator!$E$94</c:f>
              <c:numCache>
                <c:formatCode>0</c:formatCode>
                <c:ptCount val="1"/>
                <c:pt idx="0">
                  <c:v>1048.9555628235203</c:v>
                </c:pt>
              </c:numCache>
            </c:numRef>
          </c:val>
          <c:smooth val="0"/>
          <c:extLst>
            <c:ext xmlns:c16="http://schemas.microsoft.com/office/drawing/2014/chart" uri="{C3380CC4-5D6E-409C-BE32-E72D297353CC}">
              <c16:uniqueId val="{00000005-BFD3-4D3E-B0BC-205E364410B6}"/>
            </c:ext>
          </c:extLst>
        </c:ser>
        <c:dLbls>
          <c:dLblPos val="ctr"/>
          <c:showLegendKey val="0"/>
          <c:showVal val="1"/>
          <c:showCatName val="0"/>
          <c:showSerName val="0"/>
          <c:showPercent val="0"/>
          <c:showBubbleSize val="0"/>
        </c:dLbls>
        <c:marker val="1"/>
        <c:smooth val="0"/>
        <c:axId val="1015178368"/>
        <c:axId val="1015175488"/>
      </c:lineChart>
      <c:catAx>
        <c:axId val="1015178368"/>
        <c:scaling>
          <c:orientation val="minMax"/>
        </c:scaling>
        <c:delete val="1"/>
        <c:axPos val="b"/>
        <c:numFmt formatCode="General" sourceLinked="1"/>
        <c:majorTickMark val="none"/>
        <c:minorTickMark val="none"/>
        <c:tickLblPos val="nextTo"/>
        <c:crossAx val="1015175488"/>
        <c:crosses val="autoZero"/>
        <c:auto val="1"/>
        <c:lblAlgn val="ctr"/>
        <c:lblOffset val="100"/>
        <c:noMultiLvlLbl val="0"/>
      </c:catAx>
      <c:valAx>
        <c:axId val="1015175488"/>
        <c:scaling>
          <c:orientation val="minMax"/>
          <c:min val="0"/>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USD/Tonne</a:t>
                </a:r>
                <a:r>
                  <a:rPr lang="en-US" baseline="0"/>
                  <a:t> LSFO</a:t>
                </a:r>
                <a:endParaRPr lang="en-US"/>
              </a:p>
            </c:rich>
          </c:tx>
          <c:layout>
            <c:manualLayout>
              <c:xMode val="edge"/>
              <c:yMode val="edge"/>
              <c:x val="1.4853618756728719E-2"/>
              <c:y val="0.334743646584865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crossAx val="1015178368"/>
        <c:crosses val="autoZero"/>
        <c:crossBetween val="between"/>
      </c:valAx>
      <c:spPr>
        <a:noFill/>
        <a:ln>
          <a:noFill/>
        </a:ln>
        <a:effectLst/>
      </c:spPr>
    </c:plotArea>
    <c:legend>
      <c:legendPos val="t"/>
      <c:legendEntry>
        <c:idx val="3"/>
        <c:delete val="1"/>
      </c:legendEntry>
      <c:layout>
        <c:manualLayout>
          <c:xMode val="edge"/>
          <c:yMode val="edge"/>
          <c:x val="5.8128818301061799E-2"/>
          <c:y val="0.89563182916553907"/>
          <c:w val="0.89999976608474397"/>
          <c:h val="8.815532638924876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462464</xdr:colOff>
      <xdr:row>40</xdr:row>
      <xdr:rowOff>104220</xdr:rowOff>
    </xdr:from>
    <xdr:to>
      <xdr:col>2</xdr:col>
      <xdr:colOff>952500</xdr:colOff>
      <xdr:row>53</xdr:row>
      <xdr:rowOff>103698</xdr:rowOff>
    </xdr:to>
    <xdr:graphicFrame macro="">
      <xdr:nvGraphicFramePr>
        <xdr:cNvPr id="2" name="Chart 1">
          <a:extLst>
            <a:ext uri="{FF2B5EF4-FFF2-40B4-BE49-F238E27FC236}">
              <a16:creationId xmlns:a16="http://schemas.microsoft.com/office/drawing/2014/main" id="{24375FC4-6854-4BFA-8D8B-4EA59A1B2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567230</xdr:colOff>
      <xdr:row>119</xdr:row>
      <xdr:rowOff>536246</xdr:rowOff>
    </xdr:from>
    <xdr:to>
      <xdr:col>2</xdr:col>
      <xdr:colOff>1116505</xdr:colOff>
      <xdr:row>119</xdr:row>
      <xdr:rowOff>809296</xdr:rowOff>
    </xdr:to>
    <xdr:sp macro="" textlink="">
      <xdr:nvSpPr>
        <xdr:cNvPr id="3" name="Arrow: Right 2">
          <a:extLst>
            <a:ext uri="{FF2B5EF4-FFF2-40B4-BE49-F238E27FC236}">
              <a16:creationId xmlns:a16="http://schemas.microsoft.com/office/drawing/2014/main" id="{BD6893C6-32B7-469C-8A83-B56AEFD5C59F}"/>
            </a:ext>
          </a:extLst>
        </xdr:cNvPr>
        <xdr:cNvSpPr/>
      </xdr:nvSpPr>
      <xdr:spPr>
        <a:xfrm>
          <a:off x="4316905" y="29663696"/>
          <a:ext cx="549275" cy="0"/>
        </a:xfrm>
        <a:prstGeom prst="rightArrow">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581025</xdr:colOff>
      <xdr:row>119</xdr:row>
      <xdr:rowOff>514350</xdr:rowOff>
    </xdr:from>
    <xdr:to>
      <xdr:col>4</xdr:col>
      <xdr:colOff>1130300</xdr:colOff>
      <xdr:row>119</xdr:row>
      <xdr:rowOff>787400</xdr:rowOff>
    </xdr:to>
    <xdr:sp macro="" textlink="">
      <xdr:nvSpPr>
        <xdr:cNvPr id="4" name="Arrow: Right 3">
          <a:extLst>
            <a:ext uri="{FF2B5EF4-FFF2-40B4-BE49-F238E27FC236}">
              <a16:creationId xmlns:a16="http://schemas.microsoft.com/office/drawing/2014/main" id="{F6177540-6517-4E04-9D0D-A51D270A01A0}"/>
            </a:ext>
          </a:extLst>
        </xdr:cNvPr>
        <xdr:cNvSpPr/>
      </xdr:nvSpPr>
      <xdr:spPr>
        <a:xfrm>
          <a:off x="7835900" y="29660850"/>
          <a:ext cx="479425" cy="0"/>
        </a:xfrm>
        <a:prstGeom prst="rightArrow">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1527174</xdr:colOff>
      <xdr:row>40</xdr:row>
      <xdr:rowOff>121443</xdr:rowOff>
    </xdr:from>
    <xdr:to>
      <xdr:col>5</xdr:col>
      <xdr:colOff>619124</xdr:colOff>
      <xdr:row>53</xdr:row>
      <xdr:rowOff>128180</xdr:rowOff>
    </xdr:to>
    <xdr:graphicFrame macro="">
      <xdr:nvGraphicFramePr>
        <xdr:cNvPr id="5" name="Chart 4">
          <a:extLst>
            <a:ext uri="{FF2B5EF4-FFF2-40B4-BE49-F238E27FC236}">
              <a16:creationId xmlns:a16="http://schemas.microsoft.com/office/drawing/2014/main" id="{3FB960CF-48CB-4EBD-8194-17A56C307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0</xdr:colOff>
      <xdr:row>52</xdr:row>
      <xdr:rowOff>0</xdr:rowOff>
    </xdr:from>
    <xdr:to>
      <xdr:col>15</xdr:col>
      <xdr:colOff>104775</xdr:colOff>
      <xdr:row>68</xdr:row>
      <xdr:rowOff>142875</xdr:rowOff>
    </xdr:to>
    <xdr:pic>
      <xdr:nvPicPr>
        <xdr:cNvPr id="6" name="Picture 5">
          <a:extLst>
            <a:ext uri="{FF2B5EF4-FFF2-40B4-BE49-F238E27FC236}">
              <a16:creationId xmlns:a16="http://schemas.microsoft.com/office/drawing/2014/main" id="{9AADA2D5-E9C5-460B-8620-C730819A51F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249025" y="13944600"/>
          <a:ext cx="6629400" cy="318135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zerocarbonshipping.sharepoint.com/sites/40033/Delte%20dokumenter/General/1%20Working%20documents/2%20Value%20Prop%20-%20Case%20study%20data%20and%20modeling/Participants/Hapag%20Lloyd/HL%20Model/Hapag%20Lloyd%20FuelEU%20Impact%20Model.xlsx" TargetMode="External"/><Relationship Id="rId1" Type="http://schemas.openxmlformats.org/officeDocument/2006/relationships/externalLinkPath" Target="file:///\\sites\40033\Delte%2520dokumenter\General\1%2520Working%2520documents\2%2520Value%2520Prop%2520-%2520Case%2520study%2520data%2520and%2520modeling\Participants\Hapag%2520Lloyd\HL%2520Model\Hapag%2520Lloyd%2520FuelEU%2520Impact%2520Model.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zerocarbonshipping.sharepoint.com/sites/40033/Delte%20dokumenter/General/1%20Working%20documents/2%20Value%20Prop%20-%20Case%20study%20data%20and%20modeling/Global%20Model/Master%20Pooling%20Model%20v7.xlsm" TargetMode="External"/><Relationship Id="rId1" Type="http://schemas.openxmlformats.org/officeDocument/2006/relationships/externalLinkPath" Target="/sites/40033/Delte%20dokumenter/General/1%20Working%20documents/2%20Value%20Prop%20-%20Case%20study%20data%20and%20modeling/Global%20Model/Master%20Pooling%20Model%20v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L Results"/>
      <sheetName val="FuelCost"/>
      <sheetName val="Results"/>
      <sheetName val="RouteAssessment"/>
      <sheetName val="FuelEUCost"/>
      <sheetName val="FuelEUPoolingv2"/>
      <sheetName val="ETS"/>
      <sheetName val="IRACredits"/>
      <sheetName val="GHG Factors"/>
      <sheetName val="GHG Factors (2)"/>
      <sheetName val="Multiplier Analysis"/>
      <sheetName val="ETS Analysis"/>
      <sheetName val="Scratch"/>
      <sheetName val="Voyages"/>
      <sheetName val="EnergyTransition"/>
      <sheetName val="Glossary"/>
      <sheetName val="Drop-Downs"/>
      <sheetName val="FuelDefinitions"/>
      <sheetName val="Questions and ToDo"/>
      <sheetName val="Gut Check"/>
      <sheetName val="Interaction"/>
      <sheetName val="FROM TMA"/>
      <sheetName val="OLDFuelEUPooling"/>
      <sheetName val="OLD Ammonia Analysis"/>
      <sheetName val="OLD GHG Factors"/>
      <sheetName val="OLD_CAPEX Calcul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PS Tool"/>
      <sheetName val="OPS Sources"/>
      <sheetName val="Pool Value Tool"/>
      <sheetName val="Read Me"/>
      <sheetName val="Inputs"/>
      <sheetName val="Notes and Questions"/>
      <sheetName val="Summary Output"/>
      <sheetName val="Back End -&gt;"/>
      <sheetName val="Calculation"/>
      <sheetName val="Assumptions"/>
      <sheetName val="GHG Emissions Factors"/>
      <sheetName val="Pooling Methodology"/>
      <sheetName val="Fuel Cost"/>
      <sheetName val="Vessel Profiles"/>
      <sheetName val="Penalty"/>
      <sheetName val="Biomethane (Acc.)"/>
      <sheetName val="Drop 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ur-lex.europa.eu/legal-content/EN/TXT/PDF/?uri=CELEX:32023R1805" TargetMode="External"/><Relationship Id="rId13" Type="http://schemas.openxmlformats.org/officeDocument/2006/relationships/hyperlink" Target="https://eur-lex.europa.eu/legal-content/EN/TXT/PDF/?uri=CELEX:32023R1805" TargetMode="External"/><Relationship Id="rId18" Type="http://schemas.openxmlformats.org/officeDocument/2006/relationships/drawing" Target="../drawings/drawing1.xml"/><Relationship Id="rId3" Type="http://schemas.openxmlformats.org/officeDocument/2006/relationships/hyperlink" Target="https://www.lr.org/en/knowledge/research-reports/techno-economic-assessment-of-zero-carbon-fuels/" TargetMode="External"/><Relationship Id="rId7" Type="http://schemas.openxmlformats.org/officeDocument/2006/relationships/hyperlink" Target="https://eur-lex.europa.eu/legal-content/EN/TXT/PDF/?uri=CELEX:32023R1805" TargetMode="External"/><Relationship Id="rId12" Type="http://schemas.openxmlformats.org/officeDocument/2006/relationships/hyperlink" Target="https://www.ecb.europa.eu/stats/policy_and_exchange_rates/euro_reference_exchange_rates/html/eurofxref-graph-usd.en.html" TargetMode="External"/><Relationship Id="rId17" Type="http://schemas.openxmlformats.org/officeDocument/2006/relationships/hyperlink" Target="https://www.zerocarbonshipping.com/cost-calculator/" TargetMode="External"/><Relationship Id="rId2" Type="http://schemas.openxmlformats.org/officeDocument/2006/relationships/hyperlink" Target="https://www.sciencedirect.com/science/article/pii/S0306261921003962?via%3Dihub" TargetMode="External"/><Relationship Id="rId16" Type="http://schemas.openxmlformats.org/officeDocument/2006/relationships/hyperlink" Target="https://www.zerocarbonshipping.com/cost-calculator/" TargetMode="External"/><Relationship Id="rId1" Type="http://schemas.openxmlformats.org/officeDocument/2006/relationships/hyperlink" Target="https://eur-lex.europa.eu/legal-content/EN/TXT/PDF/?uri=CELEX:32023R1805" TargetMode="External"/><Relationship Id="rId6" Type="http://schemas.openxmlformats.org/officeDocument/2006/relationships/hyperlink" Target="https://www.sciencedirect.com/science/article/pii/S0306261921003962?via%3Dihub" TargetMode="External"/><Relationship Id="rId11" Type="http://schemas.openxmlformats.org/officeDocument/2006/relationships/hyperlink" Target="https://eur-lex.europa.eu/legal-content/EN/TXT/PDF/?uri=CELEX:32023R1805" TargetMode="External"/><Relationship Id="rId5" Type="http://schemas.openxmlformats.org/officeDocument/2006/relationships/hyperlink" Target="https://www.lr.org/en/knowledge/research-reports/techno-economic-assessment-of-zero-carbon-fuels/" TargetMode="External"/><Relationship Id="rId15" Type="http://schemas.openxmlformats.org/officeDocument/2006/relationships/hyperlink" Target="https://www.zerocarbonshipping.com/cost-calculator/" TargetMode="External"/><Relationship Id="rId10" Type="http://schemas.openxmlformats.org/officeDocument/2006/relationships/hyperlink" Target="https://eur-lex.europa.eu/legal-content/EN/TXT/PDF/?uri=CELEX:32023R1805" TargetMode="External"/><Relationship Id="rId4" Type="http://schemas.openxmlformats.org/officeDocument/2006/relationships/hyperlink" Target="https://eur-lex.europa.eu/legal-content/EN/TXT/PDF/?uri=CELEX:32023R1805" TargetMode="External"/><Relationship Id="rId9" Type="http://schemas.openxmlformats.org/officeDocument/2006/relationships/hyperlink" Target="https://eur-lex.europa.eu/legal-content/EN/TXT/PDF/?uri=CELEX:32023R1805" TargetMode="External"/><Relationship Id="rId14" Type="http://schemas.openxmlformats.org/officeDocument/2006/relationships/hyperlink" Target="https://ec.europa.eu/info/law/better-regulation/have-your-say/initiatives/13865-Shipping-emissions-rules-on-monitoring-reporting_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0B7BC-7CD2-471A-8991-05481C7C541A}">
  <sheetPr>
    <tabColor rgb="FF4C7870"/>
  </sheetPr>
  <dimension ref="A1:V121"/>
  <sheetViews>
    <sheetView showGridLines="0" tabSelected="1" topLeftCell="A17" zoomScale="80" zoomScaleNormal="80" workbookViewId="0">
      <selection activeCell="B6" sqref="B6:E6"/>
    </sheetView>
  </sheetViews>
  <sheetFormatPr defaultRowHeight="14.45"/>
  <cols>
    <col min="1" max="1" width="5.5703125" customWidth="1"/>
    <col min="2" max="2" width="48.140625" customWidth="1"/>
    <col min="3" max="3" width="30.85546875" style="48" customWidth="1"/>
    <col min="4" max="4" width="19.28515625" customWidth="1"/>
    <col min="5" max="5" width="15.140625" customWidth="1"/>
    <col min="6" max="6" width="26.5703125" customWidth="1"/>
    <col min="8" max="8" width="6.5703125" customWidth="1"/>
    <col min="9" max="9" width="11.5703125" customWidth="1"/>
    <col min="10" max="17" width="13.5703125" customWidth="1"/>
    <col min="19" max="22" width="8.7109375" customWidth="1"/>
  </cols>
  <sheetData>
    <row r="1" spans="1:22" ht="21.95" customHeight="1">
      <c r="A1" s="96"/>
      <c r="B1" s="97" t="s">
        <v>0</v>
      </c>
      <c r="C1" s="98"/>
      <c r="D1" s="96"/>
      <c r="E1" s="96"/>
      <c r="F1" s="96"/>
      <c r="G1" s="96"/>
      <c r="H1" s="96"/>
      <c r="I1" s="96"/>
      <c r="J1" s="96"/>
      <c r="K1" s="96"/>
      <c r="L1" s="96"/>
      <c r="M1" s="96"/>
      <c r="N1" s="96"/>
      <c r="O1" s="96"/>
      <c r="P1" s="96"/>
      <c r="Q1" s="96"/>
      <c r="R1" s="96"/>
      <c r="S1" s="96"/>
    </row>
    <row r="2" spans="1:22" ht="10.5" customHeight="1">
      <c r="A2" s="1"/>
      <c r="B2" s="1"/>
      <c r="C2" s="1"/>
      <c r="D2" s="1"/>
      <c r="E2" s="1"/>
      <c r="F2" s="1"/>
      <c r="G2" s="123" t="s">
        <v>1</v>
      </c>
      <c r="H2" s="3"/>
      <c r="I2" s="3"/>
      <c r="J2" s="3"/>
      <c r="K2" s="3"/>
      <c r="L2" s="3"/>
      <c r="M2" s="3"/>
      <c r="N2" s="3"/>
      <c r="O2" s="3"/>
      <c r="P2" s="3"/>
      <c r="Q2" s="3"/>
      <c r="R2" s="3"/>
      <c r="S2" s="3"/>
    </row>
    <row r="3" spans="1:22" ht="29.1" customHeight="1">
      <c r="A3" s="4"/>
      <c r="B3" s="50" t="s">
        <v>2</v>
      </c>
      <c r="C3" s="4"/>
      <c r="D3" s="4"/>
      <c r="E3" s="4"/>
      <c r="F3" s="4"/>
      <c r="G3" s="123"/>
      <c r="H3" s="3"/>
      <c r="I3" s="51" t="s">
        <v>3</v>
      </c>
      <c r="J3" s="3"/>
      <c r="K3" s="3"/>
      <c r="L3" s="3"/>
      <c r="M3" s="3"/>
      <c r="N3" s="3"/>
      <c r="O3" s="3"/>
      <c r="P3" s="3"/>
      <c r="Q3" s="3"/>
      <c r="R3" s="3"/>
      <c r="S3" s="3"/>
    </row>
    <row r="4" spans="1:22" ht="56.45" customHeight="1">
      <c r="A4" s="49"/>
      <c r="B4" s="124" t="s">
        <v>4</v>
      </c>
      <c r="C4" s="124"/>
      <c r="D4" s="124"/>
      <c r="E4" s="124"/>
      <c r="F4" s="124"/>
      <c r="G4" s="123"/>
      <c r="H4" s="3"/>
      <c r="I4" s="106" t="s">
        <v>5</v>
      </c>
      <c r="J4" s="107"/>
      <c r="K4" s="107"/>
      <c r="L4" s="107"/>
      <c r="M4" s="107"/>
      <c r="N4" s="3"/>
      <c r="O4" s="3"/>
      <c r="P4" s="3"/>
      <c r="Q4" s="3"/>
      <c r="R4" s="3"/>
      <c r="S4" s="3"/>
    </row>
    <row r="5" spans="1:22" ht="37.5" customHeight="1">
      <c r="A5" s="1"/>
      <c r="B5" s="125" t="s">
        <v>6</v>
      </c>
      <c r="C5" s="125"/>
      <c r="D5" s="125"/>
      <c r="E5" s="125"/>
      <c r="F5" s="1"/>
      <c r="G5" s="123"/>
      <c r="H5" s="3"/>
      <c r="I5" s="3"/>
      <c r="J5" s="126" t="s">
        <v>7</v>
      </c>
      <c r="K5" s="127"/>
      <c r="L5" s="127"/>
      <c r="M5" s="128"/>
      <c r="N5" s="126" t="s">
        <v>8</v>
      </c>
      <c r="O5" s="127"/>
      <c r="P5" s="128"/>
      <c r="Q5" s="5" t="s">
        <v>9</v>
      </c>
      <c r="R5" s="3"/>
      <c r="S5" s="3"/>
    </row>
    <row r="6" spans="1:22" ht="87.95" customHeight="1">
      <c r="A6" s="1"/>
      <c r="B6" s="125" t="s">
        <v>10</v>
      </c>
      <c r="C6" s="125"/>
      <c r="D6" s="125"/>
      <c r="E6" s="125"/>
      <c r="F6" s="1"/>
      <c r="G6" s="123"/>
      <c r="H6" s="3"/>
      <c r="I6" s="3"/>
      <c r="J6" s="52" t="s">
        <v>11</v>
      </c>
      <c r="K6" s="53" t="s">
        <v>12</v>
      </c>
      <c r="L6" s="54" t="s">
        <v>13</v>
      </c>
      <c r="M6" s="55" t="s">
        <v>14</v>
      </c>
      <c r="N6" s="52" t="s">
        <v>15</v>
      </c>
      <c r="O6" s="54" t="s">
        <v>16</v>
      </c>
      <c r="P6" s="56" t="s">
        <v>17</v>
      </c>
      <c r="Q6" s="57" t="s">
        <v>18</v>
      </c>
      <c r="R6" s="3"/>
      <c r="S6" s="3"/>
      <c r="T6" s="111" t="s">
        <v>19</v>
      </c>
    </row>
    <row r="7" spans="1:22" ht="49.5" customHeight="1">
      <c r="A7" s="1"/>
      <c r="B7" s="125" t="s">
        <v>20</v>
      </c>
      <c r="C7" s="125"/>
      <c r="D7" s="125"/>
      <c r="E7" s="125"/>
      <c r="F7" s="1"/>
      <c r="G7" s="123"/>
      <c r="H7" s="3"/>
      <c r="I7" s="3"/>
      <c r="J7" s="58" t="s">
        <v>21</v>
      </c>
      <c r="K7" s="59" t="s">
        <v>22</v>
      </c>
      <c r="L7" s="59" t="s">
        <v>21</v>
      </c>
      <c r="M7" s="60" t="s">
        <v>22</v>
      </c>
      <c r="N7" s="58" t="s">
        <v>23</v>
      </c>
      <c r="O7" s="59" t="s">
        <v>24</v>
      </c>
      <c r="P7" s="60" t="s">
        <v>24</v>
      </c>
      <c r="Q7" s="60" t="s">
        <v>25</v>
      </c>
      <c r="R7" s="3"/>
      <c r="S7" s="3"/>
      <c r="T7" s="112" t="s">
        <v>26</v>
      </c>
      <c r="U7" s="113">
        <v>-1</v>
      </c>
      <c r="V7" s="113">
        <v>0.65</v>
      </c>
    </row>
    <row r="8" spans="1:22" ht="34.5" customHeight="1">
      <c r="A8" s="1"/>
      <c r="B8" s="125" t="s">
        <v>27</v>
      </c>
      <c r="C8" s="125"/>
      <c r="D8" s="125"/>
      <c r="E8" s="125"/>
      <c r="F8" s="1"/>
      <c r="G8" s="123"/>
      <c r="H8" s="3"/>
      <c r="I8" s="7">
        <v>2025</v>
      </c>
      <c r="J8" s="8">
        <v>14.877049180327868</v>
      </c>
      <c r="K8" s="9">
        <f>J8*$K$41*1000</f>
        <v>602.52049180327867</v>
      </c>
      <c r="L8" s="10">
        <v>30</v>
      </c>
      <c r="M8" s="11">
        <f>L8*$L$41*1000</f>
        <v>1109.9999999999998</v>
      </c>
      <c r="N8" s="12">
        <v>0.7</v>
      </c>
      <c r="O8" s="13">
        <v>119.06000000000002</v>
      </c>
      <c r="P8" s="14">
        <f>O8*N8</f>
        <v>83.342000000000013</v>
      </c>
      <c r="Q8" s="15">
        <v>89.336799999999997</v>
      </c>
      <c r="R8" s="3"/>
      <c r="S8" s="3"/>
      <c r="T8" s="112" t="s">
        <v>28</v>
      </c>
      <c r="U8" s="113">
        <v>-0.9</v>
      </c>
      <c r="V8" s="113">
        <v>0.66</v>
      </c>
    </row>
    <row r="9" spans="1:22">
      <c r="A9" s="1"/>
      <c r="B9" s="1"/>
      <c r="C9" s="1"/>
      <c r="D9" s="1"/>
      <c r="E9" s="1"/>
      <c r="F9" s="1"/>
      <c r="G9" s="123"/>
      <c r="H9" s="3"/>
      <c r="I9" s="7">
        <v>2026</v>
      </c>
      <c r="J9" s="8">
        <v>14.498360655737638</v>
      </c>
      <c r="K9" s="9">
        <f t="shared" ref="K9:K33" si="0">J9*$K$41*1000</f>
        <v>587.18360655737433</v>
      </c>
      <c r="L9" s="10">
        <v>31.299999999999997</v>
      </c>
      <c r="M9" s="11">
        <f t="shared" ref="M9:M33" si="1">L9*$L$41*1000</f>
        <v>1158.0999999999999</v>
      </c>
      <c r="N9" s="12">
        <v>1</v>
      </c>
      <c r="O9" s="13">
        <v>126.20360000000002</v>
      </c>
      <c r="P9" s="14">
        <f t="shared" ref="P9:P33" si="2">O9*N9</f>
        <v>126.20360000000002</v>
      </c>
      <c r="Q9" s="15">
        <v>89.336799999999997</v>
      </c>
      <c r="R9" s="3"/>
      <c r="S9" s="3"/>
      <c r="T9" s="114"/>
      <c r="U9" s="113">
        <v>-0.8</v>
      </c>
      <c r="V9" s="113">
        <v>0.67</v>
      </c>
    </row>
    <row r="10" spans="1:22" ht="23.45">
      <c r="A10" s="1"/>
      <c r="B10" s="61" t="s">
        <v>29</v>
      </c>
      <c r="C10" s="1"/>
      <c r="D10" s="1"/>
      <c r="E10" s="1"/>
      <c r="F10" s="1"/>
      <c r="G10" s="123"/>
      <c r="H10" s="3"/>
      <c r="I10" s="7">
        <v>2027</v>
      </c>
      <c r="J10" s="8">
        <v>14.119672131147574</v>
      </c>
      <c r="K10" s="9">
        <f t="shared" si="0"/>
        <v>571.8467213114767</v>
      </c>
      <c r="L10" s="10">
        <v>32.599999999999994</v>
      </c>
      <c r="M10" s="11">
        <f t="shared" si="1"/>
        <v>1206.1999999999998</v>
      </c>
      <c r="N10" s="12">
        <v>1</v>
      </c>
      <c r="O10" s="13">
        <v>133.34720000000002</v>
      </c>
      <c r="P10" s="14">
        <f t="shared" si="2"/>
        <v>133.34720000000002</v>
      </c>
      <c r="Q10" s="15">
        <v>89.336799999999997</v>
      </c>
      <c r="R10" s="3"/>
      <c r="S10" s="3"/>
      <c r="T10" s="114"/>
      <c r="U10" s="113">
        <v>-0.7</v>
      </c>
      <c r="V10" s="113">
        <v>0.68</v>
      </c>
    </row>
    <row r="11" spans="1:22" ht="18.95" thickBot="1">
      <c r="A11" s="1"/>
      <c r="B11" s="99" t="s">
        <v>30</v>
      </c>
      <c r="C11" s="100"/>
      <c r="D11" s="101" t="s">
        <v>31</v>
      </c>
      <c r="E11" s="6"/>
      <c r="F11" s="6"/>
      <c r="G11" s="123"/>
      <c r="H11" s="3"/>
      <c r="I11" s="7">
        <v>2028</v>
      </c>
      <c r="J11" s="8">
        <v>13.740983606557345</v>
      </c>
      <c r="K11" s="9">
        <f t="shared" si="0"/>
        <v>556.50983606557247</v>
      </c>
      <c r="L11" s="10">
        <v>33.900000000000006</v>
      </c>
      <c r="M11" s="11">
        <f t="shared" si="1"/>
        <v>1254.3000000000002</v>
      </c>
      <c r="N11" s="12">
        <v>1</v>
      </c>
      <c r="O11" s="13">
        <v>140.49080000000001</v>
      </c>
      <c r="P11" s="14">
        <f t="shared" si="2"/>
        <v>140.49080000000001</v>
      </c>
      <c r="Q11" s="15">
        <v>89.336799999999997</v>
      </c>
      <c r="R11" s="3"/>
      <c r="S11" s="3"/>
      <c r="T11" s="114"/>
      <c r="U11" s="113">
        <v>-0.6</v>
      </c>
      <c r="V11" s="113">
        <v>0.69</v>
      </c>
    </row>
    <row r="12" spans="1:22" ht="17.100000000000001" thickTop="1" thickBot="1">
      <c r="A12" s="1"/>
      <c r="B12" s="4" t="s">
        <v>32</v>
      </c>
      <c r="C12" s="115">
        <v>2030</v>
      </c>
      <c r="D12" s="17" t="s">
        <v>33</v>
      </c>
      <c r="E12" s="1"/>
      <c r="F12" s="62"/>
      <c r="G12" s="123"/>
      <c r="H12" s="3"/>
      <c r="I12" s="7">
        <v>2029</v>
      </c>
      <c r="J12" s="8">
        <v>13.362295081967115</v>
      </c>
      <c r="K12" s="9">
        <f t="shared" si="0"/>
        <v>541.17295081966824</v>
      </c>
      <c r="L12" s="10">
        <v>35.199999999999996</v>
      </c>
      <c r="M12" s="11">
        <f t="shared" si="1"/>
        <v>1302.3999999999999</v>
      </c>
      <c r="N12" s="12">
        <v>1</v>
      </c>
      <c r="O12" s="13">
        <v>147.6344</v>
      </c>
      <c r="P12" s="14">
        <f t="shared" si="2"/>
        <v>147.6344</v>
      </c>
      <c r="Q12" s="15">
        <v>89.336799999999997</v>
      </c>
      <c r="R12" s="3"/>
      <c r="S12" s="3"/>
      <c r="T12" s="114"/>
      <c r="U12" s="113">
        <v>-0.5</v>
      </c>
      <c r="V12" s="113">
        <v>0.7</v>
      </c>
    </row>
    <row r="13" spans="1:22" ht="15.95" customHeight="1" thickTop="1">
      <c r="A13" s="1"/>
      <c r="B13" s="1"/>
      <c r="C13" s="1"/>
      <c r="D13" s="1"/>
      <c r="E13" s="1"/>
      <c r="F13" s="1"/>
      <c r="G13" s="123"/>
      <c r="H13" s="3"/>
      <c r="I13" s="7">
        <v>2030</v>
      </c>
      <c r="J13" s="8">
        <v>12.983606557377048</v>
      </c>
      <c r="K13" s="9">
        <f t="shared" si="0"/>
        <v>525.8360655737705</v>
      </c>
      <c r="L13" s="10">
        <v>36.5</v>
      </c>
      <c r="M13" s="11">
        <f t="shared" si="1"/>
        <v>1350.5</v>
      </c>
      <c r="N13" s="12">
        <v>1</v>
      </c>
      <c r="O13" s="13">
        <v>154.77800000000002</v>
      </c>
      <c r="P13" s="14">
        <f t="shared" si="2"/>
        <v>154.77800000000002</v>
      </c>
      <c r="Q13" s="15">
        <v>85.690399999999997</v>
      </c>
      <c r="R13" s="3"/>
      <c r="S13" s="3"/>
      <c r="T13" s="114"/>
      <c r="U13" s="113">
        <v>-0.4</v>
      </c>
      <c r="V13" s="113">
        <v>0.71</v>
      </c>
    </row>
    <row r="14" spans="1:22" ht="15.6" customHeight="1" thickBot="1">
      <c r="A14" s="1"/>
      <c r="B14" s="4" t="s">
        <v>34</v>
      </c>
      <c r="C14" s="19"/>
      <c r="D14" s="1"/>
      <c r="E14" s="1"/>
      <c r="F14" s="62"/>
      <c r="G14" s="123"/>
      <c r="H14" s="3"/>
      <c r="I14" s="7">
        <v>2031</v>
      </c>
      <c r="J14" s="8">
        <v>12.983606557377048</v>
      </c>
      <c r="K14" s="9">
        <f t="shared" si="0"/>
        <v>525.8360655737705</v>
      </c>
      <c r="L14" s="10">
        <v>37.9</v>
      </c>
      <c r="M14" s="11">
        <f t="shared" si="1"/>
        <v>1402.3</v>
      </c>
      <c r="N14" s="12">
        <v>1</v>
      </c>
      <c r="O14" s="13">
        <v>165.54102400000002</v>
      </c>
      <c r="P14" s="14">
        <f t="shared" si="2"/>
        <v>165.54102400000002</v>
      </c>
      <c r="Q14" s="15">
        <v>85.690399999999997</v>
      </c>
      <c r="R14" s="3"/>
      <c r="S14" s="3"/>
      <c r="T14" s="114"/>
      <c r="U14" s="113">
        <v>-0.3</v>
      </c>
      <c r="V14" s="113">
        <v>0.72</v>
      </c>
    </row>
    <row r="15" spans="1:22" ht="16.5" customHeight="1" thickTop="1" thickBot="1">
      <c r="A15" s="19"/>
      <c r="B15" s="17" t="s">
        <v>35</v>
      </c>
      <c r="C15" s="116">
        <v>0.7</v>
      </c>
      <c r="D15" s="17" t="s">
        <v>36</v>
      </c>
      <c r="E15" s="1"/>
      <c r="F15" s="19"/>
      <c r="G15" s="123"/>
      <c r="H15" s="3"/>
      <c r="I15" s="7">
        <v>2032</v>
      </c>
      <c r="J15" s="8">
        <v>12.983606557377048</v>
      </c>
      <c r="K15" s="9">
        <f t="shared" si="0"/>
        <v>525.8360655737705</v>
      </c>
      <c r="L15" s="10">
        <v>39.299999999999997</v>
      </c>
      <c r="M15" s="11">
        <f t="shared" si="1"/>
        <v>1454.0999999999997</v>
      </c>
      <c r="N15" s="12">
        <v>1</v>
      </c>
      <c r="O15" s="13">
        <v>176.30404800000002</v>
      </c>
      <c r="P15" s="14">
        <f t="shared" si="2"/>
        <v>176.30404800000002</v>
      </c>
      <c r="Q15" s="15">
        <v>85.690399999999997</v>
      </c>
      <c r="R15" s="3"/>
      <c r="S15" s="3"/>
      <c r="T15" s="114"/>
      <c r="U15" s="113">
        <v>-0.2</v>
      </c>
      <c r="V15" s="113">
        <v>0.73</v>
      </c>
    </row>
    <row r="16" spans="1:22" ht="17.100000000000001" thickTop="1" thickBot="1">
      <c r="A16" s="1"/>
      <c r="B16" s="17" t="s">
        <v>37</v>
      </c>
      <c r="C16" s="115" t="s">
        <v>26</v>
      </c>
      <c r="D16" s="17" t="s">
        <v>38</v>
      </c>
      <c r="E16" s="1"/>
      <c r="F16" s="1"/>
      <c r="G16" s="123"/>
      <c r="H16" s="3"/>
      <c r="I16" s="7">
        <v>2033</v>
      </c>
      <c r="J16" s="8">
        <v>12.983606557377048</v>
      </c>
      <c r="K16" s="9">
        <f t="shared" si="0"/>
        <v>525.8360655737705</v>
      </c>
      <c r="L16" s="10">
        <v>40.700000000000003</v>
      </c>
      <c r="M16" s="11">
        <f t="shared" si="1"/>
        <v>1505.9</v>
      </c>
      <c r="N16" s="12">
        <v>1</v>
      </c>
      <c r="O16" s="13">
        <v>187.06707200000002</v>
      </c>
      <c r="P16" s="14">
        <f t="shared" si="2"/>
        <v>187.06707200000002</v>
      </c>
      <c r="Q16" s="15">
        <v>85.690399999999997</v>
      </c>
      <c r="R16" s="3"/>
      <c r="S16" s="3"/>
      <c r="T16" s="114"/>
      <c r="U16" s="113">
        <v>-0.1</v>
      </c>
      <c r="V16" s="113">
        <v>0.74</v>
      </c>
    </row>
    <row r="17" spans="1:22" ht="17.100000000000001" thickTop="1" thickBot="1">
      <c r="A17" s="1"/>
      <c r="B17" s="17" t="s">
        <v>39</v>
      </c>
      <c r="C17" s="115">
        <v>1800</v>
      </c>
      <c r="D17" s="17" t="s">
        <v>40</v>
      </c>
      <c r="E17" s="1"/>
      <c r="F17" s="1"/>
      <c r="G17" s="123"/>
      <c r="H17" s="3"/>
      <c r="I17" s="7">
        <v>2034</v>
      </c>
      <c r="J17" s="8">
        <v>12.983606557377048</v>
      </c>
      <c r="K17" s="9">
        <f t="shared" si="0"/>
        <v>525.8360655737705</v>
      </c>
      <c r="L17" s="10">
        <v>42.1</v>
      </c>
      <c r="M17" s="11">
        <f t="shared" si="1"/>
        <v>1557.7</v>
      </c>
      <c r="N17" s="12">
        <v>1</v>
      </c>
      <c r="O17" s="13">
        <v>197.83009600000003</v>
      </c>
      <c r="P17" s="14">
        <f t="shared" si="2"/>
        <v>197.83009600000003</v>
      </c>
      <c r="Q17" s="15">
        <v>85.690399999999997</v>
      </c>
      <c r="R17" s="3"/>
      <c r="S17" s="3"/>
      <c r="T17" s="114"/>
      <c r="U17" s="113">
        <v>0</v>
      </c>
      <c r="V17" s="113">
        <v>0.75</v>
      </c>
    </row>
    <row r="18" spans="1:22" ht="15" thickTop="1">
      <c r="A18" s="1"/>
      <c r="B18" s="1"/>
      <c r="C18" s="18" t="s">
        <v>41</v>
      </c>
      <c r="D18" s="1"/>
      <c r="E18" s="1"/>
      <c r="F18" s="1"/>
      <c r="G18" s="123"/>
      <c r="H18" s="3"/>
      <c r="I18" s="7">
        <v>2035</v>
      </c>
      <c r="J18" s="8">
        <v>12.983606557377048</v>
      </c>
      <c r="K18" s="9">
        <f t="shared" si="0"/>
        <v>525.8360655737705</v>
      </c>
      <c r="L18" s="10">
        <v>43.5</v>
      </c>
      <c r="M18" s="11">
        <f t="shared" si="1"/>
        <v>1609.5</v>
      </c>
      <c r="N18" s="12">
        <v>1</v>
      </c>
      <c r="O18" s="13">
        <v>197.63960000000003</v>
      </c>
      <c r="P18" s="14">
        <f t="shared" si="2"/>
        <v>197.63960000000003</v>
      </c>
      <c r="Q18" s="15">
        <v>77.941800000000001</v>
      </c>
      <c r="R18" s="3"/>
      <c r="S18" s="3"/>
      <c r="T18" s="114"/>
      <c r="U18" s="113">
        <v>0.1</v>
      </c>
      <c r="V18" s="113">
        <v>0.76</v>
      </c>
    </row>
    <row r="19" spans="1:22" ht="15" customHeight="1" thickBot="1">
      <c r="A19" s="1"/>
      <c r="B19" s="4" t="s">
        <v>42</v>
      </c>
      <c r="C19" s="1"/>
      <c r="D19" s="1"/>
      <c r="E19" s="1"/>
      <c r="F19" s="1"/>
      <c r="G19" s="123"/>
      <c r="H19" s="3"/>
      <c r="I19" s="7">
        <v>2036</v>
      </c>
      <c r="J19" s="8">
        <v>12.983606557377048</v>
      </c>
      <c r="K19" s="9">
        <f t="shared" si="0"/>
        <v>525.8360655737705</v>
      </c>
      <c r="L19" s="10">
        <v>44.9</v>
      </c>
      <c r="M19" s="11">
        <f t="shared" si="1"/>
        <v>1661.2999999999997</v>
      </c>
      <c r="N19" s="12">
        <v>1</v>
      </c>
      <c r="O19" s="13">
        <v>208.59312000000003</v>
      </c>
      <c r="P19" s="14">
        <f t="shared" si="2"/>
        <v>208.59312000000003</v>
      </c>
      <c r="Q19" s="15">
        <v>77.941800000000001</v>
      </c>
      <c r="R19" s="3"/>
      <c r="S19" s="3"/>
      <c r="T19" s="114"/>
      <c r="U19" s="113">
        <v>0.2</v>
      </c>
      <c r="V19" s="113">
        <v>0.77</v>
      </c>
    </row>
    <row r="20" spans="1:22" ht="14.45" customHeight="1" thickTop="1">
      <c r="A20" s="1"/>
      <c r="B20" s="129" t="s">
        <v>43</v>
      </c>
      <c r="C20" s="130">
        <v>0</v>
      </c>
      <c r="D20" s="120" t="s">
        <v>44</v>
      </c>
      <c r="E20" s="120"/>
      <c r="F20" s="120"/>
      <c r="G20" s="123"/>
      <c r="H20" s="3"/>
      <c r="I20" s="7">
        <v>2037</v>
      </c>
      <c r="J20" s="8">
        <v>12.983606557377048</v>
      </c>
      <c r="K20" s="9">
        <f t="shared" si="0"/>
        <v>525.8360655737705</v>
      </c>
      <c r="L20" s="10">
        <v>46.3</v>
      </c>
      <c r="M20" s="11">
        <f t="shared" si="1"/>
        <v>1713.1</v>
      </c>
      <c r="N20" s="12">
        <v>1</v>
      </c>
      <c r="O20" s="13">
        <v>219.54664000000002</v>
      </c>
      <c r="P20" s="14">
        <f t="shared" si="2"/>
        <v>219.54664000000002</v>
      </c>
      <c r="Q20" s="15">
        <v>77.941800000000001</v>
      </c>
      <c r="R20" s="3"/>
      <c r="S20" s="3"/>
      <c r="T20" s="114"/>
      <c r="U20" s="113">
        <v>0.3</v>
      </c>
      <c r="V20" s="113">
        <v>0.78</v>
      </c>
    </row>
    <row r="21" spans="1:22" ht="14.45" customHeight="1">
      <c r="A21" s="1"/>
      <c r="B21" s="129"/>
      <c r="C21" s="131"/>
      <c r="D21" s="120"/>
      <c r="E21" s="120"/>
      <c r="F21" s="120"/>
      <c r="G21" s="123"/>
      <c r="H21" s="3"/>
      <c r="I21" s="7">
        <v>2038</v>
      </c>
      <c r="J21" s="8">
        <v>12.983606557377048</v>
      </c>
      <c r="K21" s="9">
        <f t="shared" si="0"/>
        <v>525.8360655737705</v>
      </c>
      <c r="L21" s="10">
        <v>47.7</v>
      </c>
      <c r="M21" s="11">
        <f t="shared" si="1"/>
        <v>1764.8999999999999</v>
      </c>
      <c r="N21" s="12">
        <v>1</v>
      </c>
      <c r="O21" s="13">
        <v>230.50016000000002</v>
      </c>
      <c r="P21" s="14">
        <f t="shared" si="2"/>
        <v>230.50016000000002</v>
      </c>
      <c r="Q21" s="15">
        <v>77.941800000000001</v>
      </c>
      <c r="R21" s="3"/>
      <c r="S21" s="3"/>
      <c r="T21" s="114"/>
      <c r="U21" s="113">
        <v>0.4</v>
      </c>
      <c r="V21" s="113">
        <v>0.79</v>
      </c>
    </row>
    <row r="22" spans="1:22">
      <c r="A22" s="1"/>
      <c r="B22" s="1"/>
      <c r="C22" s="1"/>
      <c r="D22" s="1"/>
      <c r="E22" s="1"/>
      <c r="F22" s="1"/>
      <c r="G22" s="123"/>
      <c r="H22" s="3"/>
      <c r="I22" s="7">
        <v>2039</v>
      </c>
      <c r="J22" s="8">
        <v>12.983606557377048</v>
      </c>
      <c r="K22" s="9">
        <f t="shared" si="0"/>
        <v>525.8360655737705</v>
      </c>
      <c r="L22" s="10">
        <v>49.1</v>
      </c>
      <c r="M22" s="11">
        <f t="shared" si="1"/>
        <v>1816.7</v>
      </c>
      <c r="N22" s="12">
        <v>1</v>
      </c>
      <c r="O22" s="13">
        <v>241.45368000000002</v>
      </c>
      <c r="P22" s="14">
        <f t="shared" si="2"/>
        <v>241.45368000000002</v>
      </c>
      <c r="Q22" s="15">
        <v>77.941800000000001</v>
      </c>
      <c r="R22" s="3"/>
      <c r="S22" s="3"/>
      <c r="T22" s="114"/>
      <c r="U22" s="113">
        <v>0.5</v>
      </c>
      <c r="V22" s="113">
        <v>0.8</v>
      </c>
    </row>
    <row r="23" spans="1:22" ht="18.600000000000001">
      <c r="A23" s="1"/>
      <c r="B23" s="99" t="s">
        <v>45</v>
      </c>
      <c r="C23" s="100"/>
      <c r="D23" s="101" t="s">
        <v>46</v>
      </c>
      <c r="E23" s="6"/>
      <c r="F23" s="6"/>
      <c r="G23" s="123"/>
      <c r="H23" s="3"/>
      <c r="I23" s="7">
        <v>2040</v>
      </c>
      <c r="J23" s="8">
        <v>12.983606557377048</v>
      </c>
      <c r="K23" s="9">
        <f t="shared" si="0"/>
        <v>525.8360655737705</v>
      </c>
      <c r="L23" s="10">
        <v>50.5</v>
      </c>
      <c r="M23" s="11">
        <f t="shared" si="1"/>
        <v>1868.4999999999998</v>
      </c>
      <c r="N23" s="12">
        <v>1</v>
      </c>
      <c r="O23" s="13">
        <v>252.40720000000002</v>
      </c>
      <c r="P23" s="14">
        <f t="shared" si="2"/>
        <v>252.40720000000002</v>
      </c>
      <c r="Q23" s="15">
        <v>62.900399999999991</v>
      </c>
      <c r="R23" s="3"/>
      <c r="S23" s="3"/>
      <c r="T23" s="114"/>
      <c r="U23" s="113">
        <v>0.6</v>
      </c>
      <c r="V23" s="113">
        <v>0.81</v>
      </c>
    </row>
    <row r="24" spans="1:22" ht="15.6" customHeight="1">
      <c r="A24" s="1"/>
      <c r="B24" s="1"/>
      <c r="C24" s="16"/>
      <c r="D24" s="1"/>
      <c r="E24" s="1"/>
      <c r="F24" s="1"/>
      <c r="G24" s="123"/>
      <c r="H24" s="3"/>
      <c r="I24" s="7">
        <v>2041</v>
      </c>
      <c r="J24" s="8">
        <v>12.983606557377048</v>
      </c>
      <c r="K24" s="9">
        <f t="shared" si="0"/>
        <v>525.8360655737705</v>
      </c>
      <c r="L24" s="10">
        <v>51.800000000000004</v>
      </c>
      <c r="M24" s="11">
        <f t="shared" si="1"/>
        <v>1916.6000000000001</v>
      </c>
      <c r="N24" s="12">
        <v>1</v>
      </c>
      <c r="O24" s="13">
        <v>266.93252000000001</v>
      </c>
      <c r="P24" s="14">
        <f t="shared" si="2"/>
        <v>266.93252000000001</v>
      </c>
      <c r="Q24" s="15">
        <v>62.900399999999991</v>
      </c>
      <c r="R24" s="3"/>
      <c r="S24" s="3"/>
      <c r="T24" s="114"/>
      <c r="U24" s="113">
        <v>0.7</v>
      </c>
      <c r="V24" s="113">
        <v>0.82</v>
      </c>
    </row>
    <row r="25" spans="1:22" ht="15" thickBot="1">
      <c r="A25" s="1"/>
      <c r="B25" s="4" t="s">
        <v>47</v>
      </c>
      <c r="C25" s="16"/>
      <c r="D25" s="1"/>
      <c r="E25" s="1"/>
      <c r="F25" s="1"/>
      <c r="G25" s="123"/>
      <c r="H25" s="3"/>
      <c r="I25" s="7">
        <v>2042</v>
      </c>
      <c r="J25" s="8">
        <v>12.983606557377048</v>
      </c>
      <c r="K25" s="9">
        <f t="shared" si="0"/>
        <v>525.8360655737705</v>
      </c>
      <c r="L25" s="10">
        <v>53.099999999999994</v>
      </c>
      <c r="M25" s="11">
        <f t="shared" si="1"/>
        <v>1964.6999999999996</v>
      </c>
      <c r="N25" s="12">
        <v>1</v>
      </c>
      <c r="O25" s="13">
        <v>281.45784000000003</v>
      </c>
      <c r="P25" s="14">
        <f t="shared" si="2"/>
        <v>281.45784000000003</v>
      </c>
      <c r="Q25" s="15">
        <v>62.900399999999991</v>
      </c>
      <c r="R25" s="3"/>
      <c r="S25" s="3"/>
      <c r="T25" s="114"/>
      <c r="U25" s="113">
        <v>0.8</v>
      </c>
      <c r="V25" s="113">
        <v>0.83</v>
      </c>
    </row>
    <row r="26" spans="1:22" ht="14.45" customHeight="1" thickTop="1" thickBot="1">
      <c r="A26" s="1"/>
      <c r="B26" s="17" t="s">
        <v>48</v>
      </c>
      <c r="C26" s="115" t="s">
        <v>26</v>
      </c>
      <c r="D26" s="18" t="s">
        <v>49</v>
      </c>
      <c r="E26" s="1"/>
      <c r="F26" s="1"/>
      <c r="G26" s="123"/>
      <c r="H26" s="3"/>
      <c r="I26" s="7">
        <v>2043</v>
      </c>
      <c r="J26" s="8">
        <v>12.983606557377048</v>
      </c>
      <c r="K26" s="9">
        <f t="shared" si="0"/>
        <v>525.8360655737705</v>
      </c>
      <c r="L26" s="10">
        <v>54.400000000000006</v>
      </c>
      <c r="M26" s="11">
        <f t="shared" si="1"/>
        <v>2012.8</v>
      </c>
      <c r="N26" s="12">
        <v>1</v>
      </c>
      <c r="O26" s="13">
        <v>295.98316000000005</v>
      </c>
      <c r="P26" s="14">
        <f t="shared" si="2"/>
        <v>295.98316000000005</v>
      </c>
      <c r="Q26" s="15">
        <v>62.900399999999991</v>
      </c>
      <c r="R26" s="3"/>
      <c r="S26" s="3"/>
      <c r="T26" s="114"/>
      <c r="U26" s="113">
        <v>0.9</v>
      </c>
      <c r="V26" s="113">
        <v>0.84</v>
      </c>
    </row>
    <row r="27" spans="1:22" ht="16.5" customHeight="1" thickTop="1" thickBot="1">
      <c r="A27" s="1"/>
      <c r="B27" s="17" t="str">
        <f>IF(C26="No","Enter LSFO cost estimate [USD/tonne LSFO] -&gt;","")</f>
        <v/>
      </c>
      <c r="C27" s="115">
        <v>460</v>
      </c>
      <c r="D27" s="121" t="str">
        <f>IF(C26="No","Note: the pooling surplus value is calculated with the difference between LSFO and biodiesel or penalty costs, therefore, decreasing the gap will decrease the surplus price","")</f>
        <v/>
      </c>
      <c r="E27" s="121"/>
      <c r="F27" s="121"/>
      <c r="G27" s="123"/>
      <c r="H27" s="3"/>
      <c r="I27" s="7">
        <v>2044</v>
      </c>
      <c r="J27" s="8">
        <v>12.983606557377048</v>
      </c>
      <c r="K27" s="9">
        <f t="shared" si="0"/>
        <v>525.8360655737705</v>
      </c>
      <c r="L27" s="10">
        <v>55.699999999999996</v>
      </c>
      <c r="M27" s="11">
        <f t="shared" si="1"/>
        <v>2060.8999999999996</v>
      </c>
      <c r="N27" s="12">
        <v>1</v>
      </c>
      <c r="O27" s="13">
        <v>310.50848000000008</v>
      </c>
      <c r="P27" s="14">
        <f t="shared" si="2"/>
        <v>310.50848000000008</v>
      </c>
      <c r="Q27" s="15">
        <v>62.900399999999991</v>
      </c>
      <c r="R27" s="3"/>
      <c r="S27" s="3"/>
      <c r="T27" s="114"/>
      <c r="U27" s="113">
        <v>1</v>
      </c>
      <c r="V27" s="113">
        <v>0.85</v>
      </c>
    </row>
    <row r="28" spans="1:22" ht="15" thickTop="1">
      <c r="A28" s="1"/>
      <c r="B28" s="17"/>
      <c r="C28" s="16"/>
      <c r="D28" s="121"/>
      <c r="E28" s="121"/>
      <c r="F28" s="121"/>
      <c r="G28" s="123"/>
      <c r="H28" s="3"/>
      <c r="I28" s="7">
        <v>2045</v>
      </c>
      <c r="J28" s="8">
        <v>12.983606557377048</v>
      </c>
      <c r="K28" s="9">
        <f t="shared" si="0"/>
        <v>525.8360655737705</v>
      </c>
      <c r="L28" s="10">
        <v>57</v>
      </c>
      <c r="M28" s="11">
        <f t="shared" si="1"/>
        <v>2109</v>
      </c>
      <c r="N28" s="12">
        <v>1</v>
      </c>
      <c r="O28" s="13">
        <v>325.03380000000004</v>
      </c>
      <c r="P28" s="14">
        <f t="shared" si="2"/>
        <v>325.03380000000004</v>
      </c>
      <c r="Q28" s="15">
        <v>34.640799999999999</v>
      </c>
      <c r="R28" s="3"/>
      <c r="S28" s="3"/>
      <c r="V28" s="113">
        <v>0.86</v>
      </c>
    </row>
    <row r="29" spans="1:22" ht="15" thickBot="1">
      <c r="A29" s="1"/>
      <c r="B29" s="4" t="s">
        <v>50</v>
      </c>
      <c r="C29" s="16"/>
      <c r="D29" s="1"/>
      <c r="E29" s="1"/>
      <c r="F29" s="1"/>
      <c r="G29" s="123"/>
      <c r="H29" s="3"/>
      <c r="I29" s="7">
        <v>2046</v>
      </c>
      <c r="J29" s="8">
        <v>12.983606557377048</v>
      </c>
      <c r="K29" s="9">
        <f t="shared" si="0"/>
        <v>525.8360655737705</v>
      </c>
      <c r="L29" s="10">
        <v>58.300000000000004</v>
      </c>
      <c r="M29" s="11">
        <f t="shared" si="1"/>
        <v>2157.1000000000004</v>
      </c>
      <c r="N29" s="12">
        <v>1</v>
      </c>
      <c r="O29" s="13">
        <v>343.36904000000004</v>
      </c>
      <c r="P29" s="14">
        <f t="shared" si="2"/>
        <v>343.36904000000004</v>
      </c>
      <c r="Q29" s="15">
        <v>34.640799999999999</v>
      </c>
      <c r="R29" s="3"/>
      <c r="S29" s="3"/>
      <c r="V29" s="113">
        <v>0.87</v>
      </c>
    </row>
    <row r="30" spans="1:22" ht="17.100000000000001" thickTop="1" thickBot="1">
      <c r="A30" s="1"/>
      <c r="B30" s="17" t="s">
        <v>51</v>
      </c>
      <c r="C30" s="115" t="s">
        <v>26</v>
      </c>
      <c r="D30" s="18" t="s">
        <v>52</v>
      </c>
      <c r="E30" s="1"/>
      <c r="F30" s="1"/>
      <c r="G30" s="123"/>
      <c r="H30" s="3"/>
      <c r="I30" s="7">
        <v>2047</v>
      </c>
      <c r="J30" s="8">
        <v>12.983606557377048</v>
      </c>
      <c r="K30" s="9">
        <f t="shared" si="0"/>
        <v>525.8360655737705</v>
      </c>
      <c r="L30" s="10">
        <v>59.599999999999994</v>
      </c>
      <c r="M30" s="11">
        <f t="shared" si="1"/>
        <v>2205.1999999999998</v>
      </c>
      <c r="N30" s="12">
        <v>1</v>
      </c>
      <c r="O30" s="13">
        <v>361.70428000000004</v>
      </c>
      <c r="P30" s="14">
        <f t="shared" si="2"/>
        <v>361.70428000000004</v>
      </c>
      <c r="Q30" s="15">
        <v>34.640799999999999</v>
      </c>
      <c r="R30" s="3"/>
      <c r="S30" s="3"/>
      <c r="V30" s="113">
        <v>0.88</v>
      </c>
    </row>
    <row r="31" spans="1:22" ht="17.100000000000001" thickTop="1" thickBot="1">
      <c r="A31" s="1"/>
      <c r="B31" s="17" t="str">
        <f>IF(C30="No","Enter biodiesel estimate [USD/tonne biodiesel] -&gt;","")</f>
        <v/>
      </c>
      <c r="C31" s="115">
        <v>1200</v>
      </c>
      <c r="D31" s="1"/>
      <c r="E31" s="1"/>
      <c r="F31" s="1"/>
      <c r="G31" s="123"/>
      <c r="H31" s="3"/>
      <c r="I31" s="7">
        <v>2048</v>
      </c>
      <c r="J31" s="8">
        <v>12.983606557377048</v>
      </c>
      <c r="K31" s="9">
        <f t="shared" si="0"/>
        <v>525.8360655737705</v>
      </c>
      <c r="L31" s="10">
        <v>60.900000000000006</v>
      </c>
      <c r="M31" s="11">
        <f t="shared" si="1"/>
        <v>2253.3000000000002</v>
      </c>
      <c r="N31" s="12">
        <v>1</v>
      </c>
      <c r="O31" s="13">
        <v>380.03952000000004</v>
      </c>
      <c r="P31" s="14">
        <f t="shared" si="2"/>
        <v>380.03952000000004</v>
      </c>
      <c r="Q31" s="15">
        <v>34.640799999999999</v>
      </c>
      <c r="R31" s="3"/>
      <c r="S31" s="3"/>
      <c r="V31" s="113">
        <v>0.89</v>
      </c>
    </row>
    <row r="32" spans="1:22" ht="15" thickTop="1">
      <c r="A32" s="1"/>
      <c r="B32" s="17"/>
      <c r="C32" s="117" t="s">
        <v>53</v>
      </c>
      <c r="D32" s="1"/>
      <c r="E32" s="1"/>
      <c r="F32" s="1"/>
      <c r="G32" s="123"/>
      <c r="H32" s="3"/>
      <c r="I32" s="7">
        <v>2049</v>
      </c>
      <c r="J32" s="8">
        <v>12.983606557377048</v>
      </c>
      <c r="K32" s="9">
        <f t="shared" si="0"/>
        <v>525.8360655737705</v>
      </c>
      <c r="L32" s="10">
        <v>62.199999999999996</v>
      </c>
      <c r="M32" s="11">
        <f t="shared" si="1"/>
        <v>2301.3999999999996</v>
      </c>
      <c r="N32" s="12">
        <v>1</v>
      </c>
      <c r="O32" s="13">
        <v>398.37476000000004</v>
      </c>
      <c r="P32" s="14">
        <f t="shared" si="2"/>
        <v>398.37476000000004</v>
      </c>
      <c r="Q32" s="15">
        <v>34.640799999999999</v>
      </c>
      <c r="R32" s="3"/>
      <c r="S32" s="3"/>
      <c r="V32" s="113">
        <v>0.9</v>
      </c>
    </row>
    <row r="33" spans="1:22" ht="15" thickBot="1">
      <c r="A33" s="1"/>
      <c r="B33" s="4" t="s">
        <v>54</v>
      </c>
      <c r="C33" s="16"/>
      <c r="D33" s="1"/>
      <c r="E33" s="1"/>
      <c r="F33" s="1"/>
      <c r="G33" s="123"/>
      <c r="H33" s="3"/>
      <c r="I33" s="7">
        <v>2050</v>
      </c>
      <c r="J33" s="22">
        <v>12.983606557377048</v>
      </c>
      <c r="K33" s="23">
        <f t="shared" si="0"/>
        <v>525.8360655737705</v>
      </c>
      <c r="L33" s="24">
        <v>63.5</v>
      </c>
      <c r="M33" s="25">
        <f t="shared" si="1"/>
        <v>2349.5</v>
      </c>
      <c r="N33" s="26">
        <v>1</v>
      </c>
      <c r="O33" s="27">
        <v>416.71000000000004</v>
      </c>
      <c r="P33" s="28">
        <f t="shared" si="2"/>
        <v>416.71000000000004</v>
      </c>
      <c r="Q33" s="29">
        <v>18.231999999999996</v>
      </c>
      <c r="R33" s="3"/>
      <c r="S33" s="3"/>
      <c r="V33" s="113">
        <v>0.91</v>
      </c>
    </row>
    <row r="34" spans="1:22" ht="17.100000000000001" thickTop="1" thickBot="1">
      <c r="A34" s="1"/>
      <c r="B34" s="17" t="s">
        <v>55</v>
      </c>
      <c r="C34" s="115" t="s">
        <v>26</v>
      </c>
      <c r="D34" s="18" t="s">
        <v>56</v>
      </c>
      <c r="E34" s="1"/>
      <c r="F34" s="1"/>
      <c r="G34" s="123"/>
      <c r="H34" s="3"/>
      <c r="I34" s="30" t="s">
        <v>57</v>
      </c>
      <c r="J34" s="32" t="s">
        <v>58</v>
      </c>
      <c r="K34" s="32"/>
      <c r="L34" s="32" t="s">
        <v>59</v>
      </c>
      <c r="M34" s="31"/>
      <c r="N34" s="31"/>
      <c r="O34" s="32" t="s">
        <v>56</v>
      </c>
      <c r="P34" s="31"/>
      <c r="Q34" s="32" t="s">
        <v>60</v>
      </c>
      <c r="R34" s="3"/>
      <c r="S34" s="3"/>
      <c r="V34" s="113">
        <v>0.92</v>
      </c>
    </row>
    <row r="35" spans="1:22" ht="16.5" customHeight="1" thickTop="1" thickBot="1">
      <c r="A35" s="1"/>
      <c r="B35" s="17" t="str">
        <f>IF(C34="No","Enter EUA estimate [USD/tonne CO2e] -&gt;","")</f>
        <v/>
      </c>
      <c r="C35" s="115">
        <v>100</v>
      </c>
      <c r="D35" s="121" t="str">
        <f>IF(AND(C34="NO",C35&gt;E73),"Warning: the ETS cost is higher than the additional cost to blend biodiesel, therefore, there is no value in pooling because vessels can save money by blending biodiesel","")</f>
        <v/>
      </c>
      <c r="E35" s="121"/>
      <c r="F35" s="121"/>
      <c r="G35" s="123"/>
      <c r="H35" s="3"/>
      <c r="I35" s="3"/>
      <c r="J35" s="3"/>
      <c r="K35" s="3"/>
      <c r="L35" s="3"/>
      <c r="M35" s="3"/>
      <c r="N35" s="3"/>
      <c r="O35" s="3"/>
      <c r="P35" s="3"/>
      <c r="Q35" s="3"/>
      <c r="R35" s="3"/>
      <c r="S35" s="3"/>
      <c r="V35" s="113">
        <v>0.93</v>
      </c>
    </row>
    <row r="36" spans="1:22" ht="15" thickTop="1">
      <c r="A36" s="1"/>
      <c r="B36" s="17"/>
      <c r="C36" s="17"/>
      <c r="D36" s="121"/>
      <c r="E36" s="121"/>
      <c r="F36" s="121"/>
      <c r="G36" s="123"/>
      <c r="H36" s="3"/>
      <c r="I36" s="30"/>
      <c r="J36" s="63"/>
      <c r="K36" s="31"/>
      <c r="L36" s="32"/>
      <c r="M36" s="31"/>
      <c r="N36" s="31"/>
      <c r="O36" s="32"/>
      <c r="P36" s="31"/>
      <c r="Q36" s="32"/>
      <c r="R36" s="3"/>
      <c r="S36" s="3"/>
      <c r="V36" s="113">
        <v>0.94</v>
      </c>
    </row>
    <row r="37" spans="1:22" ht="23.45" customHeight="1">
      <c r="A37" s="1"/>
      <c r="B37" s="61" t="s">
        <v>61</v>
      </c>
      <c r="C37" s="16"/>
      <c r="D37" s="1"/>
      <c r="E37" s="1"/>
      <c r="F37" s="1"/>
      <c r="G37" s="123"/>
      <c r="H37" s="3"/>
      <c r="I37" s="3"/>
      <c r="J37" s="3"/>
      <c r="K37" s="3"/>
      <c r="L37" s="3"/>
      <c r="M37" s="3"/>
      <c r="N37" s="3"/>
      <c r="O37" s="3"/>
      <c r="P37" s="3"/>
      <c r="Q37" s="3"/>
      <c r="R37" s="3"/>
      <c r="S37" s="3"/>
      <c r="V37" s="113">
        <v>0.95</v>
      </c>
    </row>
    <row r="38" spans="1:22" ht="33.6" customHeight="1">
      <c r="A38" s="1"/>
      <c r="B38" s="122" t="str">
        <f>"In "&amp;C12&amp;" the alternative fuel with a starting cost of "&amp;C17&amp;" USD per tonne of LSFO-eq and a WtW emissions of "&amp;ROUND(M40,0)&amp;" gCO2e/MJ can pool "&amp;ROUND(E109,1)&amp;" tonnes CO2e of surplus compliance per tonne of fuel (in LSFO-eq). Enabling the alternative to cover a max of "&amp;E110&amp;" LSFO vessels (with identical consumption) in a pool."</f>
        <v>In 2030 the alternative fuel with a starting cost of 1800 USD per tonne of LSFO-eq and a WtW emissions of 27 gCO2e/MJ can pool 2.9 tonnes CO2e of surplus compliance per tonne of fuel (in LSFO-eq). Enabling the alternative to cover a max of 12 LSFO vessels (with identical consumption) in a pool.</v>
      </c>
      <c r="C38" s="122"/>
      <c r="D38" s="122"/>
      <c r="E38" s="122"/>
      <c r="F38" s="122"/>
      <c r="G38" s="123"/>
      <c r="H38" s="3"/>
      <c r="I38" s="3"/>
      <c r="J38" s="104" t="s">
        <v>62</v>
      </c>
      <c r="K38" s="3"/>
      <c r="L38" s="3"/>
      <c r="M38" s="3"/>
      <c r="N38" s="3"/>
      <c r="O38" s="3"/>
      <c r="P38" s="3"/>
      <c r="Q38" s="3"/>
      <c r="R38" s="3"/>
      <c r="S38" s="3"/>
      <c r="V38" s="113">
        <v>0.96</v>
      </c>
    </row>
    <row r="39" spans="1:22" ht="34.5" customHeight="1">
      <c r="A39" s="1"/>
      <c r="B39" s="122" t="str">
        <f>"We assume that the value of pooling in "&amp;$C$12&amp;" will be based on the BAU cost of compliance: "&amp;ROUND(E101,0)&amp;" USD per tonne of CO2e abatement due to the cost of the "&amp;$E$88&amp;IF(E88="Biodiesel"," minus the ETS savings of "&amp;ROUND(E100,0)&amp;" USD per tonne of CO2e that the vessel would have otherwsie achieved.","")</f>
        <v>We assume that the value of pooling in 2030 will be based on the BAU cost of compliance: 179 USD per tonne of CO2e abatement due to the cost of the Biodiesel minus the ETS savings of 132 USD per tonne of CO2e that the vessel would have otherwsie achieved.</v>
      </c>
      <c r="C39" s="122"/>
      <c r="D39" s="122"/>
      <c r="E39" s="122"/>
      <c r="F39" s="122"/>
      <c r="G39" s="123"/>
      <c r="H39" s="3"/>
      <c r="I39" s="3"/>
      <c r="J39" s="91"/>
      <c r="K39" s="35" t="s">
        <v>63</v>
      </c>
      <c r="L39" s="35" t="s">
        <v>64</v>
      </c>
      <c r="M39" s="35" t="s">
        <v>65</v>
      </c>
      <c r="N39" s="36" t="s">
        <v>66</v>
      </c>
      <c r="O39" s="36" t="s">
        <v>67</v>
      </c>
      <c r="P39" s="3"/>
      <c r="Q39" s="10"/>
      <c r="R39" s="3"/>
      <c r="S39" s="3"/>
      <c r="V39" s="113">
        <v>0.97</v>
      </c>
    </row>
    <row r="40" spans="1:22" ht="32.450000000000003" customHeight="1">
      <c r="A40" s="1"/>
      <c r="B40" s="122" t="str">
        <f>"Therefore the modeled alternative fuel can achieve a surplus benefit of "&amp;ROUND(E111,0)&amp;" USD per tonne of fuel in LSFO-eq resulting in a reduced fuel cost of "&amp;ROUND(E112,0)&amp;" USD per tonne of LSFO-eq, compared to the BAU fuel cost of "&amp;ROUND(E94,0)&amp;" USD per tonne of fuel including the additional costs of FuelEU and ETS."</f>
        <v>Therefore the modeled alternative fuel can achieve a surplus benefit of 523 USD per tonne of fuel in LSFO-eq resulting in a reduced fuel cost of 1277 USD per tonne of LSFO-eq, compared to the BAU fuel cost of 1049 USD per tonne of fuel including the additional costs of FuelEU and ETS.</v>
      </c>
      <c r="C40" s="122"/>
      <c r="D40" s="122"/>
      <c r="E40" s="122"/>
      <c r="F40" s="122"/>
      <c r="G40" s="123"/>
      <c r="H40" s="3"/>
      <c r="I40" s="7"/>
      <c r="J40" s="37" t="s">
        <v>68</v>
      </c>
      <c r="K40" s="10">
        <v>91.601234567901201</v>
      </c>
      <c r="L40" s="10">
        <v>16.049882903981263</v>
      </c>
      <c r="M40" s="10">
        <f>(1-C15)*91.16</f>
        <v>27.348000000000003</v>
      </c>
      <c r="N40" s="64" t="s">
        <v>69</v>
      </c>
      <c r="O40" s="3"/>
      <c r="P40" s="3"/>
      <c r="Q40" s="3"/>
      <c r="R40" s="3"/>
      <c r="S40" s="3"/>
      <c r="V40" s="113">
        <v>0.98</v>
      </c>
    </row>
    <row r="41" spans="1:22" ht="14.45" customHeight="1">
      <c r="A41" s="1"/>
      <c r="B41" s="65"/>
      <c r="C41" s="16"/>
      <c r="D41" s="1"/>
      <c r="E41" s="1"/>
      <c r="F41" s="1"/>
      <c r="G41" s="123"/>
      <c r="H41" s="3"/>
      <c r="I41" s="7"/>
      <c r="J41" s="37" t="s">
        <v>70</v>
      </c>
      <c r="K41" s="66">
        <v>4.0500000000000001E-2</v>
      </c>
      <c r="L41" s="66">
        <v>3.6999999999999998E-2</v>
      </c>
      <c r="M41" s="67" t="s">
        <v>71</v>
      </c>
      <c r="N41" s="64" t="s">
        <v>72</v>
      </c>
      <c r="O41" s="3"/>
      <c r="P41" s="3"/>
      <c r="Q41" s="3"/>
      <c r="R41" s="3"/>
      <c r="S41" s="3"/>
      <c r="V41" s="113">
        <v>0.99</v>
      </c>
    </row>
    <row r="42" spans="1:22" ht="26.1" customHeight="1">
      <c r="A42" s="1"/>
      <c r="B42" s="1"/>
      <c r="C42" s="16"/>
      <c r="D42" s="1"/>
      <c r="E42" s="1"/>
      <c r="F42" s="1"/>
      <c r="G42" s="123"/>
      <c r="H42" s="3"/>
      <c r="I42" s="3"/>
      <c r="J42" s="37" t="s">
        <v>73</v>
      </c>
      <c r="K42" s="10">
        <v>78.10123456790123</v>
      </c>
      <c r="L42" s="10">
        <v>1.3270270270270272</v>
      </c>
      <c r="M42" s="10">
        <f>IF(C16="Yes",0,(1-C15)*K42)</f>
        <v>0</v>
      </c>
      <c r="N42" s="64" t="s">
        <v>74</v>
      </c>
      <c r="O42" s="118" t="s">
        <v>75</v>
      </c>
      <c r="P42" s="118"/>
      <c r="Q42" s="118"/>
      <c r="R42" s="3"/>
      <c r="S42" s="3"/>
      <c r="V42" s="113">
        <v>1</v>
      </c>
    </row>
    <row r="43" spans="1:22">
      <c r="A43" s="1"/>
      <c r="B43" s="1"/>
      <c r="C43" s="16"/>
      <c r="D43" s="1"/>
      <c r="E43" s="1"/>
      <c r="F43" s="1"/>
      <c r="G43" s="123"/>
      <c r="H43" s="3"/>
      <c r="I43" s="3"/>
      <c r="J43" s="38" t="s">
        <v>26</v>
      </c>
      <c r="K43" s="3"/>
      <c r="L43" s="3"/>
      <c r="M43" s="3"/>
      <c r="N43" s="3"/>
      <c r="O43" s="3"/>
      <c r="P43" s="3"/>
      <c r="Q43" s="3"/>
      <c r="R43" s="3"/>
      <c r="S43" s="3"/>
    </row>
    <row r="44" spans="1:22">
      <c r="A44" s="1"/>
      <c r="B44" s="1"/>
      <c r="C44" s="16"/>
      <c r="D44" s="1"/>
      <c r="E44" s="1"/>
      <c r="F44" s="1"/>
      <c r="G44" s="123"/>
      <c r="H44" s="3"/>
      <c r="I44" s="3"/>
      <c r="J44" s="49" t="s">
        <v>76</v>
      </c>
      <c r="K44" s="3"/>
      <c r="L44" s="3"/>
      <c r="M44" s="3"/>
      <c r="N44" s="3"/>
      <c r="O44" s="3"/>
      <c r="P44" s="3"/>
      <c r="Q44" s="3"/>
      <c r="R44" s="3"/>
      <c r="S44" s="3"/>
    </row>
    <row r="45" spans="1:22" ht="15.95">
      <c r="A45" s="1"/>
      <c r="B45" s="1"/>
      <c r="C45" s="16"/>
      <c r="D45" s="1"/>
      <c r="E45" s="1"/>
      <c r="F45" s="1"/>
      <c r="G45" s="123"/>
      <c r="H45" s="3"/>
      <c r="I45" s="3"/>
      <c r="J45" s="39" t="s">
        <v>77</v>
      </c>
      <c r="K45" s="35" t="s">
        <v>78</v>
      </c>
      <c r="L45" s="35" t="s">
        <v>79</v>
      </c>
      <c r="M45" s="36" t="s">
        <v>66</v>
      </c>
      <c r="N45" s="36" t="s">
        <v>31</v>
      </c>
      <c r="O45" s="3"/>
      <c r="P45" s="3"/>
      <c r="Q45" s="3"/>
      <c r="R45" s="3"/>
      <c r="S45" s="3"/>
    </row>
    <row r="46" spans="1:22">
      <c r="A46" s="1"/>
      <c r="B46" s="1"/>
      <c r="C46" s="1"/>
      <c r="D46" s="1"/>
      <c r="E46" s="1"/>
      <c r="F46" s="1"/>
      <c r="G46" s="123"/>
      <c r="H46" s="3"/>
      <c r="I46" s="3"/>
      <c r="J46" s="40" t="s">
        <v>80</v>
      </c>
      <c r="K46" s="41" t="s">
        <v>25</v>
      </c>
      <c r="L46" s="3">
        <v>91.16</v>
      </c>
      <c r="M46" s="32" t="s">
        <v>60</v>
      </c>
      <c r="N46" s="41" t="s">
        <v>81</v>
      </c>
      <c r="O46" s="3"/>
      <c r="P46" s="3"/>
      <c r="Q46" s="3"/>
      <c r="R46" s="3"/>
      <c r="S46" s="3"/>
    </row>
    <row r="47" spans="1:22" ht="29.1" customHeight="1">
      <c r="A47" s="1"/>
      <c r="B47" s="1"/>
      <c r="C47" s="1"/>
      <c r="D47" s="1"/>
      <c r="E47" s="1"/>
      <c r="F47" s="1"/>
      <c r="G47" s="123"/>
      <c r="H47" s="3"/>
      <c r="I47" s="3"/>
      <c r="J47" s="40" t="s">
        <v>82</v>
      </c>
      <c r="K47" s="102" t="s">
        <v>83</v>
      </c>
      <c r="L47" s="13">
        <v>2400</v>
      </c>
      <c r="M47" s="42" t="s">
        <v>84</v>
      </c>
      <c r="N47" s="41" t="s">
        <v>85</v>
      </c>
      <c r="O47" s="3"/>
      <c r="P47" s="43"/>
      <c r="Q47" s="3"/>
      <c r="R47" s="3"/>
      <c r="S47" s="3"/>
    </row>
    <row r="48" spans="1:22">
      <c r="A48" s="1"/>
      <c r="B48" s="1"/>
      <c r="C48" s="1"/>
      <c r="D48" s="1"/>
      <c r="E48" s="1"/>
      <c r="F48" s="1"/>
      <c r="G48" s="123"/>
      <c r="H48" s="3"/>
      <c r="I48" s="3"/>
      <c r="J48" s="40" t="s">
        <v>86</v>
      </c>
      <c r="K48" s="41" t="s">
        <v>87</v>
      </c>
      <c r="L48" s="10">
        <v>1.1382000000000001</v>
      </c>
      <c r="M48" s="92" t="s">
        <v>88</v>
      </c>
      <c r="N48" s="41" t="s">
        <v>89</v>
      </c>
      <c r="O48" s="3"/>
      <c r="P48" s="3"/>
      <c r="Q48" s="43"/>
      <c r="R48" s="43"/>
      <c r="S48" s="3"/>
    </row>
    <row r="49" spans="1:19">
      <c r="A49" s="1"/>
      <c r="B49" s="1"/>
      <c r="C49" s="1"/>
      <c r="D49" s="1"/>
      <c r="E49" s="1"/>
      <c r="F49" s="1"/>
      <c r="G49" s="123"/>
      <c r="H49" s="3"/>
      <c r="I49" s="3"/>
      <c r="J49" s="40" t="s">
        <v>90</v>
      </c>
      <c r="K49" s="41" t="s">
        <v>91</v>
      </c>
      <c r="L49" s="10">
        <f>($L$48*$L$47)/($K$40*0.041)</f>
        <v>727.35200325304095</v>
      </c>
      <c r="M49" s="93" t="s">
        <v>92</v>
      </c>
      <c r="N49" s="41" t="s">
        <v>93</v>
      </c>
      <c r="O49" s="3"/>
      <c r="P49" s="3"/>
      <c r="Q49" s="3"/>
      <c r="R49" s="3"/>
      <c r="S49" s="3"/>
    </row>
    <row r="50" spans="1:19">
      <c r="A50" s="1"/>
      <c r="B50" s="1"/>
      <c r="C50" s="1"/>
      <c r="D50" s="1"/>
      <c r="E50" s="1"/>
      <c r="F50" s="1"/>
      <c r="G50" s="123"/>
      <c r="H50" s="3"/>
      <c r="I50" s="3"/>
      <c r="J50" s="3"/>
      <c r="K50" s="3"/>
      <c r="L50" s="3"/>
      <c r="M50" s="3"/>
      <c r="N50" s="3"/>
      <c r="O50" s="43"/>
      <c r="P50" s="43"/>
      <c r="Q50" s="43"/>
      <c r="R50" s="43"/>
      <c r="S50" s="3"/>
    </row>
    <row r="51" spans="1:19">
      <c r="A51" s="1"/>
      <c r="B51" s="1"/>
      <c r="C51" s="1"/>
      <c r="D51" s="1"/>
      <c r="E51" s="1"/>
      <c r="F51" s="1"/>
      <c r="G51" s="123"/>
      <c r="H51" s="3"/>
      <c r="I51" s="3"/>
      <c r="J51" s="3"/>
      <c r="K51" s="3"/>
      <c r="L51" s="3"/>
      <c r="M51" s="3"/>
      <c r="N51" s="43"/>
      <c r="O51" s="43"/>
      <c r="P51" s="43"/>
      <c r="Q51" s="43"/>
      <c r="R51" s="43"/>
      <c r="S51" s="3"/>
    </row>
    <row r="52" spans="1:19">
      <c r="A52" s="1"/>
      <c r="B52" s="1"/>
      <c r="C52" s="1"/>
      <c r="D52" s="1"/>
      <c r="E52" s="1"/>
      <c r="F52" s="1"/>
      <c r="G52" s="123"/>
      <c r="H52" s="3"/>
      <c r="I52" s="3"/>
      <c r="J52" s="3"/>
      <c r="K52" s="3"/>
      <c r="L52" s="3"/>
      <c r="M52" s="3"/>
      <c r="N52" s="43"/>
      <c r="O52" s="43"/>
      <c r="P52" s="43"/>
      <c r="Q52" s="43"/>
      <c r="R52" s="43"/>
      <c r="S52" s="3"/>
    </row>
    <row r="53" spans="1:19">
      <c r="A53" s="1"/>
      <c r="B53" s="1"/>
      <c r="C53" s="1"/>
      <c r="D53" s="1"/>
      <c r="E53" s="1"/>
      <c r="F53" s="1"/>
      <c r="G53" s="2"/>
      <c r="H53" s="3"/>
      <c r="I53" s="3"/>
      <c r="J53" s="3"/>
      <c r="K53" s="3"/>
      <c r="L53" s="3"/>
      <c r="M53" s="3"/>
      <c r="N53" s="43"/>
      <c r="O53" s="43"/>
      <c r="P53" s="43"/>
      <c r="Q53" s="43"/>
      <c r="R53" s="43"/>
      <c r="S53" s="3"/>
    </row>
    <row r="54" spans="1:19">
      <c r="A54" s="1"/>
      <c r="B54" s="1"/>
      <c r="C54" s="1"/>
      <c r="D54" s="1"/>
      <c r="E54" s="1"/>
      <c r="F54" s="1"/>
      <c r="G54" s="2"/>
      <c r="H54" s="3"/>
      <c r="I54" s="3"/>
      <c r="J54" s="3"/>
      <c r="K54" s="3"/>
      <c r="L54" s="3"/>
      <c r="M54" s="3"/>
      <c r="N54" s="43"/>
      <c r="O54" s="43"/>
      <c r="P54" s="43"/>
      <c r="Q54" s="43"/>
      <c r="R54" s="43"/>
      <c r="S54" s="3"/>
    </row>
    <row r="55" spans="1:19" ht="21">
      <c r="A55" s="68"/>
      <c r="B55" s="69" t="s">
        <v>94</v>
      </c>
      <c r="C55" s="70"/>
      <c r="D55" s="70"/>
      <c r="E55" s="70"/>
      <c r="F55" s="68"/>
      <c r="G55" s="2"/>
      <c r="H55" s="3"/>
      <c r="I55" s="3"/>
      <c r="J55" s="3"/>
      <c r="K55" s="3"/>
      <c r="L55" s="3"/>
      <c r="M55" s="3"/>
      <c r="N55" s="43"/>
      <c r="O55" s="43"/>
      <c r="P55" s="43"/>
      <c r="Q55" s="43"/>
      <c r="R55" s="43"/>
      <c r="S55" s="3"/>
    </row>
    <row r="56" spans="1:19">
      <c r="A56" s="68"/>
      <c r="B56" s="71" t="s">
        <v>95</v>
      </c>
      <c r="C56" s="33" t="s">
        <v>96</v>
      </c>
      <c r="D56" s="72" t="s">
        <v>97</v>
      </c>
      <c r="E56" s="73" t="s">
        <v>79</v>
      </c>
      <c r="F56" s="73" t="s">
        <v>31</v>
      </c>
      <c r="G56" s="2"/>
      <c r="H56" s="3"/>
      <c r="I56" s="3"/>
      <c r="J56" s="3"/>
      <c r="K56" s="3"/>
      <c r="L56" s="3"/>
      <c r="M56" s="3"/>
      <c r="N56" s="43"/>
      <c r="O56" s="43"/>
      <c r="P56" s="43"/>
      <c r="Q56" s="43"/>
      <c r="R56" s="43"/>
      <c r="S56" s="3"/>
    </row>
    <row r="57" spans="1:19">
      <c r="A57" s="68"/>
      <c r="B57" s="74" t="s">
        <v>98</v>
      </c>
      <c r="C57" s="21" t="s">
        <v>60</v>
      </c>
      <c r="D57" s="75" t="s">
        <v>99</v>
      </c>
      <c r="E57" s="76">
        <f>INDEX(I6:$Q$33,MATCH($C$12,$I$6:$I$33,0),MATCH("FuelEU Target Intensity",$I$6:$Q$6,0))</f>
        <v>85.690399999999997</v>
      </c>
      <c r="F57" s="68"/>
      <c r="G57" s="2"/>
      <c r="H57" s="3"/>
      <c r="I57" s="3"/>
      <c r="J57" s="3"/>
      <c r="K57" s="3"/>
      <c r="L57" s="3"/>
      <c r="M57" s="3"/>
      <c r="N57" s="43"/>
      <c r="O57" s="43"/>
      <c r="P57" s="43"/>
      <c r="Q57" s="43"/>
      <c r="R57" s="43"/>
      <c r="S57" s="3"/>
    </row>
    <row r="58" spans="1:19">
      <c r="A58" s="68"/>
      <c r="B58" s="68"/>
      <c r="C58" s="68"/>
      <c r="D58" s="68"/>
      <c r="E58" s="68"/>
      <c r="F58" s="68"/>
      <c r="G58" s="2"/>
      <c r="H58" s="3"/>
      <c r="I58" s="3"/>
      <c r="J58" s="3"/>
      <c r="K58" s="3"/>
      <c r="L58" s="3"/>
      <c r="M58" s="3"/>
      <c r="N58" s="43"/>
      <c r="O58" s="43"/>
      <c r="P58" s="43"/>
      <c r="Q58" s="43"/>
      <c r="R58" s="43"/>
      <c r="S58" s="3"/>
    </row>
    <row r="59" spans="1:19">
      <c r="A59" s="68"/>
      <c r="B59" s="71" t="s">
        <v>11</v>
      </c>
      <c r="C59" s="68"/>
      <c r="D59" s="68"/>
      <c r="E59" s="68"/>
      <c r="F59" s="68"/>
      <c r="G59" s="2"/>
      <c r="H59" s="3"/>
      <c r="I59" s="3"/>
      <c r="J59" s="3"/>
      <c r="K59" s="3"/>
      <c r="L59" s="3"/>
      <c r="M59" s="3"/>
      <c r="N59" s="43"/>
      <c r="O59" s="43"/>
      <c r="P59" s="43"/>
      <c r="Q59" s="43"/>
      <c r="R59" s="43"/>
      <c r="S59" s="3"/>
    </row>
    <row r="60" spans="1:19">
      <c r="A60" s="68"/>
      <c r="B60" s="74" t="s">
        <v>100</v>
      </c>
      <c r="C60" s="21" t="s">
        <v>69</v>
      </c>
      <c r="D60" s="75" t="s">
        <v>99</v>
      </c>
      <c r="E60" s="76">
        <f>K40</f>
        <v>91.601234567901201</v>
      </c>
      <c r="F60" s="77" t="s">
        <v>101</v>
      </c>
      <c r="G60" s="2"/>
      <c r="H60" s="3"/>
      <c r="I60" s="3"/>
      <c r="J60" s="3"/>
      <c r="K60" s="3"/>
      <c r="L60" s="3"/>
      <c r="M60" s="3"/>
      <c r="N60" s="43"/>
      <c r="O60" s="43"/>
      <c r="P60" s="43"/>
      <c r="Q60" s="43"/>
      <c r="R60" s="43"/>
      <c r="S60" s="3"/>
    </row>
    <row r="61" spans="1:19">
      <c r="A61" s="68"/>
      <c r="B61" s="74" t="s">
        <v>102</v>
      </c>
      <c r="C61" s="34" t="s">
        <v>103</v>
      </c>
      <c r="D61" s="75" t="s">
        <v>104</v>
      </c>
      <c r="E61" s="76">
        <f>E60/1000</f>
        <v>9.1601234567901202E-2</v>
      </c>
      <c r="F61" s="77" t="s">
        <v>105</v>
      </c>
      <c r="G61" s="2"/>
      <c r="H61" s="3"/>
      <c r="I61" s="3"/>
      <c r="J61" s="3"/>
      <c r="K61" s="3"/>
      <c r="L61" s="3"/>
      <c r="M61" s="3"/>
      <c r="N61" s="3"/>
      <c r="O61" s="3"/>
      <c r="P61" s="3"/>
      <c r="Q61" s="3"/>
      <c r="R61" s="3"/>
      <c r="S61" s="3"/>
    </row>
    <row r="62" spans="1:19">
      <c r="A62" s="68"/>
      <c r="B62" s="74" t="s">
        <v>106</v>
      </c>
      <c r="C62" s="34" t="str">
        <f>IF($C$26="Yes",$D$26,"")</f>
        <v>MMM Fuel Cost Calculator, 2024</v>
      </c>
      <c r="D62" s="75" t="s">
        <v>21</v>
      </c>
      <c r="E62" s="76">
        <f>IF(C26="Yes",INDEX($I$6:$P$33,MATCH($C$12,$I$6:$I$33,0),MATCH("LSFO",$I$6:$P$6,0)),$C$27/($K$41*1000))</f>
        <v>12.983606557377048</v>
      </c>
      <c r="F62" s="68"/>
      <c r="G62" s="2"/>
      <c r="H62" s="3"/>
      <c r="I62" s="3"/>
      <c r="J62" s="3"/>
      <c r="K62" s="3"/>
      <c r="L62" s="3"/>
      <c r="M62" s="3"/>
      <c r="N62" s="43"/>
      <c r="O62" s="43"/>
      <c r="P62" s="43"/>
      <c r="Q62" s="43"/>
      <c r="R62" s="43"/>
      <c r="S62" s="3"/>
    </row>
    <row r="63" spans="1:19">
      <c r="A63" s="68"/>
      <c r="B63" s="68"/>
      <c r="C63" s="16"/>
      <c r="D63" s="78"/>
      <c r="E63" s="79"/>
      <c r="F63" s="68"/>
      <c r="G63" s="2"/>
      <c r="H63" s="3"/>
      <c r="I63" s="3"/>
      <c r="J63" s="3"/>
      <c r="K63" s="3"/>
      <c r="L63" s="3"/>
      <c r="M63" s="3"/>
      <c r="N63" s="3"/>
      <c r="O63" s="3"/>
      <c r="P63" s="3"/>
      <c r="Q63" s="3"/>
      <c r="R63" s="3"/>
      <c r="S63" s="3"/>
    </row>
    <row r="64" spans="1:19">
      <c r="A64" s="68"/>
      <c r="B64" s="71" t="s">
        <v>107</v>
      </c>
      <c r="C64" s="20"/>
      <c r="D64" s="80"/>
      <c r="E64" s="73"/>
      <c r="F64" s="68"/>
      <c r="G64" s="2"/>
      <c r="H64" s="3"/>
      <c r="I64" s="3"/>
      <c r="J64" s="3"/>
      <c r="K64" s="3"/>
      <c r="L64" s="3"/>
      <c r="M64" s="3"/>
      <c r="N64" s="43"/>
      <c r="O64" s="43"/>
      <c r="P64" s="43"/>
      <c r="Q64" s="43"/>
      <c r="R64" s="43"/>
      <c r="S64" s="3"/>
    </row>
    <row r="65" spans="1:19">
      <c r="A65" s="68"/>
      <c r="B65" s="74" t="s">
        <v>100</v>
      </c>
      <c r="C65" s="21" t="s">
        <v>69</v>
      </c>
      <c r="D65" s="75" t="s">
        <v>99</v>
      </c>
      <c r="E65" s="76">
        <f>L40</f>
        <v>16.049882903981263</v>
      </c>
      <c r="F65" s="77" t="s">
        <v>108</v>
      </c>
      <c r="G65" s="2"/>
      <c r="H65" s="3"/>
      <c r="I65" s="3"/>
      <c r="J65" s="3"/>
      <c r="K65" s="3"/>
      <c r="L65" s="3"/>
      <c r="M65" s="3"/>
      <c r="N65" s="3"/>
      <c r="O65" s="3"/>
      <c r="P65" s="3"/>
      <c r="Q65" s="3"/>
      <c r="R65" s="3"/>
      <c r="S65" s="3"/>
    </row>
    <row r="66" spans="1:19">
      <c r="A66" s="68"/>
      <c r="B66" s="74" t="s">
        <v>102</v>
      </c>
      <c r="C66" s="34" t="s">
        <v>103</v>
      </c>
      <c r="D66" s="75" t="s">
        <v>104</v>
      </c>
      <c r="E66" s="76">
        <f>E65/1000</f>
        <v>1.6049882903981263E-2</v>
      </c>
      <c r="F66" s="77" t="s">
        <v>105</v>
      </c>
      <c r="G66" s="2"/>
      <c r="H66" s="3"/>
      <c r="I66" s="3"/>
      <c r="J66" s="3"/>
      <c r="K66" s="3"/>
      <c r="L66" s="3"/>
      <c r="M66" s="3"/>
      <c r="N66" s="43"/>
      <c r="O66" s="43"/>
      <c r="P66" s="43"/>
      <c r="Q66" s="43"/>
      <c r="R66" s="43"/>
      <c r="S66" s="3"/>
    </row>
    <row r="67" spans="1:19" ht="18.600000000000001">
      <c r="A67" s="70"/>
      <c r="B67" s="74" t="s">
        <v>106</v>
      </c>
      <c r="C67" s="34" t="str">
        <f>IF($C$30="Yes",$D$30,"")</f>
        <v>LR &amp; UMAS, 2021</v>
      </c>
      <c r="D67" s="75" t="s">
        <v>21</v>
      </c>
      <c r="E67" s="76">
        <f>IF(C30="Yes",INDEX($I$6:$P$33,MATCH($C$12,$I$6:$I$33,0),MATCH("100% Biodiesel (FAME)",$I$6:$P$6,0)),$C$31/($L$41*1000))</f>
        <v>36.5</v>
      </c>
      <c r="F67" s="68"/>
      <c r="G67" s="2"/>
      <c r="H67" s="3"/>
      <c r="I67" s="3"/>
      <c r="J67" s="3"/>
      <c r="K67" s="3"/>
      <c r="L67" s="3"/>
      <c r="M67" s="3"/>
      <c r="N67" s="3"/>
      <c r="O67" s="3"/>
      <c r="P67" s="3"/>
      <c r="Q67" s="3"/>
      <c r="R67" s="3"/>
      <c r="S67" s="3"/>
    </row>
    <row r="68" spans="1:19">
      <c r="A68" s="68"/>
      <c r="B68" s="68"/>
      <c r="C68" s="16"/>
      <c r="D68" s="78"/>
      <c r="E68" s="79"/>
      <c r="F68" s="68"/>
      <c r="G68" s="2"/>
      <c r="H68" s="3"/>
      <c r="I68" s="3"/>
      <c r="J68" s="3"/>
      <c r="K68" s="3"/>
      <c r="L68" s="3"/>
      <c r="M68" s="3"/>
      <c r="N68" s="43"/>
      <c r="O68" s="43"/>
      <c r="P68" s="43"/>
      <c r="Q68" s="43"/>
      <c r="R68" s="43"/>
      <c r="S68" s="3"/>
    </row>
    <row r="69" spans="1:19">
      <c r="A69" s="68"/>
      <c r="B69" s="71" t="s">
        <v>109</v>
      </c>
      <c r="C69" s="20"/>
      <c r="D69" s="80"/>
      <c r="E69" s="73"/>
      <c r="F69" s="68"/>
      <c r="G69" s="2"/>
      <c r="H69" s="3"/>
      <c r="I69" s="3"/>
      <c r="J69" s="3"/>
      <c r="K69" s="3"/>
      <c r="L69" s="3"/>
      <c r="M69" s="3"/>
      <c r="N69" s="3"/>
      <c r="O69" s="3"/>
      <c r="P69" s="3"/>
      <c r="Q69" s="3"/>
      <c r="R69" s="3"/>
      <c r="S69" s="3"/>
    </row>
    <row r="70" spans="1:19">
      <c r="A70" s="68"/>
      <c r="B70" s="74" t="s">
        <v>110</v>
      </c>
      <c r="C70" s="34" t="s">
        <v>111</v>
      </c>
      <c r="D70" s="75" t="s">
        <v>21</v>
      </c>
      <c r="E70" s="76">
        <f>E67-E62</f>
        <v>23.516393442622952</v>
      </c>
      <c r="F70" s="77" t="s">
        <v>112</v>
      </c>
      <c r="G70" s="2"/>
      <c r="H70" s="3"/>
      <c r="I70" s="3"/>
      <c r="J70" s="3"/>
      <c r="K70" s="3"/>
      <c r="L70" s="3"/>
      <c r="M70" s="3"/>
      <c r="N70" s="43"/>
      <c r="O70" s="43"/>
      <c r="P70" s="43"/>
      <c r="Q70" s="43"/>
      <c r="R70" s="43"/>
      <c r="S70" s="3"/>
    </row>
    <row r="71" spans="1:19">
      <c r="A71" s="68"/>
      <c r="B71" s="74" t="s">
        <v>113</v>
      </c>
      <c r="C71" s="34" t="s">
        <v>114</v>
      </c>
      <c r="D71" s="75" t="s">
        <v>115</v>
      </c>
      <c r="E71" s="76">
        <f>E61-E66</f>
        <v>7.5551351663919936E-2</v>
      </c>
      <c r="F71" s="68"/>
      <c r="G71" s="2"/>
      <c r="H71" s="3"/>
      <c r="I71" s="3"/>
      <c r="J71" s="3"/>
      <c r="K71" s="3"/>
      <c r="L71" s="3"/>
      <c r="M71" s="3"/>
      <c r="N71" s="3"/>
      <c r="O71" s="3"/>
      <c r="P71" s="3"/>
      <c r="Q71" s="3"/>
      <c r="R71" s="3"/>
      <c r="S71" s="3"/>
    </row>
    <row r="72" spans="1:19">
      <c r="A72" s="68"/>
      <c r="B72" s="74" t="s">
        <v>116</v>
      </c>
      <c r="C72" s="34" t="s">
        <v>117</v>
      </c>
      <c r="D72" s="75" t="s">
        <v>115</v>
      </c>
      <c r="E72" s="81">
        <f>(E60-E57)/1000</f>
        <v>5.9108345679012046E-3</v>
      </c>
      <c r="F72" s="77" t="s">
        <v>118</v>
      </c>
      <c r="G72" s="2"/>
      <c r="H72" s="3"/>
      <c r="I72" s="3"/>
      <c r="J72" s="3"/>
      <c r="K72" s="3"/>
      <c r="L72" s="3"/>
      <c r="M72" s="3"/>
      <c r="N72" s="43"/>
      <c r="O72" s="43"/>
      <c r="P72" s="43"/>
      <c r="Q72" s="43"/>
      <c r="R72" s="43"/>
      <c r="S72" s="3"/>
    </row>
    <row r="73" spans="1:19">
      <c r="A73" s="68"/>
      <c r="B73" s="47" t="s">
        <v>119</v>
      </c>
      <c r="C73" s="44" t="s">
        <v>120</v>
      </c>
      <c r="D73" s="83" t="s">
        <v>121</v>
      </c>
      <c r="E73" s="46">
        <f>E70/E71</f>
        <v>311.26370243159221</v>
      </c>
      <c r="F73" s="77" t="s">
        <v>122</v>
      </c>
      <c r="G73" s="2"/>
      <c r="H73" s="3"/>
      <c r="I73" s="3"/>
      <c r="J73" s="3"/>
      <c r="K73" s="3"/>
      <c r="L73" s="3"/>
      <c r="M73" s="3"/>
      <c r="N73" s="43"/>
      <c r="O73" s="43"/>
      <c r="P73" s="43"/>
      <c r="Q73" s="43"/>
      <c r="R73" s="43"/>
      <c r="S73" s="3"/>
    </row>
    <row r="74" spans="1:19">
      <c r="A74" s="68"/>
      <c r="B74" s="68"/>
      <c r="C74" s="68"/>
      <c r="D74" s="68"/>
      <c r="E74" s="68"/>
      <c r="F74" s="77"/>
      <c r="G74" s="2"/>
      <c r="H74" s="3"/>
      <c r="I74" s="3"/>
      <c r="J74" s="3"/>
      <c r="K74" s="3"/>
      <c r="L74" s="3"/>
      <c r="M74" s="3"/>
      <c r="N74" s="43"/>
      <c r="O74" s="43"/>
      <c r="P74" s="43"/>
      <c r="Q74" s="43"/>
      <c r="R74" s="43"/>
      <c r="S74" s="3"/>
    </row>
    <row r="75" spans="1:19">
      <c r="A75" s="68"/>
      <c r="B75" s="71" t="s">
        <v>123</v>
      </c>
      <c r="C75" s="20"/>
      <c r="D75" s="80"/>
      <c r="E75" s="73"/>
      <c r="F75" s="77"/>
      <c r="G75" s="2"/>
      <c r="H75" s="3"/>
      <c r="I75" s="3"/>
      <c r="J75" s="3"/>
      <c r="K75" s="3"/>
      <c r="L75" s="3"/>
      <c r="M75" s="3"/>
      <c r="N75" s="43"/>
      <c r="O75" s="43"/>
      <c r="P75" s="43"/>
      <c r="Q75" s="43"/>
      <c r="R75" s="43"/>
      <c r="S75" s="3"/>
    </row>
    <row r="76" spans="1:19" ht="26.1">
      <c r="A76" s="68"/>
      <c r="B76" s="103" t="s">
        <v>124</v>
      </c>
      <c r="C76" s="105" t="s">
        <v>125</v>
      </c>
      <c r="D76" s="44" t="s">
        <v>121</v>
      </c>
      <c r="E76" s="46">
        <f>($L$48*$L$47)/($K$40*0.041)</f>
        <v>727.35200325304095</v>
      </c>
      <c r="F76" s="77" t="s">
        <v>126</v>
      </c>
      <c r="G76" s="2"/>
      <c r="H76" s="3"/>
      <c r="I76" s="3"/>
      <c r="J76" s="3"/>
      <c r="K76" s="3"/>
      <c r="L76" s="3"/>
      <c r="M76" s="3"/>
      <c r="N76" s="43"/>
      <c r="O76" s="43"/>
      <c r="P76" s="43"/>
      <c r="Q76" s="43"/>
      <c r="R76" s="43"/>
      <c r="S76" s="3"/>
    </row>
    <row r="77" spans="1:19">
      <c r="A77" s="68"/>
      <c r="B77" s="68"/>
      <c r="C77" s="68"/>
      <c r="D77" s="68"/>
      <c r="E77" s="68"/>
      <c r="F77" s="77"/>
      <c r="G77" s="2"/>
      <c r="H77" s="3"/>
      <c r="I77" s="3"/>
      <c r="J77" s="3"/>
      <c r="K77" s="3"/>
      <c r="L77" s="3"/>
      <c r="M77" s="3"/>
      <c r="N77" s="43"/>
      <c r="O77" s="43"/>
      <c r="P77" s="43"/>
      <c r="Q77" s="43"/>
      <c r="R77" s="43"/>
      <c r="S77" s="3"/>
    </row>
    <row r="78" spans="1:19">
      <c r="A78" s="68"/>
      <c r="B78" s="71" t="s">
        <v>127</v>
      </c>
      <c r="C78" s="20"/>
      <c r="D78" s="80"/>
      <c r="E78" s="73"/>
      <c r="F78" s="77"/>
      <c r="G78" s="2"/>
      <c r="H78" s="3"/>
      <c r="I78" s="3"/>
      <c r="J78" s="3"/>
      <c r="K78" s="3"/>
      <c r="L78" s="3"/>
      <c r="M78" s="3"/>
      <c r="N78" s="3"/>
      <c r="O78" s="3"/>
      <c r="P78" s="3"/>
      <c r="Q78" s="3"/>
      <c r="R78" s="3"/>
      <c r="S78" s="3"/>
    </row>
    <row r="79" spans="1:19" ht="20.100000000000001" customHeight="1">
      <c r="A79" s="68"/>
      <c r="B79" s="74" t="s">
        <v>128</v>
      </c>
      <c r="C79" s="34" t="s">
        <v>129</v>
      </c>
      <c r="D79" s="75" t="s">
        <v>130</v>
      </c>
      <c r="E79" s="76">
        <f>(E60-E57)*K41</f>
        <v>0.23938879999999879</v>
      </c>
      <c r="F79" s="85" t="s">
        <v>131</v>
      </c>
      <c r="G79" s="2"/>
      <c r="H79" s="3"/>
      <c r="I79" s="3"/>
      <c r="J79" s="3"/>
      <c r="K79" s="3"/>
      <c r="L79" s="3"/>
      <c r="M79" s="3"/>
      <c r="N79" s="3"/>
      <c r="O79" s="3"/>
      <c r="P79" s="3"/>
      <c r="Q79" s="3"/>
      <c r="R79" s="3"/>
      <c r="S79" s="3"/>
    </row>
    <row r="80" spans="1:19" ht="20.100000000000001" customHeight="1">
      <c r="A80" s="68"/>
      <c r="B80" s="74" t="s">
        <v>132</v>
      </c>
      <c r="C80" s="34" t="s">
        <v>133</v>
      </c>
      <c r="D80" s="75" t="s">
        <v>134</v>
      </c>
      <c r="E80" s="84">
        <f>E76*E79</f>
        <v>174.1199232363407</v>
      </c>
      <c r="F80" s="85" t="s">
        <v>135</v>
      </c>
      <c r="G80" s="2"/>
      <c r="H80" s="3"/>
      <c r="I80" s="3"/>
      <c r="J80" s="3"/>
      <c r="K80" s="3"/>
      <c r="L80" s="3"/>
      <c r="M80" s="3"/>
      <c r="N80" s="43"/>
      <c r="O80" s="43"/>
      <c r="P80" s="43"/>
      <c r="Q80" s="43"/>
      <c r="R80" s="43"/>
      <c r="S80" s="3"/>
    </row>
    <row r="81" spans="1:19" ht="20.100000000000001" customHeight="1">
      <c r="A81" s="68"/>
      <c r="B81" s="74" t="s">
        <v>136</v>
      </c>
      <c r="C81" s="86" t="s">
        <v>137</v>
      </c>
      <c r="D81" s="75" t="s">
        <v>138</v>
      </c>
      <c r="E81" s="76">
        <f>$K$42*$K$41</f>
        <v>3.1631</v>
      </c>
      <c r="F81" s="85" t="s">
        <v>139</v>
      </c>
      <c r="G81" s="2"/>
      <c r="H81" s="3"/>
      <c r="I81" s="3"/>
      <c r="J81" s="3"/>
      <c r="K81" s="3"/>
      <c r="L81" s="3"/>
      <c r="M81" s="3"/>
      <c r="N81" s="3"/>
      <c r="O81" s="3"/>
      <c r="P81" s="3"/>
      <c r="Q81" s="3"/>
      <c r="R81" s="3"/>
      <c r="S81" s="3"/>
    </row>
    <row r="82" spans="1:19" ht="20.100000000000001" customHeight="1">
      <c r="A82" s="68"/>
      <c r="B82" s="74" t="s">
        <v>140</v>
      </c>
      <c r="C82" s="34" t="s">
        <v>141</v>
      </c>
      <c r="D82" s="75" t="s">
        <v>142</v>
      </c>
      <c r="E82" s="82">
        <f>E72/E71</f>
        <v>7.8235987017078928E-2</v>
      </c>
      <c r="F82" s="77" t="s">
        <v>143</v>
      </c>
      <c r="G82" s="2"/>
      <c r="H82" s="3"/>
      <c r="I82" s="3"/>
      <c r="J82" s="3"/>
      <c r="K82" s="3"/>
      <c r="L82" s="3"/>
      <c r="M82" s="3"/>
      <c r="N82" s="3"/>
      <c r="O82" s="3"/>
      <c r="P82" s="3"/>
      <c r="Q82" s="3"/>
      <c r="R82" s="3"/>
      <c r="S82" s="3"/>
    </row>
    <row r="83" spans="1:19" ht="20.100000000000001" customHeight="1">
      <c r="A83" s="68"/>
      <c r="B83" s="74" t="s">
        <v>144</v>
      </c>
      <c r="C83" s="34" t="s">
        <v>145</v>
      </c>
      <c r="D83" s="75" t="s">
        <v>134</v>
      </c>
      <c r="E83" s="84">
        <f>E79*E73</f>
        <v>74.513044208655558</v>
      </c>
      <c r="F83" s="85" t="s">
        <v>146</v>
      </c>
      <c r="G83" s="2"/>
      <c r="H83" s="3"/>
      <c r="I83" s="3"/>
      <c r="J83" s="3"/>
      <c r="K83" s="3"/>
      <c r="L83" s="3"/>
      <c r="M83" s="3"/>
      <c r="N83" s="3"/>
      <c r="O83" s="3"/>
      <c r="P83" s="3"/>
      <c r="Q83" s="3"/>
      <c r="R83" s="3"/>
      <c r="S83" s="3"/>
    </row>
    <row r="84" spans="1:19" ht="27.95" customHeight="1">
      <c r="A84" s="68"/>
      <c r="B84" s="74" t="s">
        <v>147</v>
      </c>
      <c r="C84" s="86" t="s">
        <v>148</v>
      </c>
      <c r="D84" s="75" t="s">
        <v>138</v>
      </c>
      <c r="E84" s="108">
        <f>(K42*(1-E82)+E82*L42)*1/((1-E82)/K41+E82/L41)</f>
        <v>2.8983864182318819</v>
      </c>
      <c r="F84" s="85" t="s">
        <v>149</v>
      </c>
      <c r="G84" s="2"/>
      <c r="H84" s="3"/>
      <c r="I84" s="3"/>
      <c r="J84" s="3"/>
      <c r="K84" s="3"/>
      <c r="L84" s="3"/>
      <c r="M84" s="3"/>
      <c r="N84" s="3"/>
      <c r="O84" s="3"/>
      <c r="P84" s="3"/>
      <c r="Q84" s="3"/>
      <c r="R84" s="3"/>
      <c r="S84" s="3"/>
    </row>
    <row r="85" spans="1:19" ht="20.100000000000001" customHeight="1">
      <c r="A85" s="68"/>
      <c r="B85" s="87" t="str">
        <f>C12&amp;" ETS Price"</f>
        <v>2030 ETS Price</v>
      </c>
      <c r="C85" s="34" t="str">
        <f>IF($C$34="Yes",$D$34,"")</f>
        <v>Pietzcker et al., 2021</v>
      </c>
      <c r="D85" s="75" t="s">
        <v>150</v>
      </c>
      <c r="E85" s="84">
        <f>IF($C$34="Yes",INDEX($I$6:$P$33,MATCH($C$12,$I$6:$I$33,0),MATCH("ETS price projection with phase-in",$I$6:$P$6,0)),$C$35*_xlfn.XLOOKUP($C$12,$I$6:$I$33,$N$6:$N$33))</f>
        <v>154.77800000000002</v>
      </c>
      <c r="F85" s="85" t="s">
        <v>151</v>
      </c>
      <c r="G85" s="2"/>
      <c r="H85" s="3"/>
      <c r="I85" s="3"/>
      <c r="J85" s="3"/>
      <c r="K85" s="3"/>
      <c r="L85" s="3"/>
      <c r="M85" s="3"/>
      <c r="N85" s="3"/>
      <c r="O85" s="3"/>
      <c r="P85" s="3"/>
      <c r="Q85" s="3"/>
      <c r="R85" s="3"/>
      <c r="S85" s="3"/>
    </row>
    <row r="86" spans="1:19" ht="20.100000000000001" customHeight="1">
      <c r="A86" s="68"/>
      <c r="B86" s="74" t="s">
        <v>152</v>
      </c>
      <c r="C86" s="86" t="s">
        <v>153</v>
      </c>
      <c r="D86" s="75" t="s">
        <v>154</v>
      </c>
      <c r="E86" s="76">
        <f>(E81-E84)*E85</f>
        <v>40.97183875890579</v>
      </c>
      <c r="F86" s="85" t="s">
        <v>155</v>
      </c>
      <c r="G86" s="2"/>
      <c r="H86" s="3"/>
      <c r="I86" s="3"/>
      <c r="J86" s="3"/>
      <c r="K86" s="3"/>
      <c r="L86" s="3"/>
      <c r="M86" s="3"/>
      <c r="N86" s="3"/>
      <c r="O86" s="3"/>
      <c r="P86" s="3"/>
      <c r="Q86" s="3"/>
      <c r="R86" s="3"/>
      <c r="S86" s="3"/>
    </row>
    <row r="87" spans="1:19" ht="20.100000000000001" customHeight="1">
      <c r="A87" s="68"/>
      <c r="B87" s="74" t="s">
        <v>156</v>
      </c>
      <c r="C87" s="86" t="s">
        <v>157</v>
      </c>
      <c r="D87" s="75"/>
      <c r="E87" s="76">
        <f>E83-E86</f>
        <v>33.541205449749768</v>
      </c>
      <c r="F87" s="85" t="s">
        <v>158</v>
      </c>
      <c r="G87" s="2"/>
      <c r="H87" s="3"/>
      <c r="I87" s="3"/>
      <c r="J87" s="3"/>
      <c r="K87" s="3"/>
      <c r="L87" s="3"/>
      <c r="M87" s="3"/>
      <c r="N87" s="43"/>
      <c r="O87" s="43"/>
      <c r="P87" s="43"/>
      <c r="Q87" s="43"/>
      <c r="R87" s="43"/>
      <c r="S87" s="3"/>
    </row>
    <row r="88" spans="1:19" ht="20.100000000000001" customHeight="1">
      <c r="A88" s="68"/>
      <c r="B88" s="74" t="s">
        <v>159</v>
      </c>
      <c r="C88" s="86" t="s">
        <v>160</v>
      </c>
      <c r="D88" s="75"/>
      <c r="E88" s="76" t="str">
        <f>IF(MIN(E80,E87)=E87,"Biodiesel","Penalty")</f>
        <v>Biodiesel</v>
      </c>
      <c r="F88" s="68"/>
      <c r="G88" s="2"/>
      <c r="H88" s="3"/>
      <c r="I88" s="3"/>
      <c r="J88" s="3"/>
      <c r="K88" s="3"/>
      <c r="L88" s="3"/>
      <c r="M88" s="3"/>
      <c r="N88" s="43"/>
      <c r="O88" s="43"/>
      <c r="P88" s="43"/>
      <c r="Q88" s="43"/>
      <c r="R88" s="43"/>
      <c r="S88" s="3"/>
    </row>
    <row r="89" spans="1:19">
      <c r="A89" s="68"/>
      <c r="B89" s="68"/>
      <c r="C89" s="68"/>
      <c r="D89" s="68"/>
      <c r="E89" s="68"/>
      <c r="F89" s="68"/>
      <c r="G89" s="2"/>
      <c r="H89" s="3"/>
      <c r="I89" s="3"/>
      <c r="J89" s="3"/>
      <c r="K89" s="3"/>
      <c r="L89" s="3"/>
      <c r="M89" s="3"/>
      <c r="N89" s="43"/>
      <c r="O89" s="43"/>
      <c r="P89" s="43"/>
      <c r="Q89" s="43"/>
      <c r="R89" s="43"/>
      <c r="S89" s="3"/>
    </row>
    <row r="90" spans="1:19">
      <c r="A90" s="68"/>
      <c r="B90" s="71" t="s">
        <v>161</v>
      </c>
      <c r="C90" s="20"/>
      <c r="D90" s="80"/>
      <c r="E90" s="73"/>
      <c r="F90" s="68"/>
      <c r="G90" s="2"/>
      <c r="H90" s="3"/>
      <c r="I90" s="3"/>
      <c r="J90" s="3"/>
      <c r="K90" s="3"/>
      <c r="L90" s="3"/>
      <c r="M90" s="3"/>
      <c r="N90" s="43"/>
      <c r="O90" s="43"/>
      <c r="P90" s="43"/>
      <c r="Q90" s="43"/>
      <c r="R90" s="43"/>
      <c r="S90" s="3"/>
    </row>
    <row r="91" spans="1:19" ht="21.95" customHeight="1">
      <c r="A91" s="68"/>
      <c r="B91" s="74" t="s">
        <v>162</v>
      </c>
      <c r="C91" s="34" t="str">
        <f>IF($C$26="Yes",$D$26,"")</f>
        <v>MMM Fuel Cost Calculator, 2024</v>
      </c>
      <c r="D91" s="75" t="s">
        <v>134</v>
      </c>
      <c r="E91" s="84">
        <f>IF($C$26="Yes",INDEX($I$6:$P$33,MATCH($C$12,$I$6:$I$33,0),MATCH("LSFO cost per tonne",$I$6:$P$6,0)),$C$27)</f>
        <v>525.8360655737705</v>
      </c>
      <c r="F91" s="85"/>
      <c r="G91" s="2"/>
      <c r="H91" s="3"/>
      <c r="I91" s="3"/>
      <c r="J91" s="3"/>
      <c r="K91" s="3"/>
      <c r="L91" s="3"/>
      <c r="M91" s="3"/>
      <c r="N91" s="43"/>
      <c r="O91" s="43"/>
      <c r="P91" s="43"/>
      <c r="Q91" s="43"/>
      <c r="R91" s="43"/>
      <c r="S91" s="3"/>
    </row>
    <row r="92" spans="1:19" ht="21.95" customHeight="1">
      <c r="A92" s="68"/>
      <c r="B92" s="74" t="s">
        <v>163</v>
      </c>
      <c r="C92" s="34" t="s">
        <v>164</v>
      </c>
      <c r="D92" s="75"/>
      <c r="E92" s="84">
        <f>IF(E88="Biodiesel",$E$83,$E$80)</f>
        <v>74.513044208655558</v>
      </c>
      <c r="F92" s="85" t="s">
        <v>165</v>
      </c>
      <c r="G92" s="2"/>
      <c r="H92" s="3"/>
      <c r="I92" s="3"/>
      <c r="J92" s="3"/>
      <c r="K92" s="3"/>
      <c r="L92" s="3"/>
      <c r="M92" s="3"/>
      <c r="N92" s="43"/>
      <c r="O92" s="43"/>
      <c r="P92" s="43"/>
      <c r="Q92" s="43"/>
      <c r="R92" s="43"/>
      <c r="S92" s="3"/>
    </row>
    <row r="93" spans="1:19" ht="21.95" customHeight="1">
      <c r="A93" s="68"/>
      <c r="B93" s="87" t="s">
        <v>166</v>
      </c>
      <c r="C93" s="34" t="s">
        <v>167</v>
      </c>
      <c r="D93" s="75" t="s">
        <v>134</v>
      </c>
      <c r="E93" s="84">
        <f>$E$85*IF($E$88="Biodiesel",$E$84,$E$81)</f>
        <v>448.60645304109426</v>
      </c>
      <c r="F93" s="85" t="s">
        <v>168</v>
      </c>
      <c r="G93" s="2"/>
      <c r="H93" s="3"/>
      <c r="I93" s="3"/>
      <c r="J93" s="3"/>
      <c r="K93" s="3"/>
      <c r="L93" s="3"/>
      <c r="M93" s="3"/>
      <c r="N93" s="3"/>
      <c r="O93" s="3"/>
      <c r="P93" s="3"/>
      <c r="Q93" s="3"/>
      <c r="R93" s="3"/>
      <c r="S93" s="3"/>
    </row>
    <row r="94" spans="1:19">
      <c r="A94" s="68"/>
      <c r="B94" s="47" t="s">
        <v>169</v>
      </c>
      <c r="C94" s="44" t="s">
        <v>170</v>
      </c>
      <c r="D94" s="83" t="s">
        <v>134</v>
      </c>
      <c r="E94" s="88">
        <f>E91+E92+E93</f>
        <v>1048.9555628235203</v>
      </c>
      <c r="F94" s="68"/>
      <c r="G94" s="2"/>
      <c r="H94" s="3"/>
      <c r="I94" s="3"/>
      <c r="J94" s="3"/>
      <c r="K94" s="3"/>
      <c r="L94" s="3"/>
      <c r="M94" s="3"/>
      <c r="N94" s="43"/>
      <c r="O94" s="43"/>
      <c r="P94" s="43"/>
      <c r="Q94" s="43"/>
      <c r="R94" s="43"/>
      <c r="S94" s="3"/>
    </row>
    <row r="95" spans="1:19">
      <c r="A95" s="68"/>
      <c r="B95" s="68"/>
      <c r="C95" s="68"/>
      <c r="D95" s="68"/>
      <c r="E95" s="68"/>
      <c r="F95" s="68"/>
      <c r="G95" s="2"/>
      <c r="H95" s="3"/>
      <c r="I95" s="3"/>
      <c r="J95" s="3"/>
      <c r="K95" s="3"/>
      <c r="L95" s="3"/>
      <c r="M95" s="3"/>
      <c r="N95" s="3"/>
      <c r="O95" s="3"/>
      <c r="P95" s="3"/>
      <c r="Q95" s="3"/>
      <c r="R95" s="3"/>
      <c r="S95" s="3"/>
    </row>
    <row r="96" spans="1:19">
      <c r="A96" s="68"/>
      <c r="B96" s="68"/>
      <c r="C96" s="68"/>
      <c r="D96" s="68"/>
      <c r="E96" s="68"/>
      <c r="F96" s="68"/>
      <c r="G96" s="2"/>
      <c r="H96" s="3"/>
      <c r="I96" s="3"/>
      <c r="J96" s="3"/>
      <c r="K96" s="3"/>
      <c r="L96" s="3"/>
      <c r="M96" s="3"/>
      <c r="N96" s="43"/>
      <c r="O96" s="43"/>
      <c r="P96" s="43"/>
      <c r="Q96" s="43"/>
      <c r="R96" s="43"/>
      <c r="S96" s="3"/>
    </row>
    <row r="97" spans="1:19" ht="21">
      <c r="A97" s="68"/>
      <c r="B97" s="69" t="s">
        <v>171</v>
      </c>
      <c r="C97" s="68"/>
      <c r="D97" s="68"/>
      <c r="E97" s="68"/>
      <c r="F97" s="68"/>
      <c r="G97" s="2"/>
      <c r="H97" s="3"/>
      <c r="I97" s="3"/>
      <c r="J97" s="3"/>
      <c r="K97" s="3"/>
      <c r="L97" s="3"/>
      <c r="M97" s="3"/>
      <c r="N97" s="43"/>
      <c r="O97" s="43"/>
      <c r="P97" s="43"/>
      <c r="Q97" s="43"/>
      <c r="R97" s="43"/>
      <c r="S97" s="3"/>
    </row>
    <row r="98" spans="1:19">
      <c r="A98" s="68"/>
      <c r="B98" s="71" t="s">
        <v>172</v>
      </c>
      <c r="C98" s="68"/>
      <c r="D98" s="68"/>
      <c r="E98" s="68"/>
      <c r="F98" s="68"/>
      <c r="G98" s="2"/>
      <c r="H98" s="3"/>
      <c r="I98" s="3"/>
      <c r="J98" s="3"/>
      <c r="K98" s="3"/>
      <c r="L98" s="3"/>
      <c r="M98" s="3"/>
      <c r="N98" s="3"/>
      <c r="O98" s="3"/>
      <c r="P98" s="3"/>
      <c r="Q98" s="3"/>
      <c r="R98" s="3"/>
      <c r="S98" s="3"/>
    </row>
    <row r="99" spans="1:19">
      <c r="A99" s="68"/>
      <c r="B99" s="87" t="str">
        <f>$C$12&amp;" ETS Cost per TtW abatement"</f>
        <v>2030 ETS Cost per TtW abatement</v>
      </c>
      <c r="C99" s="34" t="str">
        <f>IF($C$34="Yes",$D$34,"")</f>
        <v>Pietzcker et al., 2021</v>
      </c>
      <c r="D99" s="75" t="s">
        <v>150</v>
      </c>
      <c r="E99" s="84">
        <f>IF($C$34="Yes",INDEX($I$6:$P$33,MATCH($C$12,$I$6:$I$33,0),MATCH("ETS price projection with phase-in",$I$6:$P$6,0)),$C$35*_xlfn.XLOOKUP($C$12,$I$6:$I$33,$N$6:$N$33))</f>
        <v>154.77800000000002</v>
      </c>
      <c r="F99" s="77" t="s">
        <v>173</v>
      </c>
      <c r="G99" s="2"/>
      <c r="H99" s="3"/>
      <c r="I99" s="3"/>
      <c r="J99" s="3"/>
      <c r="K99" s="3"/>
      <c r="L99" s="3"/>
      <c r="M99" s="3"/>
      <c r="N99" s="43"/>
      <c r="O99" s="43"/>
      <c r="P99" s="43"/>
      <c r="Q99" s="43"/>
      <c r="R99" s="43"/>
      <c r="S99" s="3"/>
    </row>
    <row r="100" spans="1:19" ht="36.6" customHeight="1">
      <c r="A100" s="68"/>
      <c r="B100" s="87" t="s">
        <v>174</v>
      </c>
      <c r="C100" s="34" t="s">
        <v>175</v>
      </c>
      <c r="D100" s="75" t="s">
        <v>176</v>
      </c>
      <c r="E100" s="84">
        <f>E99*(K42/K40)</f>
        <v>131.96713931830135</v>
      </c>
      <c r="F100" s="85" t="s">
        <v>177</v>
      </c>
      <c r="G100" s="2"/>
      <c r="H100" s="3"/>
      <c r="I100" s="3"/>
      <c r="J100" s="3"/>
      <c r="K100" s="3"/>
      <c r="L100" s="3"/>
      <c r="M100" s="3"/>
      <c r="N100" s="43"/>
      <c r="O100" s="43"/>
      <c r="P100" s="43"/>
      <c r="Q100" s="43"/>
      <c r="R100" s="43"/>
      <c r="S100" s="3"/>
    </row>
    <row r="101" spans="1:19" ht="42">
      <c r="A101" s="68"/>
      <c r="B101" s="89" t="s">
        <v>178</v>
      </c>
      <c r="C101" s="34" t="s">
        <v>179</v>
      </c>
      <c r="D101" s="90" t="s">
        <v>180</v>
      </c>
      <c r="E101" s="84">
        <f>IF($E$88="Biodiesel",$E$73-$E$100,$E$76)</f>
        <v>179.29656311329086</v>
      </c>
      <c r="F101" s="85" t="s">
        <v>181</v>
      </c>
      <c r="G101" s="2"/>
      <c r="H101" s="3"/>
      <c r="I101" s="3"/>
      <c r="J101" s="3"/>
      <c r="K101" s="3"/>
      <c r="L101" s="3"/>
      <c r="M101" s="3"/>
      <c r="N101" s="3"/>
      <c r="O101" s="3"/>
      <c r="P101" s="3"/>
      <c r="Q101" s="3"/>
      <c r="R101" s="3"/>
      <c r="S101" s="3"/>
    </row>
    <row r="102" spans="1:19" ht="36.950000000000003" customHeight="1">
      <c r="A102" s="68"/>
      <c r="B102" s="47" t="s">
        <v>182</v>
      </c>
      <c r="C102" s="44" t="s">
        <v>183</v>
      </c>
      <c r="D102" s="45" t="s">
        <v>184</v>
      </c>
      <c r="E102" s="88">
        <f>E101*(1+C20)</f>
        <v>179.29656311329086</v>
      </c>
      <c r="F102" s="85" t="s">
        <v>185</v>
      </c>
      <c r="G102" s="2"/>
      <c r="H102" s="3"/>
      <c r="I102" s="3"/>
      <c r="J102" s="3"/>
      <c r="K102" s="3"/>
      <c r="L102" s="3"/>
      <c r="M102" s="3"/>
      <c r="N102" s="43"/>
      <c r="O102" s="43"/>
      <c r="P102" s="43"/>
      <c r="Q102" s="43"/>
      <c r="R102" s="43"/>
      <c r="S102" s="3"/>
    </row>
    <row r="103" spans="1:19">
      <c r="A103" s="68"/>
      <c r="B103" s="68"/>
      <c r="C103" s="68"/>
      <c r="D103" s="68"/>
      <c r="E103" s="68"/>
      <c r="F103" s="68"/>
      <c r="G103" s="2"/>
      <c r="H103" s="3"/>
      <c r="I103" s="3"/>
      <c r="J103" s="3"/>
      <c r="K103" s="3"/>
      <c r="L103" s="3"/>
      <c r="M103" s="3"/>
      <c r="N103" s="3"/>
      <c r="O103" s="3"/>
      <c r="P103" s="3"/>
      <c r="Q103" s="3"/>
      <c r="R103" s="3"/>
      <c r="S103" s="3"/>
    </row>
    <row r="104" spans="1:19">
      <c r="A104" s="68"/>
      <c r="B104" s="71" t="s">
        <v>186</v>
      </c>
      <c r="C104" s="20"/>
      <c r="D104" s="80"/>
      <c r="E104" s="73"/>
      <c r="F104" s="68"/>
      <c r="G104" s="2"/>
      <c r="H104" s="3"/>
      <c r="I104" s="3"/>
      <c r="J104" s="3"/>
      <c r="K104" s="3"/>
      <c r="L104" s="3"/>
      <c r="M104" s="3"/>
      <c r="N104" s="43"/>
      <c r="O104" s="43"/>
      <c r="P104" s="43"/>
      <c r="Q104" s="43"/>
      <c r="R104" s="43"/>
      <c r="S104" s="3"/>
    </row>
    <row r="105" spans="1:19">
      <c r="A105" s="68"/>
      <c r="B105" s="74" t="s">
        <v>187</v>
      </c>
      <c r="C105" s="34"/>
      <c r="D105" s="75" t="s">
        <v>188</v>
      </c>
      <c r="E105" s="84">
        <f>$C$17</f>
        <v>1800</v>
      </c>
      <c r="F105" s="68"/>
      <c r="G105" s="2"/>
      <c r="H105" s="3"/>
      <c r="I105" s="3"/>
      <c r="J105" s="3"/>
      <c r="K105" s="3"/>
      <c r="L105" s="3"/>
      <c r="M105" s="3"/>
      <c r="N105" s="3"/>
      <c r="O105" s="3"/>
      <c r="P105" s="3"/>
      <c r="Q105" s="3"/>
      <c r="R105" s="3"/>
      <c r="S105" s="3"/>
    </row>
    <row r="106" spans="1:19" ht="31.5">
      <c r="A106" s="68"/>
      <c r="B106" s="74" t="s">
        <v>189</v>
      </c>
      <c r="C106" s="34" t="s">
        <v>190</v>
      </c>
      <c r="D106" s="75" t="s">
        <v>191</v>
      </c>
      <c r="E106" s="109">
        <f>L46*(1-$C$15)</f>
        <v>27.348000000000003</v>
      </c>
      <c r="F106" s="85" t="s">
        <v>192</v>
      </c>
      <c r="G106" s="2"/>
      <c r="H106" s="3"/>
      <c r="I106" s="3"/>
      <c r="J106" s="3"/>
      <c r="K106" s="3"/>
      <c r="L106" s="3"/>
      <c r="M106" s="3"/>
      <c r="N106" s="43"/>
      <c r="O106" s="43"/>
      <c r="P106" s="43"/>
      <c r="Q106" s="43"/>
      <c r="R106" s="43"/>
      <c r="S106" s="3"/>
    </row>
    <row r="107" spans="1:19">
      <c r="A107" s="68"/>
      <c r="B107" s="74" t="s">
        <v>193</v>
      </c>
      <c r="C107" s="34" t="s">
        <v>194</v>
      </c>
      <c r="D107" s="75" t="s">
        <v>191</v>
      </c>
      <c r="E107" s="109">
        <f>$E$106/IF(AND($C$16="Yes",$C$15&gt;=0.7,$C$12&lt;2033),2,1)</f>
        <v>13.674000000000001</v>
      </c>
      <c r="F107" s="77" t="s">
        <v>195</v>
      </c>
      <c r="G107" s="2"/>
      <c r="H107" s="3"/>
      <c r="I107" s="3"/>
      <c r="J107" s="3"/>
      <c r="K107" s="3"/>
      <c r="L107" s="3"/>
      <c r="M107" s="3"/>
      <c r="N107" s="3"/>
      <c r="O107" s="3"/>
      <c r="P107" s="3"/>
      <c r="Q107" s="3"/>
      <c r="R107" s="3"/>
      <c r="S107" s="3"/>
    </row>
    <row r="108" spans="1:19" ht="23.45" customHeight="1">
      <c r="A108" s="68"/>
      <c r="B108" s="74" t="s">
        <v>196</v>
      </c>
      <c r="C108" s="34" t="s">
        <v>197</v>
      </c>
      <c r="D108" s="75" t="s">
        <v>191</v>
      </c>
      <c r="E108" s="84">
        <f>INDEX($I$6:$Q$33,MATCH($C$12,$I$6:$I$33,0),MATCH("FuelEU Target Intensity",$I$6:$Q$6,0))-E107</f>
        <v>72.01639999999999</v>
      </c>
      <c r="F108" s="85" t="s">
        <v>198</v>
      </c>
      <c r="G108" s="2"/>
      <c r="H108" s="3"/>
      <c r="I108" s="3"/>
      <c r="J108" s="3"/>
      <c r="K108" s="3"/>
      <c r="L108" s="3"/>
      <c r="M108" s="3"/>
      <c r="N108" s="43"/>
      <c r="O108" s="43"/>
      <c r="P108" s="43"/>
      <c r="Q108" s="43"/>
      <c r="R108" s="43"/>
      <c r="S108" s="3"/>
    </row>
    <row r="109" spans="1:19" ht="21">
      <c r="A109" s="68"/>
      <c r="B109" s="74" t="s">
        <v>199</v>
      </c>
      <c r="C109" s="34" t="s">
        <v>200</v>
      </c>
      <c r="D109" s="75" t="s">
        <v>201</v>
      </c>
      <c r="E109" s="76">
        <f>$E$108*$K$41</f>
        <v>2.9166641999999996</v>
      </c>
      <c r="F109" s="85" t="s">
        <v>202</v>
      </c>
      <c r="G109" s="2"/>
      <c r="H109" s="3"/>
      <c r="I109" s="3"/>
      <c r="J109" s="3"/>
      <c r="K109" s="3"/>
      <c r="L109" s="3"/>
      <c r="M109" s="3"/>
      <c r="N109" s="3"/>
      <c r="O109" s="3"/>
      <c r="P109" s="3"/>
      <c r="Q109" s="3"/>
      <c r="R109" s="3"/>
      <c r="S109" s="3"/>
    </row>
    <row r="110" spans="1:19" ht="21">
      <c r="A110" s="68"/>
      <c r="B110" s="74" t="s">
        <v>203</v>
      </c>
      <c r="C110" s="34" t="s">
        <v>204</v>
      </c>
      <c r="D110" s="75" t="s">
        <v>205</v>
      </c>
      <c r="E110" s="84">
        <f>ROUNDDOWN(E109/E79,0)</f>
        <v>12</v>
      </c>
      <c r="F110" s="85" t="s">
        <v>206</v>
      </c>
      <c r="G110" s="2"/>
      <c r="H110" s="3"/>
      <c r="I110" s="3"/>
      <c r="J110" s="3"/>
      <c r="K110" s="3"/>
      <c r="L110" s="3"/>
      <c r="M110" s="3"/>
      <c r="N110" s="3"/>
      <c r="O110" s="3"/>
      <c r="P110" s="3"/>
      <c r="Q110" s="3"/>
      <c r="R110" s="3"/>
      <c r="S110" s="3"/>
    </row>
    <row r="111" spans="1:19">
      <c r="A111" s="68"/>
      <c r="B111" s="74" t="s">
        <v>207</v>
      </c>
      <c r="C111" s="34" t="s">
        <v>208</v>
      </c>
      <c r="D111" s="75" t="s">
        <v>188</v>
      </c>
      <c r="E111" s="84">
        <f>E109*E102</f>
        <v>522.94786681557594</v>
      </c>
      <c r="F111" s="77" t="s">
        <v>209</v>
      </c>
      <c r="G111" s="2"/>
      <c r="H111" s="3"/>
      <c r="I111" s="3"/>
      <c r="J111" s="3"/>
      <c r="K111" s="3"/>
      <c r="L111" s="3"/>
      <c r="M111" s="3"/>
      <c r="N111" s="43"/>
      <c r="O111" s="43"/>
      <c r="P111" s="43"/>
      <c r="Q111" s="43"/>
      <c r="R111" s="43"/>
      <c r="S111" s="3"/>
    </row>
    <row r="112" spans="1:19" ht="21.95" customHeight="1">
      <c r="A112" s="68"/>
      <c r="B112" s="47" t="s">
        <v>210</v>
      </c>
      <c r="C112" s="44" t="s">
        <v>211</v>
      </c>
      <c r="D112" s="83" t="s">
        <v>188</v>
      </c>
      <c r="E112" s="88">
        <f>E105-E111</f>
        <v>1277.0521331844241</v>
      </c>
      <c r="F112" s="85" t="s">
        <v>212</v>
      </c>
      <c r="G112" s="2"/>
      <c r="H112" s="3"/>
      <c r="I112" s="3"/>
      <c r="J112" s="3"/>
      <c r="K112" s="3"/>
      <c r="L112" s="3"/>
      <c r="M112" s="3"/>
      <c r="N112" s="3"/>
      <c r="O112" s="3"/>
      <c r="P112" s="3"/>
      <c r="Q112" s="3"/>
      <c r="R112" s="3"/>
      <c r="S112" s="3"/>
    </row>
    <row r="113" spans="1:19">
      <c r="A113" s="68"/>
      <c r="B113" s="68"/>
      <c r="C113" s="68"/>
      <c r="D113" s="68"/>
      <c r="E113" s="68"/>
      <c r="F113" s="68"/>
      <c r="G113" s="2"/>
      <c r="H113" s="3"/>
      <c r="I113" s="3"/>
      <c r="J113" s="3"/>
      <c r="K113" s="3"/>
      <c r="L113" s="3"/>
      <c r="M113" s="3"/>
      <c r="N113" s="43"/>
      <c r="O113" s="43"/>
      <c r="P113" s="43"/>
      <c r="Q113" s="43"/>
      <c r="R113" s="43"/>
      <c r="S113" s="3"/>
    </row>
    <row r="114" spans="1:19" ht="9.9499999999999993" customHeight="1"/>
    <row r="115" spans="1:19" ht="47.1" customHeight="1">
      <c r="B115" s="119" t="e" vm="1">
        <v>#VALUE!</v>
      </c>
      <c r="C115" s="119"/>
      <c r="E115" s="110"/>
    </row>
    <row r="117" spans="1:19">
      <c r="C117"/>
      <c r="F117" s="95"/>
    </row>
    <row r="118" spans="1:19">
      <c r="B118" s="94"/>
    </row>
    <row r="119" spans="1:19">
      <c r="B119" s="94"/>
      <c r="C119"/>
      <c r="F119" s="95"/>
    </row>
    <row r="121" spans="1:19">
      <c r="B121" s="94"/>
      <c r="C121"/>
      <c r="F121" s="95"/>
    </row>
  </sheetData>
  <mergeCells count="18">
    <mergeCell ref="B20:B21"/>
    <mergeCell ref="C20:C21"/>
    <mergeCell ref="O42:Q42"/>
    <mergeCell ref="B115:C115"/>
    <mergeCell ref="D20:F21"/>
    <mergeCell ref="D27:F28"/>
    <mergeCell ref="D35:F36"/>
    <mergeCell ref="B38:F38"/>
    <mergeCell ref="B39:F39"/>
    <mergeCell ref="B40:F40"/>
    <mergeCell ref="G2:G52"/>
    <mergeCell ref="B4:F4"/>
    <mergeCell ref="B5:E5"/>
    <mergeCell ref="J5:M5"/>
    <mergeCell ref="N5:P5"/>
    <mergeCell ref="B6:E6"/>
    <mergeCell ref="B7:E7"/>
    <mergeCell ref="B8:E8"/>
  </mergeCells>
  <conditionalFormatting sqref="C27">
    <cfRule type="expression" dxfId="2" priority="3">
      <formula>$C$26="Yes"</formula>
    </cfRule>
  </conditionalFormatting>
  <conditionalFormatting sqref="C31">
    <cfRule type="expression" dxfId="1" priority="2">
      <formula>$C$30="Yes"</formula>
    </cfRule>
  </conditionalFormatting>
  <conditionalFormatting sqref="C35">
    <cfRule type="expression" dxfId="0" priority="1">
      <formula>$C$34="Yes"</formula>
    </cfRule>
  </conditionalFormatting>
  <dataValidations count="8">
    <dataValidation type="decimal" allowBlank="1" showInputMessage="1" showErrorMessage="1" sqref="C20:C21" xr:uid="{F1757D49-9C73-4CB8-A658-AA67DD7989E9}">
      <formula1>-1</formula1>
      <formula2>1</formula2>
    </dataValidation>
    <dataValidation type="whole" allowBlank="1" showInputMessage="1" showErrorMessage="1" errorTitle="EUA price too high" error="EUA price must be between 0 and 2,000 USD" promptTitle="EUA price estimate" prompt="USD/tonne CO2e" sqref="C35" xr:uid="{B039AA48-C756-4129-B941-D15AA5AD4CDB}">
      <formula1>0</formula1>
      <formula2>2000</formula2>
    </dataValidation>
    <dataValidation type="list" allowBlank="1" showInputMessage="1" showErrorMessage="1" sqref="C15" xr:uid="{B45122D2-7654-4E79-8EDC-5ED20929A391}">
      <formula1>$V$7:$V$42</formula1>
    </dataValidation>
    <dataValidation type="whole" operator="greaterThan" allowBlank="1" showInputMessage="1" showErrorMessage="1" promptTitle="Enter Alt Fuel Cost" prompt="USD/tonne LSFO-eq" sqref="C17" xr:uid="{6DF21F1D-D0B4-4F7D-9FBB-7509ADA6794F}">
      <formula1>0</formula1>
    </dataValidation>
    <dataValidation type="list" allowBlank="1" showInputMessage="1" showErrorMessage="1" sqref="C12" xr:uid="{892A129D-34AB-4C7B-917D-704208C6A422}">
      <formula1>$I$8:$I$33</formula1>
    </dataValidation>
    <dataValidation type="list" allowBlank="1" showInputMessage="1" showErrorMessage="1" sqref="C26 C34 C30 C16" xr:uid="{CC73D9FA-2A92-4197-B015-55225E07B351}">
      <formula1>$T$7:$T$8</formula1>
    </dataValidation>
    <dataValidation type="whole" operator="greaterThan" allowBlank="1" showInputMessage="1" showErrorMessage="1" promptTitle="Biodiesel cost estimate" prompt="USD/tonne" sqref="C31" xr:uid="{6D74A5A1-D7AF-48F9-8FC0-28225A29DAC6}">
      <formula1>0</formula1>
    </dataValidation>
    <dataValidation type="whole" operator="greaterThan" allowBlank="1" showInputMessage="1" showErrorMessage="1" promptTitle="Enter LSFO cost estimate" prompt="USD/tonne" sqref="C27" xr:uid="{5738C88D-5FBC-407C-871D-B0C91E1BF158}">
      <formula1>0</formula1>
    </dataValidation>
  </dataValidations>
  <hyperlinks>
    <hyperlink ref="N41" r:id="rId1" display="Source: FuelEU Annex II" xr:uid="{481306B2-1E26-44DC-91D6-8C6FA8175A46}"/>
    <hyperlink ref="O34" r:id="rId2" xr:uid="{D20CE7B9-2F41-408F-B2AF-1DD22C273BE6}"/>
    <hyperlink ref="L34" r:id="rId3" display="Source: LR &amp; UMAS, 2020" xr:uid="{325F0200-F59E-4E1A-9E51-4ADAC3B8DFF9}"/>
    <hyperlink ref="N40" r:id="rId4" display="Source: FuelEU Annex II" xr:uid="{8D1D927F-39DE-4A9A-B322-3319793BA9CF}"/>
    <hyperlink ref="D30" r:id="rId5" xr:uid="{96346F19-0BCA-4687-99D8-3D3BD7EE7989}"/>
    <hyperlink ref="D34" r:id="rId6" xr:uid="{42797684-6742-433B-9D5E-1BAA69AD7535}"/>
    <hyperlink ref="C60" r:id="rId7" display="Source: FuelEU Annex II" xr:uid="{463FC062-BC96-4DBF-A7FB-B215C1441263}"/>
    <hyperlink ref="C65" r:id="rId8" display="Source: FuelEU Annex II" xr:uid="{73A6E223-EBC6-463D-83D5-41600BDFFBA0}"/>
    <hyperlink ref="Q34" r:id="rId9" display="Source: FuelEU Annex II" xr:uid="{C5177694-EADA-436D-A56F-C76BC7A46319}"/>
    <hyperlink ref="C57" r:id="rId10" display="Source: FuelEU Annex II" xr:uid="{51700636-4B63-4BBB-96A1-F85EE21ED65A}"/>
    <hyperlink ref="M47" r:id="rId11" display="FuelEU Annex IV, pg 99" xr:uid="{038BD8C9-F7B4-48B4-B6B3-6A05B74F48EE}"/>
    <hyperlink ref="M48" r:id="rId12" xr:uid="{16894DD6-0EBC-407F-AEC1-50ABFD41AE02}"/>
    <hyperlink ref="M46" r:id="rId13" display="Source: FuelEU Annex II" xr:uid="{ED22420A-77EE-4670-B120-A50E103123A8}"/>
    <hyperlink ref="N42" r:id="rId14" display="Source: Annex II (1.2) Delegated Reguation to MRV for ETS" xr:uid="{C400E13E-D142-456B-8B74-23FACCD6F12C}"/>
    <hyperlink ref="C18" r:id="rId15" xr:uid="{852E5C2D-9B0F-4E04-9BC6-FF96ECA55694}"/>
    <hyperlink ref="D26" r:id="rId16" xr:uid="{C7F1D5D1-59CB-4846-8283-7E74A89B30F5}"/>
    <hyperlink ref="J34" r:id="rId17" xr:uid="{CD39FF55-D130-4038-80CA-EEDC16C1C326}"/>
  </hyperlinks>
  <pageMargins left="0.7" right="0.7" top="0.75" bottom="0.75" header="0.3" footer="0.3"/>
  <drawing r:id="rId1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4165BA3798B174FB9075562706586E7" ma:contentTypeVersion="13" ma:contentTypeDescription="Create a new document." ma:contentTypeScope="" ma:versionID="4c1eabf58a78f3f85b7400e7dae1bf2a">
  <xsd:schema xmlns:xsd="http://www.w3.org/2001/XMLSchema" xmlns:xs="http://www.w3.org/2001/XMLSchema" xmlns:p="http://schemas.microsoft.com/office/2006/metadata/properties" xmlns:ns2="83d45350-d6f3-43eb-bc3b-872e487a66ef" xmlns:ns3="bae2e4cf-1cea-45c6-bccc-ce4c78deb207" targetNamespace="http://schemas.microsoft.com/office/2006/metadata/properties" ma:root="true" ma:fieldsID="78ad1a37078c57269107bde984111a94" ns2:_="" ns3:_="">
    <xsd:import namespace="83d45350-d6f3-43eb-bc3b-872e487a66ef"/>
    <xsd:import namespace="bae2e4cf-1cea-45c6-bccc-ce4c78deb20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d45350-d6f3-43eb-bc3b-872e487a66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05d3cf-f1b6-4142-bd55-078f49f7cf52"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ae2e4cf-1cea-45c6-bccc-ce4c78deb207"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80537411-e8ca-4d56-8126-6ff7b3469af7}" ma:internalName="TaxCatchAll" ma:showField="CatchAllData" ma:web="bae2e4cf-1cea-45c6-bccc-ce4c78deb207">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3d45350-d6f3-43eb-bc3b-872e487a66ef">
      <Terms xmlns="http://schemas.microsoft.com/office/infopath/2007/PartnerControls"/>
    </lcf76f155ced4ddcb4097134ff3c332f>
    <TaxCatchAll xmlns="bae2e4cf-1cea-45c6-bccc-ce4c78deb207" xsi:nil="true"/>
    <SharedWithUsers xmlns="bae2e4cf-1cea-45c6-bccc-ce4c78deb207">
      <UserInfo>
        <DisplayName>Joe Bettles</DisplayName>
        <AccountId>19</AccountId>
        <AccountType/>
      </UserInfo>
      <UserInfo>
        <DisplayName>Martijn van den Berg</DisplayName>
        <AccountId>174</AccountId>
        <AccountType/>
      </UserInfo>
      <UserInfo>
        <DisplayName>Jenny Ruffell Smith</DisplayName>
        <AccountId>42</AccountId>
        <AccountType/>
      </UserInfo>
      <UserInfo>
        <DisplayName>Aisha Matayeva</DisplayName>
        <AccountId>243</AccountId>
        <AccountType/>
      </UserInfo>
      <UserInfo>
        <DisplayName>Anders Kongstad</DisplayName>
        <AccountId>190</AccountId>
        <AccountType/>
      </UserInfo>
      <UserInfo>
        <DisplayName>Risiana Levie</DisplayName>
        <AccountId>248</AccountId>
        <AccountType/>
      </UserInfo>
    </SharedWithUsers>
  </documentManagement>
</p:properties>
</file>

<file path=customXml/itemProps1.xml><?xml version="1.0" encoding="utf-8"?>
<ds:datastoreItem xmlns:ds="http://schemas.openxmlformats.org/officeDocument/2006/customXml" ds:itemID="{6EFE73A0-1054-454F-8C46-404E519017E2}"/>
</file>

<file path=customXml/itemProps2.xml><?xml version="1.0" encoding="utf-8"?>
<ds:datastoreItem xmlns:ds="http://schemas.openxmlformats.org/officeDocument/2006/customXml" ds:itemID="{66912195-802D-4C38-B82B-278F6C6CF188}"/>
</file>

<file path=customXml/itemProps3.xml><?xml version="1.0" encoding="utf-8"?>
<ds:datastoreItem xmlns:ds="http://schemas.openxmlformats.org/officeDocument/2006/customXml" ds:itemID="{47EEC01A-21EF-40D0-B4C2-E582DCF04A67}"/>
</file>

<file path=docMetadata/LabelInfo.xml><?xml version="1.0" encoding="utf-8"?>
<clbl:labelList xmlns:clbl="http://schemas.microsoft.com/office/2020/mipLabelMetadata">
  <clbl:label id="{e4b931d8-a288-4db6-acc7-364bc8042050}" enabled="1" method="Privileged" siteId="{5218c2a1-81cc-40ce-af99-7505143bc263}"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Bettles</dc:creator>
  <cp:keywords/>
  <dc:description/>
  <cp:lastModifiedBy/>
  <cp:revision/>
  <dcterms:created xsi:type="dcterms:W3CDTF">2024-04-02T15:56:08Z</dcterms:created>
  <dcterms:modified xsi:type="dcterms:W3CDTF">2024-04-25T12:37:07Z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0x01010014165BA3798B174FB9075562706586E7</vt:lpwstr>
  </property>
  <property fmtid="{D5CDD505-2E9C-101B-9397-08002B2CF9AE}" pid="3" name="MediaServiceImageTags">
    <vt:lpwstr/>
  </property>
</Properties>
</file>