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E5D5D85C-28DE-4C58-92A7-62EFDD3761A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Масса растений" sheetId="1" r:id="rId1"/>
    <sheet name="Сорбция КС корня" sheetId="6" r:id="rId2"/>
    <sheet name="Десорбция" sheetId="7" r:id="rId3"/>
    <sheet name="Озоление корней и побегов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8" l="1"/>
  <c r="G11" i="8"/>
  <c r="G7" i="8"/>
  <c r="B47" i="8"/>
  <c r="B46" i="8"/>
  <c r="B45" i="8"/>
  <c r="B44" i="8"/>
  <c r="B43" i="8"/>
  <c r="B11" i="8"/>
  <c r="B7" i="8"/>
  <c r="J15" i="8"/>
  <c r="J16" i="8"/>
  <c r="B36" i="8"/>
  <c r="B37" i="8"/>
  <c r="B38" i="8"/>
  <c r="B39" i="8"/>
  <c r="B35" i="8"/>
  <c r="B28" i="8"/>
  <c r="B29" i="8"/>
  <c r="B30" i="8"/>
  <c r="B31" i="8"/>
  <c r="B27" i="8"/>
  <c r="B23" i="8"/>
  <c r="B22" i="8"/>
  <c r="B21" i="8"/>
  <c r="B19" i="8"/>
  <c r="B18" i="8"/>
  <c r="B17" i="8"/>
  <c r="B16" i="8"/>
  <c r="B15" i="8"/>
  <c r="B10" i="8"/>
  <c r="B9" i="8"/>
  <c r="B8" i="8"/>
  <c r="B6" i="8"/>
  <c r="B5" i="8"/>
  <c r="B3" i="8"/>
  <c r="B4" i="8"/>
  <c r="S12" i="8"/>
  <c r="S11" i="8"/>
  <c r="S10" i="8"/>
  <c r="S9" i="8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F15" i="8"/>
  <c r="G15" i="8" s="1"/>
  <c r="F11" i="8"/>
  <c r="F10" i="8"/>
  <c r="G10" i="8" s="1"/>
  <c r="F9" i="8"/>
  <c r="F8" i="8"/>
  <c r="F7" i="8"/>
  <c r="F6" i="8"/>
  <c r="G6" i="8" s="1"/>
  <c r="F5" i="8"/>
  <c r="G5" i="8" s="1"/>
  <c r="F4" i="8"/>
  <c r="G4" i="8" s="1"/>
  <c r="F3" i="8"/>
  <c r="G3" i="8" s="1"/>
  <c r="N4" i="6"/>
  <c r="L4" i="7"/>
  <c r="D5" i="1"/>
  <c r="J11" i="7"/>
  <c r="I4" i="7"/>
  <c r="J7" i="7"/>
  <c r="P7" i="7"/>
  <c r="B18" i="7"/>
  <c r="B19" i="7"/>
  <c r="B20" i="7"/>
  <c r="B17" i="7"/>
  <c r="F12" i="7"/>
  <c r="G12" i="7" s="1"/>
  <c r="H12" i="7" s="1"/>
  <c r="I12" i="7" s="1"/>
  <c r="F11" i="7"/>
  <c r="G11" i="7" s="1"/>
  <c r="H11" i="7" s="1"/>
  <c r="I11" i="7" s="1"/>
  <c r="F10" i="7"/>
  <c r="G10" i="7" s="1"/>
  <c r="H10" i="7" s="1"/>
  <c r="I10" i="7" s="1"/>
  <c r="F9" i="7"/>
  <c r="G9" i="7" s="1"/>
  <c r="H9" i="7" s="1"/>
  <c r="I9" i="7" s="1"/>
  <c r="F8" i="7"/>
  <c r="G8" i="7" s="1"/>
  <c r="H8" i="7" s="1"/>
  <c r="I8" i="7" s="1"/>
  <c r="F7" i="7"/>
  <c r="G7" i="7" s="1"/>
  <c r="H7" i="7" s="1"/>
  <c r="I7" i="7" s="1"/>
  <c r="F6" i="7"/>
  <c r="G6" i="7" s="1"/>
  <c r="H6" i="7" s="1"/>
  <c r="I6" i="7" s="1"/>
  <c r="F5" i="7"/>
  <c r="G5" i="7" s="1"/>
  <c r="H5" i="7" s="1"/>
  <c r="I5" i="7" s="1"/>
  <c r="F4" i="7"/>
  <c r="G4" i="7" s="1"/>
  <c r="H4" i="7" s="1"/>
  <c r="H11" i="8" l="1"/>
  <c r="I11" i="8" s="1"/>
  <c r="G16" i="8"/>
  <c r="H16" i="8" s="1"/>
  <c r="I16" i="8" s="1"/>
  <c r="H23" i="8"/>
  <c r="I23" i="8" s="1"/>
  <c r="K23" i="8" s="1"/>
  <c r="H22" i="8"/>
  <c r="I22" i="8" s="1"/>
  <c r="J22" i="8" s="1"/>
  <c r="H20" i="8"/>
  <c r="I20" i="8" s="1"/>
  <c r="J20" i="8" s="1"/>
  <c r="H19" i="8"/>
  <c r="I19" i="8" s="1"/>
  <c r="K19" i="8" s="1"/>
  <c r="H18" i="8"/>
  <c r="I18" i="8" s="1"/>
  <c r="J18" i="8" s="1"/>
  <c r="H15" i="8"/>
  <c r="I15" i="8" s="1"/>
  <c r="G9" i="8"/>
  <c r="H9" i="8" s="1"/>
  <c r="I9" i="8" s="1"/>
  <c r="G8" i="8"/>
  <c r="H8" i="8" s="1"/>
  <c r="I8" i="8" s="1"/>
  <c r="H7" i="8"/>
  <c r="I7" i="8" s="1"/>
  <c r="H6" i="8"/>
  <c r="I6" i="8" s="1"/>
  <c r="K6" i="8" s="1"/>
  <c r="H5" i="8"/>
  <c r="I5" i="8" s="1"/>
  <c r="H4" i="8"/>
  <c r="I4" i="8" s="1"/>
  <c r="J4" i="8" s="1"/>
  <c r="H3" i="8"/>
  <c r="I3" i="8" s="1"/>
  <c r="H17" i="8"/>
  <c r="I17" i="8" s="1"/>
  <c r="J17" i="8" s="1"/>
  <c r="H21" i="8"/>
  <c r="I21" i="8" s="1"/>
  <c r="J21" i="8" s="1"/>
  <c r="H10" i="8"/>
  <c r="I10" i="8" s="1"/>
  <c r="K10" i="8" s="1"/>
  <c r="J6" i="8"/>
  <c r="K5" i="8"/>
  <c r="J5" i="8"/>
  <c r="L7" i="7"/>
  <c r="K7" i="7"/>
  <c r="L5" i="7"/>
  <c r="K5" i="7"/>
  <c r="J5" i="7"/>
  <c r="L6" i="7"/>
  <c r="J6" i="7"/>
  <c r="K6" i="7"/>
  <c r="L9" i="7"/>
  <c r="K9" i="7"/>
  <c r="J9" i="7"/>
  <c r="R4" i="7"/>
  <c r="K4" i="7"/>
  <c r="J4" i="7"/>
  <c r="L10" i="7"/>
  <c r="K10" i="7"/>
  <c r="J10" i="7"/>
  <c r="L8" i="7"/>
  <c r="K8" i="7"/>
  <c r="J8" i="7"/>
  <c r="L11" i="7"/>
  <c r="K11" i="7"/>
  <c r="L12" i="7"/>
  <c r="K12" i="7"/>
  <c r="J12" i="7"/>
  <c r="K20" i="8" l="1"/>
  <c r="J11" i="8"/>
  <c r="K11" i="8"/>
  <c r="J23" i="8"/>
  <c r="N21" i="8"/>
  <c r="K16" i="8"/>
  <c r="K22" i="8"/>
  <c r="K21" i="8"/>
  <c r="O21" i="8" s="1"/>
  <c r="J19" i="8"/>
  <c r="K18" i="8"/>
  <c r="K17" i="8"/>
  <c r="J10" i="8"/>
  <c r="K9" i="8"/>
  <c r="J9" i="8"/>
  <c r="N9" i="8" s="1"/>
  <c r="K8" i="8"/>
  <c r="J8" i="8"/>
  <c r="K7" i="8"/>
  <c r="O6" i="8" s="1"/>
  <c r="J7" i="8"/>
  <c r="N6" i="8" s="1"/>
  <c r="J3" i="8"/>
  <c r="N3" i="8" s="1"/>
  <c r="K3" i="8"/>
  <c r="K15" i="8"/>
  <c r="K4" i="8"/>
  <c r="O3" i="8" s="1"/>
  <c r="O18" i="8"/>
  <c r="N18" i="8"/>
  <c r="N15" i="8"/>
  <c r="O9" i="8"/>
  <c r="R10" i="7"/>
  <c r="R7" i="7"/>
  <c r="P10" i="7"/>
  <c r="Q10" i="7"/>
  <c r="P4" i="7"/>
  <c r="Q4" i="7"/>
  <c r="Q7" i="7"/>
  <c r="O15" i="8" l="1"/>
  <c r="M4" i="6"/>
  <c r="S4" i="6" l="1"/>
  <c r="J11" i="6"/>
  <c r="J12" i="6"/>
  <c r="J10" i="6"/>
  <c r="J8" i="6"/>
  <c r="J9" i="6"/>
  <c r="J7" i="6"/>
  <c r="J5" i="6"/>
  <c r="J6" i="6"/>
  <c r="J4" i="6"/>
  <c r="N19" i="6"/>
  <c r="O19" i="6" s="1"/>
  <c r="N18" i="6"/>
  <c r="O18" i="6" s="1"/>
  <c r="N17" i="6"/>
  <c r="O17" i="6" s="1"/>
  <c r="B23" i="6"/>
  <c r="B22" i="6"/>
  <c r="B17" i="6"/>
  <c r="B21" i="6"/>
  <c r="B20" i="6"/>
  <c r="B19" i="6"/>
  <c r="B18" i="6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E12" i="1"/>
  <c r="K12" i="1" s="1"/>
  <c r="D12" i="1"/>
  <c r="J12" i="1" s="1"/>
  <c r="E11" i="1"/>
  <c r="K11" i="1" s="1"/>
  <c r="D11" i="1"/>
  <c r="J11" i="1" s="1"/>
  <c r="E10" i="1"/>
  <c r="K10" i="1" s="1"/>
  <c r="D10" i="1"/>
  <c r="J10" i="1" s="1"/>
  <c r="E9" i="1"/>
  <c r="K9" i="1" s="1"/>
  <c r="D9" i="1"/>
  <c r="J9" i="1" s="1"/>
  <c r="E8" i="1"/>
  <c r="K8" i="1" s="1"/>
  <c r="D8" i="1"/>
  <c r="J8" i="1" s="1"/>
  <c r="E7" i="1"/>
  <c r="K7" i="1" s="1"/>
  <c r="D7" i="1"/>
  <c r="J7" i="1" s="1"/>
  <c r="E6" i="1"/>
  <c r="K6" i="1" s="1"/>
  <c r="D6" i="1"/>
  <c r="J6" i="1" s="1"/>
  <c r="E5" i="1"/>
  <c r="K5" i="1" s="1"/>
  <c r="J5" i="1"/>
  <c r="E4" i="1"/>
  <c r="K4" i="1" s="1"/>
  <c r="D4" i="1"/>
  <c r="J4" i="1" s="1"/>
  <c r="P17" i="6" l="1"/>
  <c r="Q17" i="6" s="1"/>
  <c r="P18" i="6"/>
  <c r="Q18" i="6" s="1"/>
  <c r="P19" i="6"/>
  <c r="Q19" i="6" s="1"/>
  <c r="F12" i="6" l="1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H12" i="6" l="1"/>
  <c r="I12" i="6" s="1"/>
  <c r="K12" i="6" s="1"/>
  <c r="H11" i="6"/>
  <c r="I11" i="6" s="1"/>
  <c r="K11" i="6" s="1"/>
  <c r="H10" i="6"/>
  <c r="I10" i="6" s="1"/>
  <c r="K10" i="6" s="1"/>
  <c r="H9" i="6"/>
  <c r="I9" i="6" s="1"/>
  <c r="K9" i="6" s="1"/>
  <c r="H8" i="6"/>
  <c r="I8" i="6" s="1"/>
  <c r="K8" i="6" s="1"/>
  <c r="H7" i="6"/>
  <c r="I7" i="6" s="1"/>
  <c r="K7" i="6" s="1"/>
  <c r="H6" i="6"/>
  <c r="I6" i="6" s="1"/>
  <c r="K6" i="6" s="1"/>
  <c r="H5" i="6"/>
  <c r="I5" i="6" s="1"/>
  <c r="K5" i="6" s="1"/>
  <c r="H4" i="6"/>
  <c r="I4" i="6" s="1"/>
  <c r="K4" i="6" s="1"/>
  <c r="L12" i="6" l="1"/>
  <c r="M12" i="6"/>
  <c r="N12" i="6"/>
  <c r="M11" i="6"/>
  <c r="N11" i="6"/>
  <c r="L11" i="6"/>
  <c r="N10" i="6"/>
  <c r="T10" i="6" s="1"/>
  <c r="M10" i="6"/>
  <c r="S10" i="6" s="1"/>
  <c r="L10" i="6"/>
  <c r="N9" i="6"/>
  <c r="L9" i="6"/>
  <c r="M9" i="6"/>
  <c r="L8" i="6"/>
  <c r="M8" i="6"/>
  <c r="N8" i="6"/>
  <c r="N7" i="6"/>
  <c r="M7" i="6"/>
  <c r="L7" i="6"/>
  <c r="N6" i="6"/>
  <c r="M6" i="6"/>
  <c r="L6" i="6"/>
  <c r="M5" i="6"/>
  <c r="N5" i="6"/>
  <c r="L5" i="6"/>
  <c r="L4" i="6"/>
  <c r="T7" i="6" l="1"/>
  <c r="R4" i="6"/>
  <c r="R7" i="6"/>
  <c r="T4" i="6"/>
  <c r="S7" i="6"/>
  <c r="R10" i="6"/>
</calcChain>
</file>

<file path=xl/sharedStrings.xml><?xml version="1.0" encoding="utf-8"?>
<sst xmlns="http://schemas.openxmlformats.org/spreadsheetml/2006/main" count="170" uniqueCount="83">
  <si>
    <t>№</t>
  </si>
  <si>
    <t>мкг/мл</t>
  </si>
  <si>
    <t>мкмоль/мл</t>
  </si>
  <si>
    <t>мкмоль общ</t>
  </si>
  <si>
    <t>Калибровка</t>
  </si>
  <si>
    <t>His 1 mM 1</t>
  </si>
  <si>
    <t>His 1 mM 2</t>
  </si>
  <si>
    <t>His 1 mM 3</t>
  </si>
  <si>
    <t>His 0,5 mM 1</t>
  </si>
  <si>
    <t>His 0,5 mM 2</t>
  </si>
  <si>
    <t>His 0,5 mM 3</t>
  </si>
  <si>
    <t>V общ</t>
  </si>
  <si>
    <t>Vал.</t>
  </si>
  <si>
    <t>D600 1</t>
  </si>
  <si>
    <t>D600 2</t>
  </si>
  <si>
    <t>D600 Ср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</si>
  <si>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</si>
  <si>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</si>
  <si>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</si>
  <si>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</si>
  <si>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</si>
  <si>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Сырая масса корней</t>
  </si>
  <si>
    <t>Сухая масса корней</t>
  </si>
  <si>
    <t>Сухая масса клеточной стенки</t>
  </si>
  <si>
    <t>l=50</t>
  </si>
  <si>
    <t>Средняя сорбция на грамм FW</t>
  </si>
  <si>
    <t>Средняя сорбция на грамм DW</t>
  </si>
  <si>
    <t>СОРБЦИЯ ПО РАСТВОРАМ</t>
  </si>
  <si>
    <t>Средняя сорбция на грамм DW кл. ст.</t>
  </si>
  <si>
    <t>Масса растений 9 растений 10 дней</t>
  </si>
  <si>
    <t>Сорбция</t>
  </si>
  <si>
    <t>FW корня</t>
  </si>
  <si>
    <t>FW побега</t>
  </si>
  <si>
    <t>DW корня</t>
  </si>
  <si>
    <t>DW побега</t>
  </si>
  <si>
    <t>DW КС корня</t>
  </si>
  <si>
    <t>DW КС побега</t>
  </si>
  <si>
    <t>Оводненность корней (контр)</t>
  </si>
  <si>
    <t>Оводненность побегов (контр)</t>
  </si>
  <si>
    <t>Массовая доля КС корня</t>
  </si>
  <si>
    <t>Массовая доля КС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</si>
  <si>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1</t>
    </r>
  </si>
  <si>
    <t>Озоление</t>
  </si>
  <si>
    <t>Оводненность Корней</t>
  </si>
  <si>
    <t>Оводненность Побег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</si>
  <si>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</si>
  <si>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</si>
  <si>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</si>
  <si>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</si>
  <si>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</si>
  <si>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His 1 </t>
    </r>
    <r>
      <rPr>
        <sz val="11"/>
        <color theme="1"/>
        <rFont val="Calibri"/>
        <family val="2"/>
        <charset val="204"/>
        <scheme val="minor"/>
      </rPr>
      <t>1</t>
    </r>
  </si>
  <si>
    <r>
      <t xml:space="preserve">His 1 </t>
    </r>
    <r>
      <rPr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</si>
  <si>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His 1 </t>
    </r>
    <r>
      <rPr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</si>
  <si>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CuCl 100 1</t>
  </si>
  <si>
    <t>CuCl 100 2</t>
  </si>
  <si>
    <t>CuCl 100 3</t>
  </si>
  <si>
    <t>ИСХОДНЫЕ ДЛЯ КОРНЕЙ</t>
  </si>
  <si>
    <t xml:space="preserve">His 1 </t>
  </si>
  <si>
    <r>
      <t>His 0,5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</si>
  <si>
    <t>CuCl 100</t>
  </si>
  <si>
    <t>ДЕСОРБЦИЯ ПО РАСТВОРАМ</t>
  </si>
  <si>
    <t>Десорбция на г сырой массы</t>
  </si>
  <si>
    <t>Десорбция на г сухой массы</t>
  </si>
  <si>
    <t>Десорбция на г сухой массы стенки</t>
  </si>
  <si>
    <t>L=10</t>
  </si>
  <si>
    <t>Сырая масса корня</t>
  </si>
  <si>
    <t>Сухая масса корня</t>
  </si>
  <si>
    <t>Сухая масса клеточной стенки корня</t>
  </si>
  <si>
    <t>Озоление корней</t>
  </si>
  <si>
    <t>Озоление побегов</t>
  </si>
  <si>
    <t>Сухая масса побега</t>
  </si>
  <si>
    <t>Сырая масса побега</t>
  </si>
  <si>
    <t>1(5)100</t>
  </si>
  <si>
    <t>1(6)100</t>
  </si>
  <si>
    <t>1(7)100</t>
  </si>
  <si>
    <t>1(8)100</t>
  </si>
  <si>
    <t>Калибровка корни L=30</t>
  </si>
  <si>
    <t>Калибровка побеги L=50</t>
  </si>
  <si>
    <t>Эндогенное содержание на г сырой массы побега</t>
  </si>
  <si>
    <t>Эндогенное содержание на г сухой массы побега</t>
  </si>
  <si>
    <t>Эндогенное содержание на г сырой массы корня</t>
  </si>
  <si>
    <t>Эндогенное содержание на г сухой массы корня</t>
  </si>
  <si>
    <t>Калибровка корни L=30 (ДОП HIS 0,5 2, His 1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</si>
</sst>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4" fontId="1" fillId="0" borderId="2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64" fontId="1" fillId="0" borderId="2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7" fillId="0" borderId="1" xfId="0" applyNumberFormat="1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165" fontId="7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0" fontId="7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549150208682928"/>
                  <c:y val="-6.8687274624796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КС корня'!$C$17:$C$23</c:f>
              <c:numCache>
                <c:formatCode>General</c:formatCode>
                <c:ptCount val="7"/>
                <c:pt idx="0">
                  <c:v>3.9E-2</c:v>
                </c:pt>
                <c:pt idx="1">
                  <c:v>8.4000000000000005E-2</c:v>
                </c:pt>
                <c:pt idx="2">
                  <c:v>0.13200000000000001</c:v>
                </c:pt>
                <c:pt idx="3">
                  <c:v>0.182</c:v>
                </c:pt>
                <c:pt idx="4">
                  <c:v>0.221</c:v>
                </c:pt>
                <c:pt idx="5">
                  <c:v>0.246</c:v>
                </c:pt>
                <c:pt idx="6">
                  <c:v>0.28399999999999997</c:v>
                </c:pt>
              </c:numCache>
            </c:numRef>
          </c:xVal>
          <c:yVal>
            <c:numRef>
              <c:f>'Сорбция КС корня'!$B$17:$B$23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0-4EFD-BA5E-3ECAD967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6864"/>
        <c:axId val="449178176"/>
      </c:scatterChart>
      <c:valAx>
        <c:axId val="4491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8176"/>
        <c:crosses val="autoZero"/>
        <c:crossBetween val="midCat"/>
      </c:valAx>
      <c:valAx>
        <c:axId val="44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43722659667543"/>
                  <c:y val="-0.20762795275590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Десорбция!$C$17:$C$20</c:f>
              <c:numCache>
                <c:formatCode>General</c:formatCode>
                <c:ptCount val="4"/>
                <c:pt idx="0">
                  <c:v>0.106</c:v>
                </c:pt>
                <c:pt idx="1">
                  <c:v>0.13700000000000001</c:v>
                </c:pt>
                <c:pt idx="2">
                  <c:v>0.17</c:v>
                </c:pt>
                <c:pt idx="3">
                  <c:v>0.19500000000000001</c:v>
                </c:pt>
              </c:numCache>
            </c:numRef>
          </c:xVal>
          <c:yVal>
            <c:numRef>
              <c:f>Десорбция!$B$17:$B$20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D-4977-BC0C-0227684B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90512"/>
        <c:axId val="693186576"/>
      </c:scatterChart>
      <c:valAx>
        <c:axId val="6931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186576"/>
        <c:crosses val="autoZero"/>
        <c:crossBetween val="midCat"/>
      </c:valAx>
      <c:valAx>
        <c:axId val="693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1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корней и побегов'!$A$26</c:f>
              <c:strCache>
                <c:ptCount val="1"/>
                <c:pt idx="0">
                  <c:v>Калибровка корни L=30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74671916010494"/>
                  <c:y val="-0.16279163021289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корней и побегов'!$C$27:$C$32</c:f>
              <c:numCache>
                <c:formatCode>General</c:formatCode>
                <c:ptCount val="6"/>
                <c:pt idx="0">
                  <c:v>3.1E-2</c:v>
                </c:pt>
                <c:pt idx="1">
                  <c:v>0.11700000000000001</c:v>
                </c:pt>
                <c:pt idx="2">
                  <c:v>0.17499999999999999</c:v>
                </c:pt>
                <c:pt idx="3">
                  <c:v>0.25800000000000001</c:v>
                </c:pt>
                <c:pt idx="4">
                  <c:v>0.29099999999999998</c:v>
                </c:pt>
              </c:numCache>
            </c:numRef>
          </c:xVal>
          <c:yVal>
            <c:numRef>
              <c:f>'Озоление корней и побегов'!$B$27:$B$32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F-4AFC-AE57-EFA27FCB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7504"/>
        <c:axId val="83802256"/>
      </c:scatterChart>
      <c:valAx>
        <c:axId val="838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2256"/>
        <c:crosses val="autoZero"/>
        <c:crossBetween val="midCat"/>
      </c:valAx>
      <c:valAx>
        <c:axId val="838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корней и побегов'!$A$34</c:f>
              <c:strCache>
                <c:ptCount val="1"/>
                <c:pt idx="0">
                  <c:v>Калибровка побеги L=50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14195100612423"/>
                  <c:y val="-0.19515310586176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корней и побегов'!$C$35:$C$39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8.5000000000000006E-2</c:v>
                </c:pt>
                <c:pt idx="2">
                  <c:v>0.13400000000000001</c:v>
                </c:pt>
                <c:pt idx="3">
                  <c:v>0.184</c:v>
                </c:pt>
                <c:pt idx="4">
                  <c:v>0.23899999999999999</c:v>
                </c:pt>
              </c:numCache>
            </c:numRef>
          </c:xVal>
          <c:yVal>
            <c:numRef>
              <c:f>'Озоление корней и побегов'!$B$35:$B$39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C-4E7E-BAA8-684AE752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35816"/>
        <c:axId val="635836800"/>
      </c:scatterChart>
      <c:valAx>
        <c:axId val="63583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36800"/>
        <c:crosses val="autoZero"/>
        <c:crossBetween val="midCat"/>
      </c:valAx>
      <c:valAx>
        <c:axId val="6358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3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478512947075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корней и побегов'!$A$42</c:f>
              <c:strCache>
                <c:ptCount val="1"/>
                <c:pt idx="0">
                  <c:v>Калибровка корни L=30 (ДОП HIS 0,5 2, His 1 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71916010498687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корней и побегов'!$C$43:$C$47</c:f>
              <c:numCache>
                <c:formatCode>General</c:formatCode>
                <c:ptCount val="5"/>
                <c:pt idx="0">
                  <c:v>1.4E-2</c:v>
                </c:pt>
                <c:pt idx="1">
                  <c:v>0.13900000000000001</c:v>
                </c:pt>
                <c:pt idx="2">
                  <c:v>0.25600000000000001</c:v>
                </c:pt>
                <c:pt idx="3">
                  <c:v>0.379</c:v>
                </c:pt>
                <c:pt idx="4">
                  <c:v>0.505</c:v>
                </c:pt>
              </c:numCache>
            </c:numRef>
          </c:xVal>
          <c:yVal>
            <c:numRef>
              <c:f>'Озоление корней и побегов'!$B$43:$B$47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4-49BB-91DB-A99DB509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55600"/>
        <c:axId val="659955928"/>
      </c:scatterChart>
      <c:valAx>
        <c:axId val="659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955928"/>
        <c:crosses val="autoZero"/>
        <c:crossBetween val="midCat"/>
      </c:valAx>
      <c:valAx>
        <c:axId val="6599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9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66675</xdr:rowOff>
    </xdr:from>
    <xdr:to>
      <xdr:col>8</xdr:col>
      <xdr:colOff>438150</xdr:colOff>
      <xdr:row>40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45F3F4-5D1A-4281-9AF3-E8287FDA6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80962</xdr:rowOff>
    </xdr:from>
    <xdr:to>
      <xdr:col>10</xdr:col>
      <xdr:colOff>714375</xdr:colOff>
      <xdr:row>27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45482E-F08C-412E-8BB6-174585484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24</xdr:row>
      <xdr:rowOff>138112</xdr:rowOff>
    </xdr:from>
    <xdr:to>
      <xdr:col>9</xdr:col>
      <xdr:colOff>1171575</xdr:colOff>
      <xdr:row>39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29C9B0-3F2C-4715-BF4B-28F1518C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781050</xdr:colOff>
      <xdr:row>24</xdr:row>
      <xdr:rowOff>185737</xdr:rowOff>
    </xdr:from>
    <xdr:to>
      <xdr:col>14</xdr:col>
      <xdr:colOff>400050</xdr:colOff>
      <xdr:row>39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129A91-A073-4859-AFAB-13641E67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40</xdr:row>
      <xdr:rowOff>4762</xdr:rowOff>
    </xdr:from>
    <xdr:to>
      <xdr:col>10</xdr:col>
      <xdr:colOff>523875</xdr:colOff>
      <xdr:row>54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06054-8458-4B84-BC01-21236CB8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A7" zoomScale="130" zoomScaleNormal="130" workbookViewId="0">
      <selection activeCell="D31" sqref="D31"/>
    </sheetView>
  </sheetViews>
  <sheetFormatPr defaultRowHeight="15" x14ac:dyDescent="0.25"/>
  <cols>
    <col min="2" max="2" width="16" customWidth="1"/>
    <col min="3" max="3" width="19" customWidth="1"/>
    <col min="4" max="4" width="17.85546875" customWidth="1"/>
    <col min="5" max="5" width="17.7109375" customWidth="1"/>
    <col min="6" max="6" width="22.85546875" customWidth="1"/>
    <col min="7" max="7" width="19.85546875" customWidth="1"/>
    <col min="8" max="8" width="21.42578125" customWidth="1"/>
    <col min="9" max="9" width="20.7109375" customWidth="1"/>
    <col min="10" max="10" width="16" customWidth="1"/>
    <col min="11" max="11" width="23.28515625" customWidth="1"/>
    <col min="12" max="12" width="13" customWidth="1"/>
    <col min="13" max="14" width="11" bestFit="1" customWidth="1"/>
    <col min="15" max="16" width="10.85546875" bestFit="1" customWidth="1"/>
    <col min="19" max="19" width="15.85546875" customWidth="1"/>
    <col min="20" max="20" width="34.28515625" customWidth="1"/>
    <col min="21" max="21" width="12.7109375" customWidth="1"/>
    <col min="22" max="22" width="29.140625" customWidth="1"/>
    <col min="23" max="23" width="31.42578125" customWidth="1"/>
  </cols>
  <sheetData>
    <row r="1" spans="1:11" x14ac:dyDescent="0.25">
      <c r="A1" s="12" t="s">
        <v>29</v>
      </c>
      <c r="B1" s="12"/>
      <c r="C1" s="12"/>
      <c r="D1" s="12"/>
      <c r="E1" s="12"/>
      <c r="F1" s="7"/>
      <c r="G1" s="7"/>
    </row>
    <row r="2" spans="1:11" x14ac:dyDescent="0.25">
      <c r="A2" s="12" t="s">
        <v>30</v>
      </c>
      <c r="B2" s="12"/>
      <c r="C2" s="12"/>
      <c r="D2" s="12"/>
      <c r="E2" s="12"/>
      <c r="F2" s="7"/>
      <c r="G2" s="7"/>
    </row>
    <row r="3" spans="1:11" ht="30" x14ac:dyDescent="0.25">
      <c r="A3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s="8" t="s">
        <v>37</v>
      </c>
      <c r="I3" s="8" t="s">
        <v>38</v>
      </c>
      <c r="J3" s="8" t="s">
        <v>39</v>
      </c>
      <c r="K3" s="8" t="s">
        <v>40</v>
      </c>
    </row>
    <row r="4" spans="1:11" ht="17.25" x14ac:dyDescent="0.25">
      <c r="A4" t="s">
        <v>41</v>
      </c>
      <c r="B4">
        <v>0.76190000000000002</v>
      </c>
      <c r="C4">
        <v>1.2899</v>
      </c>
      <c r="D4">
        <f>B4/(1+$H$4)</f>
        <v>4.2883989975569317E-2</v>
      </c>
      <c r="E4">
        <f>C4/(1+$I$4)</f>
        <v>0.13146357696738947</v>
      </c>
      <c r="F4">
        <v>2.1000000000000001E-2</v>
      </c>
      <c r="G4">
        <v>5.8999999999999997E-2</v>
      </c>
      <c r="H4">
        <v>16.766537125721012</v>
      </c>
      <c r="I4">
        <v>8.8118431717400281</v>
      </c>
      <c r="J4">
        <f>F4/D4</f>
        <v>0.48969324011043613</v>
      </c>
      <c r="K4">
        <f>G4/E4</f>
        <v>0.44879350890197817</v>
      </c>
    </row>
    <row r="5" spans="1:11" ht="17.25" x14ac:dyDescent="0.25">
      <c r="A5" t="s">
        <v>45</v>
      </c>
      <c r="B5">
        <v>0.94179999999999997</v>
      </c>
      <c r="C5">
        <v>1.3706</v>
      </c>
      <c r="D5">
        <f>B5/(1+$H$4)</f>
        <v>5.3009767369721988E-2</v>
      </c>
      <c r="E5">
        <f t="shared" ref="E5:E12" si="0">C5/(1+$I$4)</f>
        <v>0.13968833133692846</v>
      </c>
      <c r="F5">
        <v>2.4400000000000002E-2</v>
      </c>
      <c r="G5">
        <v>5.7299999999999997E-2</v>
      </c>
      <c r="J5">
        <f t="shared" ref="J5:K12" si="1">F5/D5</f>
        <v>0.46029253118240893</v>
      </c>
      <c r="K5">
        <f t="shared" si="1"/>
        <v>0.41019890102196377</v>
      </c>
    </row>
    <row r="6" spans="1:11" ht="17.25" x14ac:dyDescent="0.25">
      <c r="A6" t="s">
        <v>46</v>
      </c>
      <c r="B6">
        <v>0.91310000000000002</v>
      </c>
      <c r="C6">
        <v>1.3949</v>
      </c>
      <c r="D6">
        <f t="shared" ref="D6:D12" si="2">B6/(1+$H$4)</f>
        <v>5.1394370976102305E-2</v>
      </c>
      <c r="E6">
        <f t="shared" si="0"/>
        <v>0.14216493023630636</v>
      </c>
      <c r="F6">
        <v>2.5499999999999998E-2</v>
      </c>
      <c r="G6">
        <v>5.8099999999999999E-2</v>
      </c>
      <c r="J6">
        <f t="shared" si="1"/>
        <v>0.49616328628396206</v>
      </c>
      <c r="K6">
        <f t="shared" si="1"/>
        <v>0.40868025541479364</v>
      </c>
    </row>
    <row r="7" spans="1:11" ht="17.25" x14ac:dyDescent="0.25">
      <c r="A7" t="s">
        <v>47</v>
      </c>
      <c r="B7">
        <v>0.97719999999999996</v>
      </c>
      <c r="C7">
        <v>1.5268999999999999</v>
      </c>
      <c r="D7">
        <f t="shared" si="2"/>
        <v>5.5002277207148363E-2</v>
      </c>
      <c r="E7">
        <f t="shared" si="0"/>
        <v>0.15561806006008758</v>
      </c>
      <c r="F7">
        <v>2.5999999999999999E-2</v>
      </c>
      <c r="G7">
        <v>6.6199999999999995E-2</v>
      </c>
      <c r="J7">
        <f t="shared" si="1"/>
        <v>0.47270770084808256</v>
      </c>
      <c r="K7">
        <f t="shared" si="1"/>
        <v>0.42540049641049832</v>
      </c>
    </row>
    <row r="8" spans="1:11" ht="17.25" x14ac:dyDescent="0.25">
      <c r="A8" t="s">
        <v>48</v>
      </c>
      <c r="B8">
        <v>0.90490000000000004</v>
      </c>
      <c r="C8">
        <v>1.2807999999999999</v>
      </c>
      <c r="D8">
        <f t="shared" si="2"/>
        <v>5.093282914935382E-2</v>
      </c>
      <c r="E8">
        <f t="shared" si="0"/>
        <v>0.13053612635074999</v>
      </c>
      <c r="F8">
        <v>2.4299999999999999E-2</v>
      </c>
      <c r="G8">
        <v>5.2200000000000003E-2</v>
      </c>
      <c r="J8">
        <f t="shared" si="1"/>
        <v>0.47709896359268489</v>
      </c>
      <c r="K8">
        <f t="shared" si="1"/>
        <v>0.39988929853593813</v>
      </c>
    </row>
    <row r="9" spans="1:11" ht="17.25" x14ac:dyDescent="0.25">
      <c r="A9" t="s">
        <v>49</v>
      </c>
      <c r="B9">
        <v>0.90129999999999999</v>
      </c>
      <c r="C9">
        <v>1.4109</v>
      </c>
      <c r="D9">
        <f t="shared" si="2"/>
        <v>5.0730201030293513E-2</v>
      </c>
      <c r="E9">
        <f t="shared" si="0"/>
        <v>0.14379561263918894</v>
      </c>
      <c r="F9">
        <v>2.4899999999999999E-2</v>
      </c>
      <c r="G9">
        <v>6.3200000000000006E-2</v>
      </c>
      <c r="J9">
        <f t="shared" si="1"/>
        <v>0.49083188109447817</v>
      </c>
      <c r="K9">
        <f t="shared" si="1"/>
        <v>0.43951271419233806</v>
      </c>
    </row>
    <row r="10" spans="1:11" x14ac:dyDescent="0.25">
      <c r="A10" t="s">
        <v>50</v>
      </c>
      <c r="B10">
        <v>0.88200000000000001</v>
      </c>
      <c r="C10">
        <v>1.3226</v>
      </c>
      <c r="D10">
        <f t="shared" si="2"/>
        <v>4.9643889169775746E-2</v>
      </c>
      <c r="E10">
        <f t="shared" si="0"/>
        <v>0.13479628412828074</v>
      </c>
      <c r="F10">
        <v>2.1700000000000001E-2</v>
      </c>
      <c r="G10">
        <v>5.4800000000000001E-2</v>
      </c>
      <c r="J10">
        <f t="shared" si="1"/>
        <v>0.4371132149978979</v>
      </c>
      <c r="K10">
        <f t="shared" si="1"/>
        <v>0.40653939650034293</v>
      </c>
    </row>
    <row r="11" spans="1:11" x14ac:dyDescent="0.25">
      <c r="A11" t="s">
        <v>51</v>
      </c>
      <c r="B11">
        <v>0.82350000000000001</v>
      </c>
      <c r="C11">
        <v>1.1301000000000001</v>
      </c>
      <c r="D11">
        <f t="shared" si="2"/>
        <v>4.6351182235045717E-2</v>
      </c>
      <c r="E11">
        <f t="shared" si="0"/>
        <v>0.11517713646859978</v>
      </c>
      <c r="F11">
        <v>1.9699999999999999E-2</v>
      </c>
      <c r="G11">
        <v>4.4999999999999998E-2</v>
      </c>
      <c r="J11">
        <f t="shared" si="1"/>
        <v>0.42501612796199628</v>
      </c>
      <c r="K11">
        <f t="shared" si="1"/>
        <v>0.39070254201247784</v>
      </c>
    </row>
    <row r="12" spans="1:11" x14ac:dyDescent="0.25">
      <c r="A12" t="s">
        <v>52</v>
      </c>
      <c r="B12">
        <v>0.87170000000000003</v>
      </c>
      <c r="C12">
        <v>1.3464</v>
      </c>
      <c r="D12">
        <f t="shared" si="2"/>
        <v>4.9064147606908748E-2</v>
      </c>
      <c r="E12">
        <f t="shared" si="0"/>
        <v>0.13722192420256857</v>
      </c>
      <c r="F12">
        <v>2.1299999999999999E-2</v>
      </c>
      <c r="G12">
        <v>5.6399999999999999E-2</v>
      </c>
      <c r="J12">
        <f t="shared" si="1"/>
        <v>0.43412554867254505</v>
      </c>
      <c r="K12">
        <f t="shared" si="1"/>
        <v>0.41101303838839687</v>
      </c>
    </row>
    <row r="13" spans="1:11" x14ac:dyDescent="0.25">
      <c r="A13" s="12" t="s">
        <v>42</v>
      </c>
      <c r="B13" s="12"/>
      <c r="C13" s="12"/>
      <c r="D13" s="12"/>
      <c r="E13" s="12"/>
      <c r="F13" s="7"/>
      <c r="G13" s="7"/>
    </row>
    <row r="14" spans="1:11" x14ac:dyDescent="0.25">
      <c r="A14" t="s">
        <v>0</v>
      </c>
      <c r="B14" t="s">
        <v>31</v>
      </c>
      <c r="C14" t="s">
        <v>32</v>
      </c>
      <c r="D14" t="s">
        <v>33</v>
      </c>
      <c r="E14" t="s">
        <v>34</v>
      </c>
      <c r="F14" t="s">
        <v>43</v>
      </c>
      <c r="G14" t="s">
        <v>44</v>
      </c>
    </row>
    <row r="15" spans="1:11" ht="17.25" x14ac:dyDescent="0.25">
      <c r="A15" t="s">
        <v>41</v>
      </c>
      <c r="B15">
        <v>0.73740000000000006</v>
      </c>
      <c r="C15">
        <v>1.5744</v>
      </c>
      <c r="D15">
        <v>5.4600000000000003E-2</v>
      </c>
      <c r="E15">
        <v>0.15959999999999999</v>
      </c>
      <c r="F15">
        <f>(B15-D15)/D15</f>
        <v>12.505494505494505</v>
      </c>
      <c r="G15">
        <f>(C15-E15)/E15</f>
        <v>8.8646616541353396</v>
      </c>
    </row>
    <row r="16" spans="1:11" ht="17.25" x14ac:dyDescent="0.25">
      <c r="A16" t="s">
        <v>45</v>
      </c>
      <c r="B16">
        <v>0.67320000000000002</v>
      </c>
      <c r="C16">
        <v>1.4770000000000001</v>
      </c>
      <c r="D16">
        <v>4.8800000000000003E-2</v>
      </c>
      <c r="E16">
        <v>0.14610000000000001</v>
      </c>
      <c r="F16">
        <f t="shared" ref="F16:G23" si="3">(B16-D16)/D16</f>
        <v>12.795081967213115</v>
      </c>
      <c r="G16">
        <f t="shared" si="3"/>
        <v>9.1095140314852845</v>
      </c>
    </row>
    <row r="17" spans="1:7" ht="17.25" x14ac:dyDescent="0.25">
      <c r="A17" t="s">
        <v>46</v>
      </c>
      <c r="B17">
        <v>0.7611</v>
      </c>
      <c r="C17">
        <v>1.5002</v>
      </c>
      <c r="D17">
        <v>5.2999999999999999E-2</v>
      </c>
      <c r="E17">
        <v>0.15340000000000001</v>
      </c>
      <c r="F17">
        <f t="shared" si="3"/>
        <v>13.360377358490565</v>
      </c>
      <c r="G17">
        <f t="shared" si="3"/>
        <v>8.7796610169491522</v>
      </c>
    </row>
    <row r="18" spans="1:7" ht="17.25" x14ac:dyDescent="0.25">
      <c r="A18" t="s">
        <v>47</v>
      </c>
      <c r="B18">
        <v>0.95020000000000004</v>
      </c>
      <c r="C18">
        <v>1.6138999999999999</v>
      </c>
      <c r="D18">
        <v>7.0499999999999993E-2</v>
      </c>
      <c r="E18">
        <v>0.16370000000000001</v>
      </c>
      <c r="F18">
        <f t="shared" si="3"/>
        <v>12.478014184397164</v>
      </c>
      <c r="G18">
        <f t="shared" si="3"/>
        <v>8.8588882101404991</v>
      </c>
    </row>
    <row r="19" spans="1:7" ht="17.25" x14ac:dyDescent="0.25">
      <c r="A19" t="s">
        <v>48</v>
      </c>
      <c r="B19">
        <v>0.93810000000000004</v>
      </c>
      <c r="C19">
        <v>1.5868</v>
      </c>
      <c r="D19">
        <v>6.7500000000000004E-2</v>
      </c>
      <c r="E19">
        <v>0.16059999999999999</v>
      </c>
      <c r="F19">
        <f t="shared" si="3"/>
        <v>12.897777777777778</v>
      </c>
      <c r="G19">
        <f t="shared" si="3"/>
        <v>8.8804483188044827</v>
      </c>
    </row>
    <row r="20" spans="1:7" ht="17.25" x14ac:dyDescent="0.25">
      <c r="A20" t="s">
        <v>49</v>
      </c>
      <c r="B20">
        <v>0.82099999999999995</v>
      </c>
      <c r="C20">
        <v>1.3214999999999999</v>
      </c>
      <c r="D20">
        <v>5.8299999999999998E-2</v>
      </c>
      <c r="E20">
        <v>0.13270000000000001</v>
      </c>
      <c r="F20">
        <f t="shared" si="3"/>
        <v>13.082332761578044</v>
      </c>
      <c r="G20">
        <f t="shared" si="3"/>
        <v>8.9585531273549339</v>
      </c>
    </row>
    <row r="21" spans="1:7" x14ac:dyDescent="0.25">
      <c r="A21" t="s">
        <v>50</v>
      </c>
      <c r="B21">
        <v>1.0601</v>
      </c>
      <c r="C21">
        <v>1.9104000000000001</v>
      </c>
      <c r="D21">
        <v>7.4499999999999997E-2</v>
      </c>
      <c r="E21">
        <v>0.19259999999999999</v>
      </c>
      <c r="F21">
        <f t="shared" si="3"/>
        <v>13.229530201342284</v>
      </c>
      <c r="G21">
        <f t="shared" si="3"/>
        <v>8.9190031152647986</v>
      </c>
    </row>
    <row r="22" spans="1:7" x14ac:dyDescent="0.25">
      <c r="A22" t="s">
        <v>51</v>
      </c>
      <c r="B22">
        <v>1.0446</v>
      </c>
      <c r="C22">
        <v>1.7424999999999999</v>
      </c>
      <c r="D22">
        <v>7.3300000000000004E-2</v>
      </c>
      <c r="E22">
        <v>0.17549999999999999</v>
      </c>
      <c r="F22">
        <f t="shared" si="3"/>
        <v>13.251023192360162</v>
      </c>
      <c r="G22">
        <f t="shared" si="3"/>
        <v>8.9287749287749296</v>
      </c>
    </row>
    <row r="23" spans="1:7" x14ac:dyDescent="0.25">
      <c r="A23" t="s">
        <v>52</v>
      </c>
      <c r="B23">
        <v>0.89180000000000004</v>
      </c>
      <c r="C23">
        <v>1.4797</v>
      </c>
      <c r="D23">
        <v>6.54E-2</v>
      </c>
      <c r="E23">
        <v>0.152</v>
      </c>
      <c r="F23">
        <f t="shared" si="3"/>
        <v>12.636085626911315</v>
      </c>
      <c r="G23">
        <f t="shared" si="3"/>
        <v>8.7348684210526333</v>
      </c>
    </row>
  </sheetData>
  <mergeCells count="3">
    <mergeCell ref="A1:E1"/>
    <mergeCell ref="A2:E2"/>
    <mergeCell ref="A13:E13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AE7D-29FA-49B5-8CDB-AEA22694641E}">
  <dimension ref="A1:T23"/>
  <sheetViews>
    <sheetView workbookViewId="0">
      <selection activeCell="T17" sqref="T17"/>
    </sheetView>
  </sheetViews>
  <sheetFormatPr defaultRowHeight="15" x14ac:dyDescent="0.25"/>
  <cols>
    <col min="1" max="1" width="14.85546875" customWidth="1"/>
    <col min="7" max="7" width="10.85546875" bestFit="1" customWidth="1"/>
    <col min="9" max="9" width="11.28515625" customWidth="1"/>
    <col min="10" max="10" width="13.7109375" customWidth="1"/>
    <col min="11" max="11" width="14.85546875" customWidth="1"/>
    <col min="12" max="12" width="15.7109375" customWidth="1"/>
    <col min="13" max="13" width="14.7109375" customWidth="1"/>
    <col min="14" max="14" width="18.140625" customWidth="1"/>
    <col min="17" max="17" width="17.140625" customWidth="1"/>
    <col min="18" max="18" width="14.28515625" customWidth="1"/>
    <col min="19" max="19" width="15.7109375" customWidth="1"/>
    <col min="20" max="20" width="22.5703125" customWidth="1"/>
  </cols>
  <sheetData>
    <row r="1" spans="1:20" ht="27" x14ac:dyDescent="0.35">
      <c r="A1" s="13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3" spans="1:20" ht="60.75" customHeight="1" x14ac:dyDescent="0.3">
      <c r="A3" s="3" t="s">
        <v>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</v>
      </c>
      <c r="H3" s="3" t="s">
        <v>2</v>
      </c>
      <c r="I3" s="3" t="s">
        <v>3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6" t="s">
        <v>25</v>
      </c>
      <c r="S3" s="6" t="s">
        <v>26</v>
      </c>
      <c r="T3" s="6" t="s">
        <v>28</v>
      </c>
    </row>
    <row r="4" spans="1:20" ht="18.75" x14ac:dyDescent="0.3">
      <c r="A4" s="1" t="s">
        <v>53</v>
      </c>
      <c r="B4" s="4">
        <v>150</v>
      </c>
      <c r="C4" s="4">
        <v>1</v>
      </c>
      <c r="D4" s="5">
        <v>0.17399999999999999</v>
      </c>
      <c r="E4" s="5">
        <v>0.17699999999999999</v>
      </c>
      <c r="F4" s="5">
        <f>AVERAGE(D4:E4)</f>
        <v>0.17549999999999999</v>
      </c>
      <c r="G4" s="3">
        <f>(F4*24.16-0.1002)/C4</f>
        <v>4.1398799999999998</v>
      </c>
      <c r="H4" s="3">
        <f>G4/63.5</f>
        <v>6.519496062992125E-2</v>
      </c>
      <c r="I4" s="3">
        <f>H4*B4</f>
        <v>9.7792440944881882</v>
      </c>
      <c r="J4" s="3">
        <f>$Q$17</f>
        <v>16.913102362204722</v>
      </c>
      <c r="K4" s="3">
        <f>J4-I4</f>
        <v>7.1338582677165334</v>
      </c>
      <c r="L4" s="3">
        <f>K4/O4</f>
        <v>9.3632474966748038</v>
      </c>
      <c r="M4" s="3">
        <f>K4/P4</f>
        <v>166.35248426698723</v>
      </c>
      <c r="N4" s="3">
        <f>K4/Q4</f>
        <v>339.70753655793015</v>
      </c>
      <c r="O4" s="2">
        <v>0.76190000000000002</v>
      </c>
      <c r="P4" s="3">
        <v>4.2883989975569317E-2</v>
      </c>
      <c r="Q4" s="3">
        <v>2.1000000000000001E-2</v>
      </c>
      <c r="R4" s="14">
        <f>AVERAGE(L4:L6)</f>
        <v>9.0311506873804692</v>
      </c>
      <c r="S4" s="14">
        <f>AVERAGE(M4:M6)</f>
        <v>160.45227397532597</v>
      </c>
      <c r="T4" s="14">
        <f>AVERAGE(N4:N6)</f>
        <v>332.86665010653792</v>
      </c>
    </row>
    <row r="5" spans="1:20" ht="18.75" x14ac:dyDescent="0.3">
      <c r="A5" s="1" t="s">
        <v>54</v>
      </c>
      <c r="B5" s="4">
        <v>150</v>
      </c>
      <c r="C5" s="4">
        <v>1</v>
      </c>
      <c r="D5" s="5">
        <v>0.159</v>
      </c>
      <c r="E5" s="5">
        <v>0.158</v>
      </c>
      <c r="F5" s="5">
        <f t="shared" ref="F5:F12" si="0">AVERAGE(D5:E5)</f>
        <v>0.1585</v>
      </c>
      <c r="G5" s="3">
        <f t="shared" ref="G5:G12" si="1">(F5*24.16-0.1002)/C5</f>
        <v>3.7291599999999998</v>
      </c>
      <c r="H5" s="3">
        <f t="shared" ref="H5:H11" si="2">G5/63.5</f>
        <v>5.8726929133858262E-2</v>
      </c>
      <c r="I5" s="3">
        <f t="shared" ref="I5:I11" si="3">H5*B5</f>
        <v>8.8090393700787395</v>
      </c>
      <c r="J5" s="3">
        <f t="shared" ref="J5:J6" si="4">$Q$17</f>
        <v>16.913102362204722</v>
      </c>
      <c r="K5" s="3">
        <f t="shared" ref="K5:K11" si="5">J5-I5</f>
        <v>8.1040629921259821</v>
      </c>
      <c r="L5" s="3">
        <f t="shared" ref="L5:L12" si="6">K5/O5</f>
        <v>8.6048662052728631</v>
      </c>
      <c r="M5" s="3">
        <f t="shared" ref="M5:M11" si="7">K5/P5</f>
        <v>152.87867489784239</v>
      </c>
      <c r="N5" s="3">
        <f t="shared" ref="N5:N12" si="8">K5/Q5</f>
        <v>332.13372918549106</v>
      </c>
      <c r="O5" s="2">
        <v>0.94179999999999997</v>
      </c>
      <c r="P5" s="3">
        <v>5.3009767369721988E-2</v>
      </c>
      <c r="Q5" s="3">
        <v>2.4400000000000002E-2</v>
      </c>
      <c r="R5" s="15"/>
      <c r="S5" s="15"/>
      <c r="T5" s="15"/>
    </row>
    <row r="6" spans="1:20" ht="18.75" x14ac:dyDescent="0.3">
      <c r="A6" s="1" t="s">
        <v>55</v>
      </c>
      <c r="B6" s="4">
        <v>150</v>
      </c>
      <c r="C6" s="4">
        <v>1</v>
      </c>
      <c r="D6" s="5">
        <v>0.154</v>
      </c>
      <c r="E6" s="5">
        <v>0.155</v>
      </c>
      <c r="F6" s="5">
        <f t="shared" si="0"/>
        <v>0.1545</v>
      </c>
      <c r="G6" s="3">
        <f t="shared" si="1"/>
        <v>3.63252</v>
      </c>
      <c r="H6" s="3">
        <f t="shared" si="2"/>
        <v>5.7205039370078738E-2</v>
      </c>
      <c r="I6" s="3">
        <f t="shared" si="3"/>
        <v>8.5807559055118112</v>
      </c>
      <c r="J6" s="3">
        <f t="shared" si="4"/>
        <v>16.913102362204722</v>
      </c>
      <c r="K6" s="3">
        <f t="shared" si="5"/>
        <v>8.3323464566929104</v>
      </c>
      <c r="L6" s="3">
        <f t="shared" si="6"/>
        <v>9.1253383601937461</v>
      </c>
      <c r="M6" s="3">
        <f t="shared" si="7"/>
        <v>162.12566276114831</v>
      </c>
      <c r="N6" s="3">
        <f t="shared" si="8"/>
        <v>326.75868457619259</v>
      </c>
      <c r="O6" s="2">
        <v>0.91310000000000002</v>
      </c>
      <c r="P6" s="3">
        <v>5.1394370976102305E-2</v>
      </c>
      <c r="Q6" s="3">
        <v>2.5499999999999998E-2</v>
      </c>
      <c r="R6" s="15"/>
      <c r="S6" s="15"/>
      <c r="T6" s="15"/>
    </row>
    <row r="7" spans="1:20" ht="18.75" x14ac:dyDescent="0.3">
      <c r="A7" s="1" t="s">
        <v>8</v>
      </c>
      <c r="B7" s="4">
        <v>150</v>
      </c>
      <c r="C7" s="4">
        <v>1</v>
      </c>
      <c r="D7" s="5">
        <v>0.16700000000000001</v>
      </c>
      <c r="E7" s="5">
        <v>0.16500000000000001</v>
      </c>
      <c r="F7" s="5">
        <f t="shared" si="0"/>
        <v>0.16600000000000001</v>
      </c>
      <c r="G7" s="3">
        <f t="shared" si="1"/>
        <v>3.9103599999999998</v>
      </c>
      <c r="H7" s="3">
        <f t="shared" si="2"/>
        <v>6.1580472440944882E-2</v>
      </c>
      <c r="I7" s="3">
        <f t="shared" si="3"/>
        <v>9.2370708661417318</v>
      </c>
      <c r="J7" s="3">
        <f>$Q$18</f>
        <v>17.284062992125982</v>
      </c>
      <c r="K7" s="3">
        <f t="shared" si="5"/>
        <v>8.0469921259842501</v>
      </c>
      <c r="L7" s="3">
        <f t="shared" si="6"/>
        <v>8.2347442959314883</v>
      </c>
      <c r="M7" s="3">
        <f t="shared" si="7"/>
        <v>146.30289025448613</v>
      </c>
      <c r="N7" s="3">
        <f t="shared" si="8"/>
        <v>309.49969715324039</v>
      </c>
      <c r="O7" s="2">
        <v>0.97719999999999996</v>
      </c>
      <c r="P7" s="3">
        <v>5.5002277207148363E-2</v>
      </c>
      <c r="Q7" s="3">
        <v>2.5999999999999999E-2</v>
      </c>
      <c r="R7" s="14">
        <f t="shared" ref="R7:T7" si="9">AVERAGE(L7:L9)</f>
        <v>8.2954489783745284</v>
      </c>
      <c r="S7" s="14">
        <f t="shared" si="9"/>
        <v>147.38140224881548</v>
      </c>
      <c r="T7" s="14">
        <f t="shared" si="9"/>
        <v>306.98030809856584</v>
      </c>
    </row>
    <row r="8" spans="1:20" ht="18.75" x14ac:dyDescent="0.3">
      <c r="A8" s="1" t="s">
        <v>9</v>
      </c>
      <c r="B8" s="4">
        <v>150</v>
      </c>
      <c r="C8" s="4">
        <v>1</v>
      </c>
      <c r="D8" s="5">
        <v>0.17199999999999999</v>
      </c>
      <c r="E8" s="5">
        <v>0.17699999999999999</v>
      </c>
      <c r="F8" s="5">
        <f t="shared" si="0"/>
        <v>0.17449999999999999</v>
      </c>
      <c r="G8" s="3">
        <f t="shared" si="1"/>
        <v>4.1157199999999996</v>
      </c>
      <c r="H8" s="3">
        <f t="shared" si="2"/>
        <v>6.4814488188976366E-2</v>
      </c>
      <c r="I8" s="3">
        <f t="shared" si="3"/>
        <v>9.7221732283464544</v>
      </c>
      <c r="J8" s="3">
        <f t="shared" ref="J8:J9" si="10">$Q$18</f>
        <v>17.284062992125982</v>
      </c>
      <c r="K8" s="3">
        <f t="shared" si="5"/>
        <v>7.5618897637795275</v>
      </c>
      <c r="L8" s="3">
        <f t="shared" si="6"/>
        <v>8.3566026785053893</v>
      </c>
      <c r="M8" s="3">
        <f t="shared" si="7"/>
        <v>148.46789173256568</v>
      </c>
      <c r="N8" s="3">
        <f t="shared" si="8"/>
        <v>311.18887916788179</v>
      </c>
      <c r="O8" s="2">
        <v>0.90490000000000004</v>
      </c>
      <c r="P8" s="3">
        <v>5.093282914935382E-2</v>
      </c>
      <c r="Q8" s="3">
        <v>2.4299999999999999E-2</v>
      </c>
      <c r="R8" s="15"/>
      <c r="S8" s="15"/>
      <c r="T8" s="15"/>
    </row>
    <row r="9" spans="1:20" ht="18.75" x14ac:dyDescent="0.3">
      <c r="A9" s="1" t="s">
        <v>10</v>
      </c>
      <c r="B9" s="4">
        <v>150</v>
      </c>
      <c r="C9" s="4">
        <v>1</v>
      </c>
      <c r="D9" s="5">
        <v>0.17699999999999999</v>
      </c>
      <c r="E9" s="5">
        <v>0.17499999999999999</v>
      </c>
      <c r="F9" s="5">
        <f t="shared" si="0"/>
        <v>0.17599999999999999</v>
      </c>
      <c r="G9" s="3">
        <f t="shared" si="1"/>
        <v>4.1519599999999999</v>
      </c>
      <c r="H9" s="3">
        <f t="shared" si="2"/>
        <v>6.5385196850393693E-2</v>
      </c>
      <c r="I9" s="3">
        <f t="shared" si="3"/>
        <v>9.8077795275590542</v>
      </c>
      <c r="J9" s="3">
        <f t="shared" si="10"/>
        <v>17.284062992125982</v>
      </c>
      <c r="K9" s="3">
        <f t="shared" si="5"/>
        <v>7.4762834645669276</v>
      </c>
      <c r="L9" s="3">
        <f t="shared" si="6"/>
        <v>8.294999960686706</v>
      </c>
      <c r="M9" s="3">
        <f t="shared" si="7"/>
        <v>147.37342475939468</v>
      </c>
      <c r="N9" s="3">
        <f t="shared" si="8"/>
        <v>300.2523479745754</v>
      </c>
      <c r="O9" s="2">
        <v>0.90129999999999999</v>
      </c>
      <c r="P9" s="3">
        <v>5.0730201030293513E-2</v>
      </c>
      <c r="Q9" s="3">
        <v>2.4899999999999999E-2</v>
      </c>
      <c r="R9" s="15"/>
      <c r="S9" s="15"/>
      <c r="T9" s="15"/>
    </row>
    <row r="10" spans="1:20" ht="18.75" x14ac:dyDescent="0.3">
      <c r="A10" s="1" t="s">
        <v>5</v>
      </c>
      <c r="B10" s="4">
        <v>150</v>
      </c>
      <c r="C10" s="4">
        <v>1</v>
      </c>
      <c r="D10" s="5">
        <v>0.20200000000000001</v>
      </c>
      <c r="E10" s="5">
        <v>0.20200000000000001</v>
      </c>
      <c r="F10" s="5">
        <f t="shared" si="0"/>
        <v>0.20200000000000001</v>
      </c>
      <c r="G10" s="3">
        <f t="shared" si="1"/>
        <v>4.7801200000000001</v>
      </c>
      <c r="H10" s="3">
        <f t="shared" si="2"/>
        <v>7.5277480314960635E-2</v>
      </c>
      <c r="I10" s="3">
        <f t="shared" si="3"/>
        <v>11.291622047244095</v>
      </c>
      <c r="J10" s="3">
        <f>$Q$19</f>
        <v>17.169921259842521</v>
      </c>
      <c r="K10" s="3">
        <f t="shared" si="5"/>
        <v>5.8782992125984261</v>
      </c>
      <c r="L10" s="3">
        <f t="shared" si="6"/>
        <v>6.6647383362793944</v>
      </c>
      <c r="M10" s="3">
        <f t="shared" si="7"/>
        <v>118.40932108472396</v>
      </c>
      <c r="N10" s="3">
        <f>K10/Q10</f>
        <v>270.88936463587214</v>
      </c>
      <c r="O10" s="2">
        <v>0.88200000000000001</v>
      </c>
      <c r="P10" s="3">
        <v>4.9643889169775746E-2</v>
      </c>
      <c r="Q10" s="3">
        <v>2.1700000000000001E-2</v>
      </c>
      <c r="R10" s="14">
        <f t="shared" ref="R10:T10" si="11">AVERAGE(L10:L12)</f>
        <v>6.1017485433994807</v>
      </c>
      <c r="S10" s="14">
        <f t="shared" si="11"/>
        <v>108.40694202812098</v>
      </c>
      <c r="T10" s="14">
        <f t="shared" si="11"/>
        <v>250.92571560760621</v>
      </c>
    </row>
    <row r="11" spans="1:20" ht="18.75" x14ac:dyDescent="0.3">
      <c r="A11" s="1" t="s">
        <v>6</v>
      </c>
      <c r="B11" s="4">
        <v>150</v>
      </c>
      <c r="C11" s="4">
        <v>1</v>
      </c>
      <c r="D11" s="5">
        <v>0.216</v>
      </c>
      <c r="E11" s="5">
        <v>0.21299999999999999</v>
      </c>
      <c r="F11" s="5">
        <f t="shared" si="0"/>
        <v>0.2145</v>
      </c>
      <c r="G11" s="3">
        <f t="shared" si="1"/>
        <v>5.0821199999999997</v>
      </c>
      <c r="H11" s="3">
        <f t="shared" si="2"/>
        <v>8.003338582677165E-2</v>
      </c>
      <c r="I11" s="3">
        <f t="shared" si="3"/>
        <v>12.005007874015748</v>
      </c>
      <c r="J11" s="3">
        <f t="shared" ref="J11:J12" si="12">$Q$19</f>
        <v>17.169921259842521</v>
      </c>
      <c r="K11" s="3">
        <f t="shared" si="5"/>
        <v>5.1649133858267735</v>
      </c>
      <c r="L11" s="3">
        <f t="shared" si="6"/>
        <v>6.2719045365231008</v>
      </c>
      <c r="M11" s="3">
        <f t="shared" si="7"/>
        <v>111.43002479711571</v>
      </c>
      <c r="N11" s="3">
        <f t="shared" si="8"/>
        <v>262.17834445821188</v>
      </c>
      <c r="O11" s="2">
        <v>0.82350000000000001</v>
      </c>
      <c r="P11" s="3">
        <v>4.6351182235045717E-2</v>
      </c>
      <c r="Q11" s="3">
        <v>1.9699999999999999E-2</v>
      </c>
      <c r="R11" s="15"/>
      <c r="S11" s="15"/>
      <c r="T11" s="15"/>
    </row>
    <row r="12" spans="1:20" ht="18.75" x14ac:dyDescent="0.3">
      <c r="A12" s="1" t="s">
        <v>7</v>
      </c>
      <c r="B12" s="4">
        <v>150</v>
      </c>
      <c r="C12" s="4">
        <v>1</v>
      </c>
      <c r="D12" s="5">
        <v>0.224</v>
      </c>
      <c r="E12" s="5">
        <v>0.222</v>
      </c>
      <c r="F12" s="5">
        <f t="shared" si="0"/>
        <v>0.223</v>
      </c>
      <c r="G12" s="3">
        <f t="shared" si="1"/>
        <v>5.2874800000000004</v>
      </c>
      <c r="H12" s="3">
        <f>G12/63.5</f>
        <v>8.3267401574803154E-2</v>
      </c>
      <c r="I12" s="3">
        <f>H12*B12</f>
        <v>12.490110236220474</v>
      </c>
      <c r="J12" s="3">
        <f t="shared" si="12"/>
        <v>17.169921259842521</v>
      </c>
      <c r="K12" s="3">
        <f>J12-I12</f>
        <v>4.6798110236220474</v>
      </c>
      <c r="L12" s="3">
        <f t="shared" si="6"/>
        <v>5.3686027573959469</v>
      </c>
      <c r="M12" s="3">
        <f>K12/P12</f>
        <v>95.381480202523292</v>
      </c>
      <c r="N12" s="3">
        <f t="shared" si="8"/>
        <v>219.70943772873463</v>
      </c>
      <c r="O12" s="2">
        <v>0.87170000000000003</v>
      </c>
      <c r="P12" s="3">
        <v>4.9064147606908748E-2</v>
      </c>
      <c r="Q12" s="3">
        <v>2.1299999999999999E-2</v>
      </c>
      <c r="R12" s="15"/>
      <c r="S12" s="15"/>
      <c r="T12" s="15"/>
    </row>
    <row r="14" spans="1:20" x14ac:dyDescent="0.25">
      <c r="B14" t="s">
        <v>4</v>
      </c>
      <c r="D14" t="s">
        <v>24</v>
      </c>
    </row>
    <row r="15" spans="1:20" ht="20.25" x14ac:dyDescent="0.3">
      <c r="I15" s="9" t="s">
        <v>56</v>
      </c>
      <c r="J15" s="9"/>
      <c r="K15" s="9"/>
      <c r="L15" s="9"/>
      <c r="M15" s="9"/>
      <c r="N15" s="9"/>
      <c r="O15" s="9"/>
      <c r="P15" s="9"/>
      <c r="Q15" s="9"/>
    </row>
    <row r="16" spans="1:20" ht="20.25" x14ac:dyDescent="0.3">
      <c r="I16" s="9" t="s">
        <v>0</v>
      </c>
      <c r="J16" s="9" t="s">
        <v>11</v>
      </c>
      <c r="K16" s="9" t="s">
        <v>12</v>
      </c>
      <c r="L16" s="9" t="s">
        <v>13</v>
      </c>
      <c r="M16" s="9" t="s">
        <v>14</v>
      </c>
      <c r="N16" s="9" t="s">
        <v>15</v>
      </c>
      <c r="O16" s="9" t="s">
        <v>1</v>
      </c>
      <c r="P16" s="9" t="s">
        <v>2</v>
      </c>
      <c r="Q16" s="9" t="s">
        <v>3</v>
      </c>
    </row>
    <row r="17" spans="1:17" ht="20.25" x14ac:dyDescent="0.3">
      <c r="A17" s="9">
        <v>0.1</v>
      </c>
      <c r="B17" s="9">
        <f>A17*10</f>
        <v>1</v>
      </c>
      <c r="C17" s="9">
        <v>3.9E-2</v>
      </c>
      <c r="I17" s="1" t="s">
        <v>59</v>
      </c>
      <c r="J17" s="9">
        <v>150</v>
      </c>
      <c r="K17" s="9">
        <v>1</v>
      </c>
      <c r="L17" s="9">
        <v>0.3</v>
      </c>
      <c r="M17" s="9">
        <v>0.30099999999999999</v>
      </c>
      <c r="N17" s="9">
        <f>AVERAGE(L17:M17)</f>
        <v>0.30049999999999999</v>
      </c>
      <c r="O17" s="9">
        <f>(N17*24.16-0.1002)/K17</f>
        <v>7.1598799999999994</v>
      </c>
      <c r="P17" s="9">
        <f>O17/63.5</f>
        <v>0.11275401574803148</v>
      </c>
      <c r="Q17" s="9">
        <f>P17*J17</f>
        <v>16.913102362204722</v>
      </c>
    </row>
    <row r="18" spans="1:17" ht="20.25" x14ac:dyDescent="0.3">
      <c r="A18" s="9">
        <v>0.2</v>
      </c>
      <c r="B18" s="9">
        <f t="shared" ref="B18:B23" si="13">A18*10</f>
        <v>2</v>
      </c>
      <c r="C18" s="9">
        <v>8.4000000000000005E-2</v>
      </c>
      <c r="I18" t="s">
        <v>58</v>
      </c>
      <c r="J18" s="9">
        <v>150</v>
      </c>
      <c r="K18" s="9">
        <v>1</v>
      </c>
      <c r="L18" s="9">
        <v>0.30399999999999999</v>
      </c>
      <c r="M18" s="9">
        <v>0.31</v>
      </c>
      <c r="N18" s="9">
        <f t="shared" ref="N18:N19" si="14">AVERAGE(L18:M18)</f>
        <v>0.307</v>
      </c>
      <c r="O18" s="9">
        <f t="shared" ref="O18:O19" si="15">(N18*24.16-0.1002)/K18</f>
        <v>7.3169199999999996</v>
      </c>
      <c r="P18" s="9">
        <f t="shared" ref="P18:P19" si="16">O18/63.5</f>
        <v>0.11522708661417322</v>
      </c>
      <c r="Q18" s="9">
        <f t="shared" ref="Q18:Q19" si="17">P18*J18</f>
        <v>17.284062992125982</v>
      </c>
    </row>
    <row r="19" spans="1:17" ht="20.25" x14ac:dyDescent="0.3">
      <c r="A19" s="9">
        <v>0.3</v>
      </c>
      <c r="B19" s="9">
        <f t="shared" si="13"/>
        <v>3</v>
      </c>
      <c r="C19" s="9">
        <v>0.13200000000000001</v>
      </c>
      <c r="I19" t="s">
        <v>57</v>
      </c>
      <c r="J19" s="9">
        <v>150</v>
      </c>
      <c r="K19" s="9">
        <v>1</v>
      </c>
      <c r="L19" s="9">
        <v>0.30499999999999999</v>
      </c>
      <c r="M19" s="9">
        <v>0.30499999999999999</v>
      </c>
      <c r="N19" s="9">
        <f t="shared" si="14"/>
        <v>0.30499999999999999</v>
      </c>
      <c r="O19" s="9">
        <f t="shared" si="15"/>
        <v>7.2686000000000002</v>
      </c>
      <c r="P19" s="9">
        <f t="shared" si="16"/>
        <v>0.11446614173228346</v>
      </c>
      <c r="Q19" s="9">
        <f t="shared" si="17"/>
        <v>17.169921259842521</v>
      </c>
    </row>
    <row r="20" spans="1:17" ht="20.25" x14ac:dyDescent="0.3">
      <c r="A20" s="9">
        <v>0.4</v>
      </c>
      <c r="B20" s="9">
        <f t="shared" si="13"/>
        <v>4</v>
      </c>
      <c r="C20" s="9">
        <v>0.182</v>
      </c>
    </row>
    <row r="21" spans="1:17" ht="20.25" x14ac:dyDescent="0.3">
      <c r="A21" s="9">
        <v>0.5</v>
      </c>
      <c r="B21" s="9">
        <f t="shared" si="13"/>
        <v>5</v>
      </c>
      <c r="C21" s="9">
        <v>0.221</v>
      </c>
    </row>
    <row r="22" spans="1:17" ht="20.25" x14ac:dyDescent="0.3">
      <c r="A22" s="9">
        <v>0.6</v>
      </c>
      <c r="B22" s="9">
        <f t="shared" si="13"/>
        <v>6</v>
      </c>
      <c r="C22" s="9">
        <v>0.246</v>
      </c>
    </row>
    <row r="23" spans="1:17" ht="20.25" x14ac:dyDescent="0.3">
      <c r="A23" s="9">
        <v>0.7</v>
      </c>
      <c r="B23" s="9">
        <f t="shared" si="13"/>
        <v>7</v>
      </c>
      <c r="C23" s="9">
        <v>0.28399999999999997</v>
      </c>
    </row>
  </sheetData>
  <mergeCells count="10">
    <mergeCell ref="A1:S1"/>
    <mergeCell ref="T4:T6"/>
    <mergeCell ref="T7:T9"/>
    <mergeCell ref="T10:T12"/>
    <mergeCell ref="R4:R6"/>
    <mergeCell ref="R7:R9"/>
    <mergeCell ref="R10:R12"/>
    <mergeCell ref="S4:S6"/>
    <mergeCell ref="S7:S9"/>
    <mergeCell ref="S10:S1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C604-F049-49EC-8883-F55266E63154}">
  <dimension ref="A1:R20"/>
  <sheetViews>
    <sheetView topLeftCell="C1" workbookViewId="0">
      <selection activeCell="A3" sqref="A3:R12"/>
    </sheetView>
  </sheetViews>
  <sheetFormatPr defaultRowHeight="15" x14ac:dyDescent="0.25"/>
  <cols>
    <col min="1" max="1" width="13.7109375" customWidth="1"/>
    <col min="6" max="6" width="9" customWidth="1"/>
    <col min="7" max="7" width="15.140625" customWidth="1"/>
    <col min="9" max="9" width="11.85546875" customWidth="1"/>
    <col min="10" max="10" width="18.28515625" customWidth="1"/>
    <col min="11" max="11" width="22.140625" customWidth="1"/>
    <col min="12" max="12" width="24.28515625" customWidth="1"/>
    <col min="13" max="13" width="17" customWidth="1"/>
    <col min="14" max="14" width="18" customWidth="1"/>
    <col min="15" max="15" width="20.85546875" customWidth="1"/>
    <col min="16" max="16" width="17.140625" customWidth="1"/>
    <col min="17" max="17" width="17.42578125" customWidth="1"/>
    <col min="18" max="18" width="23.140625" customWidth="1"/>
  </cols>
  <sheetData>
    <row r="1" spans="1:18" ht="27" x14ac:dyDescent="0.35">
      <c r="A1" s="13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3" spans="1:18" ht="56.25" x14ac:dyDescent="0.3">
      <c r="A3" s="3" t="s">
        <v>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</v>
      </c>
      <c r="H3" s="3" t="s">
        <v>2</v>
      </c>
      <c r="I3" s="3" t="s">
        <v>3</v>
      </c>
      <c r="J3" s="3" t="s">
        <v>61</v>
      </c>
      <c r="K3" s="3" t="s">
        <v>62</v>
      </c>
      <c r="L3" s="3" t="s">
        <v>63</v>
      </c>
      <c r="M3" s="3" t="s">
        <v>65</v>
      </c>
      <c r="N3" s="3" t="s">
        <v>66</v>
      </c>
      <c r="O3" s="3" t="s">
        <v>67</v>
      </c>
      <c r="P3" s="10" t="s">
        <v>25</v>
      </c>
      <c r="Q3" s="10" t="s">
        <v>26</v>
      </c>
      <c r="R3" s="10" t="s">
        <v>28</v>
      </c>
    </row>
    <row r="4" spans="1:18" ht="18.75" x14ac:dyDescent="0.3">
      <c r="A4" s="1" t="s">
        <v>53</v>
      </c>
      <c r="B4" s="4">
        <v>20</v>
      </c>
      <c r="C4" s="4">
        <v>1</v>
      </c>
      <c r="D4" s="5">
        <v>0.17199999999999999</v>
      </c>
      <c r="E4" s="5">
        <v>0.17199999999999999</v>
      </c>
      <c r="F4" s="5">
        <f>AVERAGE(D4:E4)</f>
        <v>0.17199999999999999</v>
      </c>
      <c r="G4" s="3">
        <f>(F4*99.69+1.3471)/C4</f>
        <v>18.493780000000001</v>
      </c>
      <c r="H4" s="3">
        <f>G4/63.5</f>
        <v>0.29124062992125987</v>
      </c>
      <c r="I4" s="3">
        <f>H4*B4</f>
        <v>5.8248125984251971</v>
      </c>
      <c r="J4" s="3">
        <f>I4/M4</f>
        <v>7.6451143173975549</v>
      </c>
      <c r="K4" s="3">
        <f>I4/N4</f>
        <v>135.82720735042491</v>
      </c>
      <c r="L4" s="3">
        <f>I4/O4</f>
        <v>277.37202849643796</v>
      </c>
      <c r="M4" s="2">
        <v>0.76190000000000002</v>
      </c>
      <c r="N4" s="3">
        <v>4.2883989975569317E-2</v>
      </c>
      <c r="O4" s="3">
        <v>2.1000000000000001E-2</v>
      </c>
      <c r="P4" s="14">
        <f>AVERAGE(J4:J6)</f>
        <v>7.447638304325281</v>
      </c>
      <c r="Q4" s="14">
        <f>AVERAGE(K4:K6)</f>
        <v>132.31874243273697</v>
      </c>
      <c r="R4" s="14">
        <f>AVERAGE(L4:L6)</f>
        <v>274.60375565397624</v>
      </c>
    </row>
    <row r="5" spans="1:18" ht="18.75" x14ac:dyDescent="0.3">
      <c r="A5" s="1" t="s">
        <v>54</v>
      </c>
      <c r="B5" s="4">
        <v>20</v>
      </c>
      <c r="C5" s="4">
        <v>1</v>
      </c>
      <c r="D5" s="5">
        <v>0.20300000000000001</v>
      </c>
      <c r="E5" s="5">
        <v>0.20300000000000001</v>
      </c>
      <c r="F5" s="5">
        <f t="shared" ref="F5:F12" si="0">AVERAGE(D5:E5)</f>
        <v>0.20300000000000001</v>
      </c>
      <c r="G5" s="3">
        <f t="shared" ref="G5:G12" si="1">(F5*99.69+1.3471)/C5</f>
        <v>21.58417</v>
      </c>
      <c r="H5" s="3">
        <f t="shared" ref="H5:H11" si="2">G5/63.5</f>
        <v>0.33990818897637798</v>
      </c>
      <c r="I5" s="3">
        <f t="shared" ref="I5:I11" si="3">H5*B5</f>
        <v>6.7981637795275596</v>
      </c>
      <c r="J5" s="3">
        <f t="shared" ref="J5:J12" si="4">I5/M5</f>
        <v>7.2182669139175619</v>
      </c>
      <c r="K5" s="3">
        <f t="shared" ref="K5:K12" si="5">I5/N5</f>
        <v>128.24360710948</v>
      </c>
      <c r="L5" s="3">
        <f t="shared" ref="L5:L12" si="6">I5/O5</f>
        <v>278.61326965276879</v>
      </c>
      <c r="M5" s="2">
        <v>0.94179999999999997</v>
      </c>
      <c r="N5" s="3">
        <v>5.3009767369721988E-2</v>
      </c>
      <c r="O5" s="3">
        <v>2.4400000000000002E-2</v>
      </c>
      <c r="P5" s="15"/>
      <c r="Q5" s="15"/>
      <c r="R5" s="15"/>
    </row>
    <row r="6" spans="1:18" ht="18.75" x14ac:dyDescent="0.3">
      <c r="A6" s="1" t="s">
        <v>55</v>
      </c>
      <c r="B6" s="4">
        <v>20</v>
      </c>
      <c r="C6" s="4">
        <v>1</v>
      </c>
      <c r="D6" s="5">
        <v>0.20399999999999999</v>
      </c>
      <c r="E6" s="5">
        <v>0.20399999999999999</v>
      </c>
      <c r="F6" s="5">
        <f t="shared" si="0"/>
        <v>0.20399999999999999</v>
      </c>
      <c r="G6" s="3">
        <f t="shared" si="1"/>
        <v>21.683859999999999</v>
      </c>
      <c r="H6" s="3">
        <f t="shared" si="2"/>
        <v>0.34147811023622043</v>
      </c>
      <c r="I6" s="3">
        <f t="shared" si="3"/>
        <v>6.8295622047244091</v>
      </c>
      <c r="J6" s="3">
        <f t="shared" si="4"/>
        <v>7.4795336816607261</v>
      </c>
      <c r="K6" s="3">
        <f t="shared" si="5"/>
        <v>132.88541283830605</v>
      </c>
      <c r="L6" s="3">
        <f t="shared" si="6"/>
        <v>267.82596881272195</v>
      </c>
      <c r="M6" s="2">
        <v>0.91310000000000002</v>
      </c>
      <c r="N6" s="3">
        <v>5.1394370976102305E-2</v>
      </c>
      <c r="O6" s="3">
        <v>2.5499999999999998E-2</v>
      </c>
      <c r="P6" s="15"/>
      <c r="Q6" s="15"/>
      <c r="R6" s="15"/>
    </row>
    <row r="7" spans="1:18" ht="18.75" x14ac:dyDescent="0.3">
      <c r="A7" s="1" t="s">
        <v>8</v>
      </c>
      <c r="B7" s="4">
        <v>20</v>
      </c>
      <c r="C7" s="4">
        <v>1</v>
      </c>
      <c r="D7" s="5">
        <v>0.193</v>
      </c>
      <c r="E7" s="5">
        <v>0.193</v>
      </c>
      <c r="F7" s="5">
        <f t="shared" si="0"/>
        <v>0.193</v>
      </c>
      <c r="G7" s="3">
        <f t="shared" si="1"/>
        <v>20.58727</v>
      </c>
      <c r="H7" s="3">
        <f t="shared" si="2"/>
        <v>0.32420897637795276</v>
      </c>
      <c r="I7" s="3">
        <f t="shared" si="3"/>
        <v>6.4841795275590552</v>
      </c>
      <c r="J7" s="3">
        <f>I7/M7</f>
        <v>6.6354682025778304</v>
      </c>
      <c r="K7" s="3">
        <f t="shared" si="5"/>
        <v>117.88929216764028</v>
      </c>
      <c r="L7" s="3">
        <f t="shared" si="6"/>
        <v>249.3915202907329</v>
      </c>
      <c r="M7" s="2">
        <v>0.97719999999999996</v>
      </c>
      <c r="N7" s="3">
        <v>5.5002277207148363E-2</v>
      </c>
      <c r="O7" s="3">
        <v>2.5999999999999999E-2</v>
      </c>
      <c r="P7" s="14">
        <f>AVERAGE(J7:J9)</f>
        <v>6.5925522020225129</v>
      </c>
      <c r="Q7" s="14">
        <f t="shared" ref="Q7:R7" si="7">AVERAGE(K7:K9)</f>
        <v>117.12682345048678</v>
      </c>
      <c r="R7" s="14">
        <f t="shared" si="7"/>
        <v>244.04887047473281</v>
      </c>
    </row>
    <row r="8" spans="1:18" ht="18.75" x14ac:dyDescent="0.3">
      <c r="A8" s="1" t="s">
        <v>9</v>
      </c>
      <c r="B8" s="4">
        <v>20</v>
      </c>
      <c r="C8" s="4">
        <v>1</v>
      </c>
      <c r="D8" s="5">
        <v>0.18099999999999999</v>
      </c>
      <c r="E8" s="5">
        <v>0.182</v>
      </c>
      <c r="F8" s="5">
        <f t="shared" si="0"/>
        <v>0.18149999999999999</v>
      </c>
      <c r="G8" s="3">
        <f t="shared" si="1"/>
        <v>19.440835</v>
      </c>
      <c r="H8" s="3">
        <f t="shared" si="2"/>
        <v>0.30615488188976375</v>
      </c>
      <c r="I8" s="3">
        <f t="shared" si="3"/>
        <v>6.1230976377952748</v>
      </c>
      <c r="J8" s="3">
        <f t="shared" si="4"/>
        <v>6.7666014341864011</v>
      </c>
      <c r="K8" s="3">
        <f t="shared" si="5"/>
        <v>120.21907559542976</v>
      </c>
      <c r="L8" s="3">
        <f t="shared" si="6"/>
        <v>251.97932665824177</v>
      </c>
      <c r="M8" s="2">
        <v>0.90490000000000004</v>
      </c>
      <c r="N8" s="3">
        <v>5.093282914935382E-2</v>
      </c>
      <c r="O8" s="3">
        <v>2.4299999999999999E-2</v>
      </c>
      <c r="P8" s="15"/>
      <c r="Q8" s="15"/>
      <c r="R8" s="15"/>
    </row>
    <row r="9" spans="1:18" ht="18.75" x14ac:dyDescent="0.3">
      <c r="A9" s="1" t="s">
        <v>10</v>
      </c>
      <c r="B9" s="4">
        <v>20</v>
      </c>
      <c r="C9" s="4">
        <v>1</v>
      </c>
      <c r="D9" s="5">
        <v>0.16800000000000001</v>
      </c>
      <c r="E9" s="5">
        <v>0.17100000000000001</v>
      </c>
      <c r="F9" s="5">
        <f t="shared" si="0"/>
        <v>0.16950000000000001</v>
      </c>
      <c r="G9" s="3">
        <f t="shared" si="1"/>
        <v>18.244555000000002</v>
      </c>
      <c r="H9" s="3">
        <f t="shared" si="2"/>
        <v>0.28731582677165357</v>
      </c>
      <c r="I9" s="3">
        <f t="shared" si="3"/>
        <v>5.7463165354330714</v>
      </c>
      <c r="J9" s="3">
        <f>I9/M9</f>
        <v>6.375586969303308</v>
      </c>
      <c r="K9" s="3">
        <f t="shared" si="5"/>
        <v>113.27210258839033</v>
      </c>
      <c r="L9" s="3">
        <f t="shared" si="6"/>
        <v>230.77576447522375</v>
      </c>
      <c r="M9" s="2">
        <v>0.90129999999999999</v>
      </c>
      <c r="N9" s="3">
        <v>5.0730201030293513E-2</v>
      </c>
      <c r="O9" s="3">
        <v>2.4899999999999999E-2</v>
      </c>
      <c r="P9" s="15"/>
      <c r="Q9" s="15"/>
      <c r="R9" s="15"/>
    </row>
    <row r="10" spans="1:18" ht="18.75" x14ac:dyDescent="0.3">
      <c r="A10" s="1" t="s">
        <v>5</v>
      </c>
      <c r="B10" s="4">
        <v>20</v>
      </c>
      <c r="C10" s="4">
        <v>1</v>
      </c>
      <c r="D10" s="5">
        <v>0.13600000000000001</v>
      </c>
      <c r="E10" s="5">
        <v>0.13600000000000001</v>
      </c>
      <c r="F10" s="5">
        <f t="shared" si="0"/>
        <v>0.13600000000000001</v>
      </c>
      <c r="G10" s="3">
        <f t="shared" si="1"/>
        <v>14.90494</v>
      </c>
      <c r="H10" s="3">
        <f t="shared" si="2"/>
        <v>0.23472346456692914</v>
      </c>
      <c r="I10" s="3">
        <f>H10*B10</f>
        <v>4.6944692913385824</v>
      </c>
      <c r="J10" s="3">
        <f t="shared" si="4"/>
        <v>5.3225275412002064</v>
      </c>
      <c r="K10" s="3">
        <f t="shared" si="5"/>
        <v>94.562883163406042</v>
      </c>
      <c r="L10" s="3">
        <f t="shared" si="6"/>
        <v>216.33499038426646</v>
      </c>
      <c r="M10" s="2">
        <v>0.88200000000000001</v>
      </c>
      <c r="N10" s="3">
        <v>4.9643889169775746E-2</v>
      </c>
      <c r="O10" s="3">
        <v>2.1700000000000001E-2</v>
      </c>
      <c r="P10" s="14">
        <f t="shared" ref="P10:R10" si="8">AVERAGE(J10:J12)</f>
        <v>4.9536534593443564</v>
      </c>
      <c r="Q10" s="14">
        <f t="shared" si="8"/>
        <v>88.009268093397836</v>
      </c>
      <c r="R10" s="14">
        <f t="shared" si="8"/>
        <v>203.71423530337938</v>
      </c>
    </row>
    <row r="11" spans="1:18" ht="18.75" x14ac:dyDescent="0.3">
      <c r="A11" s="1" t="s">
        <v>6</v>
      </c>
      <c r="B11" s="4">
        <v>20</v>
      </c>
      <c r="C11" s="4">
        <v>1</v>
      </c>
      <c r="D11" s="5">
        <v>0.12</v>
      </c>
      <c r="E11" s="5">
        <v>0.11899999999999999</v>
      </c>
      <c r="F11" s="5">
        <f t="shared" si="0"/>
        <v>0.1195</v>
      </c>
      <c r="G11" s="3">
        <f t="shared" si="1"/>
        <v>13.260054999999998</v>
      </c>
      <c r="H11" s="3">
        <f t="shared" si="2"/>
        <v>0.20881976377952752</v>
      </c>
      <c r="I11" s="3">
        <f t="shared" si="3"/>
        <v>4.1763952755905507</v>
      </c>
      <c r="J11" s="3">
        <f>I11/M11</f>
        <v>5.071518246011598</v>
      </c>
      <c r="K11" s="3">
        <f t="shared" si="5"/>
        <v>90.103317201536569</v>
      </c>
      <c r="L11" s="3">
        <f t="shared" si="6"/>
        <v>211.99976018226147</v>
      </c>
      <c r="M11" s="2">
        <v>0.82350000000000001</v>
      </c>
      <c r="N11" s="3">
        <v>4.6351182235045717E-2</v>
      </c>
      <c r="O11" s="3">
        <v>1.9699999999999999E-2</v>
      </c>
      <c r="P11" s="15"/>
      <c r="Q11" s="15"/>
      <c r="R11" s="15"/>
    </row>
    <row r="12" spans="1:18" ht="18.75" x14ac:dyDescent="0.3">
      <c r="A12" s="1" t="s">
        <v>7</v>
      </c>
      <c r="B12" s="4">
        <v>20</v>
      </c>
      <c r="C12" s="4">
        <v>1</v>
      </c>
      <c r="D12" s="5">
        <v>0.111</v>
      </c>
      <c r="E12" s="5">
        <v>0.11</v>
      </c>
      <c r="F12" s="5">
        <f t="shared" si="0"/>
        <v>0.1105</v>
      </c>
      <c r="G12" s="3">
        <f t="shared" si="1"/>
        <v>12.362844999999998</v>
      </c>
      <c r="H12" s="3">
        <f>G12/63.5</f>
        <v>0.19469047244094487</v>
      </c>
      <c r="I12" s="3">
        <f>H12*B12</f>
        <v>3.8938094488188972</v>
      </c>
      <c r="J12" s="3">
        <f t="shared" si="4"/>
        <v>4.4669145908212657</v>
      </c>
      <c r="K12" s="3">
        <f t="shared" si="5"/>
        <v>79.361603915250896</v>
      </c>
      <c r="L12" s="3">
        <f t="shared" si="6"/>
        <v>182.80795534361022</v>
      </c>
      <c r="M12" s="2">
        <v>0.87170000000000003</v>
      </c>
      <c r="N12" s="3">
        <v>4.9064147606908748E-2</v>
      </c>
      <c r="O12" s="3">
        <v>2.1299999999999999E-2</v>
      </c>
      <c r="P12" s="15"/>
      <c r="Q12" s="15"/>
      <c r="R12" s="15"/>
    </row>
    <row r="16" spans="1:18" x14ac:dyDescent="0.25">
      <c r="B16" t="s">
        <v>64</v>
      </c>
    </row>
    <row r="17" spans="1:3" x14ac:dyDescent="0.25">
      <c r="A17">
        <v>1.2</v>
      </c>
      <c r="B17">
        <f>A17*10</f>
        <v>12</v>
      </c>
      <c r="C17">
        <v>0.106</v>
      </c>
    </row>
    <row r="18" spans="1:3" x14ac:dyDescent="0.25">
      <c r="A18">
        <v>1.5</v>
      </c>
      <c r="B18">
        <f t="shared" ref="B18:B20" si="9">A18*10</f>
        <v>15</v>
      </c>
      <c r="C18">
        <v>0.13700000000000001</v>
      </c>
    </row>
    <row r="19" spans="1:3" x14ac:dyDescent="0.25">
      <c r="A19">
        <v>1.8</v>
      </c>
      <c r="B19">
        <f t="shared" si="9"/>
        <v>18</v>
      </c>
      <c r="C19">
        <v>0.17</v>
      </c>
    </row>
    <row r="20" spans="1:3" x14ac:dyDescent="0.25">
      <c r="A20">
        <v>2.1</v>
      </c>
      <c r="B20">
        <f t="shared" si="9"/>
        <v>21</v>
      </c>
      <c r="C20">
        <v>0.19500000000000001</v>
      </c>
    </row>
  </sheetData>
  <mergeCells count="10">
    <mergeCell ref="P10:P12"/>
    <mergeCell ref="Q10:Q12"/>
    <mergeCell ref="R10:R12"/>
    <mergeCell ref="A1:Q1"/>
    <mergeCell ref="P4:P6"/>
    <mergeCell ref="Q4:Q6"/>
    <mergeCell ref="R4:R6"/>
    <mergeCell ref="P7:P9"/>
    <mergeCell ref="Q7:Q9"/>
    <mergeCell ref="R7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5273-AC11-4EA2-A9C6-A1F7B7B2F0B5}">
  <dimension ref="A1:S47"/>
  <sheetViews>
    <sheetView tabSelected="1" topLeftCell="A13" workbookViewId="0">
      <selection activeCell="R26" sqref="R26"/>
    </sheetView>
  </sheetViews>
  <sheetFormatPr defaultRowHeight="15" x14ac:dyDescent="0.25"/>
  <cols>
    <col min="1" max="1" width="13.7109375" customWidth="1"/>
    <col min="6" max="6" width="9" customWidth="1"/>
    <col min="7" max="7" width="15.140625" customWidth="1"/>
    <col min="9" max="9" width="11.85546875" customWidth="1"/>
    <col min="10" max="10" width="18.28515625" customWidth="1"/>
    <col min="11" max="11" width="22.140625" customWidth="1"/>
    <col min="12" max="12" width="17" customWidth="1"/>
    <col min="13" max="13" width="18" customWidth="1"/>
    <col min="14" max="14" width="17.140625" customWidth="1"/>
    <col min="15" max="15" width="17.42578125" customWidth="1"/>
  </cols>
  <sheetData>
    <row r="1" spans="1:19" ht="23.25" x14ac:dyDescent="0.35">
      <c r="A1" s="16" t="s">
        <v>68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9" ht="75" x14ac:dyDescent="0.3">
      <c r="A2" s="3" t="s">
        <v>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</v>
      </c>
      <c r="H2" s="3" t="s">
        <v>2</v>
      </c>
      <c r="I2" s="3" t="s">
        <v>3</v>
      </c>
      <c r="J2" s="3" t="s">
        <v>80</v>
      </c>
      <c r="K2" s="3" t="s">
        <v>81</v>
      </c>
      <c r="L2" s="3" t="s">
        <v>65</v>
      </c>
      <c r="M2" s="3" t="s">
        <v>66</v>
      </c>
      <c r="N2" s="10" t="s">
        <v>25</v>
      </c>
      <c r="O2" s="10" t="s">
        <v>26</v>
      </c>
    </row>
    <row r="3" spans="1:19" ht="18.75" x14ac:dyDescent="0.3">
      <c r="A3" s="1" t="s">
        <v>53</v>
      </c>
      <c r="B3" s="11">
        <f>25+0.6+0.1+0.02</f>
        <v>25.720000000000002</v>
      </c>
      <c r="C3" s="4">
        <v>1</v>
      </c>
      <c r="D3" s="5">
        <v>0.2</v>
      </c>
      <c r="E3" s="5">
        <v>0.19900000000000001</v>
      </c>
      <c r="F3" s="5">
        <f>AVERAGE(D3:E3)</f>
        <v>0.19950000000000001</v>
      </c>
      <c r="G3" s="3">
        <f>(F3*37.477-0.336)/C3</f>
        <v>7.1406614999999993</v>
      </c>
      <c r="H3" s="3">
        <f>G3/63.5</f>
        <v>0.1124513622047244</v>
      </c>
      <c r="I3" s="3">
        <f>H3*B3</f>
        <v>2.892249035905512</v>
      </c>
      <c r="J3" s="3">
        <f t="shared" ref="J3:J11" si="0">I3/L3</f>
        <v>3.9222254351851258</v>
      </c>
      <c r="K3" s="3">
        <f t="shared" ref="K3:K11" si="1">I3/M3</f>
        <v>52.971594064203515</v>
      </c>
      <c r="L3" s="2">
        <v>0.73740000000000006</v>
      </c>
      <c r="M3" s="3">
        <v>5.4600000000000003E-2</v>
      </c>
      <c r="N3" s="14">
        <f>AVERAGE(J3:J5)</f>
        <v>3.9256660386286399</v>
      </c>
      <c r="O3" s="14">
        <f>AVERAGE(K3:K5)</f>
        <v>54.529845071414634</v>
      </c>
    </row>
    <row r="4" spans="1:19" ht="18.75" x14ac:dyDescent="0.3">
      <c r="A4" s="1" t="s">
        <v>54</v>
      </c>
      <c r="B4" s="11">
        <f>25+0.9+0.1+2*0.0125+0.05+0.02</f>
        <v>26.094999999999999</v>
      </c>
      <c r="C4" s="4">
        <v>1</v>
      </c>
      <c r="D4" s="5">
        <v>0.17899999999999999</v>
      </c>
      <c r="E4" s="5">
        <v>0.17599999999999999</v>
      </c>
      <c r="F4" s="5">
        <f t="shared" ref="F4:F11" si="2">AVERAGE(D4:E4)</f>
        <v>0.17749999999999999</v>
      </c>
      <c r="G4" s="3">
        <f t="shared" ref="G4:G10" si="3">(F4*37.477-0.336)/C4</f>
        <v>6.3161674999999988</v>
      </c>
      <c r="H4" s="3">
        <f t="shared" ref="H4:H10" si="4">G4/63.5</f>
        <v>9.9467204724409425E-2</v>
      </c>
      <c r="I4" s="3">
        <f t="shared" ref="I4:I10" si="5">H4*B4</f>
        <v>2.5955967072834638</v>
      </c>
      <c r="J4" s="3">
        <f t="shared" si="0"/>
        <v>3.8556100821204153</v>
      </c>
      <c r="K4" s="3">
        <f t="shared" si="1"/>
        <v>53.18845711646442</v>
      </c>
      <c r="L4" s="2">
        <v>0.67320000000000002</v>
      </c>
      <c r="M4" s="3">
        <v>4.8800000000000003E-2</v>
      </c>
      <c r="N4" s="15"/>
      <c r="O4" s="15"/>
    </row>
    <row r="5" spans="1:19" ht="18.75" x14ac:dyDescent="0.3">
      <c r="A5" s="1" t="s">
        <v>55</v>
      </c>
      <c r="B5" s="11">
        <f>25.05+0.4+0.1+0.04</f>
        <v>25.59</v>
      </c>
      <c r="C5" s="4">
        <v>1</v>
      </c>
      <c r="D5" s="5">
        <v>0.21299999999999999</v>
      </c>
      <c r="E5" s="5">
        <v>0.20799999999999999</v>
      </c>
      <c r="F5" s="5">
        <f t="shared" si="2"/>
        <v>0.21049999999999999</v>
      </c>
      <c r="G5" s="3">
        <f t="shared" si="3"/>
        <v>7.5529084999999991</v>
      </c>
      <c r="H5" s="3">
        <f t="shared" si="4"/>
        <v>0.11894344094488188</v>
      </c>
      <c r="I5" s="3">
        <f t="shared" si="5"/>
        <v>3.043762653779527</v>
      </c>
      <c r="J5" s="3">
        <f t="shared" si="0"/>
        <v>3.9991625985803796</v>
      </c>
      <c r="K5" s="3">
        <f t="shared" si="1"/>
        <v>57.429484033575982</v>
      </c>
      <c r="L5" s="2">
        <v>0.7611</v>
      </c>
      <c r="M5" s="3">
        <v>5.2999999999999999E-2</v>
      </c>
      <c r="N5" s="15"/>
      <c r="O5" s="15"/>
    </row>
    <row r="6" spans="1:19" ht="18.75" x14ac:dyDescent="0.3">
      <c r="A6" s="1" t="s">
        <v>8</v>
      </c>
      <c r="B6" s="11">
        <f>25.07+0.6+2*0.0167+0.05+2*0.0167+0.06+0.06+0.06+0.005</f>
        <v>25.971799999999998</v>
      </c>
      <c r="C6" s="4">
        <v>1</v>
      </c>
      <c r="D6" s="5">
        <v>9.0999999999999998E-2</v>
      </c>
      <c r="E6" s="5">
        <v>8.8999999999999996E-2</v>
      </c>
      <c r="F6" s="5">
        <f t="shared" si="2"/>
        <v>0.09</v>
      </c>
      <c r="G6" s="3">
        <f t="shared" si="3"/>
        <v>3.0369299999999999</v>
      </c>
      <c r="H6" s="3">
        <f t="shared" si="4"/>
        <v>4.7825669291338579E-2</v>
      </c>
      <c r="I6" s="3">
        <f t="shared" si="5"/>
        <v>1.2421187177007873</v>
      </c>
      <c r="J6" s="3">
        <f t="shared" si="0"/>
        <v>1.3072181832254128</v>
      </c>
      <c r="K6" s="3">
        <f t="shared" si="1"/>
        <v>17.618705215614007</v>
      </c>
      <c r="L6" s="2">
        <v>0.95020000000000004</v>
      </c>
      <c r="M6" s="3">
        <v>7.0499999999999993E-2</v>
      </c>
      <c r="N6" s="14">
        <f>AVERAGE(J6:J8)</f>
        <v>0.98898616323702127</v>
      </c>
      <c r="O6" s="14">
        <f>AVERAGE(K6:K8)</f>
        <v>13.603971664347208</v>
      </c>
    </row>
    <row r="7" spans="1:19" ht="18.75" x14ac:dyDescent="0.3">
      <c r="A7" s="1" t="s">
        <v>9</v>
      </c>
      <c r="B7" s="11">
        <f>25+0.5+0.055</f>
        <v>25.555</v>
      </c>
      <c r="C7" s="4">
        <v>1</v>
      </c>
      <c r="D7" s="5">
        <v>5.1999999999999998E-2</v>
      </c>
      <c r="E7" s="5">
        <v>5.3999999999999999E-2</v>
      </c>
      <c r="F7" s="5">
        <f t="shared" si="2"/>
        <v>5.2999999999999999E-2</v>
      </c>
      <c r="G7" s="3">
        <f>(F7*32.729+0.5364)/C7</f>
        <v>2.2710369999999998</v>
      </c>
      <c r="H7" s="3">
        <f t="shared" si="4"/>
        <v>3.5764362204724405E-2</v>
      </c>
      <c r="I7" s="3">
        <f t="shared" si="5"/>
        <v>0.9139582761417322</v>
      </c>
      <c r="J7" s="3">
        <f t="shared" si="0"/>
        <v>0.9742652980937343</v>
      </c>
      <c r="K7" s="3">
        <f t="shared" si="1"/>
        <v>13.540122609507142</v>
      </c>
      <c r="L7" s="2">
        <v>0.93810000000000004</v>
      </c>
      <c r="M7" s="3">
        <v>6.7500000000000004E-2</v>
      </c>
      <c r="N7" s="15"/>
      <c r="O7" s="15"/>
    </row>
    <row r="8" spans="1:19" ht="18.75" x14ac:dyDescent="0.3">
      <c r="A8" s="1" t="s">
        <v>10</v>
      </c>
      <c r="B8" s="11">
        <f>25+1.1</f>
        <v>26.1</v>
      </c>
      <c r="C8" s="4">
        <v>1</v>
      </c>
      <c r="D8" s="5">
        <v>4.4999999999999998E-2</v>
      </c>
      <c r="E8" s="5">
        <v>4.5999999999999999E-2</v>
      </c>
      <c r="F8" s="5">
        <f t="shared" si="2"/>
        <v>4.5499999999999999E-2</v>
      </c>
      <c r="G8" s="3">
        <f t="shared" si="3"/>
        <v>1.3692034999999998</v>
      </c>
      <c r="H8" s="3">
        <f t="shared" si="4"/>
        <v>2.1562259842519683E-2</v>
      </c>
      <c r="I8" s="3">
        <f t="shared" si="5"/>
        <v>0.56277498188976371</v>
      </c>
      <c r="J8" s="3">
        <f t="shared" si="0"/>
        <v>0.68547500839191688</v>
      </c>
      <c r="K8" s="3">
        <f t="shared" si="1"/>
        <v>9.6530871679204751</v>
      </c>
      <c r="L8" s="2">
        <v>0.82099999999999995</v>
      </c>
      <c r="M8" s="3">
        <v>5.8299999999999998E-2</v>
      </c>
      <c r="N8" s="15"/>
      <c r="O8" s="15"/>
    </row>
    <row r="9" spans="1:19" ht="18.75" x14ac:dyDescent="0.3">
      <c r="A9" s="1" t="s">
        <v>5</v>
      </c>
      <c r="B9" s="11">
        <f>25+0.4+0.3+0.06</f>
        <v>25.759999999999998</v>
      </c>
      <c r="C9" s="4">
        <v>5</v>
      </c>
      <c r="D9" s="5">
        <v>0.26800000000000002</v>
      </c>
      <c r="E9" s="5">
        <v>0.27</v>
      </c>
      <c r="F9" s="5">
        <f t="shared" si="2"/>
        <v>0.26900000000000002</v>
      </c>
      <c r="G9" s="3">
        <f t="shared" si="3"/>
        <v>1.9490626</v>
      </c>
      <c r="H9" s="3">
        <f t="shared" si="4"/>
        <v>3.0693899212598425E-2</v>
      </c>
      <c r="I9" s="3">
        <f>H9*B9</f>
        <v>0.7906748437165354</v>
      </c>
      <c r="J9" s="3">
        <f t="shared" si="0"/>
        <v>0.74584930074194455</v>
      </c>
      <c r="K9" s="3">
        <f t="shared" si="1"/>
        <v>10.613085150557522</v>
      </c>
      <c r="L9" s="2">
        <v>1.0601</v>
      </c>
      <c r="M9" s="3">
        <v>7.4499999999999997E-2</v>
      </c>
      <c r="N9" s="14">
        <f>AVERAGE(J9:J11)</f>
        <v>0.86091881726888742</v>
      </c>
      <c r="O9" s="14">
        <f>AVERAGE(K9:K11)</f>
        <v>12.053901608231689</v>
      </c>
      <c r="R9" t="s">
        <v>72</v>
      </c>
      <c r="S9">
        <f>0.1/5</f>
        <v>0.02</v>
      </c>
    </row>
    <row r="10" spans="1:19" ht="18.75" x14ac:dyDescent="0.3">
      <c r="A10" s="1" t="s">
        <v>6</v>
      </c>
      <c r="B10" s="11">
        <f>25+0.6+0.06+0.01</f>
        <v>25.67</v>
      </c>
      <c r="C10" s="4">
        <v>5</v>
      </c>
      <c r="D10" s="5">
        <v>0.28999999999999998</v>
      </c>
      <c r="E10" s="5">
        <v>0.28899999999999998</v>
      </c>
      <c r="F10" s="5">
        <f t="shared" si="2"/>
        <v>0.28949999999999998</v>
      </c>
      <c r="G10" s="3">
        <f t="shared" si="3"/>
        <v>2.1027182999999998</v>
      </c>
      <c r="H10" s="3">
        <f t="shared" si="4"/>
        <v>3.3113674015748031E-2</v>
      </c>
      <c r="I10" s="3">
        <f t="shared" si="5"/>
        <v>0.85002801198425204</v>
      </c>
      <c r="J10" s="3">
        <f t="shared" si="0"/>
        <v>0.81373541258304816</v>
      </c>
      <c r="K10" s="3">
        <f t="shared" si="1"/>
        <v>11.596562237165784</v>
      </c>
      <c r="L10" s="2">
        <v>1.0446</v>
      </c>
      <c r="M10" s="3">
        <v>7.3300000000000004E-2</v>
      </c>
      <c r="N10" s="15"/>
      <c r="O10" s="15"/>
      <c r="R10" t="s">
        <v>73</v>
      </c>
      <c r="S10">
        <f>0.1/6</f>
        <v>1.6666666666666666E-2</v>
      </c>
    </row>
    <row r="11" spans="1:19" ht="18.75" x14ac:dyDescent="0.3">
      <c r="A11" s="1" t="s">
        <v>7</v>
      </c>
      <c r="B11" s="11">
        <f>25.1+0.6+0.04</f>
        <v>25.740000000000002</v>
      </c>
      <c r="C11" s="4">
        <v>5</v>
      </c>
      <c r="D11" s="5">
        <v>0.32900000000000001</v>
      </c>
      <c r="E11" s="5">
        <v>0.32600000000000001</v>
      </c>
      <c r="F11" s="5">
        <f t="shared" si="2"/>
        <v>0.32750000000000001</v>
      </c>
      <c r="G11" s="3">
        <f>(F11*32.729+0.5364)/C11</f>
        <v>2.2510295000000005</v>
      </c>
      <c r="H11" s="3">
        <f>G11/63.5</f>
        <v>3.5449283464566939E-2</v>
      </c>
      <c r="I11" s="3">
        <f>H11*B11</f>
        <v>0.9124645563779531</v>
      </c>
      <c r="J11" s="3">
        <f t="shared" si="0"/>
        <v>1.0231717384816696</v>
      </c>
      <c r="K11" s="3">
        <f t="shared" si="1"/>
        <v>13.95205743697176</v>
      </c>
      <c r="L11" s="2">
        <v>0.89180000000000004</v>
      </c>
      <c r="M11" s="3">
        <v>6.54E-2</v>
      </c>
      <c r="N11" s="15"/>
      <c r="O11" s="15"/>
      <c r="R11" t="s">
        <v>74</v>
      </c>
      <c r="S11">
        <f>0.1/7</f>
        <v>1.4285714285714287E-2</v>
      </c>
    </row>
    <row r="12" spans="1:19" x14ac:dyDescent="0.25">
      <c r="R12" t="s">
        <v>75</v>
      </c>
      <c r="S12">
        <f>0.1/8</f>
        <v>1.2500000000000001E-2</v>
      </c>
    </row>
    <row r="13" spans="1:19" ht="23.25" x14ac:dyDescent="0.35">
      <c r="A13" s="16" t="s">
        <v>69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9" ht="75" x14ac:dyDescent="0.3">
      <c r="A14" s="3" t="s">
        <v>0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</v>
      </c>
      <c r="H14" s="3" t="s">
        <v>2</v>
      </c>
      <c r="I14" s="3" t="s">
        <v>3</v>
      </c>
      <c r="J14" s="3" t="s">
        <v>78</v>
      </c>
      <c r="K14" s="3" t="s">
        <v>79</v>
      </c>
      <c r="L14" s="3" t="s">
        <v>71</v>
      </c>
      <c r="M14" s="3" t="s">
        <v>70</v>
      </c>
      <c r="N14" s="10" t="s">
        <v>25</v>
      </c>
      <c r="O14" s="10" t="s">
        <v>26</v>
      </c>
    </row>
    <row r="15" spans="1:19" ht="18.75" x14ac:dyDescent="0.3">
      <c r="A15" s="1" t="s">
        <v>53</v>
      </c>
      <c r="B15" s="11">
        <f>25+0.4+0.2+0.2+0.03+4*0.0167+0.0167</f>
        <v>25.913499999999999</v>
      </c>
      <c r="C15" s="4">
        <v>12</v>
      </c>
      <c r="D15" s="5">
        <v>0.23200000000000001</v>
      </c>
      <c r="E15" s="5">
        <v>0.23300000000000001</v>
      </c>
      <c r="F15" s="5">
        <f>AVERAGE(D15:E15)</f>
        <v>0.23250000000000001</v>
      </c>
      <c r="G15" s="3">
        <f>(F15*19.943+0.2878)/C15</f>
        <v>0.41037895833333332</v>
      </c>
      <c r="H15" s="3">
        <f>G15/63.5</f>
        <v>6.4626607611548556E-3</v>
      </c>
      <c r="I15" s="3">
        <f>H15*B15</f>
        <v>0.16747015963418635</v>
      </c>
      <c r="J15" s="3">
        <f t="shared" ref="J15:J23" si="6">I15/L15</f>
        <v>0.10637078228797406</v>
      </c>
      <c r="K15" s="3">
        <f t="shared" ref="K15:K23" si="7">I15/M15</f>
        <v>1.0493117771565561</v>
      </c>
      <c r="L15" s="2">
        <v>1.5744</v>
      </c>
      <c r="M15" s="3">
        <v>0.15959999999999999</v>
      </c>
      <c r="N15" s="14">
        <f>AVERAGE(J15:J17)</f>
        <v>9.402620862802584E-2</v>
      </c>
      <c r="O15" s="14">
        <f>AVERAGE(K15:K17)</f>
        <v>0.93191278183786752</v>
      </c>
    </row>
    <row r="16" spans="1:19" ht="18.75" x14ac:dyDescent="0.3">
      <c r="A16" s="1" t="s">
        <v>54</v>
      </c>
      <c r="B16" s="11">
        <f>25+0.9+0.1+2*0.0167</f>
        <v>26.0334</v>
      </c>
      <c r="C16" s="4">
        <v>12</v>
      </c>
      <c r="D16" s="5">
        <v>0.17399999999999999</v>
      </c>
      <c r="E16" s="5">
        <v>0.16600000000000001</v>
      </c>
      <c r="F16" s="5">
        <f t="shared" ref="F16:F23" si="8">AVERAGE(D16:E16)</f>
        <v>0.16999999999999998</v>
      </c>
      <c r="G16" s="3">
        <f t="shared" ref="G16:G23" si="9">(F16*19.943+0.2878)/C16</f>
        <v>0.30650916666666667</v>
      </c>
      <c r="H16" s="3">
        <f t="shared" ref="H16:H22" si="10">G16/63.5</f>
        <v>4.8269160104986875E-3</v>
      </c>
      <c r="I16" s="3">
        <f t="shared" ref="I16:I20" si="11">H16*B16</f>
        <v>0.12566103526771652</v>
      </c>
      <c r="J16" s="3">
        <f t="shared" si="6"/>
        <v>8.5078561454107318E-2</v>
      </c>
      <c r="K16" s="3">
        <f t="shared" si="7"/>
        <v>0.86010291079888102</v>
      </c>
      <c r="L16" s="2">
        <v>1.4770000000000001</v>
      </c>
      <c r="M16" s="3">
        <v>0.14610000000000001</v>
      </c>
      <c r="N16" s="15"/>
      <c r="O16" s="15"/>
    </row>
    <row r="17" spans="1:15" ht="18.75" x14ac:dyDescent="0.3">
      <c r="A17" s="1" t="s">
        <v>55</v>
      </c>
      <c r="B17" s="11">
        <f>25+0.4+0.1+0.0167+0.02</f>
        <v>25.5367</v>
      </c>
      <c r="C17" s="4">
        <v>12</v>
      </c>
      <c r="D17" s="5">
        <v>0.192</v>
      </c>
      <c r="E17" s="5">
        <v>0.186</v>
      </c>
      <c r="F17" s="5">
        <f t="shared" si="8"/>
        <v>0.189</v>
      </c>
      <c r="G17" s="3">
        <f t="shared" si="9"/>
        <v>0.33808558333333338</v>
      </c>
      <c r="H17" s="3">
        <f t="shared" si="10"/>
        <v>5.3241824146981632E-3</v>
      </c>
      <c r="I17" s="3">
        <f t="shared" si="11"/>
        <v>0.13596204906942258</v>
      </c>
      <c r="J17" s="3">
        <f t="shared" si="6"/>
        <v>9.0629282141996129E-2</v>
      </c>
      <c r="K17" s="3">
        <f t="shared" si="7"/>
        <v>0.88632365755816545</v>
      </c>
      <c r="L17" s="2">
        <v>1.5002</v>
      </c>
      <c r="M17" s="3">
        <v>0.15340000000000001</v>
      </c>
      <c r="N17" s="15"/>
      <c r="O17" s="15"/>
    </row>
    <row r="18" spans="1:15" ht="18.75" x14ac:dyDescent="0.3">
      <c r="A18" s="1" t="s">
        <v>8</v>
      </c>
      <c r="B18" s="11">
        <f>25+0.3+0.1+0.01</f>
        <v>25.410000000000004</v>
      </c>
      <c r="C18" s="4">
        <v>12</v>
      </c>
      <c r="D18" s="5">
        <v>0.17100000000000001</v>
      </c>
      <c r="E18" s="5">
        <v>0.188</v>
      </c>
      <c r="F18" s="5">
        <f t="shared" si="8"/>
        <v>0.17949999999999999</v>
      </c>
      <c r="G18" s="3">
        <f t="shared" si="9"/>
        <v>0.322297375</v>
      </c>
      <c r="H18" s="3">
        <f t="shared" si="10"/>
        <v>5.0755492125984254E-3</v>
      </c>
      <c r="I18" s="3">
        <f t="shared" si="11"/>
        <v>0.128969705492126</v>
      </c>
      <c r="J18" s="3">
        <f t="shared" si="6"/>
        <v>7.9911831893008239E-2</v>
      </c>
      <c r="K18" s="3">
        <f t="shared" si="7"/>
        <v>0.78784181730070857</v>
      </c>
      <c r="L18" s="2">
        <v>1.6138999999999999</v>
      </c>
      <c r="M18" s="3">
        <v>0.16370000000000001</v>
      </c>
      <c r="N18" s="14">
        <f>AVERAGE(J18:J20)</f>
        <v>8.6296928397734049E-2</v>
      </c>
      <c r="O18" s="14">
        <f>AVERAGE(K18:K20)</f>
        <v>0.85491328058519667</v>
      </c>
    </row>
    <row r="19" spans="1:15" ht="18.75" x14ac:dyDescent="0.3">
      <c r="A19" s="1" t="s">
        <v>9</v>
      </c>
      <c r="B19" s="11">
        <f>25+0.15+0.5+0.05+0.011+0.05</f>
        <v>25.760999999999999</v>
      </c>
      <c r="C19" s="4">
        <v>12</v>
      </c>
      <c r="D19" s="5">
        <v>0.14899999999999999</v>
      </c>
      <c r="E19" s="5">
        <v>0.152</v>
      </c>
      <c r="F19" s="5">
        <f t="shared" si="8"/>
        <v>0.15049999999999999</v>
      </c>
      <c r="G19" s="3">
        <f t="shared" si="9"/>
        <v>0.27410179166666665</v>
      </c>
      <c r="H19" s="3">
        <f t="shared" si="10"/>
        <v>4.3165636482939626E-3</v>
      </c>
      <c r="I19" s="3">
        <f t="shared" si="11"/>
        <v>0.11119899614370077</v>
      </c>
      <c r="J19" s="3">
        <f t="shared" si="6"/>
        <v>7.0077512064343817E-2</v>
      </c>
      <c r="K19" s="3">
        <f t="shared" si="7"/>
        <v>0.69239723626214678</v>
      </c>
      <c r="L19" s="2">
        <v>1.5868</v>
      </c>
      <c r="M19" s="3">
        <v>0.16059999999999999</v>
      </c>
      <c r="N19" s="15"/>
      <c r="O19" s="15"/>
    </row>
    <row r="20" spans="1:15" ht="18.75" x14ac:dyDescent="0.3">
      <c r="A20" s="1" t="s">
        <v>10</v>
      </c>
      <c r="B20" s="17">
        <f>25.1</f>
        <v>25.1</v>
      </c>
      <c r="C20" s="18">
        <v>12</v>
      </c>
      <c r="D20" s="19">
        <v>0.188</v>
      </c>
      <c r="E20" s="19">
        <v>0.187</v>
      </c>
      <c r="F20" s="19">
        <f t="shared" si="8"/>
        <v>0.1875</v>
      </c>
      <c r="G20" s="20">
        <f>(F20*21.712+0.298)/C20</f>
        <v>0.36408333333333331</v>
      </c>
      <c r="H20" s="20">
        <f t="shared" si="10"/>
        <v>5.7335958005249339E-3</v>
      </c>
      <c r="I20" s="20">
        <f t="shared" si="11"/>
        <v>0.14391325459317586</v>
      </c>
      <c r="J20" s="20">
        <f t="shared" si="6"/>
        <v>0.10890144123585008</v>
      </c>
      <c r="K20" s="20">
        <f t="shared" si="7"/>
        <v>1.0845007881927344</v>
      </c>
      <c r="L20" s="21">
        <v>1.3214999999999999</v>
      </c>
      <c r="M20" s="20">
        <v>0.13270000000000001</v>
      </c>
      <c r="N20" s="15"/>
      <c r="O20" s="15"/>
    </row>
    <row r="21" spans="1:15" ht="18.75" x14ac:dyDescent="0.3">
      <c r="A21" s="1" t="s">
        <v>5</v>
      </c>
      <c r="B21" s="11">
        <f>25+0.7</f>
        <v>25.7</v>
      </c>
      <c r="C21" s="4">
        <v>12</v>
      </c>
      <c r="D21" s="5">
        <v>0.16700000000000001</v>
      </c>
      <c r="E21" s="5">
        <v>0.16800000000000001</v>
      </c>
      <c r="F21" s="5">
        <f t="shared" si="8"/>
        <v>0.16750000000000001</v>
      </c>
      <c r="G21" s="3">
        <f t="shared" si="9"/>
        <v>0.30235437500000001</v>
      </c>
      <c r="H21" s="3">
        <f t="shared" si="10"/>
        <v>4.7614862204724412E-3</v>
      </c>
      <c r="I21" s="3">
        <f>H21*B21</f>
        <v>0.12237019586614173</v>
      </c>
      <c r="J21" s="3">
        <f t="shared" si="6"/>
        <v>6.4054750767452748E-2</v>
      </c>
      <c r="K21" s="3">
        <f t="shared" si="7"/>
        <v>0.635359272409874</v>
      </c>
      <c r="L21" s="2">
        <v>1.9104000000000001</v>
      </c>
      <c r="M21" s="3">
        <v>0.19259999999999999</v>
      </c>
      <c r="N21" s="14">
        <f>AVERAGE(J21:J23)</f>
        <v>6.8313368188221021E-2</v>
      </c>
      <c r="O21" s="14">
        <f>AVERAGE(K21:K23)</f>
        <v>0.67261148202612964</v>
      </c>
    </row>
    <row r="22" spans="1:15" ht="19.5" customHeight="1" x14ac:dyDescent="0.3">
      <c r="A22" s="1" t="s">
        <v>6</v>
      </c>
      <c r="B22" s="11">
        <f>25+0.6+0.1+5*0.0167+2*0.011+0.0167</f>
        <v>25.822200000000002</v>
      </c>
      <c r="C22" s="4">
        <v>12</v>
      </c>
      <c r="D22" s="5">
        <v>0.13400000000000001</v>
      </c>
      <c r="E22" s="5">
        <v>0.129</v>
      </c>
      <c r="F22" s="5">
        <f t="shared" si="8"/>
        <v>0.13150000000000001</v>
      </c>
      <c r="G22" s="3">
        <f t="shared" si="9"/>
        <v>0.24252537500000002</v>
      </c>
      <c r="H22" s="3">
        <f t="shared" si="10"/>
        <v>3.8192972440944883E-3</v>
      </c>
      <c r="I22" s="3">
        <f t="shared" ref="I22" si="12">H22*B22</f>
        <v>9.8622657296456709E-2</v>
      </c>
      <c r="J22" s="3">
        <f t="shared" si="6"/>
        <v>5.6598368606287926E-2</v>
      </c>
      <c r="K22" s="3">
        <f t="shared" si="7"/>
        <v>0.56195246322767356</v>
      </c>
      <c r="L22" s="2">
        <v>1.7424999999999999</v>
      </c>
      <c r="M22" s="3">
        <v>0.17549999999999999</v>
      </c>
      <c r="N22" s="15"/>
      <c r="O22" s="15"/>
    </row>
    <row r="23" spans="1:15" ht="18" customHeight="1" x14ac:dyDescent="0.3">
      <c r="A23" s="1" t="s">
        <v>7</v>
      </c>
      <c r="B23" s="11">
        <f>25+0.9+4*0.0167+0.05+2*0.0167</f>
        <v>26.0502</v>
      </c>
      <c r="C23" s="4">
        <v>12</v>
      </c>
      <c r="D23" s="5">
        <v>0.17299999999999999</v>
      </c>
      <c r="E23" s="5">
        <v>0.16400000000000001</v>
      </c>
      <c r="F23" s="5">
        <f t="shared" si="8"/>
        <v>0.16849999999999998</v>
      </c>
      <c r="G23" s="3">
        <f t="shared" si="9"/>
        <v>0.30401629166666666</v>
      </c>
      <c r="H23" s="3">
        <f>G23/63.5</f>
        <v>4.7876581364829397E-3</v>
      </c>
      <c r="I23" s="3">
        <f>H23*B23</f>
        <v>0.12471945198700787</v>
      </c>
      <c r="J23" s="3">
        <f t="shared" si="6"/>
        <v>8.4286985190922398E-2</v>
      </c>
      <c r="K23" s="3">
        <f t="shared" si="7"/>
        <v>0.82052271044084124</v>
      </c>
      <c r="L23" s="2">
        <v>1.4797</v>
      </c>
      <c r="M23" s="3">
        <v>0.152</v>
      </c>
      <c r="N23" s="15"/>
      <c r="O23" s="15"/>
    </row>
    <row r="26" spans="1:15" x14ac:dyDescent="0.25">
      <c r="A26" t="s">
        <v>76</v>
      </c>
    </row>
    <row r="27" spans="1:15" x14ac:dyDescent="0.25">
      <c r="A27">
        <v>0.1</v>
      </c>
      <c r="B27">
        <f>A27*10</f>
        <v>1</v>
      </c>
      <c r="C27">
        <v>3.1E-2</v>
      </c>
    </row>
    <row r="28" spans="1:15" x14ac:dyDescent="0.25">
      <c r="A28">
        <v>0.4</v>
      </c>
      <c r="B28">
        <f t="shared" ref="B28:B31" si="13">A28*10</f>
        <v>4</v>
      </c>
      <c r="C28">
        <v>0.11700000000000001</v>
      </c>
    </row>
    <row r="29" spans="1:15" x14ac:dyDescent="0.25">
      <c r="A29">
        <v>0.6</v>
      </c>
      <c r="B29">
        <f t="shared" si="13"/>
        <v>6</v>
      </c>
      <c r="C29">
        <v>0.17499999999999999</v>
      </c>
    </row>
    <row r="30" spans="1:15" x14ac:dyDescent="0.25">
      <c r="A30">
        <v>0.9</v>
      </c>
      <c r="B30">
        <f t="shared" si="13"/>
        <v>9</v>
      </c>
      <c r="C30">
        <v>0.25800000000000001</v>
      </c>
    </row>
    <row r="31" spans="1:15" x14ac:dyDescent="0.25">
      <c r="A31">
        <v>1.1000000000000001</v>
      </c>
      <c r="B31">
        <f t="shared" si="13"/>
        <v>11</v>
      </c>
      <c r="C31">
        <v>0.29099999999999998</v>
      </c>
    </row>
    <row r="34" spans="1:3" x14ac:dyDescent="0.25">
      <c r="A34" t="s">
        <v>77</v>
      </c>
    </row>
    <row r="35" spans="1:3" x14ac:dyDescent="0.25">
      <c r="A35">
        <v>0.1</v>
      </c>
      <c r="B35">
        <f>A35*10</f>
        <v>1</v>
      </c>
      <c r="C35">
        <v>3.7999999999999999E-2</v>
      </c>
    </row>
    <row r="36" spans="1:3" x14ac:dyDescent="0.25">
      <c r="A36">
        <v>0.2</v>
      </c>
      <c r="B36">
        <f t="shared" ref="B36:B39" si="14">A36*10</f>
        <v>2</v>
      </c>
      <c r="C36">
        <v>8.5000000000000006E-2</v>
      </c>
    </row>
    <row r="37" spans="1:3" x14ac:dyDescent="0.25">
      <c r="A37">
        <v>0.3</v>
      </c>
      <c r="B37">
        <f t="shared" si="14"/>
        <v>3</v>
      </c>
      <c r="C37">
        <v>0.13400000000000001</v>
      </c>
    </row>
    <row r="38" spans="1:3" x14ac:dyDescent="0.25">
      <c r="A38">
        <v>0.4</v>
      </c>
      <c r="B38">
        <f t="shared" si="14"/>
        <v>4</v>
      </c>
      <c r="C38">
        <v>0.184</v>
      </c>
    </row>
    <row r="39" spans="1:3" x14ac:dyDescent="0.25">
      <c r="A39">
        <v>0.5</v>
      </c>
      <c r="B39">
        <f t="shared" si="14"/>
        <v>5</v>
      </c>
      <c r="C39">
        <v>0.23899999999999999</v>
      </c>
    </row>
    <row r="42" spans="1:3" x14ac:dyDescent="0.25">
      <c r="A42" t="s">
        <v>82</v>
      </c>
    </row>
    <row r="43" spans="1:3" x14ac:dyDescent="0.25">
      <c r="A43">
        <v>0.1</v>
      </c>
      <c r="B43">
        <f>A43*10</f>
        <v>1</v>
      </c>
      <c r="C43">
        <v>1.4E-2</v>
      </c>
    </row>
    <row r="44" spans="1:3" x14ac:dyDescent="0.25">
      <c r="A44">
        <v>0.5</v>
      </c>
      <c r="B44">
        <f t="shared" ref="B44:B47" si="15">A44*10</f>
        <v>5</v>
      </c>
      <c r="C44">
        <v>0.13900000000000001</v>
      </c>
    </row>
    <row r="45" spans="1:3" x14ac:dyDescent="0.25">
      <c r="A45">
        <v>0.9</v>
      </c>
      <c r="B45">
        <f t="shared" si="15"/>
        <v>9</v>
      </c>
      <c r="C45">
        <v>0.25600000000000001</v>
      </c>
    </row>
    <row r="46" spans="1:3" x14ac:dyDescent="0.25">
      <c r="A46">
        <v>1.3</v>
      </c>
      <c r="B46">
        <f t="shared" si="15"/>
        <v>13</v>
      </c>
      <c r="C46">
        <v>0.379</v>
      </c>
    </row>
    <row r="47" spans="1:3" x14ac:dyDescent="0.25">
      <c r="A47">
        <v>1.7</v>
      </c>
      <c r="B47">
        <f t="shared" si="15"/>
        <v>17</v>
      </c>
      <c r="C47">
        <v>0.505</v>
      </c>
    </row>
  </sheetData>
  <mergeCells count="14">
    <mergeCell ref="A1:O1"/>
    <mergeCell ref="A13:O13"/>
    <mergeCell ref="N15:N17"/>
    <mergeCell ref="O15:O17"/>
    <mergeCell ref="N3:N5"/>
    <mergeCell ref="O3:O5"/>
    <mergeCell ref="N6:N8"/>
    <mergeCell ref="O6:O8"/>
    <mergeCell ref="N18:N20"/>
    <mergeCell ref="O18:O20"/>
    <mergeCell ref="N21:N23"/>
    <mergeCell ref="O21:O23"/>
    <mergeCell ref="N9:N11"/>
    <mergeCell ref="O9:O1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Масса растений</vt:lpstr>
      <vt:lpstr>Сорбция КС корня</vt:lpstr>
      <vt:lpstr>Десорбция</vt:lpstr>
      <vt:lpstr>Озоление корней и побегов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2022-04-30T09:50:21Z</dcterms:modified>
</cp:coreProperties>
</file>