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Опыт (диссертация)\"/>
    </mc:Choice>
  </mc:AlternateContent>
  <xr:revisionPtr revIDLastSave="0" documentId="13_ncr:1_{07FC2F63-FD8B-47C8-9B78-D743C3C2C2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ссы растений+pH" sheetId="1" r:id="rId1"/>
    <sheet name="Обработка интакнтных растений" sheetId="2" r:id="rId2"/>
    <sheet name="Сорбция клеточной стенкой" sheetId="3" r:id="rId3"/>
    <sheet name="Десорбци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C14" i="1" l="1"/>
  <c r="C15" i="1"/>
  <c r="C13" i="1"/>
  <c r="C11" i="1"/>
  <c r="C12" i="1"/>
  <c r="C10" i="1"/>
  <c r="C9" i="1"/>
  <c r="C8" i="1"/>
  <c r="C7" i="1"/>
  <c r="C5" i="1"/>
  <c r="C6" i="1"/>
  <c r="C4" i="1"/>
  <c r="J3" i="4" l="1"/>
  <c r="T4" i="3" l="1"/>
  <c r="N5" i="3"/>
  <c r="N6" i="3"/>
  <c r="N7" i="3"/>
  <c r="N8" i="3"/>
  <c r="T7" i="3" s="1"/>
  <c r="N9" i="3"/>
  <c r="N10" i="3"/>
  <c r="N11" i="3"/>
  <c r="N12" i="3"/>
  <c r="T10" i="3" s="1"/>
  <c r="N13" i="3"/>
  <c r="N14" i="3"/>
  <c r="N15" i="3"/>
  <c r="N4" i="3"/>
  <c r="T13" i="3"/>
  <c r="L4" i="4"/>
  <c r="L5" i="4"/>
  <c r="L6" i="4"/>
  <c r="L7" i="4"/>
  <c r="R6" i="4" s="1"/>
  <c r="L8" i="4"/>
  <c r="L9" i="4"/>
  <c r="L10" i="4"/>
  <c r="L11" i="4"/>
  <c r="L12" i="4"/>
  <c r="L13" i="4"/>
  <c r="L14" i="4"/>
  <c r="R12" i="4" s="1"/>
  <c r="L3" i="4"/>
  <c r="K14" i="4"/>
  <c r="K13" i="4"/>
  <c r="K10" i="4"/>
  <c r="K9" i="4"/>
  <c r="K6" i="4"/>
  <c r="K5" i="4"/>
  <c r="O15" i="2"/>
  <c r="O14" i="2"/>
  <c r="O13" i="2"/>
  <c r="O12" i="2"/>
  <c r="O11" i="2"/>
  <c r="O10" i="2"/>
  <c r="O9" i="2"/>
  <c r="O8" i="2"/>
  <c r="O7" i="2"/>
  <c r="O6" i="2"/>
  <c r="O5" i="2"/>
  <c r="O4" i="2"/>
  <c r="R3" i="4"/>
  <c r="R9" i="4"/>
  <c r="K4" i="4"/>
  <c r="K7" i="4"/>
  <c r="K8" i="4"/>
  <c r="K11" i="4"/>
  <c r="K12" i="4"/>
  <c r="K3" i="4"/>
  <c r="J4" i="4"/>
  <c r="J5" i="4"/>
  <c r="J6" i="4"/>
  <c r="J7" i="4"/>
  <c r="J8" i="4"/>
  <c r="J9" i="4"/>
  <c r="J10" i="4"/>
  <c r="J11" i="4"/>
  <c r="J12" i="4"/>
  <c r="J13" i="4"/>
  <c r="J14" i="4"/>
  <c r="M9" i="1"/>
  <c r="M10" i="1"/>
  <c r="M11" i="1"/>
  <c r="L10" i="1"/>
  <c r="L11" i="1"/>
  <c r="L9" i="1"/>
  <c r="B20" i="4"/>
  <c r="B21" i="4"/>
  <c r="B22" i="4"/>
  <c r="B23" i="4"/>
  <c r="B24" i="4"/>
  <c r="B25" i="4"/>
  <c r="B26" i="4"/>
  <c r="B27" i="4"/>
  <c r="B28" i="4"/>
  <c r="F14" i="4"/>
  <c r="G14" i="4" s="1"/>
  <c r="F13" i="4"/>
  <c r="F12" i="4"/>
  <c r="F11" i="4"/>
  <c r="G11" i="4" s="1"/>
  <c r="F10" i="4"/>
  <c r="G10" i="4" s="1"/>
  <c r="F9" i="4"/>
  <c r="F8" i="4"/>
  <c r="F7" i="4"/>
  <c r="G7" i="4" s="1"/>
  <c r="F6" i="4"/>
  <c r="G6" i="4" s="1"/>
  <c r="H6" i="4" s="1"/>
  <c r="I6" i="4" s="1"/>
  <c r="F5" i="4"/>
  <c r="F4" i="4"/>
  <c r="F3" i="4"/>
  <c r="G3" i="4" s="1"/>
  <c r="H10" i="4" l="1"/>
  <c r="I10" i="4" s="1"/>
  <c r="H14" i="4"/>
  <c r="I14" i="4" s="1"/>
  <c r="G13" i="4"/>
  <c r="H13" i="4" s="1"/>
  <c r="I13" i="4" s="1"/>
  <c r="G9" i="4"/>
  <c r="H9" i="4" s="1"/>
  <c r="I9" i="4" s="1"/>
  <c r="G5" i="4"/>
  <c r="H5" i="4" s="1"/>
  <c r="I5" i="4" s="1"/>
  <c r="G12" i="4"/>
  <c r="H12" i="4" s="1"/>
  <c r="I12" i="4" s="1"/>
  <c r="G8" i="4"/>
  <c r="H8" i="4" s="1"/>
  <c r="I8" i="4" s="1"/>
  <c r="G4" i="4"/>
  <c r="H4" i="4" s="1"/>
  <c r="I4" i="4" s="1"/>
  <c r="H7" i="4"/>
  <c r="I7" i="4" s="1"/>
  <c r="H11" i="4"/>
  <c r="I11" i="4" s="1"/>
  <c r="H3" i="4"/>
  <c r="I3" i="4" s="1"/>
  <c r="Q3" i="4" s="1"/>
  <c r="Q6" i="4"/>
  <c r="R10" i="3"/>
  <c r="B25" i="3"/>
  <c r="D25" i="3" s="1"/>
  <c r="B24" i="3"/>
  <c r="D24" i="3" s="1"/>
  <c r="B23" i="3"/>
  <c r="D23" i="3" s="1"/>
  <c r="B22" i="3"/>
  <c r="D22" i="3" s="1"/>
  <c r="B21" i="3"/>
  <c r="D21" i="3" s="1"/>
  <c r="F15" i="3"/>
  <c r="G15" i="3" s="1"/>
  <c r="F14" i="3"/>
  <c r="G14" i="3" s="1"/>
  <c r="F13" i="3"/>
  <c r="G13" i="3" s="1"/>
  <c r="F12" i="3"/>
  <c r="F11" i="3"/>
  <c r="G11" i="3" s="1"/>
  <c r="H11" i="3" s="1"/>
  <c r="I11" i="3" s="1"/>
  <c r="K11" i="3" s="1"/>
  <c r="F10" i="3"/>
  <c r="F9" i="3"/>
  <c r="G9" i="3" s="1"/>
  <c r="H9" i="3" s="1"/>
  <c r="I9" i="3" s="1"/>
  <c r="K9" i="3" s="1"/>
  <c r="F8" i="3"/>
  <c r="G8" i="3" s="1"/>
  <c r="F7" i="3"/>
  <c r="F6" i="3"/>
  <c r="F5" i="3"/>
  <c r="G5" i="3" s="1"/>
  <c r="F4" i="3"/>
  <c r="G4" i="3" s="1"/>
  <c r="I8" i="2"/>
  <c r="F7" i="2"/>
  <c r="G7" i="2" s="1"/>
  <c r="H7" i="2" s="1"/>
  <c r="I7" i="2" s="1"/>
  <c r="K7" i="2" s="1"/>
  <c r="F8" i="2"/>
  <c r="G8" i="2" s="1"/>
  <c r="H8" i="2" s="1"/>
  <c r="K8" i="2" s="1"/>
  <c r="F9" i="2"/>
  <c r="G9" i="2" s="1"/>
  <c r="H9" i="2" s="1"/>
  <c r="I9" i="2" s="1"/>
  <c r="K9" i="2" s="1"/>
  <c r="M36" i="2"/>
  <c r="O36" i="2" s="1"/>
  <c r="M35" i="2"/>
  <c r="O35" i="2" s="1"/>
  <c r="M34" i="2"/>
  <c r="O34" i="2" s="1"/>
  <c r="O33" i="2"/>
  <c r="M33" i="2"/>
  <c r="M32" i="2"/>
  <c r="O32" i="2" s="1"/>
  <c r="M24" i="2"/>
  <c r="O24" i="2" s="1"/>
  <c r="M27" i="2"/>
  <c r="O27" i="2" s="1"/>
  <c r="M26" i="2"/>
  <c r="O26" i="2" s="1"/>
  <c r="M25" i="2"/>
  <c r="O25" i="2" s="1"/>
  <c r="M23" i="2"/>
  <c r="O23" i="2" s="1"/>
  <c r="F20" i="2"/>
  <c r="G20" i="2" s="1"/>
  <c r="H20" i="2" s="1"/>
  <c r="I20" i="2" s="1"/>
  <c r="F22" i="2"/>
  <c r="G22" i="2" s="1"/>
  <c r="F21" i="2"/>
  <c r="G21" i="2" s="1"/>
  <c r="F19" i="2"/>
  <c r="G19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Q12" i="4" l="1"/>
  <c r="Q9" i="4"/>
  <c r="P12" i="4"/>
  <c r="P3" i="4"/>
  <c r="P6" i="4"/>
  <c r="P9" i="4"/>
  <c r="G12" i="3"/>
  <c r="H12" i="3" s="1"/>
  <c r="I12" i="3" s="1"/>
  <c r="K12" i="3" s="1"/>
  <c r="G10" i="3"/>
  <c r="H10" i="3" s="1"/>
  <c r="I10" i="3" s="1"/>
  <c r="K10" i="3" s="1"/>
  <c r="G7" i="3"/>
  <c r="H7" i="3" s="1"/>
  <c r="I7" i="3" s="1"/>
  <c r="K7" i="3" s="1"/>
  <c r="G6" i="3"/>
  <c r="H6" i="3" s="1"/>
  <c r="I6" i="3" s="1"/>
  <c r="K6" i="3" s="1"/>
  <c r="H5" i="3"/>
  <c r="I5" i="3" s="1"/>
  <c r="K5" i="3" s="1"/>
  <c r="M5" i="3" s="1"/>
  <c r="H13" i="3"/>
  <c r="I13" i="3" s="1"/>
  <c r="K13" i="3" s="1"/>
  <c r="M13" i="3" s="1"/>
  <c r="H14" i="3"/>
  <c r="I14" i="3" s="1"/>
  <c r="K14" i="3" s="1"/>
  <c r="M14" i="3" s="1"/>
  <c r="H15" i="3"/>
  <c r="I15" i="3" s="1"/>
  <c r="K15" i="3" s="1"/>
  <c r="M15" i="3" s="1"/>
  <c r="H8" i="3"/>
  <c r="I8" i="3" s="1"/>
  <c r="K8" i="3" s="1"/>
  <c r="M8" i="3" s="1"/>
  <c r="H4" i="3"/>
  <c r="I4" i="3" s="1"/>
  <c r="K4" i="3" s="1"/>
  <c r="L4" i="3" s="1"/>
  <c r="M11" i="3"/>
  <c r="L11" i="3"/>
  <c r="M9" i="3"/>
  <c r="L9" i="3"/>
  <c r="H4" i="2"/>
  <c r="I4" i="2" s="1"/>
  <c r="K4" i="2" s="1"/>
  <c r="M4" i="2" s="1"/>
  <c r="H22" i="2"/>
  <c r="I22" i="2" s="1"/>
  <c r="H21" i="2"/>
  <c r="I21" i="2" s="1"/>
  <c r="H19" i="2"/>
  <c r="I19" i="2" s="1"/>
  <c r="H11" i="2"/>
  <c r="I11" i="2" s="1"/>
  <c r="K11" i="2" s="1"/>
  <c r="M11" i="2" s="1"/>
  <c r="H10" i="2"/>
  <c r="I10" i="2" s="1"/>
  <c r="K10" i="2" s="1"/>
  <c r="H5" i="2"/>
  <c r="I5" i="2" s="1"/>
  <c r="K5" i="2" s="1"/>
  <c r="L5" i="2" s="1"/>
  <c r="H6" i="2"/>
  <c r="I6" i="2" s="1"/>
  <c r="K6" i="2" s="1"/>
  <c r="M6" i="2" s="1"/>
  <c r="H12" i="2"/>
  <c r="I12" i="2" s="1"/>
  <c r="K12" i="2" s="1"/>
  <c r="L12" i="2" s="1"/>
  <c r="H13" i="2"/>
  <c r="I13" i="2" s="1"/>
  <c r="K13" i="2" s="1"/>
  <c r="L13" i="2" s="1"/>
  <c r="H14" i="2"/>
  <c r="I14" i="2" s="1"/>
  <c r="K14" i="2" s="1"/>
  <c r="L14" i="2" s="1"/>
  <c r="H15" i="2"/>
  <c r="I15" i="2" s="1"/>
  <c r="K15" i="2" s="1"/>
  <c r="M15" i="2" s="1"/>
  <c r="M8" i="2"/>
  <c r="L8" i="2"/>
  <c r="M9" i="2"/>
  <c r="L9" i="2"/>
  <c r="M7" i="2"/>
  <c r="L7" i="2"/>
  <c r="S13" i="3" l="1"/>
  <c r="L5" i="3"/>
  <c r="L15" i="3"/>
  <c r="L14" i="3"/>
  <c r="L13" i="3"/>
  <c r="M12" i="3"/>
  <c r="L12" i="3"/>
  <c r="L10" i="3"/>
  <c r="M10" i="3"/>
  <c r="S10" i="3" s="1"/>
  <c r="L8" i="3"/>
  <c r="M7" i="3"/>
  <c r="S7" i="3" s="1"/>
  <c r="L7" i="3"/>
  <c r="R7" i="3" s="1"/>
  <c r="M6" i="3"/>
  <c r="L6" i="3"/>
  <c r="M4" i="3"/>
  <c r="L4" i="2"/>
  <c r="L11" i="2"/>
  <c r="M5" i="2"/>
  <c r="Q4" i="2" s="1"/>
  <c r="L6" i="2"/>
  <c r="P4" i="2" s="1"/>
  <c r="M10" i="2"/>
  <c r="L10" i="2"/>
  <c r="P10" i="2" s="1"/>
  <c r="L15" i="2"/>
  <c r="P13" i="2" s="1"/>
  <c r="Q7" i="2"/>
  <c r="M12" i="2"/>
  <c r="M13" i="2"/>
  <c r="M14" i="2"/>
  <c r="P7" i="2"/>
  <c r="S4" i="3" l="1"/>
  <c r="R13" i="3"/>
  <c r="R4" i="3"/>
  <c r="Q10" i="2"/>
  <c r="Q13" i="2"/>
</calcChain>
</file>

<file path=xl/sharedStrings.xml><?xml version="1.0" encoding="utf-8"?>
<sst xmlns="http://schemas.openxmlformats.org/spreadsheetml/2006/main" count="163" uniqueCount="78">
  <si>
    <t>№</t>
  </si>
  <si>
    <t>Сырая масса корней</t>
  </si>
  <si>
    <t>Сухая масса корней (расчитанная)</t>
  </si>
  <si>
    <t>Сухая масса клеточной стенки</t>
  </si>
  <si>
    <r>
      <t>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 1</t>
    </r>
  </si>
  <si>
    <r>
      <t>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 2</t>
    </r>
    <r>
      <rPr>
        <sz val="11"/>
        <color theme="1"/>
        <rFont val="Calibri"/>
        <family val="2"/>
        <charset val="204"/>
        <scheme val="minor"/>
      </rPr>
      <t/>
    </r>
  </si>
  <si>
    <r>
      <t>(CuCl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) 3</t>
    </r>
    <r>
      <rPr>
        <sz val="11"/>
        <color theme="1"/>
        <rFont val="Calibri"/>
        <family val="2"/>
        <charset val="204"/>
        <scheme val="minor"/>
      </rPr>
      <t/>
    </r>
  </si>
  <si>
    <t>(His 1) 1</t>
  </si>
  <si>
    <t>(His 1) 2</t>
  </si>
  <si>
    <t>(His 1) 3</t>
  </si>
  <si>
    <t>(Глу 5) 1</t>
  </si>
  <si>
    <t>(Глу 5) 2</t>
  </si>
  <si>
    <t>(Глу 5) 3</t>
  </si>
  <si>
    <t>(Цит 1) 1</t>
  </si>
  <si>
    <t>(Цит 1) 2</t>
  </si>
  <si>
    <t>(Цит 1) 3</t>
  </si>
  <si>
    <t>pH растворов</t>
  </si>
  <si>
    <t>Для обработки интактных растений</t>
  </si>
  <si>
    <t>Для сорбции клеточной стенки</t>
  </si>
  <si>
    <t>Цит 1</t>
  </si>
  <si>
    <t>Глу 5 1</t>
  </si>
  <si>
    <t>His 1 1</t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</si>
  <si>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</t>
    </r>
  </si>
  <si>
    <t>His 1 mM</t>
  </si>
  <si>
    <t>Глу 5mM</t>
  </si>
  <si>
    <t>Цит 1 mM</t>
  </si>
  <si>
    <t>FW корней на выделение клеточной стенки из контрольных для обработки лигандами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</si>
  <si>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</si>
  <si>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</si>
  <si>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</si>
  <si>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</si>
  <si>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</si>
  <si>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</si>
  <si>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</si>
  <si>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</si>
  <si>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</si>
  <si>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</si>
  <si>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Поглощение на г сырой массы</t>
  </si>
  <si>
    <t>Поглощение на г сухой массы</t>
  </si>
  <si>
    <t>Сухая масса корней</t>
  </si>
  <si>
    <t>Среднее поглощение на грамм сырой массы корня</t>
  </si>
  <si>
    <t>Среднее поглощение на грамм сухой массы корня</t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</si>
  <si>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10 1</t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</si>
  <si>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10 2</t>
    </r>
    <r>
      <rPr>
        <sz val="11"/>
        <color theme="1"/>
        <rFont val="Calibri"/>
        <family val="2"/>
        <charset val="204"/>
        <scheme val="minor"/>
      </rPr>
      <t/>
    </r>
  </si>
  <si>
    <r>
      <t>CuCl</t>
    </r>
    <r>
      <rPr>
        <vertAlign val="sub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 xml:space="preserve"> 10 3</t>
    </r>
    <r>
      <rPr>
        <sz val="11"/>
        <color theme="1"/>
        <rFont val="Calibri"/>
        <family val="2"/>
        <charset val="204"/>
        <scheme val="minor"/>
      </rPr>
      <t/>
    </r>
  </si>
  <si>
    <t>Глу 5 2</t>
  </si>
  <si>
    <t>Глу 5 3</t>
  </si>
  <si>
    <t>Цит 1 1</t>
  </si>
  <si>
    <t>Цит 1 2</t>
  </si>
  <si>
    <t>Цит 1 3</t>
  </si>
  <si>
    <t>His 1 2</t>
  </si>
  <si>
    <t>His 1 3</t>
  </si>
  <si>
    <t>CuCl 10 1</t>
  </si>
  <si>
    <t>Глу 5 mM</t>
  </si>
  <si>
    <t>Цит 1mM</t>
  </si>
  <si>
    <t>His 1mM</t>
  </si>
  <si>
    <t>Калибровки</t>
  </si>
  <si>
    <t>Для исходных</t>
  </si>
  <si>
    <t>L=50</t>
  </si>
  <si>
    <t>Vал</t>
  </si>
  <si>
    <t>мкм/мл</t>
  </si>
  <si>
    <t>D 600</t>
  </si>
  <si>
    <t>Для растворов после обработки</t>
  </si>
  <si>
    <t>Калибровка</t>
  </si>
  <si>
    <t>Оводненность</t>
  </si>
  <si>
    <t>FW корня</t>
  </si>
  <si>
    <t>FW побега</t>
  </si>
  <si>
    <t>DW корня</t>
  </si>
  <si>
    <t>DW побега</t>
  </si>
  <si>
    <t>pH Исходных растворов</t>
  </si>
  <si>
    <t>Сорбция на г сырой массы</t>
  </si>
  <si>
    <t>Сорбция на г сухой массы</t>
  </si>
  <si>
    <t>L=10</t>
  </si>
  <si>
    <t>DW кл ст</t>
  </si>
  <si>
    <t>Сорбция на г DW кл ст</t>
  </si>
  <si>
    <t>Средняя сорбция на грамм сухой массы корня</t>
  </si>
  <si>
    <t>Средняя сорбция на грамм сырой массы корня</t>
  </si>
  <si>
    <t>Массовая доля кл 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</si>
</sst>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sz val="8"/>
      <name val="Calibri"/>
      <family val="2"/>
      <scheme val="minor"/>
    </font>
    <font>
      <sz val="16"/>
      <name val="Times New Roman"/>
      <family val="1"/>
      <charset val="204"/>
    </font>
    <font>
      <sz val="16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0" fontId="6" fillId="0" borderId="1" xfId="0" applyFont="1" applyBorder="1"/>
    <xf numFmtId="1" fontId="6" fillId="0" borderId="1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0" fontId="5" fillId="0" borderId="1" xfId="0" applyFont="1" applyBorder="1"/>
    <xf numFmtId="1" fontId="5" fillId="0" borderId="1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164" fontId="2" fillId="0" borderId="3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Исходные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'Обработка интакнтных растений'!$M$14:$M$15</c:f>
              <c:strCache>
                <c:ptCount val="2"/>
                <c:pt idx="0">
                  <c:v>6,9165</c:v>
                </c:pt>
                <c:pt idx="1">
                  <c:v>7,0677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34580052493438"/>
                  <c:y val="-0.1840419947506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'Обработка интакнтных растений'!$N$23:$N$27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7.5999999999999998E-2</c:v>
                </c:pt>
                <c:pt idx="2">
                  <c:v>0.123</c:v>
                </c:pt>
                <c:pt idx="3">
                  <c:v>0.17</c:v>
                </c:pt>
                <c:pt idx="4">
                  <c:v>0.215</c:v>
                </c:pt>
              </c:numCache>
            </c:numRef>
          </c:xVal>
          <c:yVal>
            <c:numRef>
              <c:f>'Обработка интакнтных растений'!$O$23:$O$27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8-4C0B-ACF8-925BE811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69983"/>
        <c:axId val="1737585455"/>
      </c:scatterChart>
      <c:valAx>
        <c:axId val="14911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85455"/>
        <c:crosses val="autoZero"/>
        <c:crossBetween val="midCat"/>
      </c:valAx>
      <c:valAx>
        <c:axId val="17375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16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'Обработка интакнтных растений'!$L$29</c:f>
              <c:strCache>
                <c:ptCount val="1"/>
                <c:pt idx="0">
                  <c:v>Для растворов после обработки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664041994750658"/>
                  <c:y val="-0.1993365412656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'Обработка интакнтных растений'!$N$32:$N$36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8.5999999999999993E-2</c:v>
                </c:pt>
                <c:pt idx="2">
                  <c:v>0.124</c:v>
                </c:pt>
                <c:pt idx="3">
                  <c:v>0.16900000000000001</c:v>
                </c:pt>
                <c:pt idx="4">
                  <c:v>0.219</c:v>
                </c:pt>
              </c:numCache>
            </c:numRef>
          </c:xVal>
          <c:yVal>
            <c:numRef>
              <c:f>'Обработка интакнтных растений'!$O$32:$O$36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D-432F-9C33-C8D542E8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74111"/>
        <c:axId val="1737573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'Обработка интакнтных растений'!$K$33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'Обработка интакнтных растений'!$K$34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DD-432F-9C33-C8D542E83C52}"/>
                  </c:ext>
                </c:extLst>
              </c15:ser>
            </c15:filteredScatterSeries>
          </c:ext>
        </c:extLst>
      </c:scatterChart>
      <c:valAx>
        <c:axId val="17615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573391"/>
        <c:crosses val="autoZero"/>
        <c:crossBetween val="midCat"/>
      </c:valAx>
      <c:valAx>
        <c:axId val="17375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57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клеточной стенкой'!$A$18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845691163604548"/>
                  <c:y val="-0.2071901428988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клеточной стенкой'!$C$21:$C$25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7.5999999999999998E-2</c:v>
                </c:pt>
                <c:pt idx="2">
                  <c:v>0.123</c:v>
                </c:pt>
                <c:pt idx="3">
                  <c:v>0.17</c:v>
                </c:pt>
                <c:pt idx="4">
                  <c:v>0.215</c:v>
                </c:pt>
              </c:numCache>
            </c:numRef>
          </c:xVal>
          <c:yVal>
            <c:numRef>
              <c:f>'Сорбция клеточной стенкой'!$D$21:$D$25</c:f>
              <c:numCache>
                <c:formatCode>General</c:formatCode>
                <c:ptCount val="5"/>
                <c:pt idx="0">
                  <c:v>0.99695000000000011</c:v>
                </c:pt>
                <c:pt idx="1">
                  <c:v>1.9939000000000002</c:v>
                </c:pt>
                <c:pt idx="2">
                  <c:v>2.9908499999999996</c:v>
                </c:pt>
                <c:pt idx="3">
                  <c:v>3.9878000000000005</c:v>
                </c:pt>
                <c:pt idx="4">
                  <c:v>4.98475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D-4ACD-B84E-83A85CB2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38719"/>
        <c:axId val="1735186271"/>
      </c:scatterChart>
      <c:valAx>
        <c:axId val="13204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186271"/>
        <c:crosses val="autoZero"/>
        <c:crossBetween val="midCat"/>
      </c:valAx>
      <c:valAx>
        <c:axId val="17351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4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Десорбция!$A$17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830074365704286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Десорбция!$C$20:$C$28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8.7999999999999995E-2</c:v>
                </c:pt>
                <c:pt idx="2">
                  <c:v>0.10100000000000001</c:v>
                </c:pt>
                <c:pt idx="3">
                  <c:v>0.115</c:v>
                </c:pt>
                <c:pt idx="4">
                  <c:v>0.128</c:v>
                </c:pt>
                <c:pt idx="5">
                  <c:v>0.14699999999999999</c:v>
                </c:pt>
                <c:pt idx="6">
                  <c:v>0.155</c:v>
                </c:pt>
                <c:pt idx="7">
                  <c:v>0.16800000000000001</c:v>
                </c:pt>
                <c:pt idx="8">
                  <c:v>0.189</c:v>
                </c:pt>
              </c:numCache>
            </c:numRef>
          </c:xVal>
          <c:yVal>
            <c:numRef>
              <c:f>Десорбция!$B$20:$B$28</c:f>
              <c:numCache>
                <c:formatCode>General</c:formatCode>
                <c:ptCount val="9"/>
                <c:pt idx="0">
                  <c:v>13.202800000000002</c:v>
                </c:pt>
                <c:pt idx="1">
                  <c:v>15.234000000000002</c:v>
                </c:pt>
                <c:pt idx="2">
                  <c:v>17.2652</c:v>
                </c:pt>
                <c:pt idx="3">
                  <c:v>19.296399999999998</c:v>
                </c:pt>
                <c:pt idx="4">
                  <c:v>21.327600000000004</c:v>
                </c:pt>
                <c:pt idx="5">
                  <c:v>23.358799999999999</c:v>
                </c:pt>
                <c:pt idx="6">
                  <c:v>25.39</c:v>
                </c:pt>
                <c:pt idx="7">
                  <c:v>27.421200000000002</c:v>
                </c:pt>
                <c:pt idx="8">
                  <c:v>30.468000000000004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A-40D2-BF83-7834B1F5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44688"/>
        <c:axId val="454731888"/>
      </c:scatterChart>
      <c:valAx>
        <c:axId val="1473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731888"/>
        <c:crosses val="autoZero"/>
        <c:crossBetween val="midCat"/>
      </c:valAx>
      <c:valAx>
        <c:axId val="454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80962</xdr:rowOff>
    </xdr:from>
    <xdr:to>
      <xdr:col>6</xdr:col>
      <xdr:colOff>9525</xdr:colOff>
      <xdr:row>34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220F94-7D76-4D2F-839A-0912E120D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35</xdr:row>
      <xdr:rowOff>33337</xdr:rowOff>
    </xdr:from>
    <xdr:to>
      <xdr:col>5</xdr:col>
      <xdr:colOff>704850</xdr:colOff>
      <xdr:row>49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2AA8ED-0534-4653-AC44-CDF78AFC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16</xdr:row>
      <xdr:rowOff>157162</xdr:rowOff>
    </xdr:from>
    <xdr:to>
      <xdr:col>11</xdr:col>
      <xdr:colOff>38100</xdr:colOff>
      <xdr:row>28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159CC4-934C-4F4E-BEC9-B3CCBB94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15</xdr:row>
      <xdr:rowOff>180975</xdr:rowOff>
    </xdr:from>
    <xdr:to>
      <xdr:col>9</xdr:col>
      <xdr:colOff>0</xdr:colOff>
      <xdr:row>26</xdr:row>
      <xdr:rowOff>228600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341DF5-95C6-4BDD-88EF-49D1758A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2"/>
  <sheetViews>
    <sheetView tabSelected="1" workbookViewId="0">
      <selection activeCell="L18" sqref="L18"/>
    </sheetView>
  </sheetViews>
  <sheetFormatPr defaultRowHeight="20.25" x14ac:dyDescent="0.3"/>
  <cols>
    <col min="1" max="1" width="17.140625" style="6" customWidth="1"/>
    <col min="2" max="2" width="16.42578125" style="6" customWidth="1"/>
    <col min="3" max="3" width="20" style="6" customWidth="1"/>
    <col min="4" max="4" width="18.85546875" style="6" customWidth="1"/>
    <col min="5" max="5" width="20" style="6" customWidth="1"/>
    <col min="6" max="6" width="16" style="6" customWidth="1"/>
    <col min="7" max="7" width="15.140625" style="6" customWidth="1"/>
    <col min="8" max="8" width="31.85546875" style="6" customWidth="1"/>
    <col min="9" max="11" width="9.140625" style="6"/>
    <col min="12" max="12" width="16.42578125" style="6" customWidth="1"/>
    <col min="13" max="13" width="14.85546875" style="6" customWidth="1"/>
    <col min="14" max="14" width="15.85546875" style="6" customWidth="1"/>
    <col min="15" max="15" width="15.42578125" style="6" customWidth="1"/>
    <col min="16" max="16384" width="9.140625" style="6"/>
  </cols>
  <sheetData>
    <row r="3" spans="1:15" ht="101.25" x14ac:dyDescent="0.3">
      <c r="A3" s="1" t="s">
        <v>0</v>
      </c>
      <c r="B3" s="2" t="s">
        <v>1</v>
      </c>
      <c r="C3" s="2" t="s">
        <v>2</v>
      </c>
      <c r="D3" s="2" t="s">
        <v>3</v>
      </c>
      <c r="E3" s="18" t="s">
        <v>16</v>
      </c>
      <c r="F3" s="23" t="s">
        <v>77</v>
      </c>
      <c r="G3" s="1"/>
      <c r="H3" s="18" t="s">
        <v>26</v>
      </c>
      <c r="K3" s="6" t="s">
        <v>64</v>
      </c>
    </row>
    <row r="4" spans="1:15" ht="23.25" x14ac:dyDescent="0.4">
      <c r="A4" s="1" t="s">
        <v>4</v>
      </c>
      <c r="B4" s="1">
        <v>1.4051</v>
      </c>
      <c r="C4" s="3">
        <f>B4/(1+15.72374525)</f>
        <v>8.401826139990981E-2</v>
      </c>
      <c r="D4" s="1">
        <v>3.2000000000000001E-2</v>
      </c>
      <c r="E4" s="1">
        <v>6.46</v>
      </c>
      <c r="F4" s="6">
        <f>D4/C4</f>
        <v>0.38086958081275352</v>
      </c>
      <c r="G4" s="1" t="s">
        <v>23</v>
      </c>
      <c r="H4" s="19">
        <v>1.1104000000000001</v>
      </c>
      <c r="K4" s="6" t="s">
        <v>0</v>
      </c>
      <c r="L4" s="6" t="s">
        <v>65</v>
      </c>
      <c r="M4" s="6" t="s">
        <v>66</v>
      </c>
      <c r="N4" s="6" t="s">
        <v>67</v>
      </c>
      <c r="O4" s="6" t="s">
        <v>68</v>
      </c>
    </row>
    <row r="5" spans="1:15" ht="23.25" x14ac:dyDescent="0.4">
      <c r="A5" s="1" t="s">
        <v>5</v>
      </c>
      <c r="B5" s="1">
        <v>1.5481</v>
      </c>
      <c r="C5" s="3">
        <f t="shared" ref="C5:C6" si="0">B5/(1+15.72374525)</f>
        <v>9.2568977633762983E-2</v>
      </c>
      <c r="D5" s="1">
        <v>3.2599999999999997E-2</v>
      </c>
      <c r="E5" s="1">
        <v>6.48</v>
      </c>
      <c r="F5" s="6">
        <f t="shared" ref="F5:F15" si="1">D5/C5</f>
        <v>0.35216981793811769</v>
      </c>
      <c r="G5" s="1" t="s">
        <v>24</v>
      </c>
      <c r="H5" s="19">
        <v>1.2102999999999999</v>
      </c>
      <c r="K5" s="6">
        <v>1</v>
      </c>
      <c r="L5" s="6">
        <v>1.8198000000000001</v>
      </c>
      <c r="M5" s="6">
        <v>2.6406000000000001</v>
      </c>
      <c r="N5" s="6">
        <v>0.10059999999999999</v>
      </c>
      <c r="O5" s="6">
        <v>0.27329999999999999</v>
      </c>
    </row>
    <row r="6" spans="1:15" ht="23.25" x14ac:dyDescent="0.4">
      <c r="A6" s="1" t="s">
        <v>6</v>
      </c>
      <c r="B6" s="1">
        <v>1.5144</v>
      </c>
      <c r="C6" s="3">
        <f t="shared" si="0"/>
        <v>9.0553878773057719E-2</v>
      </c>
      <c r="D6" s="1">
        <v>3.3399999999999999E-2</v>
      </c>
      <c r="E6" s="1">
        <v>6.4</v>
      </c>
      <c r="F6" s="6">
        <f t="shared" si="1"/>
        <v>0.36884118551901746</v>
      </c>
      <c r="G6" s="1" t="s">
        <v>25</v>
      </c>
      <c r="H6" s="19">
        <v>1.3680000000000001</v>
      </c>
      <c r="K6" s="6">
        <v>2</v>
      </c>
      <c r="L6" s="6">
        <v>1.9763999999999999</v>
      </c>
      <c r="M6" s="6">
        <v>2.6608000000000001</v>
      </c>
      <c r="N6" s="6">
        <v>0.1069</v>
      </c>
      <c r="O6" s="6">
        <v>0.2727</v>
      </c>
    </row>
    <row r="7" spans="1:15" x14ac:dyDescent="0.3">
      <c r="A7" s="1" t="s">
        <v>7</v>
      </c>
      <c r="B7" s="1">
        <v>1.2686999999999999</v>
      </c>
      <c r="C7" s="3">
        <f>B7/(1+15.98573218)</f>
        <v>7.4692099613688834E-2</v>
      </c>
      <c r="D7" s="1">
        <v>3.2300000000000002E-2</v>
      </c>
      <c r="E7" s="1">
        <v>4.7</v>
      </c>
      <c r="F7" s="6">
        <f t="shared" si="1"/>
        <v>0.43244198739970052</v>
      </c>
      <c r="K7" s="6">
        <v>3</v>
      </c>
      <c r="L7" s="6">
        <v>1.7798</v>
      </c>
      <c r="M7" s="6">
        <v>2.629</v>
      </c>
      <c r="N7" s="6">
        <v>9.7299999999999998E-2</v>
      </c>
      <c r="O7" s="6">
        <v>0.2671</v>
      </c>
    </row>
    <row r="8" spans="1:15" x14ac:dyDescent="0.3">
      <c r="A8" s="1" t="s">
        <v>8</v>
      </c>
      <c r="B8" s="1">
        <v>1.5148999999999999</v>
      </c>
      <c r="C8" s="3">
        <f t="shared" ref="C8:C9" si="2">B8/(1+15.98573218)</f>
        <v>8.9186617565048643E-2</v>
      </c>
      <c r="D8" s="1">
        <v>2.8000000000000001E-2</v>
      </c>
      <c r="E8" s="1">
        <v>5.0199999999999996</v>
      </c>
      <c r="F8" s="6">
        <f t="shared" si="1"/>
        <v>0.31394844612845735</v>
      </c>
    </row>
    <row r="9" spans="1:15" x14ac:dyDescent="0.3">
      <c r="A9" s="1" t="s">
        <v>9</v>
      </c>
      <c r="B9" s="1">
        <v>1.4116</v>
      </c>
      <c r="C9" s="3">
        <f>B9/(1+15.98573218)</f>
        <v>8.3105042811289637E-2</v>
      </c>
      <c r="D9" s="1">
        <v>3.4599999999999999E-2</v>
      </c>
      <c r="E9" s="1">
        <v>4.6900000000000004</v>
      </c>
      <c r="F9" s="6">
        <f t="shared" si="1"/>
        <v>0.41634055924341168</v>
      </c>
      <c r="L9" s="6">
        <f>(L5-N5)/N5</f>
        <v>17.089463220675945</v>
      </c>
      <c r="M9" s="6">
        <f>(M5-O5)/O5</f>
        <v>8.6619099890230533</v>
      </c>
    </row>
    <row r="10" spans="1:15" x14ac:dyDescent="0.3">
      <c r="A10" s="1" t="s">
        <v>10</v>
      </c>
      <c r="B10" s="1">
        <v>1.306</v>
      </c>
      <c r="C10" s="3">
        <f>B10/(1+15.82410841)</f>
        <v>7.7626699030525326E-2</v>
      </c>
      <c r="D10" s="1">
        <v>3.4200000000000001E-2</v>
      </c>
      <c r="E10" s="1">
        <v>6.34</v>
      </c>
      <c r="F10" s="6">
        <f t="shared" si="1"/>
        <v>0.44057006709188362</v>
      </c>
      <c r="L10" s="6">
        <f t="shared" ref="L10:M11" si="3">(L6-N6)/N6</f>
        <v>17.488306828811975</v>
      </c>
      <c r="M10" s="6">
        <f t="shared" si="3"/>
        <v>8.7572423909057573</v>
      </c>
    </row>
    <row r="11" spans="1:15" x14ac:dyDescent="0.3">
      <c r="A11" s="1" t="s">
        <v>11</v>
      </c>
      <c r="B11" s="1">
        <v>1.423</v>
      </c>
      <c r="C11" s="3">
        <f t="shared" ref="C11:C12" si="4">B11/(1+15.82410841)</f>
        <v>8.4581005145817414E-2</v>
      </c>
      <c r="D11" s="1">
        <v>3.8100000000000002E-2</v>
      </c>
      <c r="E11" s="1">
        <v>6.17</v>
      </c>
      <c r="F11" s="6">
        <f t="shared" si="1"/>
        <v>0.4504557487146873</v>
      </c>
      <c r="L11" s="6">
        <f t="shared" si="3"/>
        <v>17.291880781089414</v>
      </c>
      <c r="M11" s="6">
        <f t="shared" si="3"/>
        <v>8.8427555222763008</v>
      </c>
    </row>
    <row r="12" spans="1:15" x14ac:dyDescent="0.3">
      <c r="A12" s="1" t="s">
        <v>12</v>
      </c>
      <c r="B12" s="1">
        <v>1.4446000000000001</v>
      </c>
      <c r="C12" s="3">
        <f t="shared" si="4"/>
        <v>8.5864877044025179E-2</v>
      </c>
      <c r="D12" s="1">
        <v>3.5400000000000001E-2</v>
      </c>
      <c r="E12" s="1">
        <v>6.49</v>
      </c>
      <c r="F12" s="6">
        <f t="shared" si="1"/>
        <v>0.41227567334487059</v>
      </c>
    </row>
    <row r="13" spans="1:15" x14ac:dyDescent="0.3">
      <c r="A13" s="1" t="s">
        <v>13</v>
      </c>
      <c r="B13" s="1">
        <v>1.3845000000000001</v>
      </c>
      <c r="C13" s="3">
        <f>B13/(1+17.0643)</f>
        <v>7.6642881263043694E-2</v>
      </c>
      <c r="D13" s="1">
        <v>3.4799999999999998E-2</v>
      </c>
      <c r="E13" s="1">
        <v>4.92</v>
      </c>
      <c r="F13" s="6">
        <f t="shared" si="1"/>
        <v>0.45405391115926319</v>
      </c>
    </row>
    <row r="14" spans="1:15" x14ac:dyDescent="0.3">
      <c r="A14" s="1" t="s">
        <v>14</v>
      </c>
      <c r="B14" s="1">
        <v>1.4101999999999999</v>
      </c>
      <c r="C14" s="3">
        <f t="shared" ref="C14:C15" si="5">B14/(1+17.0643)</f>
        <v>7.8065576856008817E-2</v>
      </c>
      <c r="D14" s="1">
        <v>3.2000000000000001E-2</v>
      </c>
      <c r="E14" s="1">
        <v>4.96</v>
      </c>
      <c r="F14" s="6">
        <f t="shared" si="1"/>
        <v>0.4099117855623316</v>
      </c>
    </row>
    <row r="15" spans="1:15" x14ac:dyDescent="0.3">
      <c r="A15" s="1" t="s">
        <v>15</v>
      </c>
      <c r="B15" s="1">
        <v>1.3869</v>
      </c>
      <c r="C15" s="3">
        <f t="shared" si="5"/>
        <v>7.6775739995460668E-2</v>
      </c>
      <c r="D15" s="1">
        <v>3.2300000000000002E-2</v>
      </c>
      <c r="E15" s="1">
        <v>5.07</v>
      </c>
      <c r="F15" s="6">
        <f t="shared" si="1"/>
        <v>0.42070581152209963</v>
      </c>
    </row>
    <row r="16" spans="1:15" x14ac:dyDescent="0.3">
      <c r="A16" s="4"/>
      <c r="B16" s="4"/>
      <c r="C16" s="5"/>
      <c r="D16" s="4"/>
    </row>
    <row r="17" spans="4:6" x14ac:dyDescent="0.3">
      <c r="E17" s="6" t="s">
        <v>69</v>
      </c>
    </row>
    <row r="18" spans="4:6" ht="81" x14ac:dyDescent="0.3">
      <c r="D18" s="1"/>
      <c r="E18" s="2" t="s">
        <v>17</v>
      </c>
      <c r="F18" s="2" t="s">
        <v>18</v>
      </c>
    </row>
    <row r="19" spans="4:6" ht="23.25" x14ac:dyDescent="0.4">
      <c r="D19" s="1" t="s">
        <v>22</v>
      </c>
      <c r="E19" s="1">
        <v>5.58</v>
      </c>
      <c r="F19" s="1">
        <v>5.56</v>
      </c>
    </row>
    <row r="20" spans="4:6" x14ac:dyDescent="0.3">
      <c r="D20" s="1" t="s">
        <v>21</v>
      </c>
      <c r="E20" s="1">
        <v>6.96</v>
      </c>
      <c r="F20" s="1">
        <v>6.68</v>
      </c>
    </row>
    <row r="21" spans="4:6" x14ac:dyDescent="0.3">
      <c r="D21" s="1" t="s">
        <v>20</v>
      </c>
      <c r="E21" s="1">
        <v>5.23</v>
      </c>
      <c r="F21" s="1">
        <v>5.3</v>
      </c>
    </row>
    <row r="22" spans="4:6" x14ac:dyDescent="0.3">
      <c r="D22" s="1" t="s">
        <v>19</v>
      </c>
      <c r="E22" s="1">
        <v>3.8</v>
      </c>
      <c r="F22" s="1">
        <v>3.31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DED9-3BD2-4AA3-9DCB-EE5FBB65C92E}">
  <dimension ref="A3:Q36"/>
  <sheetViews>
    <sheetView topLeftCell="I3" workbookViewId="0">
      <selection activeCell="O4" sqref="O4:O15"/>
    </sheetView>
  </sheetViews>
  <sheetFormatPr defaultRowHeight="15" x14ac:dyDescent="0.25"/>
  <cols>
    <col min="1" max="1" width="21.28515625" customWidth="1"/>
    <col min="2" max="2" width="12.42578125" customWidth="1"/>
    <col min="3" max="5" width="9.28515625" bestFit="1" customWidth="1"/>
    <col min="6" max="6" width="11.42578125" customWidth="1"/>
    <col min="7" max="7" width="12" bestFit="1" customWidth="1"/>
    <col min="8" max="9" width="9.85546875" bestFit="1" customWidth="1"/>
    <col min="10" max="10" width="15.5703125" customWidth="1"/>
    <col min="11" max="11" width="15.28515625" customWidth="1"/>
    <col min="12" max="12" width="19.7109375" customWidth="1"/>
    <col min="13" max="13" width="17.5703125" customWidth="1"/>
    <col min="14" max="14" width="18.28515625" customWidth="1"/>
    <col min="15" max="15" width="17.28515625" customWidth="1"/>
    <col min="16" max="16" width="30.5703125" customWidth="1"/>
    <col min="17" max="17" width="31.85546875" customWidth="1"/>
  </cols>
  <sheetData>
    <row r="3" spans="1:17" ht="80.25" customHeight="1" x14ac:dyDescent="0.3">
      <c r="A3" s="7" t="s">
        <v>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1</v>
      </c>
      <c r="O3" s="7" t="s">
        <v>39</v>
      </c>
      <c r="P3" s="7" t="s">
        <v>40</v>
      </c>
      <c r="Q3" s="7" t="s">
        <v>41</v>
      </c>
    </row>
    <row r="4" spans="1:17" ht="23.25" x14ac:dyDescent="0.4">
      <c r="A4" s="1" t="s">
        <v>42</v>
      </c>
      <c r="B4" s="8">
        <v>150</v>
      </c>
      <c r="C4" s="8">
        <v>20</v>
      </c>
      <c r="D4" s="9">
        <v>1.6E-2</v>
      </c>
      <c r="E4" s="9">
        <v>1.7000000000000001E-2</v>
      </c>
      <c r="F4" s="9">
        <f>AVERAGE(D4:E4)</f>
        <v>1.6500000000000001E-2</v>
      </c>
      <c r="G4" s="7">
        <f>(F4*22.664+0.0944)/C4</f>
        <v>2.3417800000000003E-2</v>
      </c>
      <c r="H4" s="7">
        <f>G4/63.5</f>
        <v>3.6878425196850399E-4</v>
      </c>
      <c r="I4" s="7">
        <f>H4*B4</f>
        <v>5.5317637795275598E-2</v>
      </c>
      <c r="J4" s="7">
        <v>1.3787780314960629</v>
      </c>
      <c r="K4" s="7">
        <f>J4-I4</f>
        <v>1.3234603937007874</v>
      </c>
      <c r="L4" s="7">
        <f t="shared" ref="L4:L15" si="0">K4/N4</f>
        <v>0.94189765404653569</v>
      </c>
      <c r="M4" s="7">
        <f>K4/O4</f>
        <v>17.038422762661607</v>
      </c>
      <c r="N4" s="1">
        <v>1.4051</v>
      </c>
      <c r="O4" s="3">
        <f>N4/(1+17.089463)</f>
        <v>7.7675053151107926E-2</v>
      </c>
      <c r="P4" s="20">
        <f>AVERAGE(L4:L6)</f>
        <v>0.89400818704089324</v>
      </c>
      <c r="Q4" s="20">
        <f>AVERAGE(M4:M6)</f>
        <v>16.172128021173318</v>
      </c>
    </row>
    <row r="5" spans="1:17" ht="23.25" x14ac:dyDescent="0.4">
      <c r="A5" s="1" t="s">
        <v>43</v>
      </c>
      <c r="B5" s="8">
        <v>150</v>
      </c>
      <c r="C5" s="8">
        <v>20</v>
      </c>
      <c r="D5" s="9">
        <v>1.2E-2</v>
      </c>
      <c r="E5" s="9">
        <v>1.2E-2</v>
      </c>
      <c r="F5" s="9">
        <f t="shared" ref="F5:F15" si="1">AVERAGE(D5:E5)</f>
        <v>1.2E-2</v>
      </c>
      <c r="G5" s="7">
        <f t="shared" ref="G5:G15" si="2">(F5*22.664+0.0944)/C5</f>
        <v>1.8318400000000002E-2</v>
      </c>
      <c r="H5" s="7">
        <f t="shared" ref="H5:H14" si="3">G5/63.5</f>
        <v>2.8847874015748033E-4</v>
      </c>
      <c r="I5" s="7">
        <f t="shared" ref="I5:I14" si="4">H5*B5</f>
        <v>4.3271811023622049E-2</v>
      </c>
      <c r="J5" s="7">
        <v>1.3787780314960629</v>
      </c>
      <c r="K5" s="7">
        <f t="shared" ref="K5:K14" si="5">J5-I5</f>
        <v>1.3355062204724408</v>
      </c>
      <c r="L5" s="7">
        <f t="shared" si="0"/>
        <v>0.86267438826460874</v>
      </c>
      <c r="M5" s="7">
        <f t="shared" ref="M5:M15" si="6">K5/O5</f>
        <v>15.605316427560272</v>
      </c>
      <c r="N5" s="1">
        <v>1.5481</v>
      </c>
      <c r="O5" s="3">
        <f t="shared" ref="O5:O15" si="7">N5/(1+17.089463)</f>
        <v>8.5580207660116842E-2</v>
      </c>
      <c r="P5" s="21"/>
      <c r="Q5" s="21"/>
    </row>
    <row r="6" spans="1:17" ht="23.25" x14ac:dyDescent="0.4">
      <c r="A6" s="1" t="s">
        <v>44</v>
      </c>
      <c r="B6" s="8">
        <v>150</v>
      </c>
      <c r="C6" s="8">
        <v>20</v>
      </c>
      <c r="D6" s="9">
        <v>1.4E-2</v>
      </c>
      <c r="E6" s="9">
        <v>1.4999999999999999E-2</v>
      </c>
      <c r="F6" s="9">
        <f t="shared" si="1"/>
        <v>1.4499999999999999E-2</v>
      </c>
      <c r="G6" s="7">
        <f t="shared" si="2"/>
        <v>2.1151399999999997E-2</v>
      </c>
      <c r="H6" s="7">
        <f t="shared" si="3"/>
        <v>3.3309291338582672E-4</v>
      </c>
      <c r="I6" s="7">
        <f t="shared" si="4"/>
        <v>4.9963937007874007E-2</v>
      </c>
      <c r="J6" s="7">
        <v>1.3787780314960629</v>
      </c>
      <c r="K6" s="7">
        <f t="shared" si="5"/>
        <v>1.328814094488189</v>
      </c>
      <c r="L6" s="7">
        <f t="shared" si="0"/>
        <v>0.8774525188115353</v>
      </c>
      <c r="M6" s="7">
        <f t="shared" si="6"/>
        <v>15.872644873298071</v>
      </c>
      <c r="N6" s="1">
        <v>1.5144</v>
      </c>
      <c r="O6" s="3">
        <f t="shared" si="7"/>
        <v>8.3717244674427316E-2</v>
      </c>
      <c r="P6" s="22"/>
      <c r="Q6" s="22"/>
    </row>
    <row r="7" spans="1:17" ht="20.25" x14ac:dyDescent="0.3">
      <c r="A7" s="1" t="s">
        <v>21</v>
      </c>
      <c r="B7" s="8">
        <v>150</v>
      </c>
      <c r="C7" s="8">
        <v>20</v>
      </c>
      <c r="D7" s="9">
        <v>0.106</v>
      </c>
      <c r="E7" s="9">
        <v>0.105</v>
      </c>
      <c r="F7" s="9">
        <f t="shared" si="1"/>
        <v>0.1055</v>
      </c>
      <c r="G7" s="7">
        <f t="shared" si="2"/>
        <v>0.1242726</v>
      </c>
      <c r="H7" s="7">
        <f t="shared" si="3"/>
        <v>1.9570488188976379E-3</v>
      </c>
      <c r="I7" s="7">
        <f t="shared" si="4"/>
        <v>0.2935573228346457</v>
      </c>
      <c r="J7" s="7">
        <v>1.4098840157480315</v>
      </c>
      <c r="K7" s="7">
        <f t="shared" si="5"/>
        <v>1.1163266929133857</v>
      </c>
      <c r="L7" s="7">
        <f t="shared" si="0"/>
        <v>0.87989807906785356</v>
      </c>
      <c r="M7" s="7">
        <f t="shared" si="6"/>
        <v>15.916883745069011</v>
      </c>
      <c r="N7" s="1">
        <v>1.2686999999999999</v>
      </c>
      <c r="O7" s="3">
        <f t="shared" si="7"/>
        <v>7.0134751927130173E-2</v>
      </c>
      <c r="P7" s="20">
        <f>AVERAGE(L7:L9)</f>
        <v>0.76680456420717269</v>
      </c>
      <c r="Q7" s="20">
        <f>AVERAGE(M7:M9)</f>
        <v>13.871082792456775</v>
      </c>
    </row>
    <row r="8" spans="1:17" ht="20.25" x14ac:dyDescent="0.3">
      <c r="A8" s="11" t="s">
        <v>50</v>
      </c>
      <c r="B8" s="12">
        <v>150</v>
      </c>
      <c r="C8" s="12">
        <v>20</v>
      </c>
      <c r="D8" s="13">
        <v>0.17199999999999999</v>
      </c>
      <c r="E8" s="13">
        <v>0.17</v>
      </c>
      <c r="F8" s="13">
        <f t="shared" si="1"/>
        <v>0.17099999999999999</v>
      </c>
      <c r="G8" s="14">
        <f t="shared" si="2"/>
        <v>0.19849719999999998</v>
      </c>
      <c r="H8" s="14">
        <f t="shared" si="3"/>
        <v>3.1259401574803146E-3</v>
      </c>
      <c r="I8" s="14">
        <f>H8*B8</f>
        <v>0.46889102362204721</v>
      </c>
      <c r="J8" s="14">
        <v>1.4098840157480315</v>
      </c>
      <c r="K8" s="14">
        <f t="shared" si="5"/>
        <v>0.94099299212598431</v>
      </c>
      <c r="L8" s="14">
        <f t="shared" si="0"/>
        <v>0.62115848711201027</v>
      </c>
      <c r="M8" s="14">
        <f t="shared" si="6"/>
        <v>11.236423469748686</v>
      </c>
      <c r="N8" s="11">
        <v>1.5148999999999999</v>
      </c>
      <c r="O8" s="3">
        <f t="shared" si="7"/>
        <v>8.374488507480847E-2</v>
      </c>
      <c r="P8" s="21"/>
      <c r="Q8" s="21"/>
    </row>
    <row r="9" spans="1:17" ht="20.25" x14ac:dyDescent="0.3">
      <c r="A9" s="1" t="s">
        <v>51</v>
      </c>
      <c r="B9" s="8">
        <v>150</v>
      </c>
      <c r="C9" s="8">
        <v>20</v>
      </c>
      <c r="D9" s="9">
        <v>0.10100000000000001</v>
      </c>
      <c r="E9" s="9">
        <v>0.10100000000000001</v>
      </c>
      <c r="F9" s="9">
        <f t="shared" si="1"/>
        <v>0.10100000000000001</v>
      </c>
      <c r="G9" s="7">
        <f t="shared" si="2"/>
        <v>0.11917320000000001</v>
      </c>
      <c r="H9" s="7">
        <f t="shared" si="3"/>
        <v>1.8767433070866143E-3</v>
      </c>
      <c r="I9" s="7">
        <f t="shared" si="4"/>
        <v>0.28151149606299214</v>
      </c>
      <c r="J9" s="7">
        <v>1.4098840157480315</v>
      </c>
      <c r="K9" s="7">
        <f t="shared" si="5"/>
        <v>1.1283725196850394</v>
      </c>
      <c r="L9" s="7">
        <f t="shared" si="0"/>
        <v>0.79935712644165446</v>
      </c>
      <c r="M9" s="7">
        <f t="shared" si="6"/>
        <v>14.459941162552628</v>
      </c>
      <c r="N9" s="1">
        <v>1.4116</v>
      </c>
      <c r="O9" s="3">
        <f t="shared" si="7"/>
        <v>7.8034378356062875E-2</v>
      </c>
      <c r="P9" s="22"/>
      <c r="Q9" s="22"/>
    </row>
    <row r="10" spans="1:17" ht="20.25" x14ac:dyDescent="0.3">
      <c r="A10" s="1" t="s">
        <v>20</v>
      </c>
      <c r="B10" s="8">
        <v>150</v>
      </c>
      <c r="C10" s="8">
        <v>10</v>
      </c>
      <c r="D10" s="9">
        <v>0.20699999999999999</v>
      </c>
      <c r="E10" s="9">
        <v>0.20799999999999999</v>
      </c>
      <c r="F10" s="9">
        <f t="shared" si="1"/>
        <v>0.20749999999999999</v>
      </c>
      <c r="G10" s="7">
        <f t="shared" si="2"/>
        <v>0.47971799999999998</v>
      </c>
      <c r="H10" s="7">
        <f t="shared" si="3"/>
        <v>7.554614173228346E-3</v>
      </c>
      <c r="I10" s="7">
        <f t="shared" si="4"/>
        <v>1.1331921259842519</v>
      </c>
      <c r="J10" s="7">
        <v>1.4409899999999998</v>
      </c>
      <c r="K10" s="7">
        <f t="shared" si="5"/>
        <v>0.30779787401574787</v>
      </c>
      <c r="L10" s="7">
        <f t="shared" si="0"/>
        <v>0.23567984227852057</v>
      </c>
      <c r="M10" s="7">
        <f t="shared" si="6"/>
        <v>4.2633217867431332</v>
      </c>
      <c r="N10" s="1">
        <v>1.306</v>
      </c>
      <c r="O10" s="3">
        <f t="shared" si="7"/>
        <v>7.2196725795563979E-2</v>
      </c>
      <c r="P10" s="20">
        <f>AVERAGE(L10:L12)</f>
        <v>0.21468265845696999</v>
      </c>
      <c r="Q10" s="20">
        <f t="shared" ref="Q10" si="8">AVERAGE(M10:M12)</f>
        <v>3.8834940068989954</v>
      </c>
    </row>
    <row r="11" spans="1:17" ht="20.25" x14ac:dyDescent="0.3">
      <c r="A11" s="1" t="s">
        <v>45</v>
      </c>
      <c r="B11" s="8">
        <v>150</v>
      </c>
      <c r="C11" s="8">
        <v>10</v>
      </c>
      <c r="D11" s="9">
        <v>0.219</v>
      </c>
      <c r="E11" s="9">
        <v>0.218</v>
      </c>
      <c r="F11" s="9">
        <f t="shared" si="1"/>
        <v>0.2185</v>
      </c>
      <c r="G11" s="7">
        <f t="shared" si="2"/>
        <v>0.5046484</v>
      </c>
      <c r="H11" s="7">
        <f t="shared" si="3"/>
        <v>7.9472188976377946E-3</v>
      </c>
      <c r="I11" s="7">
        <f t="shared" si="4"/>
        <v>1.1920828346456691</v>
      </c>
      <c r="J11" s="7">
        <v>1.4409899999999998</v>
      </c>
      <c r="K11" s="7">
        <f t="shared" si="5"/>
        <v>0.24890716535433066</v>
      </c>
      <c r="L11" s="7">
        <f t="shared" si="0"/>
        <v>0.17491719279995127</v>
      </c>
      <c r="M11" s="7">
        <f t="shared" si="6"/>
        <v>3.1641580872185844</v>
      </c>
      <c r="N11" s="1">
        <v>1.423</v>
      </c>
      <c r="O11" s="3">
        <f t="shared" si="7"/>
        <v>7.8664579484753097E-2</v>
      </c>
      <c r="P11" s="21"/>
      <c r="Q11" s="21"/>
    </row>
    <row r="12" spans="1:17" ht="20.25" x14ac:dyDescent="0.3">
      <c r="A12" s="1" t="s">
        <v>46</v>
      </c>
      <c r="B12" s="8">
        <v>150</v>
      </c>
      <c r="C12" s="8">
        <v>10</v>
      </c>
      <c r="D12" s="9">
        <v>0.20100000000000001</v>
      </c>
      <c r="E12" s="9">
        <v>0.20300000000000001</v>
      </c>
      <c r="F12" s="9">
        <f t="shared" si="1"/>
        <v>0.20200000000000001</v>
      </c>
      <c r="G12" s="7">
        <f t="shared" si="2"/>
        <v>0.46725280000000008</v>
      </c>
      <c r="H12" s="7">
        <f t="shared" si="3"/>
        <v>7.3583118110236235E-3</v>
      </c>
      <c r="I12" s="7">
        <f t="shared" si="4"/>
        <v>1.1037467716535436</v>
      </c>
      <c r="J12" s="7">
        <v>1.4409899999999998</v>
      </c>
      <c r="K12" s="7">
        <f t="shared" si="5"/>
        <v>0.33724322834645615</v>
      </c>
      <c r="L12" s="7">
        <f t="shared" si="0"/>
        <v>0.23345094029243812</v>
      </c>
      <c r="M12" s="7">
        <f t="shared" si="6"/>
        <v>4.2230021467352685</v>
      </c>
      <c r="N12" s="1">
        <v>1.4446000000000001</v>
      </c>
      <c r="O12" s="3">
        <f t="shared" si="7"/>
        <v>7.9858644781218777E-2</v>
      </c>
      <c r="P12" s="22"/>
      <c r="Q12" s="22"/>
    </row>
    <row r="13" spans="1:17" ht="20.25" x14ac:dyDescent="0.3">
      <c r="A13" s="1" t="s">
        <v>47</v>
      </c>
      <c r="B13" s="8">
        <v>150</v>
      </c>
      <c r="C13" s="8">
        <v>10</v>
      </c>
      <c r="D13" s="9">
        <v>0.14499999999999999</v>
      </c>
      <c r="E13" s="9">
        <v>0.14499999999999999</v>
      </c>
      <c r="F13" s="9">
        <f t="shared" si="1"/>
        <v>0.14499999999999999</v>
      </c>
      <c r="G13" s="7">
        <f t="shared" si="2"/>
        <v>0.33806799999999998</v>
      </c>
      <c r="H13" s="7">
        <f t="shared" si="3"/>
        <v>5.3239055118110236E-3</v>
      </c>
      <c r="I13" s="7">
        <f t="shared" si="4"/>
        <v>0.79858582677165357</v>
      </c>
      <c r="J13" s="7">
        <v>1.40469968503937</v>
      </c>
      <c r="K13" s="10">
        <f t="shared" si="5"/>
        <v>0.60611385826771647</v>
      </c>
      <c r="L13" s="7">
        <f t="shared" si="0"/>
        <v>0.43778537975277459</v>
      </c>
      <c r="M13" s="7">
        <f t="shared" si="6"/>
        <v>7.9193024289787646</v>
      </c>
      <c r="N13" s="1">
        <v>1.3845000000000001</v>
      </c>
      <c r="O13" s="3">
        <f t="shared" si="7"/>
        <v>7.6536268655404541E-2</v>
      </c>
      <c r="P13" s="20">
        <f>AVERAGE(L13:L15)</f>
        <v>0.40361424567863996</v>
      </c>
      <c r="Q13" s="20">
        <f t="shared" ref="Q13" si="9">AVERAGE(M13:M15)</f>
        <v>7.3011649634766655</v>
      </c>
    </row>
    <row r="14" spans="1:17" ht="20.25" x14ac:dyDescent="0.3">
      <c r="A14" s="1" t="s">
        <v>48</v>
      </c>
      <c r="B14" s="8">
        <v>150</v>
      </c>
      <c r="C14" s="8">
        <v>10</v>
      </c>
      <c r="D14" s="9">
        <v>0.158</v>
      </c>
      <c r="E14" s="9">
        <v>0.157</v>
      </c>
      <c r="F14" s="9">
        <f t="shared" si="1"/>
        <v>0.1575</v>
      </c>
      <c r="G14" s="7">
        <f t="shared" si="2"/>
        <v>0.366398</v>
      </c>
      <c r="H14" s="7">
        <f t="shared" si="3"/>
        <v>5.770047244094488E-3</v>
      </c>
      <c r="I14" s="7">
        <f t="shared" si="4"/>
        <v>0.86550708661417319</v>
      </c>
      <c r="J14" s="7">
        <v>1.40469968503937</v>
      </c>
      <c r="K14" s="7">
        <f t="shared" si="5"/>
        <v>0.53919259842519685</v>
      </c>
      <c r="L14" s="7">
        <f t="shared" si="0"/>
        <v>0.38235186386696701</v>
      </c>
      <c r="M14" s="7">
        <f t="shared" si="6"/>
        <v>6.9165398944025362</v>
      </c>
      <c r="N14" s="1">
        <v>1.4101999999999999</v>
      </c>
      <c r="O14" s="3">
        <f t="shared" si="7"/>
        <v>7.795698523499564E-2</v>
      </c>
      <c r="P14" s="21"/>
      <c r="Q14" s="21"/>
    </row>
    <row r="15" spans="1:17" ht="20.25" x14ac:dyDescent="0.3">
      <c r="A15" s="1" t="s">
        <v>49</v>
      </c>
      <c r="B15" s="8">
        <v>150</v>
      </c>
      <c r="C15" s="8">
        <v>10</v>
      </c>
      <c r="D15" s="9">
        <v>0.155</v>
      </c>
      <c r="E15" s="9">
        <v>0.159</v>
      </c>
      <c r="F15" s="9">
        <f t="shared" si="1"/>
        <v>0.157</v>
      </c>
      <c r="G15" s="7">
        <f t="shared" si="2"/>
        <v>0.3652648</v>
      </c>
      <c r="H15" s="7">
        <f>G15/63.5</f>
        <v>5.7522015748031497E-3</v>
      </c>
      <c r="I15" s="7">
        <f>H15*B15</f>
        <v>0.8628302362204725</v>
      </c>
      <c r="J15" s="7">
        <v>1.40469968503937</v>
      </c>
      <c r="K15" s="7">
        <f>J15-I15</f>
        <v>0.54186944881889754</v>
      </c>
      <c r="L15" s="7">
        <f t="shared" si="0"/>
        <v>0.39070549341617816</v>
      </c>
      <c r="M15" s="7">
        <f t="shared" si="6"/>
        <v>7.0676525670486985</v>
      </c>
      <c r="N15" s="1">
        <v>1.3869</v>
      </c>
      <c r="O15" s="3">
        <f t="shared" si="7"/>
        <v>7.6668942577234056E-2</v>
      </c>
      <c r="P15" s="22"/>
      <c r="Q15" s="22"/>
    </row>
    <row r="18" spans="1:15" ht="20.25" x14ac:dyDescent="0.3">
      <c r="A18" s="6" t="s">
        <v>0</v>
      </c>
      <c r="B18" s="6" t="s">
        <v>27</v>
      </c>
      <c r="C18" s="6" t="s">
        <v>28</v>
      </c>
      <c r="D18" s="6" t="s">
        <v>29</v>
      </c>
      <c r="E18" s="6" t="s">
        <v>30</v>
      </c>
      <c r="F18" s="6" t="s">
        <v>31</v>
      </c>
      <c r="G18" s="6" t="s">
        <v>32</v>
      </c>
      <c r="H18" s="6" t="s">
        <v>33</v>
      </c>
      <c r="I18" s="6" t="s">
        <v>34</v>
      </c>
      <c r="M18" t="s">
        <v>56</v>
      </c>
    </row>
    <row r="19" spans="1:15" ht="20.25" x14ac:dyDescent="0.3">
      <c r="A19" s="6" t="s">
        <v>52</v>
      </c>
      <c r="B19" s="6">
        <v>150</v>
      </c>
      <c r="C19" s="6">
        <v>5</v>
      </c>
      <c r="D19" s="6">
        <v>0.12</v>
      </c>
      <c r="E19" s="6">
        <v>0.121</v>
      </c>
      <c r="F19" s="6">
        <f>AVERAGE(D19:E19)</f>
        <v>0.1205</v>
      </c>
      <c r="G19" s="6">
        <f>(F19*21.947+0.2738)/C19</f>
        <v>0.5836827</v>
      </c>
      <c r="H19" s="6">
        <f>G19/63.5</f>
        <v>9.1918535433070866E-3</v>
      </c>
      <c r="I19" s="6">
        <f>H19*B19</f>
        <v>1.3787780314960629</v>
      </c>
    </row>
    <row r="20" spans="1:15" ht="20.25" x14ac:dyDescent="0.3">
      <c r="A20" s="6" t="s">
        <v>55</v>
      </c>
      <c r="B20" s="6">
        <v>150</v>
      </c>
      <c r="C20" s="6">
        <v>5</v>
      </c>
      <c r="D20" s="6">
        <v>0.124</v>
      </c>
      <c r="E20" s="6">
        <v>0.123</v>
      </c>
      <c r="F20" s="6">
        <f>AVERAGE(D20:E20)</f>
        <v>0.1235</v>
      </c>
      <c r="G20" s="6">
        <f t="shared" ref="G20:G22" si="10">(F20*21.947+0.2738)/C20</f>
        <v>0.59685089999999996</v>
      </c>
      <c r="H20" s="6">
        <f>G20/63.5</f>
        <v>9.3992267716535433E-3</v>
      </c>
      <c r="I20" s="6">
        <f>H20*B20</f>
        <v>1.4098840157480315</v>
      </c>
      <c r="L20" t="s">
        <v>57</v>
      </c>
    </row>
    <row r="21" spans="1:15" ht="20.25" x14ac:dyDescent="0.3">
      <c r="A21" s="6" t="s">
        <v>53</v>
      </c>
      <c r="B21" s="6">
        <v>150</v>
      </c>
      <c r="C21" s="6">
        <v>5</v>
      </c>
      <c r="D21" s="6">
        <v>0.127</v>
      </c>
      <c r="E21" s="6">
        <v>0.126</v>
      </c>
      <c r="F21" s="6">
        <f t="shared" ref="F21:F22" si="11">AVERAGE(D21:E21)</f>
        <v>0.1265</v>
      </c>
      <c r="G21" s="6">
        <f t="shared" si="10"/>
        <v>0.61001909999999993</v>
      </c>
      <c r="H21" s="6">
        <f t="shared" ref="H21:H22" si="12">G21/63.5</f>
        <v>9.6065999999999981E-3</v>
      </c>
      <c r="I21" s="6">
        <f t="shared" ref="I21:I22" si="13">H21*B21</f>
        <v>1.4409899999999998</v>
      </c>
      <c r="L21" s="6" t="s">
        <v>58</v>
      </c>
      <c r="M21" s="6"/>
      <c r="N21" s="6"/>
      <c r="O21" s="6"/>
    </row>
    <row r="22" spans="1:15" ht="20.25" x14ac:dyDescent="0.3">
      <c r="A22" s="6" t="s">
        <v>54</v>
      </c>
      <c r="B22" s="6">
        <v>150</v>
      </c>
      <c r="C22" s="6">
        <v>5</v>
      </c>
      <c r="D22" s="6">
        <v>0.125</v>
      </c>
      <c r="E22" s="6">
        <v>0.121</v>
      </c>
      <c r="F22" s="6">
        <f t="shared" si="11"/>
        <v>0.123</v>
      </c>
      <c r="G22" s="6">
        <f t="shared" si="10"/>
        <v>0.59465619999999997</v>
      </c>
      <c r="H22" s="6">
        <f t="shared" si="12"/>
        <v>9.3646645669291338E-3</v>
      </c>
      <c r="I22" s="6">
        <f t="shared" si="13"/>
        <v>1.40469968503937</v>
      </c>
      <c r="L22" s="6" t="s">
        <v>59</v>
      </c>
      <c r="M22" s="6" t="s">
        <v>60</v>
      </c>
      <c r="N22" s="6" t="s">
        <v>61</v>
      </c>
      <c r="O22" s="6" t="s">
        <v>32</v>
      </c>
    </row>
    <row r="23" spans="1:15" ht="20.25" x14ac:dyDescent="0.3">
      <c r="L23" s="6">
        <v>0.1</v>
      </c>
      <c r="M23" s="6">
        <f>L23*0.157</f>
        <v>1.5700000000000002E-2</v>
      </c>
      <c r="N23" s="6">
        <v>3.5000000000000003E-2</v>
      </c>
      <c r="O23" s="6">
        <f>M23*63.5</f>
        <v>0.99695000000000011</v>
      </c>
    </row>
    <row r="24" spans="1:15" ht="20.25" x14ac:dyDescent="0.3">
      <c r="L24" s="6">
        <v>0.2</v>
      </c>
      <c r="M24" s="6">
        <f>L24*0.157</f>
        <v>3.1400000000000004E-2</v>
      </c>
      <c r="N24" s="6">
        <v>7.5999999999999998E-2</v>
      </c>
      <c r="O24" s="6">
        <f t="shared" ref="O24:O27" si="14">M24*63.5</f>
        <v>1.9939000000000002</v>
      </c>
    </row>
    <row r="25" spans="1:15" ht="20.25" x14ac:dyDescent="0.3">
      <c r="L25" s="6">
        <v>0.3</v>
      </c>
      <c r="M25" s="6">
        <f t="shared" ref="M25:M27" si="15">L25*0.157</f>
        <v>4.7099999999999996E-2</v>
      </c>
      <c r="N25" s="6">
        <v>0.123</v>
      </c>
      <c r="O25" s="6">
        <f t="shared" si="14"/>
        <v>2.9908499999999996</v>
      </c>
    </row>
    <row r="26" spans="1:15" ht="20.25" x14ac:dyDescent="0.3">
      <c r="L26" s="6">
        <v>0.4</v>
      </c>
      <c r="M26" s="6">
        <f t="shared" si="15"/>
        <v>6.2800000000000009E-2</v>
      </c>
      <c r="N26" s="6">
        <v>0.17</v>
      </c>
      <c r="O26" s="6">
        <f t="shared" si="14"/>
        <v>3.9878000000000005</v>
      </c>
    </row>
    <row r="27" spans="1:15" ht="20.25" x14ac:dyDescent="0.3">
      <c r="L27" s="6">
        <v>0.5</v>
      </c>
      <c r="M27" s="6">
        <f t="shared" si="15"/>
        <v>7.85E-2</v>
      </c>
      <c r="N27" s="6">
        <v>0.215</v>
      </c>
      <c r="O27" s="6">
        <f t="shared" si="14"/>
        <v>4.98475</v>
      </c>
    </row>
    <row r="29" spans="1:15" x14ac:dyDescent="0.25">
      <c r="L29" t="s">
        <v>62</v>
      </c>
    </row>
    <row r="30" spans="1:15" ht="20.25" x14ac:dyDescent="0.3">
      <c r="L30" s="6" t="s">
        <v>58</v>
      </c>
      <c r="M30" s="6"/>
      <c r="N30" s="6"/>
      <c r="O30" s="6"/>
    </row>
    <row r="31" spans="1:15" ht="20.25" x14ac:dyDescent="0.3">
      <c r="L31" s="6" t="s">
        <v>59</v>
      </c>
      <c r="M31" s="6" t="s">
        <v>60</v>
      </c>
      <c r="N31" s="6" t="s">
        <v>61</v>
      </c>
      <c r="O31" s="6" t="s">
        <v>32</v>
      </c>
    </row>
    <row r="32" spans="1:15" ht="20.25" x14ac:dyDescent="0.3">
      <c r="L32" s="6">
        <v>0.1</v>
      </c>
      <c r="M32" s="6">
        <f>L32*0.157</f>
        <v>1.5700000000000002E-2</v>
      </c>
      <c r="N32" s="6">
        <v>4.1000000000000002E-2</v>
      </c>
      <c r="O32" s="6">
        <f>M32*63.5</f>
        <v>0.99695000000000011</v>
      </c>
    </row>
    <row r="33" spans="12:15" ht="20.25" x14ac:dyDescent="0.3">
      <c r="L33" s="6">
        <v>0.2</v>
      </c>
      <c r="M33" s="6">
        <f>L33*0.157</f>
        <v>3.1400000000000004E-2</v>
      </c>
      <c r="N33" s="6">
        <v>8.5999999999999993E-2</v>
      </c>
      <c r="O33" s="6">
        <f t="shared" ref="O33:O36" si="16">M33*63.5</f>
        <v>1.9939000000000002</v>
      </c>
    </row>
    <row r="34" spans="12:15" ht="20.25" x14ac:dyDescent="0.3">
      <c r="L34" s="6">
        <v>0.3</v>
      </c>
      <c r="M34" s="6">
        <f t="shared" ref="M34:M36" si="17">L34*0.157</f>
        <v>4.7099999999999996E-2</v>
      </c>
      <c r="N34" s="6">
        <v>0.124</v>
      </c>
      <c r="O34" s="6">
        <f t="shared" si="16"/>
        <v>2.9908499999999996</v>
      </c>
    </row>
    <row r="35" spans="12:15" ht="20.25" x14ac:dyDescent="0.3">
      <c r="L35" s="6">
        <v>0.4</v>
      </c>
      <c r="M35" s="6">
        <f t="shared" si="17"/>
        <v>6.2800000000000009E-2</v>
      </c>
      <c r="N35" s="6">
        <v>0.16900000000000001</v>
      </c>
      <c r="O35" s="6">
        <f t="shared" si="16"/>
        <v>3.9878000000000005</v>
      </c>
    </row>
    <row r="36" spans="12:15" ht="20.25" x14ac:dyDescent="0.3">
      <c r="L36" s="6">
        <v>0.5</v>
      </c>
      <c r="M36" s="6">
        <f t="shared" si="17"/>
        <v>7.85E-2</v>
      </c>
      <c r="N36" s="6">
        <v>0.219</v>
      </c>
      <c r="O36" s="6">
        <f t="shared" si="16"/>
        <v>4.98475</v>
      </c>
    </row>
  </sheetData>
  <mergeCells count="8">
    <mergeCell ref="P4:P6"/>
    <mergeCell ref="Q4:Q6"/>
    <mergeCell ref="P10:P12"/>
    <mergeCell ref="Q10:Q12"/>
    <mergeCell ref="P13:P15"/>
    <mergeCell ref="Q13:Q15"/>
    <mergeCell ref="P7:P9"/>
    <mergeCell ref="Q7:Q9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B582-2C87-476F-8A96-FD9979D35231}">
  <dimension ref="A3:T25"/>
  <sheetViews>
    <sheetView topLeftCell="A4" workbookViewId="0">
      <selection activeCell="M13" sqref="M13:M15"/>
    </sheetView>
  </sheetViews>
  <sheetFormatPr defaultRowHeight="15" x14ac:dyDescent="0.25"/>
  <cols>
    <col min="1" max="1" width="21.28515625" customWidth="1"/>
    <col min="2" max="2" width="12.42578125" customWidth="1"/>
    <col min="3" max="5" width="9.28515625" bestFit="1" customWidth="1"/>
    <col min="6" max="6" width="11.42578125" customWidth="1"/>
    <col min="7" max="7" width="12" bestFit="1" customWidth="1"/>
    <col min="8" max="9" width="9.85546875" bestFit="1" customWidth="1"/>
    <col min="10" max="10" width="15.5703125" customWidth="1"/>
    <col min="11" max="11" width="15.28515625" customWidth="1"/>
    <col min="12" max="12" width="19.7109375" customWidth="1"/>
    <col min="13" max="14" width="17.5703125" customWidth="1"/>
    <col min="15" max="15" width="18.28515625" customWidth="1"/>
    <col min="16" max="17" width="17.28515625" customWidth="1"/>
    <col min="18" max="18" width="30.5703125" customWidth="1"/>
    <col min="19" max="19" width="31.85546875" customWidth="1"/>
    <col min="20" max="20" width="26.5703125" customWidth="1"/>
  </cols>
  <sheetData>
    <row r="3" spans="1:20" ht="81" x14ac:dyDescent="0.3">
      <c r="A3" s="7" t="s">
        <v>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70</v>
      </c>
      <c r="M3" s="7" t="s">
        <v>71</v>
      </c>
      <c r="N3" s="7" t="s">
        <v>74</v>
      </c>
      <c r="O3" s="7" t="s">
        <v>1</v>
      </c>
      <c r="P3" s="7" t="s">
        <v>39</v>
      </c>
      <c r="Q3" s="7" t="s">
        <v>73</v>
      </c>
      <c r="R3" s="7" t="s">
        <v>40</v>
      </c>
      <c r="S3" s="7" t="s">
        <v>41</v>
      </c>
      <c r="T3" s="7" t="s">
        <v>75</v>
      </c>
    </row>
    <row r="4" spans="1:20" ht="23.25" x14ac:dyDescent="0.4">
      <c r="A4" s="1" t="s">
        <v>42</v>
      </c>
      <c r="B4" s="8">
        <v>150</v>
      </c>
      <c r="C4" s="8">
        <v>20</v>
      </c>
      <c r="D4" s="9">
        <v>2E-3</v>
      </c>
      <c r="E4" s="9">
        <v>2E-3</v>
      </c>
      <c r="F4" s="9">
        <f>AVERAGE(D4:E4)</f>
        <v>2E-3</v>
      </c>
      <c r="G4" s="7">
        <f>(F4*21.947+0.2738)/C4</f>
        <v>1.5884699999999998E-2</v>
      </c>
      <c r="H4" s="7">
        <f>G4/63.5</f>
        <v>2.5015275590551175E-4</v>
      </c>
      <c r="I4" s="7">
        <f>H4*B4</f>
        <v>3.7522913385826764E-2</v>
      </c>
      <c r="J4" s="7">
        <v>1.3787780314960629</v>
      </c>
      <c r="K4" s="7">
        <f>J4-I4</f>
        <v>1.3412551181102361</v>
      </c>
      <c r="L4" s="7">
        <f t="shared" ref="L4:L15" si="0">K4/O4</f>
        <v>0.95456203694415775</v>
      </c>
      <c r="M4" s="7">
        <f>K4/P4</f>
        <v>15.963852331175183</v>
      </c>
      <c r="N4" s="7">
        <f>K4/Q4</f>
        <v>41.914222440944876</v>
      </c>
      <c r="O4" s="1">
        <v>1.4051</v>
      </c>
      <c r="P4" s="3">
        <v>8.401826139990981E-2</v>
      </c>
      <c r="Q4" s="1">
        <v>3.2000000000000001E-2</v>
      </c>
      <c r="R4" s="20">
        <f>AVERAGE(L4:L6)</f>
        <v>0.90389270841220404</v>
      </c>
      <c r="S4" s="20">
        <f>AVERAGE(M4:M6)</f>
        <v>15.116471388818233</v>
      </c>
      <c r="T4" s="20">
        <f>AVERAGE(N4:N6)</f>
        <v>41.150331543690065</v>
      </c>
    </row>
    <row r="5" spans="1:20" ht="23.25" x14ac:dyDescent="0.4">
      <c r="A5" s="1" t="s">
        <v>43</v>
      </c>
      <c r="B5" s="8">
        <v>150</v>
      </c>
      <c r="C5" s="8">
        <v>20</v>
      </c>
      <c r="D5" s="9">
        <v>0</v>
      </c>
      <c r="E5" s="9">
        <v>0</v>
      </c>
      <c r="F5" s="9">
        <f t="shared" ref="F5:F15" si="1">AVERAGE(D5:E5)</f>
        <v>0</v>
      </c>
      <c r="G5" s="7">
        <f t="shared" ref="G5:G15" si="2">(F5*21.947+0.2738)/C5</f>
        <v>1.3689999999999999E-2</v>
      </c>
      <c r="H5" s="7">
        <f t="shared" ref="H5:H14" si="3">G5/63.5</f>
        <v>2.1559055118110235E-4</v>
      </c>
      <c r="I5" s="7">
        <f t="shared" ref="I5:I14" si="4">H5*B5</f>
        <v>3.2338582677165349E-2</v>
      </c>
      <c r="J5" s="7">
        <v>1.3787780314960629</v>
      </c>
      <c r="K5" s="7">
        <f t="shared" ref="K5:K14" si="5">J5-I5</f>
        <v>1.3464394488188975</v>
      </c>
      <c r="L5" s="7">
        <f t="shared" si="0"/>
        <v>0.86973674104960763</v>
      </c>
      <c r="M5" s="7">
        <f t="shared" ref="M5:M15" si="6">K5/P5</f>
        <v>14.545255691878856</v>
      </c>
      <c r="N5" s="7">
        <f t="shared" ref="N5:N15" si="7">K5/Q5</f>
        <v>41.30182358340177</v>
      </c>
      <c r="O5" s="1">
        <v>1.5481</v>
      </c>
      <c r="P5" s="3">
        <v>9.2568977633762983E-2</v>
      </c>
      <c r="Q5" s="1">
        <v>3.2599999999999997E-2</v>
      </c>
      <c r="R5" s="21"/>
      <c r="S5" s="21"/>
      <c r="T5" s="21"/>
    </row>
    <row r="6" spans="1:20" ht="23.25" x14ac:dyDescent="0.4">
      <c r="A6" s="1" t="s">
        <v>44</v>
      </c>
      <c r="B6" s="8">
        <v>150</v>
      </c>
      <c r="C6" s="8">
        <v>20</v>
      </c>
      <c r="D6" s="9">
        <v>2E-3</v>
      </c>
      <c r="E6" s="9">
        <v>0</v>
      </c>
      <c r="F6" s="9">
        <f t="shared" si="1"/>
        <v>1E-3</v>
      </c>
      <c r="G6" s="7">
        <f t="shared" si="2"/>
        <v>1.4787349999999999E-2</v>
      </c>
      <c r="H6" s="7">
        <f t="shared" si="3"/>
        <v>2.3287165354330706E-4</v>
      </c>
      <c r="I6" s="7">
        <f t="shared" si="4"/>
        <v>3.493074803149606E-2</v>
      </c>
      <c r="J6" s="7">
        <v>1.3787780314960629</v>
      </c>
      <c r="K6" s="7">
        <f t="shared" si="5"/>
        <v>1.3438472834645669</v>
      </c>
      <c r="L6" s="7">
        <f t="shared" si="0"/>
        <v>0.88737934724284662</v>
      </c>
      <c r="M6" s="7">
        <f t="shared" si="6"/>
        <v>14.840306143400658</v>
      </c>
      <c r="N6" s="7">
        <f t="shared" si="7"/>
        <v>40.234948606723563</v>
      </c>
      <c r="O6" s="1">
        <v>1.5144</v>
      </c>
      <c r="P6" s="3">
        <v>9.0553878773057719E-2</v>
      </c>
      <c r="Q6" s="1">
        <v>3.3399999999999999E-2</v>
      </c>
      <c r="R6" s="22"/>
      <c r="S6" s="22"/>
      <c r="T6" s="22"/>
    </row>
    <row r="7" spans="1:20" ht="20.25" x14ac:dyDescent="0.3">
      <c r="A7" s="1" t="s">
        <v>21</v>
      </c>
      <c r="B7" s="8">
        <v>150</v>
      </c>
      <c r="C7" s="8">
        <v>20</v>
      </c>
      <c r="D7" s="9">
        <v>4.9000000000000002E-2</v>
      </c>
      <c r="E7" s="9">
        <v>4.8000000000000001E-2</v>
      </c>
      <c r="F7" s="9">
        <f t="shared" si="1"/>
        <v>4.8500000000000001E-2</v>
      </c>
      <c r="G7" s="7">
        <f t="shared" si="2"/>
        <v>6.6911474999999998E-2</v>
      </c>
      <c r="H7" s="7">
        <f t="shared" si="3"/>
        <v>1.0537240157480314E-3</v>
      </c>
      <c r="I7" s="7">
        <f t="shared" si="4"/>
        <v>0.1580586023622047</v>
      </c>
      <c r="J7" s="7">
        <v>1.4098840157480315</v>
      </c>
      <c r="K7" s="7">
        <f t="shared" si="5"/>
        <v>1.2518254133858266</v>
      </c>
      <c r="L7" s="7">
        <f t="shared" si="0"/>
        <v>0.98669930904534309</v>
      </c>
      <c r="M7" s="7">
        <f t="shared" si="6"/>
        <v>16.759810205635247</v>
      </c>
      <c r="N7" s="7">
        <f t="shared" si="7"/>
        <v>38.756204748787198</v>
      </c>
      <c r="O7" s="1">
        <v>1.2686999999999999</v>
      </c>
      <c r="P7" s="3">
        <v>7.4692099613688834E-2</v>
      </c>
      <c r="Q7" s="1">
        <v>3.2300000000000002E-2</v>
      </c>
      <c r="R7" s="20">
        <f>AVERAGE(L7:L9)</f>
        <v>0.90000019096277761</v>
      </c>
      <c r="S7" s="20">
        <f>AVERAGE(M7:M9)</f>
        <v>15.287162205642597</v>
      </c>
      <c r="T7" s="20">
        <f t="shared" ref="T7" si="8">AVERAGE(N7:N9)</f>
        <v>39.818872573368843</v>
      </c>
    </row>
    <row r="8" spans="1:20" ht="20.25" x14ac:dyDescent="0.3">
      <c r="A8" s="15" t="s">
        <v>50</v>
      </c>
      <c r="B8" s="16">
        <v>150</v>
      </c>
      <c r="C8" s="16">
        <v>20</v>
      </c>
      <c r="D8" s="17">
        <v>5.7000000000000002E-2</v>
      </c>
      <c r="E8" s="17">
        <v>5.7000000000000002E-2</v>
      </c>
      <c r="F8" s="17">
        <f t="shared" si="1"/>
        <v>5.7000000000000002E-2</v>
      </c>
      <c r="G8" s="10">
        <f t="shared" si="2"/>
        <v>7.623895E-2</v>
      </c>
      <c r="H8" s="10">
        <f t="shared" si="3"/>
        <v>1.2006133858267717E-3</v>
      </c>
      <c r="I8" s="10">
        <f>H8*B8</f>
        <v>0.18009200787401575</v>
      </c>
      <c r="J8" s="10">
        <v>1.4098840157480315</v>
      </c>
      <c r="K8" s="10">
        <f t="shared" si="5"/>
        <v>1.2297920078740157</v>
      </c>
      <c r="L8" s="10">
        <f t="shared" si="0"/>
        <v>0.81179748357912451</v>
      </c>
      <c r="M8" s="10">
        <f t="shared" si="6"/>
        <v>13.788974640472956</v>
      </c>
      <c r="N8" s="7">
        <f t="shared" si="7"/>
        <v>43.921143138357699</v>
      </c>
      <c r="O8" s="15">
        <v>1.5148999999999999</v>
      </c>
      <c r="P8" s="3">
        <v>8.9186617565048643E-2</v>
      </c>
      <c r="Q8" s="1">
        <v>2.8000000000000001E-2</v>
      </c>
      <c r="R8" s="21"/>
      <c r="S8" s="21"/>
      <c r="T8" s="21"/>
    </row>
    <row r="9" spans="1:20" ht="20.25" x14ac:dyDescent="0.3">
      <c r="A9" s="1" t="s">
        <v>51</v>
      </c>
      <c r="B9" s="8">
        <v>150</v>
      </c>
      <c r="C9" s="8">
        <v>20</v>
      </c>
      <c r="D9" s="9">
        <v>0.04</v>
      </c>
      <c r="E9" s="9">
        <v>4.1000000000000002E-2</v>
      </c>
      <c r="F9" s="9">
        <f t="shared" si="1"/>
        <v>4.0500000000000001E-2</v>
      </c>
      <c r="G9" s="7">
        <f t="shared" si="2"/>
        <v>5.8132675000000002E-2</v>
      </c>
      <c r="H9" s="7">
        <f t="shared" si="3"/>
        <v>9.1547519685039375E-4</v>
      </c>
      <c r="I9" s="7">
        <f t="shared" si="4"/>
        <v>0.13732127952755907</v>
      </c>
      <c r="J9" s="7">
        <v>1.4098840157480315</v>
      </c>
      <c r="K9" s="7">
        <f t="shared" si="5"/>
        <v>1.2725627362204723</v>
      </c>
      <c r="L9" s="7">
        <f t="shared" si="0"/>
        <v>0.90150378026386535</v>
      </c>
      <c r="M9" s="7">
        <f t="shared" si="6"/>
        <v>15.312701770819586</v>
      </c>
      <c r="N9" s="7">
        <f t="shared" si="7"/>
        <v>36.779269832961631</v>
      </c>
      <c r="O9" s="1">
        <v>1.4116</v>
      </c>
      <c r="P9" s="3">
        <v>8.3105042811289637E-2</v>
      </c>
      <c r="Q9" s="1">
        <v>3.4599999999999999E-2</v>
      </c>
      <c r="R9" s="22"/>
      <c r="S9" s="22"/>
      <c r="T9" s="22"/>
    </row>
    <row r="10" spans="1:20" ht="20.25" x14ac:dyDescent="0.3">
      <c r="A10" s="1" t="s">
        <v>20</v>
      </c>
      <c r="B10" s="8">
        <v>150</v>
      </c>
      <c r="C10" s="8">
        <v>20</v>
      </c>
      <c r="D10" s="9">
        <v>0.02</v>
      </c>
      <c r="E10" s="9">
        <v>1.9E-2</v>
      </c>
      <c r="F10" s="9">
        <f t="shared" si="1"/>
        <v>1.95E-2</v>
      </c>
      <c r="G10" s="7">
        <f t="shared" si="2"/>
        <v>3.5088324999999997E-2</v>
      </c>
      <c r="H10" s="7">
        <f t="shared" si="3"/>
        <v>5.5257204724409447E-4</v>
      </c>
      <c r="I10" s="7">
        <f t="shared" si="4"/>
        <v>8.2885807086614166E-2</v>
      </c>
      <c r="J10" s="7">
        <v>1.4409899999999998</v>
      </c>
      <c r="K10" s="7">
        <f t="shared" si="5"/>
        <v>1.3581041929133857</v>
      </c>
      <c r="L10" s="7">
        <f t="shared" si="0"/>
        <v>1.039896012950525</v>
      </c>
      <c r="M10" s="7">
        <f t="shared" si="6"/>
        <v>17.495323257006397</v>
      </c>
      <c r="N10" s="7">
        <f t="shared" si="7"/>
        <v>39.710648915596074</v>
      </c>
      <c r="O10" s="1">
        <v>1.306</v>
      </c>
      <c r="P10" s="3">
        <v>7.7626699030525326E-2</v>
      </c>
      <c r="Q10" s="1">
        <v>3.4200000000000001E-2</v>
      </c>
      <c r="R10" s="20">
        <f>AVERAGE(L10:L12)</f>
        <v>0.96206179591897734</v>
      </c>
      <c r="S10" s="20">
        <f t="shared" ref="S10:T10" si="9">AVERAGE(M10:M12)</f>
        <v>16.185831951660173</v>
      </c>
      <c r="T10" s="20">
        <f t="shared" si="9"/>
        <v>37.234121606314375</v>
      </c>
    </row>
    <row r="11" spans="1:20" ht="20.25" x14ac:dyDescent="0.3">
      <c r="A11" s="1" t="s">
        <v>45</v>
      </c>
      <c r="B11" s="8">
        <v>150</v>
      </c>
      <c r="C11" s="8">
        <v>20</v>
      </c>
      <c r="D11" s="9">
        <v>1.2E-2</v>
      </c>
      <c r="E11" s="9">
        <v>1.0999999999999999E-2</v>
      </c>
      <c r="F11" s="9">
        <f t="shared" si="1"/>
        <v>1.15E-2</v>
      </c>
      <c r="G11" s="7">
        <f t="shared" si="2"/>
        <v>2.6309525E-2</v>
      </c>
      <c r="H11" s="7">
        <f t="shared" si="3"/>
        <v>4.1432322834645668E-4</v>
      </c>
      <c r="I11" s="7">
        <f t="shared" si="4"/>
        <v>6.2148484251968499E-2</v>
      </c>
      <c r="J11" s="7">
        <v>1.4409899999999998</v>
      </c>
      <c r="K11" s="7">
        <f t="shared" si="5"/>
        <v>1.3788415157480314</v>
      </c>
      <c r="L11" s="7">
        <f t="shared" si="0"/>
        <v>0.96896803636544715</v>
      </c>
      <c r="M11" s="7">
        <f t="shared" si="6"/>
        <v>16.302023289637106</v>
      </c>
      <c r="N11" s="7">
        <f t="shared" si="7"/>
        <v>36.190066030132058</v>
      </c>
      <c r="O11" s="1">
        <v>1.423</v>
      </c>
      <c r="P11" s="3">
        <v>8.4581005145817414E-2</v>
      </c>
      <c r="Q11" s="1">
        <v>3.8100000000000002E-2</v>
      </c>
      <c r="R11" s="21"/>
      <c r="S11" s="21"/>
      <c r="T11" s="21"/>
    </row>
    <row r="12" spans="1:20" ht="20.25" x14ac:dyDescent="0.3">
      <c r="A12" s="11" t="s">
        <v>46</v>
      </c>
      <c r="B12" s="12">
        <v>150</v>
      </c>
      <c r="C12" s="12">
        <v>20</v>
      </c>
      <c r="D12" s="13">
        <v>5.5E-2</v>
      </c>
      <c r="E12" s="13">
        <v>5.3999999999999999E-2</v>
      </c>
      <c r="F12" s="13">
        <f t="shared" si="1"/>
        <v>5.45E-2</v>
      </c>
      <c r="G12" s="14">
        <f t="shared" si="2"/>
        <v>7.3495575000000007E-2</v>
      </c>
      <c r="H12" s="14">
        <f t="shared" si="3"/>
        <v>1.1574106299212599E-3</v>
      </c>
      <c r="I12" s="14">
        <f t="shared" si="4"/>
        <v>0.173611594488189</v>
      </c>
      <c r="J12" s="14">
        <v>1.4409899999999998</v>
      </c>
      <c r="K12" s="14">
        <f t="shared" si="5"/>
        <v>1.2673784055118107</v>
      </c>
      <c r="L12" s="14">
        <f t="shared" si="0"/>
        <v>0.87732133844095983</v>
      </c>
      <c r="M12" s="14">
        <f t="shared" si="6"/>
        <v>14.760149308337011</v>
      </c>
      <c r="N12" s="7">
        <f t="shared" si="7"/>
        <v>35.801649873214991</v>
      </c>
      <c r="O12" s="11">
        <v>1.4446000000000001</v>
      </c>
      <c r="P12" s="3">
        <v>8.5864877044025179E-2</v>
      </c>
      <c r="Q12" s="1">
        <v>3.5400000000000001E-2</v>
      </c>
      <c r="R12" s="22"/>
      <c r="S12" s="22"/>
      <c r="T12" s="22"/>
    </row>
    <row r="13" spans="1:20" ht="20.25" x14ac:dyDescent="0.3">
      <c r="A13" s="1" t="s">
        <v>47</v>
      </c>
      <c r="B13" s="8">
        <v>150</v>
      </c>
      <c r="C13" s="8">
        <v>20</v>
      </c>
      <c r="D13" s="9">
        <v>6.0999999999999999E-2</v>
      </c>
      <c r="E13" s="9">
        <v>6.2E-2</v>
      </c>
      <c r="F13" s="9">
        <f t="shared" si="1"/>
        <v>6.1499999999999999E-2</v>
      </c>
      <c r="G13" s="7">
        <f t="shared" si="2"/>
        <v>8.1177025E-2</v>
      </c>
      <c r="H13" s="7">
        <f t="shared" si="3"/>
        <v>1.2783783464566929E-3</v>
      </c>
      <c r="I13" s="7">
        <f t="shared" si="4"/>
        <v>0.19175675196850395</v>
      </c>
      <c r="J13" s="7">
        <v>1.40469968503937</v>
      </c>
      <c r="K13" s="10">
        <f t="shared" si="5"/>
        <v>1.2129429330708661</v>
      </c>
      <c r="L13" s="7">
        <f t="shared" si="0"/>
        <v>0.87608734783016684</v>
      </c>
      <c r="M13" s="7">
        <f t="shared" si="6"/>
        <v>15.825904677408483</v>
      </c>
      <c r="N13" s="7">
        <f t="shared" si="7"/>
        <v>34.854681984795008</v>
      </c>
      <c r="O13" s="1">
        <v>1.3845000000000001</v>
      </c>
      <c r="P13" s="3">
        <v>7.6642881263043694E-2</v>
      </c>
      <c r="Q13" s="1">
        <v>3.4799999999999998E-2</v>
      </c>
      <c r="R13" s="20">
        <f>AVERAGE(L13:L15)</f>
        <v>0.86843723869459399</v>
      </c>
      <c r="S13" s="20">
        <f t="shared" ref="S13:T13" si="10">AVERAGE(M13:M15)</f>
        <v>15.687710810950753</v>
      </c>
      <c r="T13" s="20">
        <f t="shared" si="10"/>
        <v>36.689139124966694</v>
      </c>
    </row>
    <row r="14" spans="1:20" ht="20.25" x14ac:dyDescent="0.3">
      <c r="A14" s="1" t="s">
        <v>48</v>
      </c>
      <c r="B14" s="8">
        <v>150</v>
      </c>
      <c r="C14" s="8">
        <v>20</v>
      </c>
      <c r="D14" s="9">
        <v>6.6000000000000003E-2</v>
      </c>
      <c r="E14" s="9">
        <v>6.6000000000000003E-2</v>
      </c>
      <c r="F14" s="9">
        <f t="shared" si="1"/>
        <v>6.6000000000000003E-2</v>
      </c>
      <c r="G14" s="7">
        <f t="shared" si="2"/>
        <v>8.61151E-2</v>
      </c>
      <c r="H14" s="7">
        <f t="shared" si="3"/>
        <v>1.3561433070866141E-3</v>
      </c>
      <c r="I14" s="7">
        <f t="shared" si="4"/>
        <v>0.20342149606299212</v>
      </c>
      <c r="J14" s="7">
        <v>1.40469968503937</v>
      </c>
      <c r="K14" s="7">
        <f t="shared" si="5"/>
        <v>1.2012781889763779</v>
      </c>
      <c r="L14" s="7">
        <f t="shared" si="0"/>
        <v>0.8518495170730237</v>
      </c>
      <c r="M14" s="7">
        <f t="shared" si="6"/>
        <v>15.388065231262221</v>
      </c>
      <c r="N14" s="7">
        <f t="shared" si="7"/>
        <v>37.539943405511814</v>
      </c>
      <c r="O14" s="1">
        <v>1.4101999999999999</v>
      </c>
      <c r="P14" s="3">
        <v>7.8065576856008817E-2</v>
      </c>
      <c r="Q14" s="1">
        <v>3.2000000000000001E-2</v>
      </c>
      <c r="R14" s="21"/>
      <c r="S14" s="21"/>
      <c r="T14" s="21"/>
    </row>
    <row r="15" spans="1:20" ht="20.25" x14ac:dyDescent="0.3">
      <c r="A15" s="1" t="s">
        <v>49</v>
      </c>
      <c r="B15" s="8">
        <v>150</v>
      </c>
      <c r="C15" s="8">
        <v>20</v>
      </c>
      <c r="D15" s="9">
        <v>0.06</v>
      </c>
      <c r="E15" s="9">
        <v>0.06</v>
      </c>
      <c r="F15" s="9">
        <f t="shared" si="1"/>
        <v>0.06</v>
      </c>
      <c r="G15" s="7">
        <f t="shared" si="2"/>
        <v>7.9530999999999991E-2</v>
      </c>
      <c r="H15" s="7">
        <f>G15/63.5</f>
        <v>1.2524566929133856E-3</v>
      </c>
      <c r="I15" s="7">
        <f>H15*B15</f>
        <v>0.18786850393700785</v>
      </c>
      <c r="J15" s="7">
        <v>1.40469968503937</v>
      </c>
      <c r="K15" s="7">
        <f>J15-I15</f>
        <v>1.2168311811023622</v>
      </c>
      <c r="L15" s="7">
        <f t="shared" si="0"/>
        <v>0.87737485118059144</v>
      </c>
      <c r="M15" s="7">
        <f t="shared" si="6"/>
        <v>15.849162524181555</v>
      </c>
      <c r="N15" s="7">
        <f t="shared" si="7"/>
        <v>37.672791984593253</v>
      </c>
      <c r="O15" s="1">
        <v>1.3869</v>
      </c>
      <c r="P15" s="3">
        <v>7.6775739995460668E-2</v>
      </c>
      <c r="Q15" s="1">
        <v>3.2300000000000002E-2</v>
      </c>
      <c r="R15" s="22"/>
      <c r="S15" s="22"/>
      <c r="T15" s="22"/>
    </row>
    <row r="18" spans="1:4" x14ac:dyDescent="0.25">
      <c r="A18" t="s">
        <v>63</v>
      </c>
    </row>
    <row r="19" spans="1:4" ht="20.25" x14ac:dyDescent="0.3">
      <c r="A19" s="6" t="s">
        <v>58</v>
      </c>
      <c r="B19" s="6"/>
      <c r="C19" s="6"/>
      <c r="D19" s="6"/>
    </row>
    <row r="20" spans="1:4" ht="20.25" x14ac:dyDescent="0.3">
      <c r="A20" s="6" t="s">
        <v>59</v>
      </c>
      <c r="B20" s="6" t="s">
        <v>60</v>
      </c>
      <c r="C20" s="6" t="s">
        <v>61</v>
      </c>
      <c r="D20" s="6" t="s">
        <v>32</v>
      </c>
    </row>
    <row r="21" spans="1:4" ht="20.25" x14ac:dyDescent="0.3">
      <c r="A21" s="6">
        <v>0.1</v>
      </c>
      <c r="B21" s="6">
        <f>A21*0.157</f>
        <v>1.5700000000000002E-2</v>
      </c>
      <c r="C21" s="6">
        <v>3.5000000000000003E-2</v>
      </c>
      <c r="D21" s="6">
        <f>B21*63.5</f>
        <v>0.99695000000000011</v>
      </c>
    </row>
    <row r="22" spans="1:4" ht="20.25" x14ac:dyDescent="0.3">
      <c r="A22" s="6">
        <v>0.2</v>
      </c>
      <c r="B22" s="6">
        <f>A22*0.157</f>
        <v>3.1400000000000004E-2</v>
      </c>
      <c r="C22" s="6">
        <v>7.5999999999999998E-2</v>
      </c>
      <c r="D22" s="6">
        <f t="shared" ref="D22:D25" si="11">B22*63.5</f>
        <v>1.9939000000000002</v>
      </c>
    </row>
    <row r="23" spans="1:4" ht="20.25" x14ac:dyDescent="0.3">
      <c r="A23" s="6">
        <v>0.3</v>
      </c>
      <c r="B23" s="6">
        <f t="shared" ref="B23:B25" si="12">A23*0.157</f>
        <v>4.7099999999999996E-2</v>
      </c>
      <c r="C23" s="6">
        <v>0.123</v>
      </c>
      <c r="D23" s="6">
        <f t="shared" si="11"/>
        <v>2.9908499999999996</v>
      </c>
    </row>
    <row r="24" spans="1:4" ht="20.25" x14ac:dyDescent="0.3">
      <c r="A24" s="6">
        <v>0.4</v>
      </c>
      <c r="B24" s="6">
        <f t="shared" si="12"/>
        <v>6.2800000000000009E-2</v>
      </c>
      <c r="C24" s="6">
        <v>0.17</v>
      </c>
      <c r="D24" s="6">
        <f t="shared" si="11"/>
        <v>3.9878000000000005</v>
      </c>
    </row>
    <row r="25" spans="1:4" ht="20.25" x14ac:dyDescent="0.3">
      <c r="A25" s="6">
        <v>0.5</v>
      </c>
      <c r="B25" s="6">
        <f t="shared" si="12"/>
        <v>7.85E-2</v>
      </c>
      <c r="C25" s="6">
        <v>0.215</v>
      </c>
      <c r="D25" s="6">
        <f t="shared" si="11"/>
        <v>4.98475</v>
      </c>
    </row>
  </sheetData>
  <mergeCells count="12">
    <mergeCell ref="T4:T6"/>
    <mergeCell ref="T7:T9"/>
    <mergeCell ref="T10:T12"/>
    <mergeCell ref="T13:T15"/>
    <mergeCell ref="R13:R15"/>
    <mergeCell ref="S13:S15"/>
    <mergeCell ref="R4:R6"/>
    <mergeCell ref="S4:S6"/>
    <mergeCell ref="R7:R9"/>
    <mergeCell ref="S7:S9"/>
    <mergeCell ref="R10:R12"/>
    <mergeCell ref="S10:S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9D5D-F63B-4586-B9FC-BAAF1E745B14}">
  <dimension ref="A2:R28"/>
  <sheetViews>
    <sheetView workbookViewId="0">
      <selection activeCell="K12" sqref="K12:K14"/>
    </sheetView>
  </sheetViews>
  <sheetFormatPr defaultRowHeight="15" x14ac:dyDescent="0.25"/>
  <cols>
    <col min="1" max="1" width="21.28515625" customWidth="1"/>
    <col min="2" max="2" width="12.42578125" customWidth="1"/>
    <col min="3" max="5" width="9.28515625" bestFit="1" customWidth="1"/>
    <col min="6" max="6" width="11.42578125" customWidth="1"/>
    <col min="7" max="7" width="12" bestFit="1" customWidth="1"/>
    <col min="8" max="9" width="9.85546875" bestFit="1" customWidth="1"/>
    <col min="10" max="10" width="19.7109375" customWidth="1"/>
    <col min="11" max="12" width="17.5703125" customWidth="1"/>
    <col min="13" max="13" width="18.28515625" customWidth="1"/>
    <col min="14" max="15" width="17.28515625" customWidth="1"/>
    <col min="16" max="16" width="30.5703125" customWidth="1"/>
    <col min="17" max="17" width="31.85546875" customWidth="1"/>
    <col min="18" max="18" width="26.5703125" customWidth="1"/>
  </cols>
  <sheetData>
    <row r="2" spans="1:18" ht="60.75" x14ac:dyDescent="0.3">
      <c r="A2" s="7" t="s">
        <v>0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70</v>
      </c>
      <c r="K2" s="7" t="s">
        <v>71</v>
      </c>
      <c r="L2" s="7" t="s">
        <v>74</v>
      </c>
      <c r="M2" s="7" t="s">
        <v>1</v>
      </c>
      <c r="N2" s="7" t="s">
        <v>39</v>
      </c>
      <c r="O2" s="7" t="s">
        <v>73</v>
      </c>
      <c r="P2" s="7" t="s">
        <v>76</v>
      </c>
      <c r="Q2" s="7" t="s">
        <v>75</v>
      </c>
      <c r="R2" s="7" t="s">
        <v>75</v>
      </c>
    </row>
    <row r="3" spans="1:18" ht="23.25" x14ac:dyDescent="0.4">
      <c r="A3" s="1" t="s">
        <v>42</v>
      </c>
      <c r="B3" s="8">
        <v>20</v>
      </c>
      <c r="C3" s="8">
        <v>5</v>
      </c>
      <c r="D3" s="9">
        <v>0.18099999999999999</v>
      </c>
      <c r="E3" s="9">
        <v>0.184</v>
      </c>
      <c r="F3" s="9">
        <f>AVERAGE(D3:E3)</f>
        <v>0.1825</v>
      </c>
      <c r="G3" s="7">
        <f>(F3*150.34+1.9626)/C3</f>
        <v>5.8799299999999999</v>
      </c>
      <c r="H3" s="7">
        <f>G3/63.5</f>
        <v>9.2597322834645668E-2</v>
      </c>
      <c r="I3" s="7">
        <f>H3*B3</f>
        <v>1.8519464566929134</v>
      </c>
      <c r="J3" s="7">
        <f>I3/M3</f>
        <v>1.3180175479986573</v>
      </c>
      <c r="K3" s="7">
        <f>I3/N3</f>
        <v>22.042189707759192</v>
      </c>
      <c r="L3" s="7">
        <f>I3/O3</f>
        <v>57.873326771653538</v>
      </c>
      <c r="M3" s="1">
        <v>1.4051</v>
      </c>
      <c r="N3" s="3">
        <v>8.401826139990981E-2</v>
      </c>
      <c r="O3" s="1">
        <v>3.2000000000000001E-2</v>
      </c>
      <c r="P3" s="20">
        <f>AVERAGE(J3:J5)</f>
        <v>1.2436419558730645</v>
      </c>
      <c r="Q3" s="20">
        <f>AVERAGE(K3:K5)</f>
        <v>20.798351252232877</v>
      </c>
      <c r="R3" s="20">
        <f>AVERAGE(L3:L5)</f>
        <v>56.615152995540249</v>
      </c>
    </row>
    <row r="4" spans="1:18" ht="23.25" x14ac:dyDescent="0.4">
      <c r="A4" s="1" t="s">
        <v>43</v>
      </c>
      <c r="B4" s="8">
        <v>20</v>
      </c>
      <c r="C4" s="8">
        <v>5</v>
      </c>
      <c r="D4" s="9">
        <v>0.182</v>
      </c>
      <c r="E4" s="9">
        <v>0.183</v>
      </c>
      <c r="F4" s="9">
        <f t="shared" ref="F4:F14" si="0">AVERAGE(D4:E4)</f>
        <v>0.1825</v>
      </c>
      <c r="G4" s="7">
        <f t="shared" ref="G4:G14" si="1">(F4*150.34+1.9626)/C4</f>
        <v>5.8799299999999999</v>
      </c>
      <c r="H4" s="7">
        <f t="shared" ref="H4:H13" si="2">G4/63.5</f>
        <v>9.2597322834645668E-2</v>
      </c>
      <c r="I4" s="7">
        <f t="shared" ref="I4:I13" si="3">H4*B4</f>
        <v>1.8519464566929134</v>
      </c>
      <c r="J4" s="7">
        <f t="shared" ref="J4:J14" si="4">I4/M4</f>
        <v>1.1962705617808367</v>
      </c>
      <c r="K4" s="7">
        <f t="shared" ref="K4:K14" si="5">I4/N4</f>
        <v>20.006124125297102</v>
      </c>
      <c r="L4" s="7">
        <f t="shared" ref="L4:L14" si="6">I4/O4</f>
        <v>56.80817351818753</v>
      </c>
      <c r="M4" s="1">
        <v>1.5481</v>
      </c>
      <c r="N4" s="3">
        <v>9.2568977633762983E-2</v>
      </c>
      <c r="O4" s="1">
        <v>3.2599999999999997E-2</v>
      </c>
      <c r="P4" s="21"/>
      <c r="Q4" s="21"/>
      <c r="R4" s="21"/>
    </row>
    <row r="5" spans="1:18" ht="23.25" x14ac:dyDescent="0.4">
      <c r="A5" s="1" t="s">
        <v>44</v>
      </c>
      <c r="B5" s="8">
        <v>20</v>
      </c>
      <c r="C5" s="8">
        <v>5</v>
      </c>
      <c r="D5" s="9">
        <v>0.18</v>
      </c>
      <c r="E5" s="9">
        <v>0.183</v>
      </c>
      <c r="F5" s="9">
        <f t="shared" si="0"/>
        <v>0.18149999999999999</v>
      </c>
      <c r="G5" s="7">
        <f t="shared" si="1"/>
        <v>5.8498619999999999</v>
      </c>
      <c r="H5" s="7">
        <f t="shared" si="2"/>
        <v>9.2123811023622049E-2</v>
      </c>
      <c r="I5" s="7">
        <f t="shared" si="3"/>
        <v>1.842476220472441</v>
      </c>
      <c r="J5" s="7">
        <f t="shared" si="4"/>
        <v>1.2166377578396996</v>
      </c>
      <c r="K5" s="7">
        <f t="shared" si="5"/>
        <v>20.346739923642328</v>
      </c>
      <c r="L5" s="7">
        <f t="shared" si="6"/>
        <v>55.163958696779673</v>
      </c>
      <c r="M5" s="1">
        <v>1.5144</v>
      </c>
      <c r="N5" s="3">
        <v>9.0553878773057719E-2</v>
      </c>
      <c r="O5" s="1">
        <v>3.3399999999999999E-2</v>
      </c>
      <c r="P5" s="22"/>
      <c r="Q5" s="22"/>
      <c r="R5" s="22"/>
    </row>
    <row r="6" spans="1:18" ht="20.25" x14ac:dyDescent="0.3">
      <c r="A6" s="1" t="s">
        <v>21</v>
      </c>
      <c r="B6" s="8">
        <v>20</v>
      </c>
      <c r="C6" s="8">
        <v>5</v>
      </c>
      <c r="D6" s="9">
        <v>0.16300000000000001</v>
      </c>
      <c r="E6" s="9">
        <v>0.16300000000000001</v>
      </c>
      <c r="F6" s="9">
        <f t="shared" si="0"/>
        <v>0.16300000000000001</v>
      </c>
      <c r="G6" s="7">
        <f t="shared" si="1"/>
        <v>5.2936040000000002</v>
      </c>
      <c r="H6" s="7">
        <f t="shared" si="2"/>
        <v>8.3363842519685039E-2</v>
      </c>
      <c r="I6" s="7">
        <f t="shared" si="3"/>
        <v>1.6672768503937008</v>
      </c>
      <c r="J6" s="7">
        <f t="shared" si="4"/>
        <v>1.3141616224432102</v>
      </c>
      <c r="K6" s="7">
        <f t="shared" si="5"/>
        <v>22.321997360054645</v>
      </c>
      <c r="L6" s="7">
        <f t="shared" si="6"/>
        <v>51.618478340362252</v>
      </c>
      <c r="M6" s="1">
        <v>1.2686999999999999</v>
      </c>
      <c r="N6" s="3">
        <v>7.4692099613688834E-2</v>
      </c>
      <c r="O6" s="1">
        <v>3.2300000000000002E-2</v>
      </c>
      <c r="P6" s="20">
        <f>AVERAGE(J6:J8)</f>
        <v>1.1966166502614091</v>
      </c>
      <c r="Q6" s="20">
        <f>AVERAGE(K6:K8)</f>
        <v>20.325409943469023</v>
      </c>
      <c r="R6" s="20">
        <f t="shared" ref="R6" si="7">AVERAGE(L6:L8)</f>
        <v>52.993597129793805</v>
      </c>
    </row>
    <row r="7" spans="1:18" ht="20.25" x14ac:dyDescent="0.3">
      <c r="A7" s="15" t="s">
        <v>50</v>
      </c>
      <c r="B7" s="8">
        <v>20</v>
      </c>
      <c r="C7" s="8">
        <v>5</v>
      </c>
      <c r="D7" s="17">
        <v>0.16</v>
      </c>
      <c r="E7" s="17">
        <v>0.16300000000000001</v>
      </c>
      <c r="F7" s="17">
        <f t="shared" si="0"/>
        <v>0.1615</v>
      </c>
      <c r="G7" s="7">
        <f t="shared" si="1"/>
        <v>5.2485020000000002</v>
      </c>
      <c r="H7" s="10">
        <f t="shared" si="2"/>
        <v>8.265357480314961E-2</v>
      </c>
      <c r="I7" s="10">
        <f>H7*B7</f>
        <v>1.6530714960629922</v>
      </c>
      <c r="J7" s="7">
        <f t="shared" si="4"/>
        <v>1.0912083279840203</v>
      </c>
      <c r="K7" s="7">
        <f t="shared" si="5"/>
        <v>18.534972411722165</v>
      </c>
      <c r="L7" s="7">
        <f t="shared" si="6"/>
        <v>59.038267716535437</v>
      </c>
      <c r="M7" s="15">
        <v>1.5148999999999999</v>
      </c>
      <c r="N7" s="3">
        <v>8.9186617565048643E-2</v>
      </c>
      <c r="O7" s="1">
        <v>2.8000000000000001E-2</v>
      </c>
      <c r="P7" s="21"/>
      <c r="Q7" s="21"/>
      <c r="R7" s="21"/>
    </row>
    <row r="8" spans="1:18" ht="20.25" x14ac:dyDescent="0.3">
      <c r="A8" s="1" t="s">
        <v>51</v>
      </c>
      <c r="B8" s="8">
        <v>20</v>
      </c>
      <c r="C8" s="8">
        <v>5</v>
      </c>
      <c r="D8" s="9">
        <v>0.16500000000000001</v>
      </c>
      <c r="E8" s="9">
        <v>0.16200000000000001</v>
      </c>
      <c r="F8" s="9">
        <f t="shared" si="0"/>
        <v>0.16350000000000001</v>
      </c>
      <c r="G8" s="7">
        <f t="shared" si="1"/>
        <v>5.3086380000000002</v>
      </c>
      <c r="H8" s="7">
        <f t="shared" si="2"/>
        <v>8.3600598425196848E-2</v>
      </c>
      <c r="I8" s="7">
        <f t="shared" si="3"/>
        <v>1.672011968503937</v>
      </c>
      <c r="J8" s="7">
        <f t="shared" si="4"/>
        <v>1.1844800003569971</v>
      </c>
      <c r="K8" s="7">
        <f t="shared" si="5"/>
        <v>20.119260058630253</v>
      </c>
      <c r="L8" s="7">
        <f t="shared" si="6"/>
        <v>48.324045332483728</v>
      </c>
      <c r="M8" s="1">
        <v>1.4116</v>
      </c>
      <c r="N8" s="3">
        <v>8.3105042811289637E-2</v>
      </c>
      <c r="O8" s="1">
        <v>3.4599999999999999E-2</v>
      </c>
      <c r="P8" s="22"/>
      <c r="Q8" s="22"/>
      <c r="R8" s="22"/>
    </row>
    <row r="9" spans="1:18" ht="20.25" x14ac:dyDescent="0.3">
      <c r="A9" s="1" t="s">
        <v>20</v>
      </c>
      <c r="B9" s="8">
        <v>20</v>
      </c>
      <c r="C9" s="8">
        <v>5</v>
      </c>
      <c r="D9" s="9">
        <v>0.184</v>
      </c>
      <c r="E9" s="9">
        <v>0.184</v>
      </c>
      <c r="F9" s="9">
        <f t="shared" si="0"/>
        <v>0.184</v>
      </c>
      <c r="G9" s="7">
        <f t="shared" si="1"/>
        <v>5.9250319999999999</v>
      </c>
      <c r="H9" s="7">
        <f t="shared" si="2"/>
        <v>9.3307590551181097E-2</v>
      </c>
      <c r="I9" s="7">
        <f t="shared" si="3"/>
        <v>1.8661518110236219</v>
      </c>
      <c r="J9" s="7">
        <f t="shared" si="4"/>
        <v>1.4289064402937379</v>
      </c>
      <c r="K9" s="7">
        <f t="shared" si="5"/>
        <v>24.040076859249041</v>
      </c>
      <c r="L9" s="7">
        <f t="shared" si="6"/>
        <v>54.565842427591285</v>
      </c>
      <c r="M9" s="1">
        <v>1.306</v>
      </c>
      <c r="N9" s="3">
        <v>7.7626699030525326E-2</v>
      </c>
      <c r="O9" s="1">
        <v>3.4200000000000001E-2</v>
      </c>
      <c r="P9" s="20">
        <f>AVERAGE(J9:J11)</f>
        <v>1.3429041052098558</v>
      </c>
      <c r="Q9" s="20">
        <f t="shared" ref="Q9:R9" si="8">AVERAGE(K9:K11)</f>
        <v>22.593164250284662</v>
      </c>
      <c r="R9" s="20">
        <f t="shared" si="8"/>
        <v>52.052344875641609</v>
      </c>
    </row>
    <row r="10" spans="1:18" ht="20.25" x14ac:dyDescent="0.3">
      <c r="A10" s="1" t="s">
        <v>45</v>
      </c>
      <c r="B10" s="8">
        <v>20</v>
      </c>
      <c r="C10" s="8">
        <v>5</v>
      </c>
      <c r="D10" s="9">
        <v>0.183</v>
      </c>
      <c r="E10" s="9">
        <v>0.182</v>
      </c>
      <c r="F10" s="9">
        <f t="shared" si="0"/>
        <v>0.1825</v>
      </c>
      <c r="G10" s="7">
        <f t="shared" si="1"/>
        <v>5.8799299999999999</v>
      </c>
      <c r="H10" s="7">
        <f t="shared" si="2"/>
        <v>9.2597322834645668E-2</v>
      </c>
      <c r="I10" s="7">
        <f t="shared" si="3"/>
        <v>1.8519464566929134</v>
      </c>
      <c r="J10" s="7">
        <f t="shared" si="4"/>
        <v>1.3014381283857437</v>
      </c>
      <c r="K10" s="7">
        <f t="shared" si="5"/>
        <v>21.895536160869252</v>
      </c>
      <c r="L10" s="7">
        <f t="shared" si="6"/>
        <v>48.607518548370429</v>
      </c>
      <c r="M10" s="1">
        <v>1.423</v>
      </c>
      <c r="N10" s="3">
        <v>8.4581005145817414E-2</v>
      </c>
      <c r="O10" s="1">
        <v>3.8100000000000002E-2</v>
      </c>
      <c r="P10" s="21"/>
      <c r="Q10" s="21"/>
      <c r="R10" s="21"/>
    </row>
    <row r="11" spans="1:18" ht="20.25" x14ac:dyDescent="0.3">
      <c r="A11" s="11" t="s">
        <v>46</v>
      </c>
      <c r="B11" s="8">
        <v>20</v>
      </c>
      <c r="C11" s="8">
        <v>5</v>
      </c>
      <c r="D11" s="13">
        <v>0.185</v>
      </c>
      <c r="E11" s="13">
        <v>0.185</v>
      </c>
      <c r="F11" s="13">
        <f t="shared" si="0"/>
        <v>0.185</v>
      </c>
      <c r="G11" s="7">
        <f t="shared" si="1"/>
        <v>5.9550999999999998</v>
      </c>
      <c r="H11" s="14">
        <f t="shared" si="2"/>
        <v>9.3781102362204716E-2</v>
      </c>
      <c r="I11" s="14">
        <f t="shared" si="3"/>
        <v>1.8756220472440943</v>
      </c>
      <c r="J11" s="7">
        <f t="shared" si="4"/>
        <v>1.2983677469500861</v>
      </c>
      <c r="K11" s="7">
        <f t="shared" si="5"/>
        <v>21.843879730735697</v>
      </c>
      <c r="L11" s="7">
        <f t="shared" si="6"/>
        <v>52.983673650963112</v>
      </c>
      <c r="M11" s="11">
        <v>1.4446000000000001</v>
      </c>
      <c r="N11" s="3">
        <v>8.5864877044025179E-2</v>
      </c>
      <c r="O11" s="1">
        <v>3.5400000000000001E-2</v>
      </c>
      <c r="P11" s="22"/>
      <c r="Q11" s="22"/>
      <c r="R11" s="22"/>
    </row>
    <row r="12" spans="1:18" ht="20.25" x14ac:dyDescent="0.3">
      <c r="A12" s="1" t="s">
        <v>47</v>
      </c>
      <c r="B12" s="8">
        <v>20</v>
      </c>
      <c r="C12" s="8">
        <v>5</v>
      </c>
      <c r="D12" s="9">
        <v>0.157</v>
      </c>
      <c r="E12" s="9">
        <v>0.16</v>
      </c>
      <c r="F12" s="9">
        <f t="shared" si="0"/>
        <v>0.1585</v>
      </c>
      <c r="G12" s="7">
        <f t="shared" si="1"/>
        <v>5.1582980000000003</v>
      </c>
      <c r="H12" s="7">
        <f t="shared" si="2"/>
        <v>8.1233039370078738E-2</v>
      </c>
      <c r="I12" s="7">
        <f t="shared" si="3"/>
        <v>1.6246607874015748</v>
      </c>
      <c r="J12" s="7">
        <f t="shared" si="4"/>
        <v>1.1734639128938784</v>
      </c>
      <c r="K12" s="7">
        <f t="shared" si="5"/>
        <v>21.197804161688886</v>
      </c>
      <c r="L12" s="7">
        <f t="shared" si="6"/>
        <v>46.685654810390083</v>
      </c>
      <c r="M12" s="1">
        <v>1.3845000000000001</v>
      </c>
      <c r="N12" s="3">
        <v>7.6642881263043694E-2</v>
      </c>
      <c r="O12" s="1">
        <v>3.4799999999999998E-2</v>
      </c>
      <c r="P12" s="20">
        <f>AVERAGE(J12:J14)</f>
        <v>1.1600246037543496</v>
      </c>
      <c r="Q12" s="20">
        <f t="shared" ref="Q12:R12" si="9">AVERAGE(K12:K14)</f>
        <v>20.955032449599695</v>
      </c>
      <c r="R12" s="20">
        <f t="shared" si="9"/>
        <v>49.006095503742081</v>
      </c>
    </row>
    <row r="13" spans="1:18" ht="20.25" x14ac:dyDescent="0.3">
      <c r="A13" s="1" t="s">
        <v>48</v>
      </c>
      <c r="B13" s="8">
        <v>20</v>
      </c>
      <c r="C13" s="8">
        <v>5</v>
      </c>
      <c r="D13" s="9">
        <v>0.156</v>
      </c>
      <c r="E13" s="9">
        <v>0.158</v>
      </c>
      <c r="F13" s="9">
        <f t="shared" si="0"/>
        <v>0.157</v>
      </c>
      <c r="G13" s="7">
        <f t="shared" si="1"/>
        <v>5.1131960000000003</v>
      </c>
      <c r="H13" s="7">
        <f t="shared" si="2"/>
        <v>8.052277165354331E-2</v>
      </c>
      <c r="I13" s="7">
        <f t="shared" si="3"/>
        <v>1.6104554330708662</v>
      </c>
      <c r="J13" s="7">
        <f t="shared" si="4"/>
        <v>1.1420049872861058</v>
      </c>
      <c r="K13" s="7">
        <f t="shared" si="5"/>
        <v>20.629520691832397</v>
      </c>
      <c r="L13" s="7">
        <f t="shared" si="6"/>
        <v>50.326732283464573</v>
      </c>
      <c r="M13" s="1">
        <v>1.4101999999999999</v>
      </c>
      <c r="N13" s="3">
        <v>7.8065576856008817E-2</v>
      </c>
      <c r="O13" s="1">
        <v>3.2000000000000001E-2</v>
      </c>
      <c r="P13" s="21"/>
      <c r="Q13" s="21"/>
      <c r="R13" s="21"/>
    </row>
    <row r="14" spans="1:18" ht="20.25" x14ac:dyDescent="0.3">
      <c r="A14" s="1" t="s">
        <v>49</v>
      </c>
      <c r="B14" s="8">
        <v>20</v>
      </c>
      <c r="C14" s="8">
        <v>5</v>
      </c>
      <c r="D14" s="9">
        <v>0.158</v>
      </c>
      <c r="E14" s="9">
        <v>0.157</v>
      </c>
      <c r="F14" s="9">
        <f t="shared" si="0"/>
        <v>0.1575</v>
      </c>
      <c r="G14" s="7">
        <f t="shared" si="1"/>
        <v>5.1282300000000003</v>
      </c>
      <c r="H14" s="7">
        <f>G14/63.5</f>
        <v>8.0759527559055119E-2</v>
      </c>
      <c r="I14" s="7">
        <f>H14*B14</f>
        <v>1.6151905511811024</v>
      </c>
      <c r="J14" s="7">
        <f t="shared" si="4"/>
        <v>1.1646049110830647</v>
      </c>
      <c r="K14" s="7">
        <f t="shared" si="5"/>
        <v>21.037772495277803</v>
      </c>
      <c r="L14" s="7">
        <f t="shared" si="6"/>
        <v>50.005899417371587</v>
      </c>
      <c r="M14" s="1">
        <v>1.3869</v>
      </c>
      <c r="N14" s="3">
        <v>7.6775739995460668E-2</v>
      </c>
      <c r="O14" s="1">
        <v>3.2300000000000002E-2</v>
      </c>
      <c r="P14" s="22"/>
      <c r="Q14" s="22"/>
      <c r="R14" s="22"/>
    </row>
    <row r="17" spans="1:4" x14ac:dyDescent="0.25">
      <c r="A17" t="s">
        <v>63</v>
      </c>
    </row>
    <row r="18" spans="1:4" ht="20.25" x14ac:dyDescent="0.3">
      <c r="A18" s="6" t="s">
        <v>72</v>
      </c>
      <c r="B18" s="6"/>
      <c r="C18" s="6"/>
      <c r="D18" s="6"/>
    </row>
    <row r="19" spans="1:4" ht="20.25" x14ac:dyDescent="0.3">
      <c r="A19" s="6" t="s">
        <v>59</v>
      </c>
      <c r="B19" s="6" t="s">
        <v>32</v>
      </c>
      <c r="C19" s="6" t="s">
        <v>61</v>
      </c>
      <c r="D19" s="6"/>
    </row>
    <row r="20" spans="1:4" ht="20.25" x14ac:dyDescent="0.3">
      <c r="A20" s="6">
        <v>1.3</v>
      </c>
      <c r="B20" s="6">
        <f>A20*10.156</f>
        <v>13.202800000000002</v>
      </c>
      <c r="C20" s="6">
        <v>7.4999999999999997E-2</v>
      </c>
      <c r="D20" s="6"/>
    </row>
    <row r="21" spans="1:4" ht="20.25" x14ac:dyDescent="0.3">
      <c r="A21" s="6">
        <v>1.5</v>
      </c>
      <c r="B21" s="6">
        <f t="shared" ref="B21:B28" si="10">A21*10.156</f>
        <v>15.234000000000002</v>
      </c>
      <c r="C21" s="6">
        <v>8.7999999999999995E-2</v>
      </c>
      <c r="D21" s="6"/>
    </row>
    <row r="22" spans="1:4" ht="20.25" x14ac:dyDescent="0.3">
      <c r="A22" s="6">
        <v>1.7</v>
      </c>
      <c r="B22" s="6">
        <f t="shared" si="10"/>
        <v>17.2652</v>
      </c>
      <c r="C22" s="6">
        <v>0.10100000000000001</v>
      </c>
      <c r="D22" s="6"/>
    </row>
    <row r="23" spans="1:4" ht="20.25" x14ac:dyDescent="0.3">
      <c r="A23" s="6">
        <v>1.9</v>
      </c>
      <c r="B23" s="6">
        <f t="shared" si="10"/>
        <v>19.296399999999998</v>
      </c>
      <c r="C23" s="6">
        <v>0.115</v>
      </c>
      <c r="D23" s="6"/>
    </row>
    <row r="24" spans="1:4" ht="20.25" x14ac:dyDescent="0.3">
      <c r="A24" s="6">
        <v>2.1</v>
      </c>
      <c r="B24" s="6">
        <f t="shared" si="10"/>
        <v>21.327600000000004</v>
      </c>
      <c r="C24" s="6">
        <v>0.128</v>
      </c>
      <c r="D24" s="6"/>
    </row>
    <row r="25" spans="1:4" ht="20.25" x14ac:dyDescent="0.3">
      <c r="A25" s="6">
        <v>2.2999999999999998</v>
      </c>
      <c r="B25" s="6">
        <f t="shared" si="10"/>
        <v>23.358799999999999</v>
      </c>
      <c r="C25" s="6">
        <v>0.14699999999999999</v>
      </c>
      <c r="D25" s="6"/>
    </row>
    <row r="26" spans="1:4" ht="20.25" x14ac:dyDescent="0.3">
      <c r="A26" s="6">
        <v>2.5</v>
      </c>
      <c r="B26" s="6">
        <f t="shared" si="10"/>
        <v>25.39</v>
      </c>
      <c r="C26" s="6">
        <v>0.155</v>
      </c>
      <c r="D26" s="6"/>
    </row>
    <row r="27" spans="1:4" ht="20.25" x14ac:dyDescent="0.3">
      <c r="A27" s="6">
        <v>2.7</v>
      </c>
      <c r="B27" s="6">
        <f t="shared" si="10"/>
        <v>27.421200000000002</v>
      </c>
      <c r="C27" s="6">
        <v>0.16800000000000001</v>
      </c>
      <c r="D27" s="6"/>
    </row>
    <row r="28" spans="1:4" ht="20.25" x14ac:dyDescent="0.3">
      <c r="A28" s="6">
        <v>3</v>
      </c>
      <c r="B28" s="6">
        <f t="shared" si="10"/>
        <v>30.468000000000004</v>
      </c>
      <c r="C28" s="6">
        <v>0.189</v>
      </c>
      <c r="D28" s="6"/>
    </row>
  </sheetData>
  <mergeCells count="12">
    <mergeCell ref="P12:P14"/>
    <mergeCell ref="Q12:Q14"/>
    <mergeCell ref="R3:R5"/>
    <mergeCell ref="R6:R8"/>
    <mergeCell ref="R9:R11"/>
    <mergeCell ref="R12:R14"/>
    <mergeCell ref="P3:P5"/>
    <mergeCell ref="Q3:Q5"/>
    <mergeCell ref="P6:P8"/>
    <mergeCell ref="Q6:Q8"/>
    <mergeCell ref="P9:P11"/>
    <mergeCell ref="Q9:Q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Массы растений+pH</vt:lpstr>
      <vt:lpstr>Обработка интакнтных растений</vt:lpstr>
      <vt:lpstr>Сорбция клеточной стенкой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2020-02-05T09:27:37Z</dcterms:modified>
</cp:coreProperties>
</file>