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253F57BF-8681-4DC1-A57F-198522F9FA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а растений" sheetId="1" r:id="rId1"/>
    <sheet name="pH растворов" sheetId="7" r:id="rId2"/>
    <sheet name="После обработки" sheetId="5" r:id="rId3"/>
    <sheet name="Сорбция" sheetId="6" r:id="rId4"/>
    <sheet name="Озоление корней" sheetId="2" r:id="rId5"/>
    <sheet name="Озоление побегов" sheetId="3" r:id="rId6"/>
    <sheet name="Озоление стенки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" i="1" l="1"/>
  <c r="V5" i="1" l="1"/>
  <c r="M7" i="1" l="1"/>
  <c r="L13" i="3" l="1"/>
  <c r="G12" i="5" l="1"/>
  <c r="G11" i="5"/>
  <c r="G10" i="5"/>
  <c r="G9" i="5"/>
  <c r="G8" i="5"/>
  <c r="G7" i="5"/>
  <c r="G6" i="5"/>
  <c r="G5" i="5"/>
  <c r="G4" i="5"/>
  <c r="B27" i="3" l="1"/>
  <c r="B31" i="3"/>
  <c r="D31" i="3" s="1"/>
  <c r="B30" i="3"/>
  <c r="D30" i="3" s="1"/>
  <c r="B29" i="3"/>
  <c r="D29" i="3" s="1"/>
  <c r="B28" i="3"/>
  <c r="D28" i="3" s="1"/>
  <c r="D27" i="3"/>
  <c r="B6" i="3"/>
  <c r="B5" i="3"/>
  <c r="B7" i="8" l="1"/>
  <c r="F7" i="8"/>
  <c r="G7" i="8" s="1"/>
  <c r="H7" i="8" s="1"/>
  <c r="K7" i="8"/>
  <c r="K12" i="8"/>
  <c r="K11" i="8"/>
  <c r="K10" i="8"/>
  <c r="K9" i="8"/>
  <c r="K8" i="8"/>
  <c r="K6" i="8"/>
  <c r="K5" i="8"/>
  <c r="K4" i="8"/>
  <c r="B12" i="8"/>
  <c r="B11" i="8"/>
  <c r="B10" i="8"/>
  <c r="B9" i="8"/>
  <c r="B8" i="8"/>
  <c r="B6" i="8"/>
  <c r="B5" i="8"/>
  <c r="B4" i="8"/>
  <c r="D16" i="8"/>
  <c r="B16" i="8" s="1"/>
  <c r="D20" i="8"/>
  <c r="B20" i="8" s="1"/>
  <c r="D19" i="8"/>
  <c r="B19" i="8" s="1"/>
  <c r="D18" i="8"/>
  <c r="B18" i="8" s="1"/>
  <c r="D17" i="8"/>
  <c r="B17" i="8" s="1"/>
  <c r="F12" i="8"/>
  <c r="G12" i="8" s="1"/>
  <c r="F11" i="8"/>
  <c r="G11" i="8" s="1"/>
  <c r="F10" i="8"/>
  <c r="G10" i="8" s="1"/>
  <c r="F9" i="8"/>
  <c r="G9" i="8" s="1"/>
  <c r="F8" i="8"/>
  <c r="F6" i="8"/>
  <c r="G6" i="8" s="1"/>
  <c r="F5" i="8"/>
  <c r="G5" i="8" s="1"/>
  <c r="F4" i="8"/>
  <c r="G4" i="8" s="1"/>
  <c r="B15" i="3"/>
  <c r="B14" i="3"/>
  <c r="B13" i="3"/>
  <c r="B12" i="3"/>
  <c r="B11" i="3"/>
  <c r="B10" i="3"/>
  <c r="B9" i="3"/>
  <c r="B8" i="3"/>
  <c r="B7" i="3"/>
  <c r="B4" i="3"/>
  <c r="B23" i="3"/>
  <c r="D23" i="3" s="1"/>
  <c r="B22" i="3"/>
  <c r="D22" i="3" s="1"/>
  <c r="B21" i="3"/>
  <c r="D21" i="3" s="1"/>
  <c r="B20" i="3"/>
  <c r="D20" i="3" s="1"/>
  <c r="B19" i="3"/>
  <c r="D19" i="3" s="1"/>
  <c r="B23" i="2"/>
  <c r="B24" i="2"/>
  <c r="B27" i="2"/>
  <c r="B22" i="2"/>
  <c r="D23" i="2"/>
  <c r="D24" i="2"/>
  <c r="D25" i="2"/>
  <c r="B25" i="2" s="1"/>
  <c r="D26" i="2"/>
  <c r="B26" i="2" s="1"/>
  <c r="D27" i="2"/>
  <c r="D22" i="2"/>
  <c r="B15" i="2"/>
  <c r="B14" i="2"/>
  <c r="B13" i="2"/>
  <c r="B12" i="2"/>
  <c r="B11" i="2"/>
  <c r="B10" i="2"/>
  <c r="B9" i="2"/>
  <c r="B8" i="2"/>
  <c r="B7" i="2"/>
  <c r="B6" i="2"/>
  <c r="B5" i="2"/>
  <c r="B4" i="2"/>
  <c r="I7" i="8" l="1"/>
  <c r="O7" i="8" s="1"/>
  <c r="M7" i="8"/>
  <c r="N7" i="8"/>
  <c r="H10" i="8"/>
  <c r="I10" i="8" s="1"/>
  <c r="G8" i="8"/>
  <c r="H8" i="8" s="1"/>
  <c r="I8" i="8" s="1"/>
  <c r="H6" i="8"/>
  <c r="I6" i="8" s="1"/>
  <c r="H11" i="8"/>
  <c r="I11" i="8" s="1"/>
  <c r="H12" i="8"/>
  <c r="I12" i="8" s="1"/>
  <c r="H9" i="8"/>
  <c r="I9" i="8" s="1"/>
  <c r="H5" i="8"/>
  <c r="I5" i="8" s="1"/>
  <c r="H4" i="8"/>
  <c r="I4" i="8" s="1"/>
  <c r="N10" i="8" l="1"/>
  <c r="O10" i="8"/>
  <c r="M4" i="8"/>
  <c r="O4" i="8"/>
  <c r="S4" i="8" s="1"/>
  <c r="N4" i="8"/>
  <c r="M11" i="8"/>
  <c r="O11" i="8"/>
  <c r="M5" i="8"/>
  <c r="Q4" i="8" s="1"/>
  <c r="O5" i="8"/>
  <c r="M6" i="8"/>
  <c r="O6" i="8"/>
  <c r="M12" i="8"/>
  <c r="O12" i="8"/>
  <c r="N9" i="8"/>
  <c r="O9" i="8"/>
  <c r="N8" i="8"/>
  <c r="P7" i="8" s="1"/>
  <c r="O8" i="8"/>
  <c r="N5" i="8"/>
  <c r="N11" i="8"/>
  <c r="N6" i="8"/>
  <c r="M8" i="8"/>
  <c r="M10" i="8"/>
  <c r="Q10" i="8" s="1"/>
  <c r="M9" i="8"/>
  <c r="N12" i="8"/>
  <c r="P4" i="8"/>
  <c r="T6" i="1"/>
  <c r="T7" i="1"/>
  <c r="T8" i="1"/>
  <c r="T9" i="1"/>
  <c r="T10" i="1"/>
  <c r="T11" i="1"/>
  <c r="T12" i="1"/>
  <c r="T13" i="1"/>
  <c r="T5" i="1"/>
  <c r="P10" i="8" l="1"/>
  <c r="S10" i="8"/>
  <c r="S7" i="8"/>
  <c r="Q7" i="8"/>
  <c r="M12" i="1"/>
  <c r="M13" i="1"/>
  <c r="M11" i="1"/>
  <c r="M9" i="1"/>
  <c r="B21" i="6" l="1"/>
  <c r="D21" i="6" s="1"/>
  <c r="B20" i="6"/>
  <c r="D20" i="6" s="1"/>
  <c r="B19" i="6"/>
  <c r="D19" i="6" s="1"/>
  <c r="B18" i="6"/>
  <c r="D18" i="6" s="1"/>
  <c r="B17" i="6"/>
  <c r="D17" i="6" s="1"/>
  <c r="M26" i="5" l="1"/>
  <c r="O26" i="5" s="1"/>
  <c r="M27" i="5"/>
  <c r="O27" i="5" s="1"/>
  <c r="M28" i="5"/>
  <c r="O28" i="5" s="1"/>
  <c r="M29" i="5"/>
  <c r="O29" i="5" s="1"/>
  <c r="M30" i="5"/>
  <c r="M25" i="5"/>
  <c r="O25" i="5" s="1"/>
  <c r="B18" i="5"/>
  <c r="V12" i="1" l="1"/>
  <c r="V11" i="1"/>
  <c r="V10" i="1"/>
  <c r="V9" i="1"/>
  <c r="V8" i="1"/>
  <c r="V7" i="1"/>
  <c r="V6" i="1"/>
  <c r="W5" i="1" l="1"/>
  <c r="F12" i="6" l="1"/>
  <c r="F11" i="6"/>
  <c r="F10" i="6"/>
  <c r="F9" i="6"/>
  <c r="F8" i="6"/>
  <c r="F7" i="6"/>
  <c r="F6" i="6"/>
  <c r="F5" i="6"/>
  <c r="F4" i="6"/>
  <c r="G12" i="6" l="1"/>
  <c r="H12" i="6" s="1"/>
  <c r="I12" i="6" s="1"/>
  <c r="K12" i="6" s="1"/>
  <c r="G11" i="6"/>
  <c r="H11" i="6" s="1"/>
  <c r="I11" i="6" s="1"/>
  <c r="K11" i="6" s="1"/>
  <c r="G10" i="6"/>
  <c r="H10" i="6" s="1"/>
  <c r="I10" i="6" s="1"/>
  <c r="K10" i="6" s="1"/>
  <c r="G9" i="6"/>
  <c r="H9" i="6" s="1"/>
  <c r="I9" i="6" s="1"/>
  <c r="K9" i="6" s="1"/>
  <c r="G8" i="6"/>
  <c r="H8" i="6" s="1"/>
  <c r="I8" i="6" s="1"/>
  <c r="K8" i="6" s="1"/>
  <c r="G7" i="6"/>
  <c r="H7" i="6" s="1"/>
  <c r="I7" i="6" s="1"/>
  <c r="K7" i="6" s="1"/>
  <c r="G6" i="6"/>
  <c r="H6" i="6" s="1"/>
  <c r="I6" i="6" s="1"/>
  <c r="K6" i="6" s="1"/>
  <c r="G5" i="6"/>
  <c r="H5" i="6" s="1"/>
  <c r="I5" i="6" s="1"/>
  <c r="K5" i="6" s="1"/>
  <c r="G4" i="6"/>
  <c r="H4" i="6" s="1"/>
  <c r="I4" i="6" s="1"/>
  <c r="K4" i="6" s="1"/>
  <c r="Q20" i="5"/>
  <c r="Q19" i="5"/>
  <c r="Q18" i="5"/>
  <c r="R18" i="5" s="1"/>
  <c r="B23" i="5"/>
  <c r="B22" i="5"/>
  <c r="B21" i="5"/>
  <c r="B20" i="5"/>
  <c r="B19" i="5"/>
  <c r="F12" i="5"/>
  <c r="F11" i="5"/>
  <c r="F10" i="5"/>
  <c r="F9" i="5"/>
  <c r="F8" i="5"/>
  <c r="F7" i="5"/>
  <c r="F6" i="5"/>
  <c r="F5" i="5"/>
  <c r="F4" i="5"/>
  <c r="L12" i="6" l="1"/>
  <c r="M12" i="6"/>
  <c r="N12" i="6"/>
  <c r="M11" i="6"/>
  <c r="N11" i="6"/>
  <c r="L11" i="6"/>
  <c r="N10" i="6"/>
  <c r="T10" i="6" s="1"/>
  <c r="M10" i="6"/>
  <c r="S10" i="6" s="1"/>
  <c r="L10" i="6"/>
  <c r="N9" i="6"/>
  <c r="L9" i="6"/>
  <c r="M9" i="6"/>
  <c r="L8" i="6"/>
  <c r="M8" i="6"/>
  <c r="N8" i="6"/>
  <c r="N7" i="6"/>
  <c r="T7" i="6" s="1"/>
  <c r="M7" i="6"/>
  <c r="L7" i="6"/>
  <c r="N6" i="6"/>
  <c r="M6" i="6"/>
  <c r="L6" i="6"/>
  <c r="M5" i="6"/>
  <c r="N5" i="6"/>
  <c r="L5" i="6"/>
  <c r="N4" i="6"/>
  <c r="M4" i="6"/>
  <c r="L4" i="6"/>
  <c r="R20" i="5"/>
  <c r="S20" i="5" s="1"/>
  <c r="T20" i="5" s="1"/>
  <c r="R19" i="5"/>
  <c r="S19" i="5" s="1"/>
  <c r="T19" i="5" s="1"/>
  <c r="S18" i="5"/>
  <c r="T18" i="5" s="1"/>
  <c r="H10" i="5"/>
  <c r="I10" i="5" s="1"/>
  <c r="K10" i="5" s="1"/>
  <c r="M10" i="5" s="1"/>
  <c r="H9" i="5"/>
  <c r="I9" i="5" s="1"/>
  <c r="K9" i="5" s="1"/>
  <c r="L9" i="5" s="1"/>
  <c r="H8" i="5"/>
  <c r="I8" i="5" s="1"/>
  <c r="K8" i="5" s="1"/>
  <c r="H7" i="5"/>
  <c r="I7" i="5" s="1"/>
  <c r="K7" i="5" s="1"/>
  <c r="H6" i="5"/>
  <c r="I6" i="5" s="1"/>
  <c r="K6" i="5" s="1"/>
  <c r="H5" i="5"/>
  <c r="I5" i="5" s="1"/>
  <c r="K5" i="5" s="1"/>
  <c r="H11" i="5"/>
  <c r="I11" i="5" s="1"/>
  <c r="K11" i="5" s="1"/>
  <c r="L11" i="5" s="1"/>
  <c r="H12" i="5"/>
  <c r="I12" i="5" s="1"/>
  <c r="K12" i="5" s="1"/>
  <c r="M12" i="5" s="1"/>
  <c r="H4" i="5"/>
  <c r="I4" i="5" s="1"/>
  <c r="K4" i="5" s="1"/>
  <c r="R4" i="6" l="1"/>
  <c r="R7" i="6"/>
  <c r="S4" i="6"/>
  <c r="T4" i="6"/>
  <c r="S7" i="6"/>
  <c r="R10" i="6"/>
  <c r="L4" i="5"/>
  <c r="L12" i="5"/>
  <c r="L10" i="5"/>
  <c r="M9" i="5"/>
  <c r="L8" i="5"/>
  <c r="M8" i="5"/>
  <c r="M7" i="5"/>
  <c r="L7" i="5"/>
  <c r="L6" i="5"/>
  <c r="M6" i="5"/>
  <c r="M5" i="5"/>
  <c r="L5" i="5"/>
  <c r="M4" i="5"/>
  <c r="M11" i="5"/>
  <c r="Q10" i="5" s="1"/>
  <c r="F5" i="3"/>
  <c r="F6" i="3"/>
  <c r="F7" i="3"/>
  <c r="F8" i="3"/>
  <c r="F9" i="3"/>
  <c r="F10" i="3"/>
  <c r="F11" i="3"/>
  <c r="F12" i="3"/>
  <c r="F13" i="3"/>
  <c r="F14" i="3"/>
  <c r="F15" i="3"/>
  <c r="F4" i="3"/>
  <c r="P4" i="5" l="1"/>
  <c r="Q4" i="5"/>
  <c r="P10" i="5"/>
  <c r="P7" i="5"/>
  <c r="Q7" i="5"/>
  <c r="G6" i="3"/>
  <c r="H6" i="3" s="1"/>
  <c r="I6" i="3" s="1"/>
  <c r="M6" i="3" s="1"/>
  <c r="G5" i="3"/>
  <c r="H5" i="3" s="1"/>
  <c r="I5" i="3" s="1"/>
  <c r="L5" i="3" s="1"/>
  <c r="G15" i="3"/>
  <c r="H15" i="3" s="1"/>
  <c r="I15" i="3" s="1"/>
  <c r="M15" i="3" s="1"/>
  <c r="G14" i="3"/>
  <c r="H14" i="3" s="1"/>
  <c r="I14" i="3" s="1"/>
  <c r="M14" i="3" s="1"/>
  <c r="G13" i="3"/>
  <c r="H13" i="3" s="1"/>
  <c r="I13" i="3" s="1"/>
  <c r="G12" i="3"/>
  <c r="H12" i="3" s="1"/>
  <c r="I12" i="3" s="1"/>
  <c r="L12" i="3" s="1"/>
  <c r="G11" i="3"/>
  <c r="H11" i="3" s="1"/>
  <c r="I11" i="3" s="1"/>
  <c r="M11" i="3" s="1"/>
  <c r="G10" i="3"/>
  <c r="H10" i="3" s="1"/>
  <c r="I10" i="3" s="1"/>
  <c r="M10" i="3" s="1"/>
  <c r="G9" i="3"/>
  <c r="H9" i="3" s="1"/>
  <c r="I9" i="3" s="1"/>
  <c r="M9" i="3" s="1"/>
  <c r="G8" i="3"/>
  <c r="H8" i="3" s="1"/>
  <c r="I8" i="3" s="1"/>
  <c r="L8" i="3" s="1"/>
  <c r="G7" i="3"/>
  <c r="H7" i="3" s="1"/>
  <c r="I7" i="3" s="1"/>
  <c r="M7" i="3" s="1"/>
  <c r="G4" i="3"/>
  <c r="H4" i="3" s="1"/>
  <c r="I4" i="3" s="1"/>
  <c r="M4" i="3" s="1"/>
  <c r="L10" i="3" l="1"/>
  <c r="L9" i="3"/>
  <c r="L11" i="3"/>
  <c r="L15" i="3"/>
  <c r="L14" i="3"/>
  <c r="O13" i="3" s="1"/>
  <c r="M12" i="3"/>
  <c r="M8" i="3"/>
  <c r="N7" i="3" s="1"/>
  <c r="L7" i="3"/>
  <c r="L6" i="3"/>
  <c r="M13" i="3"/>
  <c r="N13" i="3" s="1"/>
  <c r="M5" i="3"/>
  <c r="N4" i="3" s="1"/>
  <c r="L4" i="3"/>
  <c r="N10" i="3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4" i="2"/>
  <c r="G4" i="2" s="1"/>
  <c r="O10" i="3" l="1"/>
  <c r="O4" i="3"/>
  <c r="O7" i="3"/>
  <c r="H8" i="2"/>
  <c r="I8" i="2" s="1"/>
  <c r="H13" i="2"/>
  <c r="I13" i="2" s="1"/>
  <c r="H5" i="2"/>
  <c r="I5" i="2" s="1"/>
  <c r="H4" i="2"/>
  <c r="I4" i="2" s="1"/>
  <c r="H12" i="2"/>
  <c r="I12" i="2" s="1"/>
  <c r="H15" i="2"/>
  <c r="I15" i="2" s="1"/>
  <c r="H11" i="2"/>
  <c r="I11" i="2" s="1"/>
  <c r="H7" i="2"/>
  <c r="I7" i="2" s="1"/>
  <c r="H9" i="2"/>
  <c r="I9" i="2" s="1"/>
  <c r="H14" i="2"/>
  <c r="I14" i="2" s="1"/>
  <c r="H10" i="2"/>
  <c r="I10" i="2" s="1"/>
  <c r="H6" i="2"/>
  <c r="I6" i="2" s="1"/>
  <c r="C16" i="1"/>
  <c r="B16" i="1"/>
  <c r="C15" i="1"/>
  <c r="B15" i="1"/>
  <c r="C14" i="1"/>
  <c r="B14" i="1"/>
  <c r="N17" i="1"/>
  <c r="M17" i="1"/>
  <c r="N16" i="1"/>
  <c r="M16" i="1"/>
  <c r="N15" i="1"/>
  <c r="M15" i="1"/>
  <c r="N13" i="1"/>
  <c r="N12" i="1"/>
  <c r="N11" i="1"/>
  <c r="N9" i="1"/>
  <c r="N8" i="1"/>
  <c r="M8" i="1"/>
  <c r="N7" i="1"/>
  <c r="B18" i="1" l="1"/>
  <c r="M8" i="2"/>
  <c r="L8" i="2"/>
  <c r="O7" i="1"/>
  <c r="O15" i="1"/>
  <c r="L9" i="2"/>
  <c r="M9" i="2"/>
  <c r="M6" i="2"/>
  <c r="L6" i="2"/>
  <c r="L7" i="2"/>
  <c r="M7" i="2"/>
  <c r="N7" i="2" s="1"/>
  <c r="M10" i="2"/>
  <c r="N10" i="2" s="1"/>
  <c r="L10" i="2"/>
  <c r="L5" i="2"/>
  <c r="M5" i="2"/>
  <c r="L12" i="2"/>
  <c r="M12" i="2"/>
  <c r="L4" i="2"/>
  <c r="O4" i="2" s="1"/>
  <c r="M4" i="2"/>
  <c r="L11" i="2"/>
  <c r="M11" i="2"/>
  <c r="L14" i="2"/>
  <c r="M14" i="2"/>
  <c r="M15" i="2"/>
  <c r="L15" i="2"/>
  <c r="L13" i="2"/>
  <c r="M13" i="2"/>
  <c r="O11" i="1"/>
  <c r="P7" i="1"/>
  <c r="P11" i="1"/>
  <c r="P15" i="1"/>
  <c r="C18" i="1"/>
  <c r="N4" i="2" l="1"/>
  <c r="O7" i="2"/>
  <c r="O10" i="2"/>
  <c r="N13" i="2"/>
  <c r="O13" i="2"/>
</calcChain>
</file>

<file path=xl/sharedStrings.xml><?xml version="1.0" encoding="utf-8"?>
<sst xmlns="http://schemas.openxmlformats.org/spreadsheetml/2006/main" count="254" uniqueCount="108">
  <si>
    <t>КОНТРОЛЬ</t>
  </si>
  <si>
    <t>ОПЫТНЫЕ РАСТЕНИЯ</t>
  </si>
  <si>
    <t>№</t>
  </si>
  <si>
    <t>Сырая масса, г</t>
  </si>
  <si>
    <t>количество растений, шт</t>
  </si>
  <si>
    <t>Корни</t>
  </si>
  <si>
    <t>Стебель</t>
  </si>
  <si>
    <t>Количество растений</t>
  </si>
  <si>
    <t>Сухая масса</t>
  </si>
  <si>
    <t>Оводненность</t>
  </si>
  <si>
    <t>Ср Ов-сть</t>
  </si>
  <si>
    <t>Корень</t>
  </si>
  <si>
    <t>Средняя оводненность</t>
  </si>
  <si>
    <t>Vобщий</t>
  </si>
  <si>
    <t>мкг/мл</t>
  </si>
  <si>
    <t>мкмоль/мл</t>
  </si>
  <si>
    <t>мкмоль общ</t>
  </si>
  <si>
    <t>Калибровка</t>
  </si>
  <si>
    <t>Сырая масса</t>
  </si>
  <si>
    <t>V р-ра Cu, мл</t>
  </si>
  <si>
    <t>D</t>
  </si>
  <si>
    <t>мкг Cu в пробе</t>
  </si>
  <si>
    <t>Измеряли в кювете l=30 мм</t>
  </si>
  <si>
    <t>V ал</t>
  </si>
  <si>
    <t>Содержание меди в корнях мкмоль на г сырой массы</t>
  </si>
  <si>
    <t>Содержание меди в корнях мкмоль на г сухой массы</t>
  </si>
  <si>
    <t>Ср. Содержание меди в корнях мкмоль на г сухой массы</t>
  </si>
  <si>
    <t>Содержание меди в побегах мкмоль на г сырой массы</t>
  </si>
  <si>
    <t>Содержание меди в побегах мкмоль на г сухой массы</t>
  </si>
  <si>
    <t>Ср. Содержание меди в побегах мкмоль на г сухой массы</t>
  </si>
  <si>
    <t>D ср</t>
  </si>
  <si>
    <t>D 600</t>
  </si>
  <si>
    <t>His</t>
  </si>
  <si>
    <t>1, mМ</t>
  </si>
  <si>
    <t>0,5, mМ</t>
  </si>
  <si>
    <r>
      <t>CuCl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</si>
  <si>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4"/>
        <color theme="1"/>
        <rFont val="Times New Roman"/>
        <family val="1"/>
        <charset val="204"/>
      </rPr>
      <t>-5</t>
    </r>
    <r>
      <rPr>
        <sz val="14"/>
        <color theme="1"/>
        <rFont val="Times New Roman"/>
        <family val="1"/>
        <charset val="204"/>
      </rPr>
      <t>, М</t>
    </r>
  </si>
  <si>
    <t>CuCl 10 1</t>
  </si>
  <si>
    <t>CuCl 10 2</t>
  </si>
  <si>
    <t>CuCl 10 3</t>
  </si>
  <si>
    <t>His 1 mM 1</t>
  </si>
  <si>
    <t>His 1 mM 2</t>
  </si>
  <si>
    <t>His 1 mM 3</t>
  </si>
  <si>
    <t>His 0,5 mM 1</t>
  </si>
  <si>
    <t>His 0,5 mM 2</t>
  </si>
  <si>
    <t>His 0,5 mM 3</t>
  </si>
  <si>
    <t>Контроль 1</t>
  </si>
  <si>
    <t>Контроль 2</t>
  </si>
  <si>
    <t>Контроль 3</t>
  </si>
  <si>
    <t>V общ</t>
  </si>
  <si>
    <t>Vал.</t>
  </si>
  <si>
    <t>D600 1</t>
  </si>
  <si>
    <t>D600 2</t>
  </si>
  <si>
    <t>D600 Ср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</si>
  <si>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</si>
  <si>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</si>
  <si>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</si>
  <si>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</si>
  <si>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</si>
  <si>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Сырая масса корней</t>
  </si>
  <si>
    <t>Сухая масса корней</t>
  </si>
  <si>
    <t>Сухая масса клеточной стенки</t>
  </si>
  <si>
    <t>l=50</t>
  </si>
  <si>
    <t>Исходные</t>
  </si>
  <si>
    <t>His 0,5 mM</t>
  </si>
  <si>
    <t>His 1 mM</t>
  </si>
  <si>
    <t>Массовая доля клеточной стенки</t>
  </si>
  <si>
    <t>Ср. Массовая доля</t>
  </si>
  <si>
    <t>FW корней</t>
  </si>
  <si>
    <t>DW корней на выделение</t>
  </si>
  <si>
    <t>DW кл ст</t>
  </si>
  <si>
    <t>После обработки</t>
  </si>
  <si>
    <t>Исходные для сорбции</t>
  </si>
  <si>
    <t xml:space="preserve">His 1 mM </t>
  </si>
  <si>
    <t xml:space="preserve">His 0,5 mM </t>
  </si>
  <si>
    <t xml:space="preserve">CuCl 10 </t>
  </si>
  <si>
    <t>Калибровка исходных растворов</t>
  </si>
  <si>
    <t>Vал</t>
  </si>
  <si>
    <t>мкм/мл</t>
  </si>
  <si>
    <t>После сорбции</t>
  </si>
  <si>
    <t>Поглощение на г сухой массы</t>
  </si>
  <si>
    <t>Поглощение на г сырой массы</t>
  </si>
  <si>
    <t>Средняя сорбция на грамм FW</t>
  </si>
  <si>
    <t>Средняя сорбция на грамм DW</t>
  </si>
  <si>
    <t>1(5)</t>
  </si>
  <si>
    <t>1(6)</t>
  </si>
  <si>
    <t>Ср. Содержание меди в корнях мкмоль на г сырой массы</t>
  </si>
  <si>
    <t>Ср. Содержание меди в побегах мкмоль на г сырой массы</t>
  </si>
  <si>
    <t>мкМ/мл</t>
  </si>
  <si>
    <t>Среднее поглощение на грамм сырой массы корня</t>
  </si>
  <si>
    <t>Среднее поглощение на грамм сухой массы корня</t>
  </si>
  <si>
    <t>калибровка L=10</t>
  </si>
  <si>
    <t>V</t>
  </si>
  <si>
    <t>Вылетело когда переносил (не учитывал в среднем значении)</t>
  </si>
  <si>
    <t>ОЗОЛЕНИЕ КЛЕТОЧНОЙ СТЕНКИ</t>
  </si>
  <si>
    <t>ОЗОЛЕНИЕ ПОБЕГОВ</t>
  </si>
  <si>
    <t>ОЗОЛЕНИЕ КОРНЕЙ</t>
  </si>
  <si>
    <t>СОРБЦИЯ ПО РАСТВОРАМ</t>
  </si>
  <si>
    <t>ПОГЛОЩЕНИЕ МЕДИ ИНТАКТНЫМИ РАСТЕНИЯМИ ПО РАСТВОРУ</t>
  </si>
  <si>
    <t>Ph РАСТВОРОВ</t>
  </si>
  <si>
    <t>МАССА РАСТЕНИЙ + ОВОДНЕННОСТЬ</t>
  </si>
  <si>
    <t>Содержание меди в клеточной стенке на г сухой массы кл. ст</t>
  </si>
  <si>
    <t>Содержание меди в кл. ст. мкмоль на г сухой массы корня</t>
  </si>
  <si>
    <t>Содержание меди в кл. ст. мкмоль на г сырой массы корня</t>
  </si>
  <si>
    <t xml:space="preserve">Ср. Содержание меди в корнях мкмоль на г сухой массы кл.ст. </t>
  </si>
  <si>
    <t>Ср. Содержание меди в кл.ст. мкмоль на г сырой массы корня</t>
  </si>
  <si>
    <t>Ср. Содержание меди в кл. ст.  мкмоль на г сухой массы корня</t>
  </si>
  <si>
    <t>Средняя сорбция на грамм DW кл. 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</si>
</sst>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Fill="1" applyBorder="1"/>
    <xf numFmtId="49" fontId="0" fillId="0" borderId="0" xfId="0" applyNumberForma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49" fontId="3" fillId="0" borderId="1" xfId="0" applyNumberFormat="1" applyFont="1" applyBorder="1"/>
    <xf numFmtId="0" fontId="3" fillId="0" borderId="0" xfId="0" applyFont="1"/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49" fontId="3" fillId="0" borderId="6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NumberFormat="1" applyFont="1" applyBorder="1"/>
    <xf numFmtId="2" fontId="3" fillId="0" borderId="1" xfId="0" applyNumberFormat="1" applyFont="1" applyBorder="1"/>
    <xf numFmtId="0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/>
    <xf numFmtId="165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/>
    <xf numFmtId="165" fontId="7" fillId="0" borderId="1" xfId="0" applyNumberFormat="1" applyFont="1" applyBorder="1"/>
    <xf numFmtId="165" fontId="9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/>
    <xf numFmtId="165" fontId="3" fillId="0" borderId="5" xfId="0" applyNumberFormat="1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0" xfId="0" applyFont="1" applyFill="1" applyBorder="1"/>
    <xf numFmtId="0" fontId="11" fillId="2" borderId="1" xfId="0" applyFont="1" applyFill="1" applyBorder="1"/>
    <xf numFmtId="0" fontId="7" fillId="2" borderId="1" xfId="0" applyFont="1" applyFill="1" applyBorder="1"/>
    <xf numFmtId="165" fontId="8" fillId="2" borderId="1" xfId="0" applyNumberFormat="1" applyFont="1" applyFill="1" applyBorder="1"/>
    <xf numFmtId="0" fontId="0" fillId="0" borderId="0" xfId="0" applyAlignment="1">
      <alignment horizontal="center"/>
    </xf>
    <xf numFmtId="0" fontId="11" fillId="0" borderId="3" xfId="0" applyFont="1" applyBorder="1"/>
    <xf numFmtId="0" fontId="8" fillId="2" borderId="3" xfId="0" applyFont="1" applyFill="1" applyBorder="1"/>
    <xf numFmtId="165" fontId="7" fillId="2" borderId="1" xfId="0" applyNumberFormat="1" applyFont="1" applyFill="1" applyBorder="1"/>
    <xf numFmtId="0" fontId="0" fillId="2" borderId="1" xfId="0" applyFill="1" applyBorder="1"/>
    <xf numFmtId="0" fontId="3" fillId="2" borderId="1" xfId="0" applyNumberFormat="1" applyFont="1" applyFill="1" applyBorder="1"/>
    <xf numFmtId="49" fontId="3" fillId="2" borderId="1" xfId="0" applyNumberFormat="1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5" fontId="3" fillId="0" borderId="3" xfId="0" applyNumberFormat="1" applyFont="1" applyBorder="1" applyAlignment="1">
      <alignment horizontal="center" wrapText="1"/>
    </xf>
    <xf numFmtId="165" fontId="3" fillId="0" borderId="5" xfId="0" applyNumberFormat="1" applyFont="1" applyBorder="1" applyAlignment="1">
      <alignment horizontal="center" wrapText="1"/>
    </xf>
    <xf numFmtId="165" fontId="3" fillId="0" borderId="4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164" fontId="11" fillId="0" borderId="3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22856517935258"/>
                  <c:y val="-0.17947688830562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'После обработки'!$C$18:$C$22</c:f>
              <c:numCache>
                <c:formatCode>General</c:formatCode>
                <c:ptCount val="5"/>
                <c:pt idx="0">
                  <c:v>2.7E-2</c:v>
                </c:pt>
                <c:pt idx="1">
                  <c:v>5.8999999999999997E-2</c:v>
                </c:pt>
                <c:pt idx="2">
                  <c:v>9.0999999999999998E-2</c:v>
                </c:pt>
                <c:pt idx="3">
                  <c:v>0.124</c:v>
                </c:pt>
                <c:pt idx="4">
                  <c:v>0.158</c:v>
                </c:pt>
              </c:numCache>
            </c:numRef>
          </c:xVal>
          <c:yVal>
            <c:numRef>
              <c:f>'После обработки'!$B$18:$B$22</c:f>
              <c:numCache>
                <c:formatCode>General</c:formatCode>
                <c:ptCount val="5"/>
                <c:pt idx="0">
                  <c:v>1.0166000000000002</c:v>
                </c:pt>
                <c:pt idx="1">
                  <c:v>2.0332000000000003</c:v>
                </c:pt>
                <c:pt idx="2">
                  <c:v>3.0497999999999998</c:v>
                </c:pt>
                <c:pt idx="3">
                  <c:v>4.0664000000000007</c:v>
                </c:pt>
                <c:pt idx="4">
                  <c:v>5.0830000000000002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A-420B-A0CB-C53411FB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92287"/>
        <c:axId val="291343071"/>
      </c:scatterChart>
      <c:valAx>
        <c:axId val="4686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343071"/>
        <c:crosses val="autoZero"/>
        <c:crossBetween val="midCat"/>
      </c:valAx>
      <c:valAx>
        <c:axId val="2913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999562554680665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'После обработки'!$N$25:$N$29</c:f>
              <c:numCache>
                <c:formatCode>General</c:formatCode>
                <c:ptCount val="5"/>
                <c:pt idx="0">
                  <c:v>4.2000000000000003E-2</c:v>
                </c:pt>
                <c:pt idx="1">
                  <c:v>0.13400000000000001</c:v>
                </c:pt>
                <c:pt idx="2">
                  <c:v>0.23499999999999999</c:v>
                </c:pt>
                <c:pt idx="3">
                  <c:v>0.33200000000000002</c:v>
                </c:pt>
                <c:pt idx="4">
                  <c:v>0.434</c:v>
                </c:pt>
              </c:numCache>
            </c:numRef>
          </c:xVal>
          <c:yVal>
            <c:numRef>
              <c:f>'После обработки'!$O$25:$O$29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2.9908499999999996</c:v>
                </c:pt>
                <c:pt idx="2">
                  <c:v>4.98475</c:v>
                </c:pt>
                <c:pt idx="3">
                  <c:v>6.97865</c:v>
                </c:pt>
                <c:pt idx="4">
                  <c:v>8.97255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6-45DB-92B1-30032F3D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52336"/>
        <c:axId val="461449384"/>
      </c:scatterChart>
      <c:valAx>
        <c:axId val="4614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9384"/>
        <c:crosses val="autoZero"/>
        <c:crossBetween val="midCat"/>
      </c:valAx>
      <c:valAx>
        <c:axId val="4614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Сорбция!$B$14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118985126859139E-6"/>
                  <c:y val="-0.21177857976086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Сорбция!$C$17:$C$21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8.5000000000000006E-2</c:v>
                </c:pt>
                <c:pt idx="2">
                  <c:v>0.13500000000000001</c:v>
                </c:pt>
                <c:pt idx="3">
                  <c:v>0.183</c:v>
                </c:pt>
                <c:pt idx="4">
                  <c:v>0.23300000000000001</c:v>
                </c:pt>
              </c:numCache>
            </c:numRef>
          </c:xVal>
          <c:yVal>
            <c:numRef>
              <c:f>Сорбция!$D$17:$D$21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F-4427-BFD4-802611D7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6864"/>
        <c:axId val="449178176"/>
      </c:scatterChart>
      <c:valAx>
        <c:axId val="4491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176"/>
        <c:crosses val="autoZero"/>
        <c:crossBetween val="midCat"/>
      </c:valAx>
      <c:valAx>
        <c:axId val="44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771500437445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корней'!$C$22:$C$27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8.4000000000000005E-2</c:v>
                </c:pt>
                <c:pt idx="2">
                  <c:v>0.14299999999999999</c:v>
                </c:pt>
                <c:pt idx="3">
                  <c:v>0.2</c:v>
                </c:pt>
                <c:pt idx="4">
                  <c:v>0.25800000000000001</c:v>
                </c:pt>
                <c:pt idx="5">
                  <c:v>0.317</c:v>
                </c:pt>
              </c:numCache>
            </c:numRef>
          </c:xVal>
          <c:yVal>
            <c:numRef>
              <c:f>'Озоление корней'!$B$22:$B$27</c:f>
              <c:numCache>
                <c:formatCode>General</c:formatCode>
                <c:ptCount val="6"/>
                <c:pt idx="0">
                  <c:v>0.99695000000000011</c:v>
                </c:pt>
                <c:pt idx="1">
                  <c:v>2.9908499999999996</c:v>
                </c:pt>
                <c:pt idx="2">
                  <c:v>4.98475</c:v>
                </c:pt>
                <c:pt idx="3">
                  <c:v>6.97865</c:v>
                </c:pt>
                <c:pt idx="4">
                  <c:v>8.97255</c:v>
                </c:pt>
                <c:pt idx="5">
                  <c:v>10.966450000000002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4-4BB5-AEC2-2F5BEA8E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424"/>
        <c:axId val="82257408"/>
      </c:scatterChart>
      <c:valAx>
        <c:axId val="259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7408"/>
        <c:crosses val="autoZero"/>
        <c:crossBetween val="midCat"/>
      </c:valAx>
      <c:valAx>
        <c:axId val="82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'Озоление побегов'!$C$19:$C$23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8.8999999999999996E-2</c:v>
                </c:pt>
                <c:pt idx="2">
                  <c:v>0.13900000000000001</c:v>
                </c:pt>
                <c:pt idx="3">
                  <c:v>0.185</c:v>
                </c:pt>
                <c:pt idx="4">
                  <c:v>0.23599999999999999</c:v>
                </c:pt>
              </c:numCache>
            </c:numRef>
          </c:xVal>
          <c:yVal>
            <c:numRef>
              <c:f>'Озоление побегов'!$D$19:$D$23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4-4B36-912D-4C28DD69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9264"/>
        <c:axId val="129660800"/>
      </c:scatterChart>
      <c:valAx>
        <c:axId val="129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60800"/>
        <c:crosses val="autoZero"/>
        <c:crossBetween val="midCat"/>
      </c:valAx>
      <c:valAx>
        <c:axId val="129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5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60433070866147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побегов'!$C$27:$C$31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0.13400000000000001</c:v>
                </c:pt>
                <c:pt idx="2">
                  <c:v>0.2</c:v>
                </c:pt>
                <c:pt idx="3">
                  <c:v>0.32500000000000001</c:v>
                </c:pt>
                <c:pt idx="4">
                  <c:v>0.42499999999999999</c:v>
                </c:pt>
              </c:numCache>
            </c:numRef>
          </c:xVal>
          <c:yVal>
            <c:numRef>
              <c:f>'Озоление побегов'!$D$27:$D$31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2.9908499999999996</c:v>
                </c:pt>
                <c:pt idx="2">
                  <c:v>4.98475</c:v>
                </c:pt>
                <c:pt idx="3">
                  <c:v>6.97865</c:v>
                </c:pt>
                <c:pt idx="4">
                  <c:v>8.97255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556-88F6-C529D40F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27535"/>
        <c:axId val="1128576911"/>
      </c:scatterChart>
      <c:valAx>
        <c:axId val="130872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576911"/>
        <c:crosses val="autoZero"/>
        <c:crossBetween val="midCat"/>
      </c:valAx>
      <c:valAx>
        <c:axId val="11285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872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стенки'!$A$14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821479632119152"/>
                  <c:y val="-0.16890055409740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стенки'!$C$16:$C$20</c:f>
              <c:numCache>
                <c:formatCode>General</c:formatCode>
                <c:ptCount val="5"/>
                <c:pt idx="0">
                  <c:v>9.7000000000000003E-2</c:v>
                </c:pt>
                <c:pt idx="1">
                  <c:v>0.14599999999999999</c:v>
                </c:pt>
                <c:pt idx="2">
                  <c:v>0.19600000000000001</c:v>
                </c:pt>
                <c:pt idx="3">
                  <c:v>0.246</c:v>
                </c:pt>
                <c:pt idx="4">
                  <c:v>0.3</c:v>
                </c:pt>
              </c:numCache>
            </c:numRef>
          </c:xVal>
          <c:yVal>
            <c:numRef>
              <c:f>'Озоление стенки'!$B$16:$B$20</c:f>
              <c:numCache>
                <c:formatCode>General</c:formatCode>
                <c:ptCount val="5"/>
                <c:pt idx="0">
                  <c:v>9.9695</c:v>
                </c:pt>
                <c:pt idx="1">
                  <c:v>14.95425</c:v>
                </c:pt>
                <c:pt idx="2">
                  <c:v>19.939</c:v>
                </c:pt>
                <c:pt idx="3">
                  <c:v>24.923750000000002</c:v>
                </c:pt>
                <c:pt idx="4">
                  <c:v>29.9085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C-46B4-8BA4-1DC416EC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6864"/>
        <c:axId val="449178176"/>
      </c:scatterChart>
      <c:valAx>
        <c:axId val="4491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176"/>
        <c:crosses val="autoZero"/>
        <c:crossBetween val="midCat"/>
      </c:valAx>
      <c:valAx>
        <c:axId val="44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23812</xdr:rowOff>
    </xdr:from>
    <xdr:to>
      <xdr:col>10</xdr:col>
      <xdr:colOff>333375</xdr:colOff>
      <xdr:row>29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CA5653-0F9D-48C9-BA3C-06ADC101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30</xdr:row>
      <xdr:rowOff>19050</xdr:rowOff>
    </xdr:from>
    <xdr:to>
      <xdr:col>16</xdr:col>
      <xdr:colOff>295275</xdr:colOff>
      <xdr:row>44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82C2FA-C3DC-4BFF-852C-E3399247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95250</xdr:rowOff>
    </xdr:from>
    <xdr:to>
      <xdr:col>12</xdr:col>
      <xdr:colOff>190500</xdr:colOff>
      <xdr:row>28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45F3F4-5D1A-4281-9AF3-E8287FDA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140806</xdr:colOff>
      <xdr:row>17</xdr:row>
      <xdr:rowOff>156540</xdr:rowOff>
    </xdr:from>
    <xdr:to>
      <xdr:col>11</xdr:col>
      <xdr:colOff>1035327</xdr:colOff>
      <xdr:row>31</xdr:row>
      <xdr:rowOff>42240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16</xdr:row>
      <xdr:rowOff>200025</xdr:rowOff>
    </xdr:from>
    <xdr:to>
      <xdr:col>9</xdr:col>
      <xdr:colOff>161925</xdr:colOff>
      <xdr:row>26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26</xdr:row>
      <xdr:rowOff>185737</xdr:rowOff>
    </xdr:from>
    <xdr:to>
      <xdr:col>10</xdr:col>
      <xdr:colOff>400050</xdr:colOff>
      <xdr:row>38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EDCA53-4339-4A1C-A7DC-E7A170C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12</xdr:col>
      <xdr:colOff>1638300</xdr:colOff>
      <xdr:row>26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B22E40-0665-4CFB-AA7D-49DFD813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opLeftCell="E1" workbookViewId="0">
      <selection activeCell="V17" sqref="V17"/>
    </sheetView>
  </sheetViews>
  <sheetFormatPr defaultRowHeight="15" x14ac:dyDescent="0.25"/>
  <cols>
    <col min="7" max="10" width="9.42578125" bestFit="1" customWidth="1"/>
    <col min="13" max="14" width="11" bestFit="1" customWidth="1"/>
    <col min="15" max="16" width="10.85546875" bestFit="1" customWidth="1"/>
    <col min="19" max="19" width="15.85546875" customWidth="1"/>
    <col min="20" max="20" width="34.28515625" customWidth="1"/>
    <col min="21" max="21" width="12.7109375" customWidth="1"/>
    <col min="22" max="22" width="29.140625" customWidth="1"/>
    <col min="23" max="23" width="31.42578125" customWidth="1"/>
  </cols>
  <sheetData>
    <row r="1" spans="1:23" ht="36.75" customHeight="1" x14ac:dyDescent="0.35">
      <c r="A1" s="57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15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ht="21" x14ac:dyDescent="0.35">
      <c r="A3" s="58" t="s">
        <v>0</v>
      </c>
      <c r="B3" s="58"/>
      <c r="C3" s="58"/>
      <c r="D3" s="58"/>
      <c r="E3" s="1"/>
      <c r="F3" s="1"/>
      <c r="G3" s="59" t="s">
        <v>1</v>
      </c>
      <c r="H3" s="59"/>
      <c r="I3" s="59"/>
      <c r="J3" s="59"/>
      <c r="K3" s="59"/>
      <c r="L3" s="59"/>
      <c r="M3" s="59"/>
      <c r="N3" s="59"/>
      <c r="O3" s="23"/>
      <c r="P3" s="23"/>
    </row>
    <row r="4" spans="1:23" ht="47.25" customHeight="1" x14ac:dyDescent="0.35">
      <c r="A4" s="60" t="s">
        <v>2</v>
      </c>
      <c r="B4" s="61" t="s">
        <v>3</v>
      </c>
      <c r="C4" s="61"/>
      <c r="D4" s="62" t="s">
        <v>4</v>
      </c>
      <c r="E4" s="3"/>
      <c r="F4" s="3"/>
      <c r="G4" s="24" t="s">
        <v>35</v>
      </c>
      <c r="H4" s="64" t="s">
        <v>36</v>
      </c>
      <c r="I4" s="64"/>
      <c r="J4" s="64"/>
      <c r="K4" s="64"/>
      <c r="L4" s="64"/>
      <c r="M4" s="64"/>
      <c r="N4" s="64"/>
      <c r="O4" s="64"/>
      <c r="P4" s="64"/>
      <c r="R4" s="32" t="s">
        <v>2</v>
      </c>
      <c r="S4" s="33" t="s">
        <v>68</v>
      </c>
      <c r="T4" s="34" t="s">
        <v>69</v>
      </c>
      <c r="U4" s="33" t="s">
        <v>70</v>
      </c>
      <c r="V4" s="33" t="s">
        <v>66</v>
      </c>
      <c r="W4" s="33" t="s">
        <v>67</v>
      </c>
    </row>
    <row r="5" spans="1:23" ht="19.5" customHeight="1" x14ac:dyDescent="0.3">
      <c r="A5" s="60"/>
      <c r="B5" s="2" t="s">
        <v>5</v>
      </c>
      <c r="C5" s="2" t="s">
        <v>6</v>
      </c>
      <c r="D5" s="63"/>
      <c r="G5" s="59" t="s">
        <v>2</v>
      </c>
      <c r="H5" s="59" t="s">
        <v>3</v>
      </c>
      <c r="I5" s="59"/>
      <c r="J5" s="65" t="s">
        <v>7</v>
      </c>
      <c r="K5" s="59" t="s">
        <v>8</v>
      </c>
      <c r="L5" s="59"/>
      <c r="M5" s="65" t="s">
        <v>9</v>
      </c>
      <c r="N5" s="65"/>
      <c r="O5" s="59" t="s">
        <v>10</v>
      </c>
      <c r="P5" s="59"/>
      <c r="R5" s="32">
        <v>1</v>
      </c>
      <c r="S5" s="32">
        <v>1.9494</v>
      </c>
      <c r="T5" s="35">
        <f>S5/(1+17.39036056)</f>
        <v>0.10600118435089562</v>
      </c>
      <c r="U5" s="36">
        <v>4.9700000000000001E-2</v>
      </c>
      <c r="V5" s="36">
        <f>U5/T5</f>
        <v>0.46886268586847235</v>
      </c>
      <c r="W5" s="36">
        <f>AVERAGE(V5:V13)</f>
        <v>0.48555030857517273</v>
      </c>
    </row>
    <row r="6" spans="1:23" ht="20.25" x14ac:dyDescent="0.3">
      <c r="A6" s="2">
        <v>1</v>
      </c>
      <c r="B6" s="2">
        <v>1.452</v>
      </c>
      <c r="C6" s="2">
        <v>2.2629000000000001</v>
      </c>
      <c r="D6" s="2">
        <v>9</v>
      </c>
      <c r="G6" s="59"/>
      <c r="H6" s="23" t="s">
        <v>11</v>
      </c>
      <c r="I6" s="23" t="s">
        <v>6</v>
      </c>
      <c r="J6" s="65"/>
      <c r="K6" s="23" t="s">
        <v>11</v>
      </c>
      <c r="L6" s="23" t="s">
        <v>6</v>
      </c>
      <c r="M6" s="26" t="s">
        <v>11</v>
      </c>
      <c r="N6" s="26" t="s">
        <v>6</v>
      </c>
      <c r="O6" s="26" t="s">
        <v>11</v>
      </c>
      <c r="P6" s="26" t="s">
        <v>6</v>
      </c>
      <c r="R6" s="32">
        <v>2</v>
      </c>
      <c r="S6" s="32">
        <v>2.0306999999999999</v>
      </c>
      <c r="T6" s="35">
        <f t="shared" ref="T6:T13" si="0">S6/(1+17.39036056)</f>
        <v>0.11042197858898313</v>
      </c>
      <c r="U6" s="36">
        <v>5.0700000000000002E-2</v>
      </c>
      <c r="V6" s="36">
        <f t="shared" ref="V6:V12" si="1">U6/T6</f>
        <v>0.45914772265327231</v>
      </c>
      <c r="W6" s="32"/>
    </row>
    <row r="7" spans="1:23" ht="20.25" x14ac:dyDescent="0.3">
      <c r="A7" s="2">
        <v>2</v>
      </c>
      <c r="B7" s="2">
        <v>1.4767999999999999</v>
      </c>
      <c r="C7" s="2">
        <v>2.2532000000000001</v>
      </c>
      <c r="D7" s="2">
        <v>9</v>
      </c>
      <c r="G7" s="23">
        <v>1</v>
      </c>
      <c r="H7" s="23">
        <v>1.1144000000000001</v>
      </c>
      <c r="I7" s="23">
        <v>2.1739999999999999</v>
      </c>
      <c r="J7" s="23">
        <v>9</v>
      </c>
      <c r="K7" s="26">
        <v>6.3E-2</v>
      </c>
      <c r="L7" s="26">
        <v>0.2258</v>
      </c>
      <c r="M7" s="23">
        <f>(H7-K7)/K7</f>
        <v>16.68888888888889</v>
      </c>
      <c r="N7" s="23">
        <f>(I7-L7)/L7</f>
        <v>8.6279893711248885</v>
      </c>
      <c r="O7" s="23">
        <f>AVERAGE(M7:M9)</f>
        <v>15.963823163488767</v>
      </c>
      <c r="P7" s="23">
        <f>AVERAGE(N7:N9)</f>
        <v>8.8061567468187203</v>
      </c>
      <c r="R7" s="32">
        <v>3</v>
      </c>
      <c r="S7" s="32">
        <v>1.5980000000000001</v>
      </c>
      <c r="T7" s="35">
        <f t="shared" si="0"/>
        <v>8.6893348000785464E-2</v>
      </c>
      <c r="U7" s="36">
        <v>4.2099999999999999E-2</v>
      </c>
      <c r="V7" s="36">
        <f t="shared" si="1"/>
        <v>0.48450198972215269</v>
      </c>
      <c r="W7" s="32"/>
    </row>
    <row r="8" spans="1:23" ht="20.25" x14ac:dyDescent="0.3">
      <c r="A8" s="2">
        <v>3</v>
      </c>
      <c r="B8" s="2">
        <v>1.6512</v>
      </c>
      <c r="C8" s="2">
        <v>2.2524000000000002</v>
      </c>
      <c r="D8" s="2">
        <v>9</v>
      </c>
      <c r="G8" s="23">
        <v>2</v>
      </c>
      <c r="H8" s="23">
        <v>1.2178</v>
      </c>
      <c r="I8" s="23">
        <v>2.2574999999999998</v>
      </c>
      <c r="J8" s="23">
        <v>9</v>
      </c>
      <c r="K8" s="26">
        <v>7.3099999999999998E-2</v>
      </c>
      <c r="L8" s="26">
        <v>0.22539999999999999</v>
      </c>
      <c r="M8" s="23">
        <f t="shared" ref="M8:N17" si="2">(H8-K8)/K8</f>
        <v>15.659370725034201</v>
      </c>
      <c r="N8" s="23">
        <f t="shared" si="2"/>
        <v>9.0155279503105579</v>
      </c>
      <c r="O8" s="23"/>
      <c r="P8" s="23"/>
      <c r="R8" s="32">
        <v>4</v>
      </c>
      <c r="S8" s="32">
        <v>1.7191000000000001</v>
      </c>
      <c r="T8" s="35">
        <f t="shared" si="0"/>
        <v>9.3478319491958881E-2</v>
      </c>
      <c r="U8" s="36">
        <v>4.53E-2</v>
      </c>
      <c r="V8" s="36">
        <f t="shared" si="1"/>
        <v>0.48460434725612245</v>
      </c>
      <c r="W8" s="32"/>
    </row>
    <row r="9" spans="1:23" ht="20.25" x14ac:dyDescent="0.3">
      <c r="A9" s="2"/>
      <c r="B9" s="61" t="s">
        <v>8</v>
      </c>
      <c r="C9" s="61"/>
      <c r="D9" s="2"/>
      <c r="G9" s="23">
        <v>3</v>
      </c>
      <c r="H9" s="23">
        <v>1.206</v>
      </c>
      <c r="I9" s="23">
        <v>2.0762</v>
      </c>
      <c r="J9" s="23">
        <v>9</v>
      </c>
      <c r="K9" s="26">
        <v>7.2900000000000006E-2</v>
      </c>
      <c r="L9" s="26">
        <v>0.21240000000000001</v>
      </c>
      <c r="M9" s="23">
        <f>(H9-K9)/K9</f>
        <v>15.543209876543209</v>
      </c>
      <c r="N9" s="23">
        <f t="shared" si="2"/>
        <v>8.7749529190207163</v>
      </c>
      <c r="O9" s="23"/>
      <c r="P9" s="23"/>
      <c r="R9" s="32">
        <v>5</v>
      </c>
      <c r="S9" s="32">
        <v>1.5711999999999999</v>
      </c>
      <c r="T9" s="35">
        <f t="shared" si="0"/>
        <v>8.5436062815290439E-2</v>
      </c>
      <c r="U9" s="36">
        <v>4.1700000000000001E-2</v>
      </c>
      <c r="V9" s="36">
        <f t="shared" si="1"/>
        <v>0.48808428930244402</v>
      </c>
      <c r="W9" s="32"/>
    </row>
    <row r="10" spans="1:23" ht="20.25" x14ac:dyDescent="0.3">
      <c r="A10" s="2">
        <v>1</v>
      </c>
      <c r="B10" s="4">
        <v>8.1699999999999995E-2</v>
      </c>
      <c r="C10" s="4">
        <v>0.22420000000000001</v>
      </c>
      <c r="D10" s="2">
        <v>9</v>
      </c>
      <c r="G10" s="23" t="s">
        <v>32</v>
      </c>
      <c r="H10" s="64" t="s">
        <v>34</v>
      </c>
      <c r="I10" s="64"/>
      <c r="J10" s="64"/>
      <c r="K10" s="64"/>
      <c r="L10" s="64"/>
      <c r="M10" s="64"/>
      <c r="N10" s="64"/>
      <c r="O10" s="64"/>
      <c r="P10" s="64"/>
      <c r="R10" s="32">
        <v>6</v>
      </c>
      <c r="S10" s="32">
        <v>1.639</v>
      </c>
      <c r="T10" s="35">
        <f t="shared" si="0"/>
        <v>8.9122776829341291E-2</v>
      </c>
      <c r="U10" s="36">
        <v>4.3099999999999999E-2</v>
      </c>
      <c r="V10" s="36">
        <f t="shared" si="1"/>
        <v>0.48360252601342285</v>
      </c>
      <c r="W10" s="32"/>
    </row>
    <row r="11" spans="1:23" ht="20.25" x14ac:dyDescent="0.3">
      <c r="A11" s="2">
        <v>2</v>
      </c>
      <c r="B11" s="2">
        <v>7.8799999999999995E-2</v>
      </c>
      <c r="C11" s="4">
        <v>0.2258</v>
      </c>
      <c r="D11" s="2">
        <v>9</v>
      </c>
      <c r="G11" s="23">
        <v>1</v>
      </c>
      <c r="H11" s="23">
        <v>1.131</v>
      </c>
      <c r="I11" s="23">
        <v>1.9834000000000001</v>
      </c>
      <c r="J11" s="23">
        <v>9</v>
      </c>
      <c r="K11" s="26">
        <v>6.5100000000000005E-2</v>
      </c>
      <c r="L11" s="26">
        <v>0.20150000000000001</v>
      </c>
      <c r="M11" s="23">
        <f>(H11-K11)/K11</f>
        <v>16.373271889400922</v>
      </c>
      <c r="N11" s="23">
        <f t="shared" si="2"/>
        <v>8.84317617866005</v>
      </c>
      <c r="O11" s="23">
        <f>AVERAGE(M11:M13)</f>
        <v>16.598199254355507</v>
      </c>
      <c r="P11" s="23">
        <f>AVERAGE(N11:N13)</f>
        <v>8.7477770390823846</v>
      </c>
      <c r="R11" s="32">
        <v>7</v>
      </c>
      <c r="S11" s="32">
        <v>1.4752000000000001</v>
      </c>
      <c r="T11" s="35">
        <f t="shared" si="0"/>
        <v>8.0215936777696326E-2</v>
      </c>
      <c r="U11" s="36">
        <v>3.9100000000000003E-2</v>
      </c>
      <c r="V11" s="36">
        <f t="shared" si="1"/>
        <v>0.48743431256507597</v>
      </c>
      <c r="W11" s="32"/>
    </row>
    <row r="12" spans="1:23" ht="20.25" x14ac:dyDescent="0.3">
      <c r="A12" s="2">
        <v>3</v>
      </c>
      <c r="B12" s="2">
        <v>8.8499999999999995E-2</v>
      </c>
      <c r="C12" s="4">
        <v>0.2261</v>
      </c>
      <c r="D12" s="2">
        <v>9</v>
      </c>
      <c r="G12" s="23">
        <v>2</v>
      </c>
      <c r="H12" s="23">
        <v>1.6332</v>
      </c>
      <c r="I12" s="23">
        <v>2.4664999999999999</v>
      </c>
      <c r="J12" s="23">
        <v>9</v>
      </c>
      <c r="K12" s="23">
        <v>9.1499999999999998E-2</v>
      </c>
      <c r="L12" s="23">
        <v>0.2571</v>
      </c>
      <c r="M12" s="38">
        <f t="shared" ref="M12:M13" si="3">(H12-K12)/K12</f>
        <v>16.849180327868854</v>
      </c>
      <c r="N12" s="23">
        <f t="shared" si="2"/>
        <v>8.5935433683391675</v>
      </c>
      <c r="O12" s="23"/>
      <c r="P12" s="23"/>
      <c r="R12" s="32">
        <v>8</v>
      </c>
      <c r="S12" s="32">
        <v>1.5704</v>
      </c>
      <c r="T12" s="35">
        <f t="shared" si="0"/>
        <v>8.5392561764977157E-2</v>
      </c>
      <c r="U12" s="36">
        <v>4.5499999999999999E-2</v>
      </c>
      <c r="V12" s="36">
        <f t="shared" si="1"/>
        <v>0.53283329437086091</v>
      </c>
      <c r="W12" s="32"/>
    </row>
    <row r="13" spans="1:23" ht="20.25" x14ac:dyDescent="0.3">
      <c r="A13" s="61" t="s">
        <v>9</v>
      </c>
      <c r="B13" s="61"/>
      <c r="C13" s="61"/>
      <c r="D13" s="61"/>
      <c r="G13" s="23">
        <v>3</v>
      </c>
      <c r="H13" s="23">
        <v>1.4005000000000001</v>
      </c>
      <c r="I13" s="23">
        <v>2.3732000000000002</v>
      </c>
      <c r="J13" s="23">
        <v>9</v>
      </c>
      <c r="K13" s="23">
        <v>7.9699999999999993E-2</v>
      </c>
      <c r="L13" s="23">
        <v>0.24199999999999999</v>
      </c>
      <c r="M13" s="38">
        <f t="shared" si="3"/>
        <v>16.57214554579674</v>
      </c>
      <c r="N13" s="23">
        <f t="shared" si="2"/>
        <v>8.8066115702479344</v>
      </c>
      <c r="O13" s="23"/>
      <c r="P13" s="23"/>
      <c r="R13" s="32">
        <v>9</v>
      </c>
      <c r="S13" s="32">
        <v>1.7783</v>
      </c>
      <c r="T13" s="35">
        <f t="shared" si="0"/>
        <v>9.6697397215141923E-2</v>
      </c>
      <c r="U13" s="36">
        <v>4.65E-2</v>
      </c>
      <c r="V13" s="36">
        <f>U13/T13</f>
        <v>0.48088160942473152</v>
      </c>
      <c r="W13" s="32"/>
    </row>
    <row r="14" spans="1:23" ht="18.75" x14ac:dyDescent="0.3">
      <c r="A14" s="4">
        <v>1</v>
      </c>
      <c r="B14" s="2">
        <f t="shared" ref="B14:C16" si="4">(B6-B10)/B10</f>
        <v>16.77233782129743</v>
      </c>
      <c r="C14" s="2">
        <f t="shared" si="4"/>
        <v>9.0932203389830502</v>
      </c>
      <c r="D14" s="4">
        <v>9</v>
      </c>
      <c r="G14" s="23" t="s">
        <v>32</v>
      </c>
      <c r="H14" s="67" t="s">
        <v>33</v>
      </c>
      <c r="I14" s="67"/>
      <c r="J14" s="67"/>
      <c r="K14" s="67"/>
      <c r="L14" s="67"/>
      <c r="M14" s="67"/>
      <c r="N14" s="67"/>
      <c r="O14" s="67"/>
      <c r="P14" s="67"/>
    </row>
    <row r="15" spans="1:23" ht="18.75" x14ac:dyDescent="0.3">
      <c r="A15" s="4">
        <v>2</v>
      </c>
      <c r="B15" s="2">
        <f t="shared" si="4"/>
        <v>17.741116751269036</v>
      </c>
      <c r="C15" s="2">
        <f t="shared" si="4"/>
        <v>8.9787422497785663</v>
      </c>
      <c r="D15" s="4">
        <v>9</v>
      </c>
      <c r="G15" s="23">
        <v>1</v>
      </c>
      <c r="H15" s="23">
        <v>1.5097</v>
      </c>
      <c r="I15" s="23">
        <v>2.5642999999999998</v>
      </c>
      <c r="J15" s="23">
        <v>9</v>
      </c>
      <c r="K15" s="23">
        <v>8.77E-2</v>
      </c>
      <c r="L15" s="23">
        <v>0.26100000000000001</v>
      </c>
      <c r="M15" s="23">
        <f>(H15-K15)/K15</f>
        <v>16.214367160775371</v>
      </c>
      <c r="N15" s="23">
        <f t="shared" si="2"/>
        <v>8.8249042145593855</v>
      </c>
      <c r="O15" s="23">
        <f>AVERAGE(M15:M17)</f>
        <v>15.985732184815026</v>
      </c>
      <c r="P15" s="23">
        <f>AVERAGE(N15:N17)</f>
        <v>8.6211036473367226</v>
      </c>
      <c r="T15">
        <v>17.390360563736845</v>
      </c>
    </row>
    <row r="16" spans="1:23" ht="18.75" x14ac:dyDescent="0.3">
      <c r="A16" s="4">
        <v>3</v>
      </c>
      <c r="B16" s="2">
        <f t="shared" si="4"/>
        <v>17.657627118644069</v>
      </c>
      <c r="C16" s="2">
        <f t="shared" si="4"/>
        <v>8.961963732861566</v>
      </c>
      <c r="D16" s="4">
        <v>9</v>
      </c>
      <c r="G16" s="23">
        <v>2</v>
      </c>
      <c r="H16" s="23">
        <v>1.4726999999999999</v>
      </c>
      <c r="I16" s="23">
        <v>2.4083000000000001</v>
      </c>
      <c r="J16" s="23">
        <v>9</v>
      </c>
      <c r="K16" s="23">
        <v>8.6699999999999999E-2</v>
      </c>
      <c r="L16" s="23">
        <v>0.2467</v>
      </c>
      <c r="M16" s="23">
        <f t="shared" si="2"/>
        <v>15.986159169550172</v>
      </c>
      <c r="N16" s="23">
        <f t="shared" si="2"/>
        <v>8.7620591811917308</v>
      </c>
      <c r="O16" s="23"/>
      <c r="P16" s="23"/>
    </row>
    <row r="17" spans="1:16" ht="18.75" x14ac:dyDescent="0.3">
      <c r="A17" s="66" t="s">
        <v>12</v>
      </c>
      <c r="B17" s="66"/>
      <c r="C17" s="66"/>
      <c r="D17" s="66"/>
      <c r="G17" s="23">
        <v>3</v>
      </c>
      <c r="H17" s="23">
        <v>1.5701000000000001</v>
      </c>
      <c r="I17" s="23">
        <v>2.3060999999999998</v>
      </c>
      <c r="J17" s="23">
        <v>9</v>
      </c>
      <c r="K17" s="23">
        <v>9.3700000000000006E-2</v>
      </c>
      <c r="L17" s="23">
        <v>0.24859999999999999</v>
      </c>
      <c r="M17" s="23">
        <f t="shared" si="2"/>
        <v>15.756670224119528</v>
      </c>
      <c r="N17" s="23">
        <f t="shared" si="2"/>
        <v>8.2763475462590499</v>
      </c>
      <c r="O17" s="23"/>
      <c r="P17" s="23"/>
    </row>
    <row r="18" spans="1:16" x14ac:dyDescent="0.25">
      <c r="B18">
        <f>AVERAGE(B14:B16)</f>
        <v>17.390360563736845</v>
      </c>
      <c r="C18">
        <f>AVERAGE(C14:C16)</f>
        <v>9.0113087738743936</v>
      </c>
    </row>
    <row r="22" spans="1:16" x14ac:dyDescent="0.25">
      <c r="K22" s="5"/>
    </row>
    <row r="26" spans="1:16" x14ac:dyDescent="0.25">
      <c r="K26" s="5"/>
    </row>
  </sheetData>
  <mergeCells count="18">
    <mergeCell ref="A17:D17"/>
    <mergeCell ref="M5:N5"/>
    <mergeCell ref="O5:P5"/>
    <mergeCell ref="H10:P10"/>
    <mergeCell ref="B9:C9"/>
    <mergeCell ref="H14:P14"/>
    <mergeCell ref="A13:D13"/>
    <mergeCell ref="A1:W1"/>
    <mergeCell ref="A3:D3"/>
    <mergeCell ref="G3:N3"/>
    <mergeCell ref="A4:A5"/>
    <mergeCell ref="B4:C4"/>
    <mergeCell ref="D4:D5"/>
    <mergeCell ref="H4:P4"/>
    <mergeCell ref="G5:G6"/>
    <mergeCell ref="H5:I5"/>
    <mergeCell ref="J5:J6"/>
    <mergeCell ref="K5:L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679A-D552-46F0-8556-9FCCAC0B6B69}">
  <dimension ref="A1:H12"/>
  <sheetViews>
    <sheetView workbookViewId="0">
      <selection activeCell="G18" sqref="G18"/>
    </sheetView>
  </sheetViews>
  <sheetFormatPr defaultRowHeight="15" x14ac:dyDescent="0.25"/>
  <cols>
    <col min="1" max="1" width="16.7109375" customWidth="1"/>
    <col min="4" max="4" width="16.42578125" customWidth="1"/>
    <col min="7" max="7" width="16.42578125" customWidth="1"/>
  </cols>
  <sheetData>
    <row r="1" spans="1:8" ht="27" x14ac:dyDescent="0.35">
      <c r="A1" s="57" t="s">
        <v>99</v>
      </c>
      <c r="B1" s="57"/>
      <c r="C1" s="57"/>
      <c r="D1" s="57"/>
      <c r="E1" s="57"/>
      <c r="F1" s="57"/>
      <c r="G1" s="57"/>
      <c r="H1" s="57"/>
    </row>
    <row r="3" spans="1:8" x14ac:dyDescent="0.25">
      <c r="A3" s="60" t="s">
        <v>71</v>
      </c>
      <c r="B3" s="60"/>
      <c r="D3" s="60" t="s">
        <v>72</v>
      </c>
      <c r="E3" s="60"/>
      <c r="F3" s="6"/>
      <c r="G3" s="68" t="s">
        <v>79</v>
      </c>
      <c r="H3" s="68"/>
    </row>
    <row r="4" spans="1:8" ht="18.75" x14ac:dyDescent="0.3">
      <c r="A4" s="28" t="s">
        <v>37</v>
      </c>
      <c r="B4" s="28">
        <v>4.5</v>
      </c>
      <c r="D4" s="28" t="s">
        <v>75</v>
      </c>
      <c r="E4" s="28">
        <v>5.46</v>
      </c>
      <c r="G4" s="38" t="s">
        <v>37</v>
      </c>
      <c r="H4" s="38">
        <v>4.3</v>
      </c>
    </row>
    <row r="5" spans="1:8" ht="18.75" x14ac:dyDescent="0.3">
      <c r="A5" s="28" t="s">
        <v>38</v>
      </c>
      <c r="B5" s="28">
        <v>4.4000000000000004</v>
      </c>
      <c r="D5" s="28" t="s">
        <v>74</v>
      </c>
      <c r="E5" s="28">
        <v>6.59</v>
      </c>
      <c r="G5" s="38" t="s">
        <v>38</v>
      </c>
      <c r="H5" s="38">
        <v>5.27</v>
      </c>
    </row>
    <row r="6" spans="1:8" ht="18.75" x14ac:dyDescent="0.3">
      <c r="A6" s="28" t="s">
        <v>39</v>
      </c>
      <c r="B6" s="28">
        <v>4.42</v>
      </c>
      <c r="D6" s="28" t="s">
        <v>73</v>
      </c>
      <c r="E6" s="28">
        <v>6.65</v>
      </c>
      <c r="G6" s="38" t="s">
        <v>39</v>
      </c>
      <c r="H6" s="38">
        <v>4.96</v>
      </c>
    </row>
    <row r="7" spans="1:8" ht="18.75" x14ac:dyDescent="0.3">
      <c r="A7" s="28" t="s">
        <v>43</v>
      </c>
      <c r="B7" s="28">
        <v>4.25</v>
      </c>
      <c r="G7" s="38" t="s">
        <v>43</v>
      </c>
      <c r="H7" s="38">
        <v>5.34</v>
      </c>
    </row>
    <row r="8" spans="1:8" ht="18.75" x14ac:dyDescent="0.3">
      <c r="A8" s="28" t="s">
        <v>44</v>
      </c>
      <c r="B8" s="28">
        <v>4.1900000000000004</v>
      </c>
      <c r="G8" s="38" t="s">
        <v>44</v>
      </c>
      <c r="H8" s="38">
        <v>5.3</v>
      </c>
    </row>
    <row r="9" spans="1:8" ht="18.75" x14ac:dyDescent="0.3">
      <c r="A9" s="28" t="s">
        <v>45</v>
      </c>
      <c r="B9" s="28">
        <v>4.18</v>
      </c>
      <c r="G9" s="38" t="s">
        <v>45</v>
      </c>
      <c r="H9" s="38">
        <v>5.27</v>
      </c>
    </row>
    <row r="10" spans="1:8" ht="18.75" x14ac:dyDescent="0.3">
      <c r="A10" s="28" t="s">
        <v>40</v>
      </c>
      <c r="B10" s="28">
        <v>4.5599999999999996</v>
      </c>
      <c r="G10" s="38" t="s">
        <v>40</v>
      </c>
      <c r="H10" s="38">
        <v>5.23</v>
      </c>
    </row>
    <row r="11" spans="1:8" ht="18.75" x14ac:dyDescent="0.3">
      <c r="A11" s="28" t="s">
        <v>41</v>
      </c>
      <c r="B11" s="28">
        <v>4.58</v>
      </c>
      <c r="G11" s="38" t="s">
        <v>41</v>
      </c>
      <c r="H11" s="38">
        <v>5.17</v>
      </c>
    </row>
    <row r="12" spans="1:8" ht="18.75" x14ac:dyDescent="0.3">
      <c r="A12" s="28" t="s">
        <v>42</v>
      </c>
      <c r="B12" s="28">
        <v>4.5</v>
      </c>
      <c r="G12" s="38" t="s">
        <v>42</v>
      </c>
      <c r="H12" s="38">
        <v>5.14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FA19-4E90-4449-A692-C98B740748B5}">
  <dimension ref="A1:T30"/>
  <sheetViews>
    <sheetView tabSelected="1" workbookViewId="0">
      <selection activeCell="S3" sqref="S3"/>
    </sheetView>
  </sheetViews>
  <sheetFormatPr defaultRowHeight="15" x14ac:dyDescent="0.25"/>
  <cols>
    <col min="1" max="1" width="16.7109375" customWidth="1"/>
    <col min="10" max="10" width="15.5703125" customWidth="1"/>
    <col min="11" max="11" width="15.28515625" customWidth="1"/>
    <col min="12" max="12" width="16.140625" customWidth="1"/>
    <col min="13" max="13" width="17.5703125" customWidth="1"/>
    <col min="14" max="14" width="18.28515625" customWidth="1"/>
    <col min="16" max="16" width="25.5703125" customWidth="1"/>
    <col min="17" max="17" width="26.42578125" customWidth="1"/>
  </cols>
  <sheetData>
    <row r="1" spans="1:20" ht="27" x14ac:dyDescent="0.35">
      <c r="A1" s="57" t="s">
        <v>98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3" spans="1:20" ht="57.75" customHeight="1" x14ac:dyDescent="0.3">
      <c r="A3" s="29" t="s">
        <v>2</v>
      </c>
      <c r="B3" s="29" t="s">
        <v>49</v>
      </c>
      <c r="C3" s="29" t="s">
        <v>50</v>
      </c>
      <c r="D3" s="29" t="s">
        <v>51</v>
      </c>
      <c r="E3" s="29" t="s">
        <v>52</v>
      </c>
      <c r="F3" s="29" t="s">
        <v>53</v>
      </c>
      <c r="G3" s="29" t="s">
        <v>14</v>
      </c>
      <c r="H3" s="29" t="s">
        <v>15</v>
      </c>
      <c r="I3" s="29" t="s">
        <v>16</v>
      </c>
      <c r="J3" s="29" t="s">
        <v>54</v>
      </c>
      <c r="K3" s="29" t="s">
        <v>55</v>
      </c>
      <c r="L3" s="29" t="s">
        <v>81</v>
      </c>
      <c r="M3" s="29" t="s">
        <v>80</v>
      </c>
      <c r="N3" s="29" t="s">
        <v>59</v>
      </c>
      <c r="O3" s="29" t="s">
        <v>60</v>
      </c>
      <c r="P3" s="29" t="s">
        <v>89</v>
      </c>
      <c r="Q3" s="29" t="s">
        <v>90</v>
      </c>
    </row>
    <row r="4" spans="1:20" ht="18.75" x14ac:dyDescent="0.3">
      <c r="A4" s="2" t="s">
        <v>37</v>
      </c>
      <c r="B4" s="30">
        <v>150</v>
      </c>
      <c r="C4" s="30">
        <v>20</v>
      </c>
      <c r="D4" s="31">
        <v>2.1000000000000001E-2</v>
      </c>
      <c r="E4" s="31">
        <v>1.9E-2</v>
      </c>
      <c r="F4" s="31">
        <f>AVERAGE(D4:E4)</f>
        <v>0.02</v>
      </c>
      <c r="G4" s="29">
        <f>(F4*20.299+0.2064)/C4</f>
        <v>3.0619E-2</v>
      </c>
      <c r="H4" s="29">
        <f>G4/63.5</f>
        <v>4.8218897637795276E-4</v>
      </c>
      <c r="I4" s="29">
        <f>H4*B4</f>
        <v>7.2328346456692907E-2</v>
      </c>
      <c r="J4" s="29">
        <v>1.1468199212598427</v>
      </c>
      <c r="K4" s="29">
        <f>J4-I4</f>
        <v>1.0744915748031498</v>
      </c>
      <c r="L4" s="29">
        <f t="shared" ref="L4:L12" si="0">K4/N4</f>
        <v>0.96418841960081636</v>
      </c>
      <c r="M4" s="29">
        <f t="shared" ref="M4:M12" si="1">K4/O4</f>
        <v>17.055421822272219</v>
      </c>
      <c r="N4" s="27">
        <v>1.1144000000000001</v>
      </c>
      <c r="O4" s="26">
        <v>6.3E-2</v>
      </c>
      <c r="P4" s="70">
        <f>AVERAGE(L4:L6)</f>
        <v>0.92269547554286702</v>
      </c>
      <c r="Q4" s="70">
        <f>AVERAGE(M4:M6)</f>
        <v>15.667487766455688</v>
      </c>
    </row>
    <row r="5" spans="1:20" ht="18.75" x14ac:dyDescent="0.3">
      <c r="A5" s="2" t="s">
        <v>38</v>
      </c>
      <c r="B5" s="30">
        <v>150</v>
      </c>
      <c r="C5" s="30">
        <v>20</v>
      </c>
      <c r="D5" s="31">
        <v>0.01</v>
      </c>
      <c r="E5" s="31">
        <v>0.01</v>
      </c>
      <c r="F5" s="31">
        <f t="shared" ref="F5:F12" si="2">AVERAGE(D5:E5)</f>
        <v>0.01</v>
      </c>
      <c r="G5" s="29">
        <f t="shared" ref="G5:G12" si="3">(F5*20.299+0.2064)/C5</f>
        <v>2.0469500000000002E-2</v>
      </c>
      <c r="H5" s="29">
        <f t="shared" ref="H5:H11" si="4">G5/63.5</f>
        <v>3.2235433070866142E-4</v>
      </c>
      <c r="I5" s="29">
        <f t="shared" ref="I5:I11" si="5">H5*B5</f>
        <v>4.835314960629921E-2</v>
      </c>
      <c r="J5" s="29">
        <v>1.1468199212598427</v>
      </c>
      <c r="K5" s="29">
        <f t="shared" ref="K5:K11" si="6">J5-I5</f>
        <v>1.0984667716535435</v>
      </c>
      <c r="L5" s="29">
        <f t="shared" si="0"/>
        <v>0.90200917363569011</v>
      </c>
      <c r="M5" s="29">
        <f t="shared" si="1"/>
        <v>15.026905220978707</v>
      </c>
      <c r="N5" s="27">
        <v>1.2178</v>
      </c>
      <c r="O5" s="26">
        <v>7.3099999999999998E-2</v>
      </c>
      <c r="P5" s="71"/>
      <c r="Q5" s="71"/>
    </row>
    <row r="6" spans="1:20" ht="18.75" x14ac:dyDescent="0.3">
      <c r="A6" s="2" t="s">
        <v>39</v>
      </c>
      <c r="B6" s="30">
        <v>150</v>
      </c>
      <c r="C6" s="30">
        <v>20</v>
      </c>
      <c r="D6" s="31">
        <v>1.4E-2</v>
      </c>
      <c r="E6" s="31">
        <v>1.4999999999999999E-2</v>
      </c>
      <c r="F6" s="31">
        <f t="shared" si="2"/>
        <v>1.4499999999999999E-2</v>
      </c>
      <c r="G6" s="29">
        <f t="shared" si="3"/>
        <v>2.5036775000000001E-2</v>
      </c>
      <c r="H6" s="29">
        <f t="shared" si="4"/>
        <v>3.9427992125984254E-4</v>
      </c>
      <c r="I6" s="29">
        <f t="shared" si="5"/>
        <v>5.9141988188976383E-2</v>
      </c>
      <c r="J6" s="29">
        <v>1.1468199212598427</v>
      </c>
      <c r="K6" s="29">
        <f t="shared" si="6"/>
        <v>1.0876779330708664</v>
      </c>
      <c r="L6" s="29">
        <f t="shared" si="0"/>
        <v>0.9018888333920948</v>
      </c>
      <c r="M6" s="29">
        <f t="shared" si="1"/>
        <v>14.920136256116136</v>
      </c>
      <c r="N6" s="27">
        <v>1.206</v>
      </c>
      <c r="O6" s="26">
        <v>7.2900000000000006E-2</v>
      </c>
      <c r="P6" s="72"/>
      <c r="Q6" s="72"/>
    </row>
    <row r="7" spans="1:20" ht="18.75" x14ac:dyDescent="0.3">
      <c r="A7" s="2" t="s">
        <v>43</v>
      </c>
      <c r="B7" s="30">
        <v>150</v>
      </c>
      <c r="C7" s="30">
        <v>20</v>
      </c>
      <c r="D7" s="31">
        <v>3.4000000000000002E-2</v>
      </c>
      <c r="E7" s="31">
        <v>3.5000000000000003E-2</v>
      </c>
      <c r="F7" s="31">
        <f t="shared" si="2"/>
        <v>3.4500000000000003E-2</v>
      </c>
      <c r="G7" s="29">
        <f t="shared" si="3"/>
        <v>4.5335775000000009E-2</v>
      </c>
      <c r="H7" s="29">
        <f t="shared" si="4"/>
        <v>7.1394921259842537E-4</v>
      </c>
      <c r="I7" s="29">
        <f t="shared" si="5"/>
        <v>0.1070923818897638</v>
      </c>
      <c r="J7" s="29">
        <v>1.3098512598425198</v>
      </c>
      <c r="K7" s="29">
        <f t="shared" si="6"/>
        <v>1.202758877952756</v>
      </c>
      <c r="L7" s="29">
        <f t="shared" si="0"/>
        <v>1.0634472837778568</v>
      </c>
      <c r="M7" s="29">
        <f t="shared" si="1"/>
        <v>18.475558801117604</v>
      </c>
      <c r="N7" s="27">
        <v>1.131</v>
      </c>
      <c r="O7" s="26">
        <v>6.5100000000000005E-2</v>
      </c>
      <c r="P7" s="70">
        <f>AVERAGE(L7:L9)</f>
        <v>0.89459013958684841</v>
      </c>
      <c r="Q7" s="70">
        <f t="shared" ref="Q7" si="7">AVERAGE(M7:M9)</f>
        <v>15.718665537788874</v>
      </c>
    </row>
    <row r="8" spans="1:20" ht="18.75" x14ac:dyDescent="0.3">
      <c r="A8" s="2" t="s">
        <v>44</v>
      </c>
      <c r="B8" s="30">
        <v>150</v>
      </c>
      <c r="C8" s="30">
        <v>20</v>
      </c>
      <c r="D8" s="31">
        <v>2.5000000000000001E-2</v>
      </c>
      <c r="E8" s="31">
        <v>2.5000000000000001E-2</v>
      </c>
      <c r="F8" s="31">
        <f t="shared" si="2"/>
        <v>2.5000000000000001E-2</v>
      </c>
      <c r="G8" s="29">
        <f t="shared" si="3"/>
        <v>3.5693750000000003E-2</v>
      </c>
      <c r="H8" s="29">
        <f t="shared" si="4"/>
        <v>5.6210629921259843E-4</v>
      </c>
      <c r="I8" s="29">
        <f t="shared" si="5"/>
        <v>8.4315944881889759E-2</v>
      </c>
      <c r="J8" s="29">
        <v>1.3098512598425198</v>
      </c>
      <c r="K8" s="29">
        <f t="shared" si="6"/>
        <v>1.2255353149606301</v>
      </c>
      <c r="L8" s="29">
        <f t="shared" si="0"/>
        <v>0.75038900009835297</v>
      </c>
      <c r="M8" s="29">
        <f t="shared" si="1"/>
        <v>13.393828578804701</v>
      </c>
      <c r="N8" s="27">
        <v>1.6332</v>
      </c>
      <c r="O8" s="38">
        <v>9.1499999999999998E-2</v>
      </c>
      <c r="P8" s="71"/>
      <c r="Q8" s="71"/>
    </row>
    <row r="9" spans="1:20" ht="18.75" x14ac:dyDescent="0.3">
      <c r="A9" s="2" t="s">
        <v>45</v>
      </c>
      <c r="B9" s="30">
        <v>150</v>
      </c>
      <c r="C9" s="30">
        <v>20</v>
      </c>
      <c r="D9" s="31">
        <v>2.7E-2</v>
      </c>
      <c r="E9" s="31">
        <v>2.9000000000000001E-2</v>
      </c>
      <c r="F9" s="31">
        <f t="shared" si="2"/>
        <v>2.8000000000000001E-2</v>
      </c>
      <c r="G9" s="29">
        <f t="shared" si="3"/>
        <v>3.8738599999999998E-2</v>
      </c>
      <c r="H9" s="29">
        <f t="shared" si="4"/>
        <v>6.1005669291338584E-4</v>
      </c>
      <c r="I9" s="29">
        <f t="shared" si="5"/>
        <v>9.1508503937007879E-2</v>
      </c>
      <c r="J9" s="29">
        <v>1.3098512598425198</v>
      </c>
      <c r="K9" s="29">
        <f t="shared" si="6"/>
        <v>1.218342755905512</v>
      </c>
      <c r="L9" s="29">
        <f t="shared" si="0"/>
        <v>0.86993413488433557</v>
      </c>
      <c r="M9" s="29">
        <f t="shared" si="1"/>
        <v>15.286609233444317</v>
      </c>
      <c r="N9" s="27">
        <v>1.4005000000000001</v>
      </c>
      <c r="O9" s="38">
        <v>7.9699999999999993E-2</v>
      </c>
      <c r="P9" s="72"/>
      <c r="Q9" s="72"/>
    </row>
    <row r="10" spans="1:20" ht="18.75" x14ac:dyDescent="0.3">
      <c r="A10" s="2" t="s">
        <v>40</v>
      </c>
      <c r="B10" s="30">
        <v>150</v>
      </c>
      <c r="C10" s="30">
        <v>20</v>
      </c>
      <c r="D10" s="31">
        <v>0.09</v>
      </c>
      <c r="E10" s="31">
        <v>0.09</v>
      </c>
      <c r="F10" s="31">
        <f t="shared" si="2"/>
        <v>0.09</v>
      </c>
      <c r="G10" s="29">
        <f t="shared" si="3"/>
        <v>0.10166549999999999</v>
      </c>
      <c r="H10" s="29">
        <f t="shared" si="4"/>
        <v>1.6010314960629921E-3</v>
      </c>
      <c r="I10" s="29">
        <f t="shared" si="5"/>
        <v>0.24015472440944879</v>
      </c>
      <c r="J10" s="29">
        <v>1.3242363779527559</v>
      </c>
      <c r="K10" s="37">
        <f t="shared" si="6"/>
        <v>1.0840816535433071</v>
      </c>
      <c r="L10" s="29">
        <f t="shared" si="0"/>
        <v>0.71807753430701937</v>
      </c>
      <c r="M10" s="29">
        <f t="shared" si="1"/>
        <v>12.361250325465303</v>
      </c>
      <c r="N10" s="27">
        <v>1.5097</v>
      </c>
      <c r="O10" s="38">
        <v>8.77E-2</v>
      </c>
      <c r="P10" s="70">
        <f>AVERAGE(L10:L12)</f>
        <v>0.73345959416330408</v>
      </c>
      <c r="Q10" s="70">
        <f t="shared" ref="Q10" si="8">AVERAGE(M10:M12)</f>
        <v>12.457138860274734</v>
      </c>
    </row>
    <row r="11" spans="1:20" ht="18.75" x14ac:dyDescent="0.3">
      <c r="A11" s="2" t="s">
        <v>41</v>
      </c>
      <c r="B11" s="30">
        <v>150</v>
      </c>
      <c r="C11" s="30">
        <v>20</v>
      </c>
      <c r="D11" s="31">
        <v>8.2000000000000003E-2</v>
      </c>
      <c r="E11" s="31">
        <v>8.3000000000000004E-2</v>
      </c>
      <c r="F11" s="31">
        <f t="shared" si="2"/>
        <v>8.2500000000000004E-2</v>
      </c>
      <c r="G11" s="29">
        <f t="shared" si="3"/>
        <v>9.4053374999999995E-2</v>
      </c>
      <c r="H11" s="29">
        <f t="shared" si="4"/>
        <v>1.4811555118110235E-3</v>
      </c>
      <c r="I11" s="29">
        <f t="shared" si="5"/>
        <v>0.22217332677165352</v>
      </c>
      <c r="J11" s="29">
        <v>1.3242363779527559</v>
      </c>
      <c r="K11" s="29">
        <f t="shared" si="6"/>
        <v>1.1020630511811025</v>
      </c>
      <c r="L11" s="29">
        <f t="shared" si="0"/>
        <v>0.74832827539967584</v>
      </c>
      <c r="M11" s="29">
        <f t="shared" si="1"/>
        <v>12.711223197013869</v>
      </c>
      <c r="N11" s="27">
        <v>1.4726999999999999</v>
      </c>
      <c r="O11" s="38">
        <v>8.6699999999999999E-2</v>
      </c>
      <c r="P11" s="71"/>
      <c r="Q11" s="71"/>
    </row>
    <row r="12" spans="1:20" ht="18.75" x14ac:dyDescent="0.3">
      <c r="A12" s="2" t="s">
        <v>42</v>
      </c>
      <c r="B12" s="30">
        <v>150</v>
      </c>
      <c r="C12" s="30">
        <v>20</v>
      </c>
      <c r="D12" s="31">
        <v>6.0999999999999999E-2</v>
      </c>
      <c r="E12" s="31">
        <v>6.2E-2</v>
      </c>
      <c r="F12" s="31">
        <f t="shared" si="2"/>
        <v>6.1499999999999999E-2</v>
      </c>
      <c r="G12" s="29">
        <f t="shared" si="3"/>
        <v>7.2739424999999996E-2</v>
      </c>
      <c r="H12" s="29">
        <f>G12/63.5</f>
        <v>1.1455027559055119E-3</v>
      </c>
      <c r="I12" s="29">
        <f>H12*B12</f>
        <v>0.17182541338582677</v>
      </c>
      <c r="J12" s="29">
        <v>1.3242363779527559</v>
      </c>
      <c r="K12" s="29">
        <f>J12-I12</f>
        <v>1.1524109645669292</v>
      </c>
      <c r="L12" s="29">
        <f t="shared" si="0"/>
        <v>0.73397297278321705</v>
      </c>
      <c r="M12" s="29">
        <f t="shared" si="1"/>
        <v>12.298943058345028</v>
      </c>
      <c r="N12" s="27">
        <v>1.5701000000000001</v>
      </c>
      <c r="O12" s="38">
        <v>9.3700000000000006E-2</v>
      </c>
      <c r="P12" s="72"/>
      <c r="Q12" s="72"/>
    </row>
    <row r="15" spans="1:20" x14ac:dyDescent="0.25">
      <c r="B15" t="s">
        <v>62</v>
      </c>
    </row>
    <row r="16" spans="1:20" x14ac:dyDescent="0.25">
      <c r="A16" t="s">
        <v>19</v>
      </c>
      <c r="B16" t="s">
        <v>21</v>
      </c>
      <c r="C16" s="25" t="s">
        <v>20</v>
      </c>
      <c r="L16" s="68" t="s">
        <v>63</v>
      </c>
      <c r="M16" s="68"/>
      <c r="N16" s="68"/>
      <c r="O16" s="68"/>
      <c r="P16" s="68"/>
      <c r="Q16" s="68"/>
      <c r="R16" s="68"/>
      <c r="S16" s="68"/>
      <c r="T16" s="68"/>
    </row>
    <row r="17" spans="1:20" ht="37.5" x14ac:dyDescent="0.3">
      <c r="A17" s="69" t="s">
        <v>17</v>
      </c>
      <c r="B17" s="69"/>
      <c r="C17" s="6"/>
      <c r="L17" s="29" t="s">
        <v>2</v>
      </c>
      <c r="M17" s="29" t="s">
        <v>49</v>
      </c>
      <c r="N17" s="29" t="s">
        <v>50</v>
      </c>
      <c r="O17" s="29" t="s">
        <v>51</v>
      </c>
      <c r="P17" s="29" t="s">
        <v>52</v>
      </c>
      <c r="Q17" s="29" t="s">
        <v>53</v>
      </c>
      <c r="R17" s="29" t="s">
        <v>14</v>
      </c>
      <c r="S17" s="29" t="s">
        <v>15</v>
      </c>
      <c r="T17" s="29" t="s">
        <v>16</v>
      </c>
    </row>
    <row r="18" spans="1:20" ht="18.75" x14ac:dyDescent="0.3">
      <c r="A18">
        <v>0.1</v>
      </c>
      <c r="B18">
        <f>10.166*A18</f>
        <v>1.0166000000000002</v>
      </c>
      <c r="C18">
        <v>2.7E-2</v>
      </c>
      <c r="L18" s="2" t="s">
        <v>37</v>
      </c>
      <c r="M18" s="30">
        <v>150</v>
      </c>
      <c r="N18" s="30">
        <v>10</v>
      </c>
      <c r="O18" s="31">
        <v>0.22800000000000001</v>
      </c>
      <c r="P18" s="31">
        <v>0.23</v>
      </c>
      <c r="Q18" s="31">
        <f>AVERAGE(O18:P18)</f>
        <v>0.22900000000000001</v>
      </c>
      <c r="R18" s="29">
        <f>(Q18*20.299+0.2064)/N18</f>
        <v>0.4854871</v>
      </c>
      <c r="S18" s="29">
        <f>R18/63.5</f>
        <v>7.645466141732284E-3</v>
      </c>
      <c r="T18" s="29">
        <f>S18*M18</f>
        <v>1.1468199212598427</v>
      </c>
    </row>
    <row r="19" spans="1:20" ht="18.75" x14ac:dyDescent="0.3">
      <c r="A19">
        <v>0.2</v>
      </c>
      <c r="B19">
        <f t="shared" ref="B19:B23" si="9">10.166*A19</f>
        <v>2.0332000000000003</v>
      </c>
      <c r="C19">
        <v>5.8999999999999997E-2</v>
      </c>
      <c r="L19" s="2" t="s">
        <v>64</v>
      </c>
      <c r="M19" s="30">
        <v>150</v>
      </c>
      <c r="N19" s="30">
        <v>10</v>
      </c>
      <c r="O19" s="31">
        <v>0.26300000000000001</v>
      </c>
      <c r="P19" s="31">
        <v>0.26300000000000001</v>
      </c>
      <c r="Q19" s="31">
        <f t="shared" ref="Q19:Q20" si="10">AVERAGE(O19:P19)</f>
        <v>0.26300000000000001</v>
      </c>
      <c r="R19" s="29">
        <f t="shared" ref="R19:R20" si="11">(Q19*20.299+0.2064)/N19</f>
        <v>0.55450370000000004</v>
      </c>
      <c r="S19" s="29">
        <f t="shared" ref="S19:S20" si="12">R19/63.5</f>
        <v>8.7323417322834659E-3</v>
      </c>
      <c r="T19" s="29">
        <f t="shared" ref="T19:T20" si="13">S19*M19</f>
        <v>1.3098512598425198</v>
      </c>
    </row>
    <row r="20" spans="1:20" ht="18.75" x14ac:dyDescent="0.3">
      <c r="A20">
        <v>0.3</v>
      </c>
      <c r="B20">
        <f t="shared" si="9"/>
        <v>3.0497999999999998</v>
      </c>
      <c r="C20">
        <v>9.0999999999999998E-2</v>
      </c>
      <c r="L20" s="2" t="s">
        <v>65</v>
      </c>
      <c r="M20" s="30">
        <v>150</v>
      </c>
      <c r="N20" s="30">
        <v>10</v>
      </c>
      <c r="O20" s="31">
        <v>0.26700000000000002</v>
      </c>
      <c r="P20" s="31">
        <v>0.26500000000000001</v>
      </c>
      <c r="Q20" s="31">
        <f t="shared" si="10"/>
        <v>0.26600000000000001</v>
      </c>
      <c r="R20" s="29">
        <f t="shared" si="11"/>
        <v>0.56059340000000002</v>
      </c>
      <c r="S20" s="29">
        <f t="shared" si="12"/>
        <v>8.8282425196850398E-3</v>
      </c>
      <c r="T20" s="29">
        <f t="shared" si="13"/>
        <v>1.3242363779527559</v>
      </c>
    </row>
    <row r="21" spans="1:20" x14ac:dyDescent="0.25">
      <c r="A21">
        <v>0.4</v>
      </c>
      <c r="B21">
        <f t="shared" si="9"/>
        <v>4.0664000000000007</v>
      </c>
      <c r="C21">
        <v>0.124</v>
      </c>
    </row>
    <row r="22" spans="1:20" x14ac:dyDescent="0.25">
      <c r="A22">
        <v>0.5</v>
      </c>
      <c r="B22">
        <f t="shared" si="9"/>
        <v>5.0830000000000002</v>
      </c>
      <c r="C22">
        <v>0.158</v>
      </c>
      <c r="L22" t="s">
        <v>76</v>
      </c>
    </row>
    <row r="23" spans="1:20" x14ac:dyDescent="0.25">
      <c r="B23">
        <f t="shared" si="9"/>
        <v>0</v>
      </c>
    </row>
    <row r="24" spans="1:20" x14ac:dyDescent="0.25">
      <c r="L24" t="s">
        <v>77</v>
      </c>
      <c r="M24" t="s">
        <v>78</v>
      </c>
      <c r="N24" t="s">
        <v>31</v>
      </c>
      <c r="O24" t="s">
        <v>14</v>
      </c>
    </row>
    <row r="25" spans="1:20" x14ac:dyDescent="0.25">
      <c r="L25">
        <v>0.1</v>
      </c>
      <c r="M25">
        <f>L25*0.157</f>
        <v>1.5700000000000002E-2</v>
      </c>
      <c r="N25">
        <v>4.2000000000000003E-2</v>
      </c>
      <c r="O25">
        <f>M25*63.5</f>
        <v>0.99695000000000011</v>
      </c>
    </row>
    <row r="26" spans="1:20" x14ac:dyDescent="0.25">
      <c r="L26">
        <v>0.3</v>
      </c>
      <c r="M26">
        <f t="shared" ref="M26:M30" si="14">L26*0.157</f>
        <v>4.7099999999999996E-2</v>
      </c>
      <c r="N26">
        <v>0.13400000000000001</v>
      </c>
      <c r="O26">
        <f t="shared" ref="O26:O29" si="15">M26*63.5</f>
        <v>2.9908499999999996</v>
      </c>
    </row>
    <row r="27" spans="1:20" x14ac:dyDescent="0.25">
      <c r="L27">
        <v>0.5</v>
      </c>
      <c r="M27">
        <f t="shared" si="14"/>
        <v>7.85E-2</v>
      </c>
      <c r="N27">
        <v>0.23499999999999999</v>
      </c>
      <c r="O27">
        <f t="shared" si="15"/>
        <v>4.98475</v>
      </c>
    </row>
    <row r="28" spans="1:20" x14ac:dyDescent="0.25">
      <c r="L28">
        <v>0.7</v>
      </c>
      <c r="M28">
        <f t="shared" si="14"/>
        <v>0.1099</v>
      </c>
      <c r="N28">
        <v>0.33200000000000002</v>
      </c>
      <c r="O28">
        <f t="shared" si="15"/>
        <v>6.97865</v>
      </c>
    </row>
    <row r="29" spans="1:20" x14ac:dyDescent="0.25">
      <c r="L29">
        <v>0.9</v>
      </c>
      <c r="M29">
        <f t="shared" si="14"/>
        <v>0.14130000000000001</v>
      </c>
      <c r="N29">
        <v>0.434</v>
      </c>
      <c r="O29">
        <f t="shared" si="15"/>
        <v>8.97255</v>
      </c>
    </row>
    <row r="30" spans="1:20" x14ac:dyDescent="0.25">
      <c r="M30">
        <f t="shared" si="14"/>
        <v>0</v>
      </c>
    </row>
  </sheetData>
  <mergeCells count="9">
    <mergeCell ref="A1:Q1"/>
    <mergeCell ref="A17:B17"/>
    <mergeCell ref="L16:T16"/>
    <mergeCell ref="P4:P6"/>
    <mergeCell ref="P7:P9"/>
    <mergeCell ref="P10:P12"/>
    <mergeCell ref="Q4:Q6"/>
    <mergeCell ref="Q7:Q9"/>
    <mergeCell ref="Q10:Q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AE7D-29FA-49B5-8CDB-AEA22694641E}">
  <dimension ref="A1:T21"/>
  <sheetViews>
    <sheetView workbookViewId="0">
      <selection activeCell="S25" sqref="S25"/>
    </sheetView>
  </sheetViews>
  <sheetFormatPr defaultRowHeight="15" x14ac:dyDescent="0.25"/>
  <cols>
    <col min="7" max="7" width="10.85546875" bestFit="1" customWidth="1"/>
    <col min="10" max="10" width="13.7109375" customWidth="1"/>
    <col min="11" max="11" width="14.85546875" customWidth="1"/>
    <col min="12" max="12" width="15.7109375" customWidth="1"/>
    <col min="13" max="13" width="14.7109375" customWidth="1"/>
    <col min="14" max="14" width="18.140625" customWidth="1"/>
    <col min="17" max="17" width="17.140625" customWidth="1"/>
    <col min="18" max="18" width="14.28515625" customWidth="1"/>
    <col min="19" max="19" width="15.7109375" customWidth="1"/>
    <col min="20" max="20" width="22.5703125" customWidth="1"/>
  </cols>
  <sheetData>
    <row r="1" spans="1:20" ht="27" x14ac:dyDescent="0.35">
      <c r="A1" s="57" t="s">
        <v>97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3" spans="1:20" ht="60.75" customHeight="1" x14ac:dyDescent="0.3">
      <c r="A3" s="29" t="s">
        <v>2</v>
      </c>
      <c r="B3" s="29" t="s">
        <v>49</v>
      </c>
      <c r="C3" s="29" t="s">
        <v>50</v>
      </c>
      <c r="D3" s="29" t="s">
        <v>51</v>
      </c>
      <c r="E3" s="29" t="s">
        <v>52</v>
      </c>
      <c r="F3" s="29" t="s">
        <v>53</v>
      </c>
      <c r="G3" s="29" t="s">
        <v>14</v>
      </c>
      <c r="H3" s="29" t="s">
        <v>15</v>
      </c>
      <c r="I3" s="29" t="s">
        <v>16</v>
      </c>
      <c r="J3" s="29" t="s">
        <v>54</v>
      </c>
      <c r="K3" s="29" t="s">
        <v>55</v>
      </c>
      <c r="L3" s="29" t="s">
        <v>56</v>
      </c>
      <c r="M3" s="29" t="s">
        <v>57</v>
      </c>
      <c r="N3" s="29" t="s">
        <v>58</v>
      </c>
      <c r="O3" s="29" t="s">
        <v>59</v>
      </c>
      <c r="P3" s="29" t="s">
        <v>60</v>
      </c>
      <c r="Q3" s="29" t="s">
        <v>61</v>
      </c>
      <c r="R3" s="40" t="s">
        <v>82</v>
      </c>
      <c r="S3" s="40" t="s">
        <v>83</v>
      </c>
      <c r="T3" s="40" t="s">
        <v>107</v>
      </c>
    </row>
    <row r="4" spans="1:20" ht="18.75" x14ac:dyDescent="0.3">
      <c r="A4" s="2" t="s">
        <v>37</v>
      </c>
      <c r="B4" s="30">
        <v>150</v>
      </c>
      <c r="C4" s="30">
        <v>20</v>
      </c>
      <c r="D4" s="31">
        <v>0.01</v>
      </c>
      <c r="E4" s="31">
        <v>1.0999999999999999E-2</v>
      </c>
      <c r="F4" s="31">
        <f>AVERAGE(D4:E4)</f>
        <v>1.0499999999999999E-2</v>
      </c>
      <c r="G4" s="29">
        <f>(F4*20.345+0.2524)/C4</f>
        <v>2.3301124999999999E-2</v>
      </c>
      <c r="H4" s="29">
        <f>G4/63.5</f>
        <v>3.6694685039370076E-4</v>
      </c>
      <c r="I4" s="29">
        <f>H4*B4</f>
        <v>5.5042027559055115E-2</v>
      </c>
      <c r="J4" s="29">
        <v>1.1468199212598427</v>
      </c>
      <c r="K4" s="29">
        <f>J4-I4</f>
        <v>1.0917778937007876</v>
      </c>
      <c r="L4" s="29">
        <f>K4/O4</f>
        <v>0.56005842500296887</v>
      </c>
      <c r="M4" s="29">
        <f>K4/P4</f>
        <v>10.299676370470317</v>
      </c>
      <c r="N4" s="29">
        <f>K4/Q4</f>
        <v>21.967362046293513</v>
      </c>
      <c r="O4" s="28">
        <v>1.9494</v>
      </c>
      <c r="P4" s="29">
        <v>0.10600118435089562</v>
      </c>
      <c r="Q4" s="29">
        <v>4.9700000000000001E-2</v>
      </c>
      <c r="R4" s="73">
        <f>AVERAGE(L4:L6)</f>
        <v>0.59553901523363761</v>
      </c>
      <c r="S4" s="73">
        <f>AVERAGE(M4:M6)</f>
        <v>10.952177217693928</v>
      </c>
      <c r="T4" s="73">
        <f>AVERAGE(N4:N6)</f>
        <v>23.223626790844747</v>
      </c>
    </row>
    <row r="5" spans="1:20" ht="18.75" x14ac:dyDescent="0.3">
      <c r="A5" s="2" t="s">
        <v>38</v>
      </c>
      <c r="B5" s="30">
        <v>150</v>
      </c>
      <c r="C5" s="30">
        <v>20</v>
      </c>
      <c r="D5" s="31">
        <v>2E-3</v>
      </c>
      <c r="E5" s="31">
        <v>3.0000000000000001E-3</v>
      </c>
      <c r="F5" s="31">
        <f t="shared" ref="F5:F12" si="0">AVERAGE(D5:E5)</f>
        <v>2.5000000000000001E-3</v>
      </c>
      <c r="G5" s="29">
        <f t="shared" ref="G5:G12" si="1">(F5*20.345+0.2524)/C5</f>
        <v>1.5163125E-2</v>
      </c>
      <c r="H5" s="29">
        <f t="shared" ref="H5:H11" si="2">G5/63.5</f>
        <v>2.3878937007874016E-4</v>
      </c>
      <c r="I5" s="29">
        <f t="shared" ref="I5:I11" si="3">H5*B5</f>
        <v>3.5818405511811022E-2</v>
      </c>
      <c r="J5" s="29">
        <v>1.1468199212598427</v>
      </c>
      <c r="K5" s="29">
        <f t="shared" ref="K5:K11" si="4">J5-I5</f>
        <v>1.1110015157480317</v>
      </c>
      <c r="L5" s="29">
        <f t="shared" ref="L5:L12" si="5">K5/O5</f>
        <v>0.54710273095387396</v>
      </c>
      <c r="M5" s="29">
        <f t="shared" ref="M5:M11" si="6">K5/P5</f>
        <v>10.061416485602415</v>
      </c>
      <c r="N5" s="29">
        <f t="shared" ref="N5:N12" si="7">K5/Q5</f>
        <v>21.913244886548949</v>
      </c>
      <c r="O5" s="28">
        <v>2.0306999999999999</v>
      </c>
      <c r="P5" s="29">
        <v>0.11042197858898313</v>
      </c>
      <c r="Q5" s="29">
        <v>5.0700000000000002E-2</v>
      </c>
      <c r="R5" s="59"/>
      <c r="S5" s="59"/>
      <c r="T5" s="59"/>
    </row>
    <row r="6" spans="1:20" ht="18.75" x14ac:dyDescent="0.3">
      <c r="A6" s="2" t="s">
        <v>39</v>
      </c>
      <c r="B6" s="30">
        <v>150</v>
      </c>
      <c r="C6" s="30">
        <v>20</v>
      </c>
      <c r="D6" s="31">
        <v>1.2E-2</v>
      </c>
      <c r="E6" s="31">
        <v>1.4E-2</v>
      </c>
      <c r="F6" s="31">
        <f t="shared" si="0"/>
        <v>1.3000000000000001E-2</v>
      </c>
      <c r="G6" s="29">
        <f t="shared" si="1"/>
        <v>2.5844250000000003E-2</v>
      </c>
      <c r="H6" s="29">
        <f t="shared" si="2"/>
        <v>4.0699606299212602E-4</v>
      </c>
      <c r="I6" s="29">
        <f t="shared" si="3"/>
        <v>6.1049409448818905E-2</v>
      </c>
      <c r="J6" s="29">
        <v>1.1468199212598427</v>
      </c>
      <c r="K6" s="29">
        <f t="shared" si="4"/>
        <v>1.0857705118110237</v>
      </c>
      <c r="L6" s="29">
        <f t="shared" si="5"/>
        <v>0.6794558897440699</v>
      </c>
      <c r="M6" s="29">
        <f t="shared" si="6"/>
        <v>12.495438797009053</v>
      </c>
      <c r="N6" s="29">
        <f t="shared" si="7"/>
        <v>25.790273439691774</v>
      </c>
      <c r="O6" s="28">
        <v>1.5980000000000001</v>
      </c>
      <c r="P6" s="29">
        <v>8.6893348000785464E-2</v>
      </c>
      <c r="Q6" s="29">
        <v>4.2099999999999999E-2</v>
      </c>
      <c r="R6" s="59"/>
      <c r="S6" s="59"/>
      <c r="T6" s="59"/>
    </row>
    <row r="7" spans="1:20" ht="18.75" x14ac:dyDescent="0.3">
      <c r="A7" s="2" t="s">
        <v>43</v>
      </c>
      <c r="B7" s="30">
        <v>150</v>
      </c>
      <c r="C7" s="30">
        <v>20</v>
      </c>
      <c r="D7" s="31">
        <v>2.4E-2</v>
      </c>
      <c r="E7" s="31">
        <v>2.3E-2</v>
      </c>
      <c r="F7" s="31">
        <f t="shared" si="0"/>
        <v>2.35E-2</v>
      </c>
      <c r="G7" s="29">
        <f t="shared" si="1"/>
        <v>3.6525374999999999E-2</v>
      </c>
      <c r="H7" s="29">
        <f t="shared" si="2"/>
        <v>5.7520275590551182E-4</v>
      </c>
      <c r="I7" s="29">
        <f t="shared" si="3"/>
        <v>8.6280413385826774E-2</v>
      </c>
      <c r="J7" s="29">
        <v>1.3098512598425198</v>
      </c>
      <c r="K7" s="29">
        <f t="shared" si="4"/>
        <v>1.223570846456693</v>
      </c>
      <c r="L7" s="29">
        <f t="shared" si="5"/>
        <v>0.71175082686096969</v>
      </c>
      <c r="M7" s="29">
        <f t="shared" si="6"/>
        <v>13.089354334851366</v>
      </c>
      <c r="N7" s="29">
        <f t="shared" si="7"/>
        <v>27.010393961516403</v>
      </c>
      <c r="O7" s="28">
        <v>1.7191000000000001</v>
      </c>
      <c r="P7" s="29">
        <v>9.3478319491958881E-2</v>
      </c>
      <c r="Q7" s="29">
        <v>4.53E-2</v>
      </c>
      <c r="R7" s="73">
        <f t="shared" ref="R7:T7" si="8">AVERAGE(L7:L9)</f>
        <v>0.74960907300786739</v>
      </c>
      <c r="S7" s="73">
        <f t="shared" si="8"/>
        <v>13.785581131662047</v>
      </c>
      <c r="T7" s="73">
        <f t="shared" si="8"/>
        <v>28.396543592591446</v>
      </c>
    </row>
    <row r="8" spans="1:20" ht="18.75" x14ac:dyDescent="0.3">
      <c r="A8" s="2" t="s">
        <v>44</v>
      </c>
      <c r="B8" s="30">
        <v>150</v>
      </c>
      <c r="C8" s="30">
        <v>20</v>
      </c>
      <c r="D8" s="31">
        <v>2.3E-2</v>
      </c>
      <c r="E8" s="31">
        <v>2.1999999999999999E-2</v>
      </c>
      <c r="F8" s="31">
        <f t="shared" si="0"/>
        <v>2.2499999999999999E-2</v>
      </c>
      <c r="G8" s="29">
        <f t="shared" si="1"/>
        <v>3.5508125000000001E-2</v>
      </c>
      <c r="H8" s="29">
        <f t="shared" si="2"/>
        <v>5.5918307086614172E-4</v>
      </c>
      <c r="I8" s="29">
        <f t="shared" si="3"/>
        <v>8.3877460629921255E-2</v>
      </c>
      <c r="J8" s="29">
        <v>1.3098512598425198</v>
      </c>
      <c r="K8" s="29">
        <f t="shared" si="4"/>
        <v>1.2259737992125985</v>
      </c>
      <c r="L8" s="29">
        <f t="shared" si="5"/>
        <v>0.7802786400283851</v>
      </c>
      <c r="M8" s="29">
        <f t="shared" si="6"/>
        <v>14.34960552738845</v>
      </c>
      <c r="N8" s="29">
        <f t="shared" si="7"/>
        <v>29.399851300062313</v>
      </c>
      <c r="O8" s="28">
        <v>1.5711999999999999</v>
      </c>
      <c r="P8" s="29">
        <v>8.5436062815290439E-2</v>
      </c>
      <c r="Q8" s="29">
        <v>4.1700000000000001E-2</v>
      </c>
      <c r="R8" s="59"/>
      <c r="S8" s="59"/>
      <c r="T8" s="59"/>
    </row>
    <row r="9" spans="1:20" ht="18.75" x14ac:dyDescent="0.3">
      <c r="A9" s="2" t="s">
        <v>45</v>
      </c>
      <c r="B9" s="30">
        <v>150</v>
      </c>
      <c r="C9" s="30">
        <v>20</v>
      </c>
      <c r="D9" s="31">
        <v>1.6E-2</v>
      </c>
      <c r="E9" s="31">
        <v>1.7000000000000001E-2</v>
      </c>
      <c r="F9" s="31">
        <f t="shared" si="0"/>
        <v>1.6500000000000001E-2</v>
      </c>
      <c r="G9" s="29">
        <f t="shared" si="1"/>
        <v>2.9404625E-2</v>
      </c>
      <c r="H9" s="29">
        <f t="shared" si="2"/>
        <v>4.6306496062992127E-4</v>
      </c>
      <c r="I9" s="29">
        <f t="shared" si="3"/>
        <v>6.9459744094488185E-2</v>
      </c>
      <c r="J9" s="29">
        <v>1.3098512598425198</v>
      </c>
      <c r="K9" s="29">
        <f t="shared" si="4"/>
        <v>1.2403915157480316</v>
      </c>
      <c r="L9" s="29">
        <f t="shared" si="5"/>
        <v>0.75679775213424749</v>
      </c>
      <c r="M9" s="29">
        <f t="shared" si="6"/>
        <v>13.917783532746322</v>
      </c>
      <c r="N9" s="29">
        <f t="shared" si="7"/>
        <v>28.779385516195632</v>
      </c>
      <c r="O9" s="28">
        <v>1.639</v>
      </c>
      <c r="P9" s="29">
        <v>8.9122776829341291E-2</v>
      </c>
      <c r="Q9" s="29">
        <v>4.3099999999999999E-2</v>
      </c>
      <c r="R9" s="59"/>
      <c r="S9" s="59"/>
      <c r="T9" s="59"/>
    </row>
    <row r="10" spans="1:20" ht="18.75" x14ac:dyDescent="0.3">
      <c r="A10" s="2" t="s">
        <v>40</v>
      </c>
      <c r="B10" s="30">
        <v>150</v>
      </c>
      <c r="C10" s="30">
        <v>20</v>
      </c>
      <c r="D10" s="31">
        <v>5.6000000000000001E-2</v>
      </c>
      <c r="E10" s="31">
        <v>5.8000000000000003E-2</v>
      </c>
      <c r="F10" s="31">
        <f t="shared" si="0"/>
        <v>5.7000000000000002E-2</v>
      </c>
      <c r="G10" s="29">
        <f t="shared" si="1"/>
        <v>7.0603249999999992E-2</v>
      </c>
      <c r="H10" s="29">
        <f t="shared" si="2"/>
        <v>1.1118622047244094E-3</v>
      </c>
      <c r="I10" s="29">
        <f t="shared" si="3"/>
        <v>0.16677933070866141</v>
      </c>
      <c r="J10" s="29">
        <v>1.3242363779527559</v>
      </c>
      <c r="K10" s="29">
        <f t="shared" si="4"/>
        <v>1.1574570472440946</v>
      </c>
      <c r="L10" s="29">
        <f t="shared" si="5"/>
        <v>0.78461025436828535</v>
      </c>
      <c r="M10" s="29">
        <f t="shared" si="6"/>
        <v>14.429265476906084</v>
      </c>
      <c r="N10" s="29">
        <f>K10/Q10</f>
        <v>29.602482026703186</v>
      </c>
      <c r="O10" s="28">
        <v>1.4752000000000001</v>
      </c>
      <c r="P10" s="29">
        <v>8.0215936777696326E-2</v>
      </c>
      <c r="Q10" s="29">
        <v>3.9100000000000003E-2</v>
      </c>
      <c r="R10" s="73">
        <f t="shared" ref="R10:T10" si="9">AVERAGE(L10:L12)</f>
        <v>0.74787537335880427</v>
      </c>
      <c r="S10" s="73">
        <f t="shared" si="9"/>
        <v>13.753697770013028</v>
      </c>
      <c r="T10" s="73">
        <f t="shared" si="9"/>
        <v>27.505773276411976</v>
      </c>
    </row>
    <row r="11" spans="1:20" ht="18.75" x14ac:dyDescent="0.3">
      <c r="A11" s="2" t="s">
        <v>41</v>
      </c>
      <c r="B11" s="30">
        <v>150</v>
      </c>
      <c r="C11" s="30">
        <v>20</v>
      </c>
      <c r="D11" s="31">
        <v>3.3000000000000002E-2</v>
      </c>
      <c r="E11" s="31">
        <v>3.4000000000000002E-2</v>
      </c>
      <c r="F11" s="31">
        <f t="shared" si="0"/>
        <v>3.3500000000000002E-2</v>
      </c>
      <c r="G11" s="29">
        <f t="shared" si="1"/>
        <v>4.6697875E-2</v>
      </c>
      <c r="H11" s="29">
        <f t="shared" si="2"/>
        <v>7.3539960629921263E-4</v>
      </c>
      <c r="I11" s="29">
        <f t="shared" si="3"/>
        <v>0.11030994094488189</v>
      </c>
      <c r="J11" s="29">
        <v>1.3242363779527559</v>
      </c>
      <c r="K11" s="29">
        <f t="shared" si="4"/>
        <v>1.2139264370078742</v>
      </c>
      <c r="L11" s="29">
        <f t="shared" si="5"/>
        <v>0.7730046083850447</v>
      </c>
      <c r="M11" s="29">
        <f t="shared" si="6"/>
        <v>14.215833462742571</v>
      </c>
      <c r="N11" s="29">
        <f t="shared" si="7"/>
        <v>26.67970191226097</v>
      </c>
      <c r="O11" s="28">
        <v>1.5704</v>
      </c>
      <c r="P11" s="29">
        <v>8.5392561764977157E-2</v>
      </c>
      <c r="Q11" s="29">
        <v>4.5499999999999999E-2</v>
      </c>
      <c r="R11" s="59"/>
      <c r="S11" s="59"/>
      <c r="T11" s="59"/>
    </row>
    <row r="12" spans="1:20" ht="18.75" x14ac:dyDescent="0.3">
      <c r="A12" s="2" t="s">
        <v>42</v>
      </c>
      <c r="B12" s="30">
        <v>150</v>
      </c>
      <c r="C12" s="30">
        <v>20</v>
      </c>
      <c r="D12" s="31">
        <v>3.1E-2</v>
      </c>
      <c r="E12" s="31">
        <v>3.1E-2</v>
      </c>
      <c r="F12" s="31">
        <f t="shared" si="0"/>
        <v>3.1E-2</v>
      </c>
      <c r="G12" s="29">
        <f t="shared" si="1"/>
        <v>4.415475E-2</v>
      </c>
      <c r="H12" s="29">
        <f>G12/63.5</f>
        <v>6.9535039370078743E-4</v>
      </c>
      <c r="I12" s="29">
        <f>H12*B12</f>
        <v>0.10430255905511811</v>
      </c>
      <c r="J12" s="29">
        <v>1.3242363779527559</v>
      </c>
      <c r="K12" s="29">
        <f>J12-I12</f>
        <v>1.2199338188976379</v>
      </c>
      <c r="L12" s="29">
        <f t="shared" si="5"/>
        <v>0.68601125732308266</v>
      </c>
      <c r="M12" s="29">
        <f>K12/P12</f>
        <v>12.615994370390432</v>
      </c>
      <c r="N12" s="29">
        <f t="shared" si="7"/>
        <v>26.235135890271781</v>
      </c>
      <c r="O12" s="28">
        <v>1.7783</v>
      </c>
      <c r="P12" s="29">
        <v>9.6697397215141923E-2</v>
      </c>
      <c r="Q12" s="29">
        <v>4.65E-2</v>
      </c>
      <c r="R12" s="59"/>
      <c r="S12" s="59"/>
      <c r="T12" s="59"/>
    </row>
    <row r="14" spans="1:20" x14ac:dyDescent="0.25">
      <c r="B14" t="s">
        <v>17</v>
      </c>
      <c r="D14" t="s">
        <v>62</v>
      </c>
    </row>
    <row r="16" spans="1:20" x14ac:dyDescent="0.25">
      <c r="A16" t="s">
        <v>77</v>
      </c>
      <c r="B16" t="s">
        <v>78</v>
      </c>
      <c r="C16" t="s">
        <v>31</v>
      </c>
      <c r="D16" t="s">
        <v>14</v>
      </c>
    </row>
    <row r="17" spans="1:4" x14ac:dyDescent="0.25">
      <c r="A17">
        <v>0.1</v>
      </c>
      <c r="B17">
        <f>A17*0.157</f>
        <v>1.5700000000000002E-2</v>
      </c>
      <c r="C17">
        <v>3.6999999999999998E-2</v>
      </c>
      <c r="D17">
        <f>B17*63.5</f>
        <v>0.99695000000000011</v>
      </c>
    </row>
    <row r="18" spans="1:4" x14ac:dyDescent="0.25">
      <c r="A18">
        <v>0.2</v>
      </c>
      <c r="B18">
        <f t="shared" ref="B18:B21" si="10">A18*0.157</f>
        <v>3.1400000000000004E-2</v>
      </c>
      <c r="C18">
        <v>8.5000000000000006E-2</v>
      </c>
      <c r="D18">
        <f t="shared" ref="D18:D21" si="11">B18*63.5</f>
        <v>1.9939000000000002</v>
      </c>
    </row>
    <row r="19" spans="1:4" x14ac:dyDescent="0.25">
      <c r="A19">
        <v>0.3</v>
      </c>
      <c r="B19">
        <f t="shared" si="10"/>
        <v>4.7099999999999996E-2</v>
      </c>
      <c r="C19">
        <v>0.13500000000000001</v>
      </c>
      <c r="D19">
        <f t="shared" si="11"/>
        <v>2.9908499999999996</v>
      </c>
    </row>
    <row r="20" spans="1:4" x14ac:dyDescent="0.25">
      <c r="A20">
        <v>0.4</v>
      </c>
      <c r="B20">
        <f t="shared" si="10"/>
        <v>6.2800000000000009E-2</v>
      </c>
      <c r="C20">
        <v>0.183</v>
      </c>
      <c r="D20">
        <f t="shared" si="11"/>
        <v>3.9878000000000005</v>
      </c>
    </row>
    <row r="21" spans="1:4" x14ac:dyDescent="0.25">
      <c r="A21">
        <v>0.5</v>
      </c>
      <c r="B21">
        <f t="shared" si="10"/>
        <v>7.85E-2</v>
      </c>
      <c r="C21">
        <v>0.23300000000000001</v>
      </c>
      <c r="D21">
        <f t="shared" si="11"/>
        <v>4.98475</v>
      </c>
    </row>
  </sheetData>
  <mergeCells count="10">
    <mergeCell ref="A1:S1"/>
    <mergeCell ref="T4:T6"/>
    <mergeCell ref="T7:T9"/>
    <mergeCell ref="T10:T12"/>
    <mergeCell ref="R4:R6"/>
    <mergeCell ref="R7:R9"/>
    <mergeCell ref="R10:R12"/>
    <mergeCell ref="S4:S6"/>
    <mergeCell ref="S7:S9"/>
    <mergeCell ref="S10:S1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zoomScale="115" zoomScaleNormal="115" workbookViewId="0">
      <selection activeCell="Q3" sqref="Q3"/>
    </sheetView>
  </sheetViews>
  <sheetFormatPr defaultRowHeight="15" x14ac:dyDescent="0.25"/>
  <cols>
    <col min="1" max="1" width="13.140625" customWidth="1"/>
    <col min="2" max="2" width="11.5703125" customWidth="1"/>
    <col min="12" max="12" width="20.42578125" customWidth="1"/>
    <col min="13" max="13" width="16.28515625" customWidth="1"/>
    <col min="14" max="14" width="18.28515625" customWidth="1"/>
  </cols>
  <sheetData>
    <row r="1" spans="1:16" ht="27" x14ac:dyDescent="0.35">
      <c r="A1" s="57" t="s">
        <v>96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3" spans="1:16" ht="60" customHeight="1" x14ac:dyDescent="0.25">
      <c r="A3" s="7" t="s">
        <v>2</v>
      </c>
      <c r="B3" s="7" t="s">
        <v>13</v>
      </c>
      <c r="C3" s="7" t="s">
        <v>23</v>
      </c>
      <c r="D3" s="7" t="s">
        <v>31</v>
      </c>
      <c r="E3" s="7" t="s">
        <v>31</v>
      </c>
      <c r="F3" s="7" t="s">
        <v>30</v>
      </c>
      <c r="G3" s="7" t="s">
        <v>14</v>
      </c>
      <c r="H3" s="7" t="s">
        <v>15</v>
      </c>
      <c r="I3" s="7" t="s">
        <v>16</v>
      </c>
      <c r="J3" s="7" t="s">
        <v>18</v>
      </c>
      <c r="K3" s="8" t="s">
        <v>8</v>
      </c>
      <c r="L3" s="7" t="s">
        <v>24</v>
      </c>
      <c r="M3" s="7" t="s">
        <v>25</v>
      </c>
      <c r="N3" s="8" t="s">
        <v>26</v>
      </c>
      <c r="O3" s="80" t="s">
        <v>86</v>
      </c>
      <c r="P3" s="81"/>
    </row>
    <row r="4" spans="1:16" ht="18.75" x14ac:dyDescent="0.3">
      <c r="A4" s="2" t="s">
        <v>37</v>
      </c>
      <c r="B4" s="2">
        <f>25+2.36+0.05</f>
        <v>27.41</v>
      </c>
      <c r="C4" s="2">
        <v>3</v>
      </c>
      <c r="D4" s="2">
        <v>0.11600000000000001</v>
      </c>
      <c r="E4" s="2">
        <v>0.113</v>
      </c>
      <c r="F4" s="2">
        <f>AVERAGE(D4:E4)</f>
        <v>0.1145</v>
      </c>
      <c r="G4" s="2">
        <f>(F4*34.562+0.0428)/C4</f>
        <v>1.3333829999999998</v>
      </c>
      <c r="H4" s="2">
        <f>G4/63.5</f>
        <v>2.0998157480314958E-2</v>
      </c>
      <c r="I4" s="2">
        <f>H4*B4</f>
        <v>0.57555949653543304</v>
      </c>
      <c r="J4" s="39">
        <v>1.1144000000000001</v>
      </c>
      <c r="K4" s="26">
        <v>6.3E-2</v>
      </c>
      <c r="L4" s="2">
        <f>I4/J4</f>
        <v>0.51647478152856519</v>
      </c>
      <c r="M4" s="2">
        <f t="shared" ref="M4:M15" si="0">I4/K4</f>
        <v>9.1358650243719524</v>
      </c>
      <c r="N4" s="62">
        <f>AVERAGE(M4:M6)</f>
        <v>7.9357141632909984</v>
      </c>
      <c r="O4" s="78">
        <f>AVERAGE(L4:L6)</f>
        <v>0.46689202728812479</v>
      </c>
      <c r="P4" s="79"/>
    </row>
    <row r="5" spans="1:16" ht="18.75" x14ac:dyDescent="0.3">
      <c r="A5" s="2" t="s">
        <v>38</v>
      </c>
      <c r="B5" s="2">
        <f>25+2+0.08+0.034</f>
        <v>27.113999999999997</v>
      </c>
      <c r="C5" s="2">
        <v>3</v>
      </c>
      <c r="D5" s="2">
        <v>9.2999999999999999E-2</v>
      </c>
      <c r="E5" s="2">
        <v>9.0999999999999998E-2</v>
      </c>
      <c r="F5" s="2">
        <f t="shared" ref="F5:F15" si="1">AVERAGE(D5:E5)</f>
        <v>9.1999999999999998E-2</v>
      </c>
      <c r="G5" s="2">
        <f t="shared" ref="G5:G15" si="2">(F5*34.562+0.0428)/C5</f>
        <v>1.074168</v>
      </c>
      <c r="H5" s="2">
        <f t="shared" ref="H5:H15" si="3">G5/63.5</f>
        <v>1.6916031496062991E-2</v>
      </c>
      <c r="I5" s="2">
        <f t="shared" ref="I5:I15" si="4">H5*B5</f>
        <v>0.45866127798425188</v>
      </c>
      <c r="J5" s="39">
        <v>1.2178</v>
      </c>
      <c r="K5" s="26">
        <v>7.3099999999999998E-2</v>
      </c>
      <c r="L5" s="2">
        <f t="shared" ref="L5:L15" si="5">I5/J5</f>
        <v>0.37663103792433228</v>
      </c>
      <c r="M5" s="2">
        <f t="shared" si="0"/>
        <v>6.2744360873358671</v>
      </c>
      <c r="N5" s="74"/>
      <c r="O5" s="78"/>
      <c r="P5" s="79"/>
    </row>
    <row r="6" spans="1:16" ht="18.75" x14ac:dyDescent="0.3">
      <c r="A6" s="2" t="s">
        <v>39</v>
      </c>
      <c r="B6" s="2">
        <f>26+2.4+0.06+0.02+0.05+0.06+0.0664</f>
        <v>28.656399999999998</v>
      </c>
      <c r="C6" s="2">
        <v>3</v>
      </c>
      <c r="D6" s="2">
        <v>0.11799999999999999</v>
      </c>
      <c r="E6" s="2">
        <v>0.115</v>
      </c>
      <c r="F6" s="2">
        <f t="shared" si="1"/>
        <v>0.11649999999999999</v>
      </c>
      <c r="G6" s="2">
        <f t="shared" si="2"/>
        <v>1.356424333333333</v>
      </c>
      <c r="H6" s="2">
        <f t="shared" si="3"/>
        <v>2.1361013123359574E-2</v>
      </c>
      <c r="I6" s="2">
        <f t="shared" si="4"/>
        <v>0.6121297364682412</v>
      </c>
      <c r="J6" s="39">
        <v>1.206</v>
      </c>
      <c r="K6" s="26">
        <v>7.2900000000000006E-2</v>
      </c>
      <c r="L6" s="2">
        <f t="shared" si="5"/>
        <v>0.50757026241147696</v>
      </c>
      <c r="M6" s="2">
        <f t="shared" si="0"/>
        <v>8.3968413781651741</v>
      </c>
      <c r="N6" s="63"/>
      <c r="O6" s="78"/>
      <c r="P6" s="79"/>
    </row>
    <row r="7" spans="1:16" ht="18.75" x14ac:dyDescent="0.3">
      <c r="A7" s="2" t="s">
        <v>43</v>
      </c>
      <c r="B7" s="2">
        <f>25+0.3+2.7+0.06+0.0166+0.02+0.0664</f>
        <v>28.163</v>
      </c>
      <c r="C7" s="2">
        <v>3</v>
      </c>
      <c r="D7" s="2">
        <v>4.8000000000000001E-2</v>
      </c>
      <c r="E7" s="2">
        <v>4.5999999999999999E-2</v>
      </c>
      <c r="F7" s="2">
        <f t="shared" si="1"/>
        <v>4.7E-2</v>
      </c>
      <c r="G7" s="2">
        <f t="shared" si="2"/>
        <v>0.55573799999999995</v>
      </c>
      <c r="H7" s="2">
        <f t="shared" si="3"/>
        <v>8.7517795275590549E-3</v>
      </c>
      <c r="I7" s="2">
        <f t="shared" si="4"/>
        <v>0.24647636683464566</v>
      </c>
      <c r="J7" s="39">
        <v>1.131</v>
      </c>
      <c r="K7" s="26">
        <v>6.5100000000000005E-2</v>
      </c>
      <c r="L7" s="2">
        <f t="shared" si="5"/>
        <v>0.21792782213496523</v>
      </c>
      <c r="M7" s="2">
        <f t="shared" si="0"/>
        <v>3.7861193062157548</v>
      </c>
      <c r="N7" s="75">
        <f>AVERAGE(M7:M9)</f>
        <v>3.8347315345265258</v>
      </c>
      <c r="O7" s="78">
        <f t="shared" ref="O7" si="6">AVERAGE(L7:L9)</f>
        <v>0.21780245902340203</v>
      </c>
      <c r="P7" s="79"/>
    </row>
    <row r="8" spans="1:16" ht="18.75" x14ac:dyDescent="0.3">
      <c r="A8" s="2" t="s">
        <v>44</v>
      </c>
      <c r="B8" s="2">
        <f>25+1.1+0.2+0.025+0.034</f>
        <v>26.358999999999998</v>
      </c>
      <c r="C8" s="2">
        <v>10</v>
      </c>
      <c r="D8" s="2">
        <v>0.27</v>
      </c>
      <c r="E8" s="2">
        <v>0.26800000000000002</v>
      </c>
      <c r="F8" s="2">
        <f t="shared" si="1"/>
        <v>0.26900000000000002</v>
      </c>
      <c r="G8" s="2">
        <f t="shared" si="2"/>
        <v>0.93399779999999999</v>
      </c>
      <c r="H8" s="2">
        <f t="shared" si="3"/>
        <v>1.4708626771653544E-2</v>
      </c>
      <c r="I8" s="2">
        <f t="shared" si="4"/>
        <v>0.38770469307401573</v>
      </c>
      <c r="J8" s="39">
        <v>1.6332</v>
      </c>
      <c r="K8" s="39">
        <v>9.1499999999999998E-2</v>
      </c>
      <c r="L8" s="2">
        <f t="shared" si="5"/>
        <v>0.23738959899217227</v>
      </c>
      <c r="M8" s="2">
        <f t="shared" si="0"/>
        <v>4.2372097603717567</v>
      </c>
      <c r="N8" s="76"/>
      <c r="O8" s="78"/>
      <c r="P8" s="79"/>
    </row>
    <row r="9" spans="1:16" ht="18.75" x14ac:dyDescent="0.3">
      <c r="A9" s="2" t="s">
        <v>45</v>
      </c>
      <c r="B9" s="2">
        <f>25+2.7+0.1+0.0166</f>
        <v>27.816600000000001</v>
      </c>
      <c r="C9" s="2">
        <v>10</v>
      </c>
      <c r="D9" s="2">
        <v>0.18099999999999999</v>
      </c>
      <c r="E9" s="2">
        <v>0.183</v>
      </c>
      <c r="F9" s="2">
        <f t="shared" si="1"/>
        <v>0.182</v>
      </c>
      <c r="G9" s="2">
        <f t="shared" si="2"/>
        <v>0.63330839999999999</v>
      </c>
      <c r="H9" s="2">
        <f t="shared" si="3"/>
        <v>9.9733606299212598E-3</v>
      </c>
      <c r="I9" s="2">
        <f t="shared" si="4"/>
        <v>0.2774249832982677</v>
      </c>
      <c r="J9" s="39">
        <v>1.4005000000000001</v>
      </c>
      <c r="K9" s="39">
        <v>7.9699999999999993E-2</v>
      </c>
      <c r="L9" s="2">
        <f t="shared" si="5"/>
        <v>0.19808995594306869</v>
      </c>
      <c r="M9" s="2">
        <f t="shared" si="0"/>
        <v>3.4808655369920669</v>
      </c>
      <c r="N9" s="77"/>
      <c r="O9" s="78"/>
      <c r="P9" s="79"/>
    </row>
    <row r="10" spans="1:16" ht="18.75" x14ac:dyDescent="0.3">
      <c r="A10" s="2" t="s">
        <v>40</v>
      </c>
      <c r="B10" s="2">
        <f>25+2+0.1+0.1+0.016+0.04+0.05+0.02+0.02+0.0166</f>
        <v>27.3626</v>
      </c>
      <c r="C10" s="2">
        <v>10</v>
      </c>
      <c r="D10" s="2">
        <v>0.19900000000000001</v>
      </c>
      <c r="E10" s="2">
        <v>0.19900000000000001</v>
      </c>
      <c r="F10" s="2">
        <f t="shared" si="1"/>
        <v>0.19900000000000001</v>
      </c>
      <c r="G10" s="2">
        <f t="shared" si="2"/>
        <v>0.6920637999999999</v>
      </c>
      <c r="H10" s="2">
        <f t="shared" si="3"/>
        <v>1.0898642519685038E-2</v>
      </c>
      <c r="I10" s="2">
        <f t="shared" si="4"/>
        <v>0.2982151958091338</v>
      </c>
      <c r="J10" s="39">
        <v>1.5097</v>
      </c>
      <c r="K10" s="39">
        <v>8.77E-2</v>
      </c>
      <c r="L10" s="2">
        <f t="shared" si="5"/>
        <v>0.19753275207599774</v>
      </c>
      <c r="M10" s="2">
        <f t="shared" si="0"/>
        <v>3.4004013205146384</v>
      </c>
      <c r="N10" s="75">
        <f>AVERAGE(M10:M12)</f>
        <v>2.8410929801942966</v>
      </c>
      <c r="O10" s="78">
        <f t="shared" ref="O10" si="7">AVERAGE(L10:L12)</f>
        <v>0.16706563332622801</v>
      </c>
      <c r="P10" s="79"/>
    </row>
    <row r="11" spans="1:16" ht="18.75" x14ac:dyDescent="0.3">
      <c r="A11" s="2" t="s">
        <v>41</v>
      </c>
      <c r="B11" s="2">
        <f>25+1.5+0.075+0.04+0.0166+0.025+0.1+0.0332</f>
        <v>26.7898</v>
      </c>
      <c r="C11" s="2">
        <v>10</v>
      </c>
      <c r="D11" s="2">
        <v>0.15</v>
      </c>
      <c r="E11" s="2">
        <v>0.151</v>
      </c>
      <c r="F11" s="2">
        <f t="shared" si="1"/>
        <v>0.15049999999999999</v>
      </c>
      <c r="G11" s="2">
        <f t="shared" si="2"/>
        <v>0.52443809999999991</v>
      </c>
      <c r="H11" s="2">
        <f t="shared" si="3"/>
        <v>8.2588677165354313E-3</v>
      </c>
      <c r="I11" s="2">
        <f t="shared" si="4"/>
        <v>0.22125341435244089</v>
      </c>
      <c r="J11" s="39">
        <v>1.4726999999999999</v>
      </c>
      <c r="K11" s="39">
        <v>8.6699999999999999E-2</v>
      </c>
      <c r="L11" s="2">
        <f t="shared" si="5"/>
        <v>0.1502365820278678</v>
      </c>
      <c r="M11" s="2">
        <f t="shared" si="0"/>
        <v>2.5519424954145431</v>
      </c>
      <c r="N11" s="76"/>
      <c r="O11" s="78"/>
      <c r="P11" s="79"/>
    </row>
    <row r="12" spans="1:16" ht="18.75" x14ac:dyDescent="0.3">
      <c r="A12" s="2" t="s">
        <v>42</v>
      </c>
      <c r="B12" s="2">
        <f>25+0.8+0.05+0.025+0.1+0.0332+0.02+0.025+0.1+0.016</f>
        <v>26.1692</v>
      </c>
      <c r="C12" s="2">
        <v>3</v>
      </c>
      <c r="D12" s="2">
        <v>5.0999999999999997E-2</v>
      </c>
      <c r="E12" s="2">
        <v>4.8000000000000001E-2</v>
      </c>
      <c r="F12" s="2">
        <f t="shared" si="1"/>
        <v>4.9500000000000002E-2</v>
      </c>
      <c r="G12" s="2">
        <f t="shared" si="2"/>
        <v>0.58453966666666657</v>
      </c>
      <c r="H12" s="2">
        <f t="shared" si="3"/>
        <v>9.2053490813648279E-3</v>
      </c>
      <c r="I12" s="2">
        <f t="shared" si="4"/>
        <v>0.24089662118005245</v>
      </c>
      <c r="J12" s="39">
        <v>1.5701000000000001</v>
      </c>
      <c r="K12" s="39">
        <v>9.3700000000000006E-2</v>
      </c>
      <c r="L12" s="2">
        <f t="shared" si="5"/>
        <v>0.15342756587481846</v>
      </c>
      <c r="M12" s="2">
        <f t="shared" si="0"/>
        <v>2.5709351246537078</v>
      </c>
      <c r="N12" s="77"/>
      <c r="O12" s="78"/>
      <c r="P12" s="79"/>
    </row>
    <row r="13" spans="1:16" x14ac:dyDescent="0.25">
      <c r="A13" s="2" t="s">
        <v>46</v>
      </c>
      <c r="B13" s="2">
        <f>25+3+0.3+0.2</f>
        <v>28.5</v>
      </c>
      <c r="C13" s="2">
        <v>10</v>
      </c>
      <c r="D13" s="2">
        <v>5.8000000000000003E-2</v>
      </c>
      <c r="E13" s="2">
        <v>5.7000000000000002E-2</v>
      </c>
      <c r="F13" s="2">
        <f t="shared" si="1"/>
        <v>5.7500000000000002E-2</v>
      </c>
      <c r="G13" s="2">
        <f t="shared" si="2"/>
        <v>0.20301149999999998</v>
      </c>
      <c r="H13" s="2">
        <f t="shared" si="3"/>
        <v>3.1970314960629918E-3</v>
      </c>
      <c r="I13" s="2">
        <f t="shared" si="4"/>
        <v>9.1115397637795262E-2</v>
      </c>
      <c r="J13" s="2">
        <v>1.452</v>
      </c>
      <c r="K13" s="4">
        <v>8.1699999999999995E-2</v>
      </c>
      <c r="L13" s="2">
        <f t="shared" si="5"/>
        <v>6.2751651265699218E-2</v>
      </c>
      <c r="M13" s="2">
        <f t="shared" si="0"/>
        <v>1.115243545138253</v>
      </c>
      <c r="N13" s="75">
        <f>AVERAGE(M13:M15)</f>
        <v>1.2907077398327427</v>
      </c>
      <c r="O13" s="78">
        <f t="shared" ref="O13" si="8">AVERAGE(L13:L15)</f>
        <v>7.0077112629010022E-2</v>
      </c>
      <c r="P13" s="79"/>
    </row>
    <row r="14" spans="1:16" x14ac:dyDescent="0.25">
      <c r="A14" s="2" t="s">
        <v>47</v>
      </c>
      <c r="B14" s="2">
        <f>25+2.1+0.1+0.04</f>
        <v>27.240000000000002</v>
      </c>
      <c r="C14" s="2">
        <v>10</v>
      </c>
      <c r="D14" s="2">
        <v>6.3E-2</v>
      </c>
      <c r="E14" s="2">
        <v>0.06</v>
      </c>
      <c r="F14" s="2">
        <f t="shared" si="1"/>
        <v>6.1499999999999999E-2</v>
      </c>
      <c r="G14" s="2">
        <f t="shared" si="2"/>
        <v>0.21683629999999998</v>
      </c>
      <c r="H14" s="2">
        <f t="shared" si="3"/>
        <v>3.4147448818897634E-3</v>
      </c>
      <c r="I14" s="2">
        <f t="shared" si="4"/>
        <v>9.3017650582677164E-2</v>
      </c>
      <c r="J14" s="2">
        <v>1.4767999999999999</v>
      </c>
      <c r="K14" s="2">
        <v>7.8799999999999995E-2</v>
      </c>
      <c r="L14" s="2">
        <f t="shared" si="5"/>
        <v>6.2985949744499711E-2</v>
      </c>
      <c r="M14" s="2">
        <f t="shared" si="0"/>
        <v>1.1804270378512332</v>
      </c>
      <c r="N14" s="76"/>
      <c r="O14" s="78"/>
      <c r="P14" s="79"/>
    </row>
    <row r="15" spans="1:16" x14ac:dyDescent="0.25">
      <c r="A15" s="2" t="s">
        <v>48</v>
      </c>
      <c r="B15" s="2">
        <f>25+2+0.04+0.0166</f>
        <v>27.0566</v>
      </c>
      <c r="C15" s="2">
        <v>10</v>
      </c>
      <c r="D15" s="2">
        <v>9.5000000000000001E-2</v>
      </c>
      <c r="E15" s="2">
        <v>9.1999999999999998E-2</v>
      </c>
      <c r="F15" s="2">
        <f t="shared" si="1"/>
        <v>9.35E-2</v>
      </c>
      <c r="G15" s="2">
        <f t="shared" si="2"/>
        <v>0.32743470000000002</v>
      </c>
      <c r="H15" s="2">
        <f t="shared" si="3"/>
        <v>5.156451968503937E-3</v>
      </c>
      <c r="I15" s="2">
        <f t="shared" si="4"/>
        <v>0.13951605833102362</v>
      </c>
      <c r="J15" s="2">
        <v>1.6512</v>
      </c>
      <c r="K15" s="2">
        <v>8.8499999999999995E-2</v>
      </c>
      <c r="L15" s="2">
        <f t="shared" si="5"/>
        <v>8.4493736876831163E-2</v>
      </c>
      <c r="M15" s="2">
        <f t="shared" si="0"/>
        <v>1.5764526365087417</v>
      </c>
      <c r="N15" s="77"/>
      <c r="O15" s="78"/>
      <c r="P15" s="79"/>
    </row>
    <row r="18" spans="1:6" x14ac:dyDescent="0.25">
      <c r="A18" t="s">
        <v>22</v>
      </c>
    </row>
    <row r="20" spans="1:6" x14ac:dyDescent="0.25">
      <c r="A20" t="s">
        <v>19</v>
      </c>
      <c r="B20" t="s">
        <v>21</v>
      </c>
      <c r="C20" s="9" t="s">
        <v>20</v>
      </c>
      <c r="D20" t="s">
        <v>88</v>
      </c>
    </row>
    <row r="21" spans="1:6" ht="30" customHeight="1" x14ac:dyDescent="0.25">
      <c r="A21" s="69" t="s">
        <v>17</v>
      </c>
      <c r="B21" s="69"/>
      <c r="C21" s="6"/>
      <c r="D21" s="6"/>
      <c r="E21" s="6"/>
      <c r="F21" s="6"/>
    </row>
    <row r="22" spans="1:6" x14ac:dyDescent="0.25">
      <c r="A22">
        <v>0.1</v>
      </c>
      <c r="B22">
        <f>D22*63.5</f>
        <v>0.99695000000000011</v>
      </c>
      <c r="C22">
        <v>2.9000000000000001E-2</v>
      </c>
      <c r="D22">
        <f>A22*0.157</f>
        <v>1.5700000000000002E-2</v>
      </c>
    </row>
    <row r="23" spans="1:6" x14ac:dyDescent="0.25">
      <c r="A23">
        <v>0.3</v>
      </c>
      <c r="B23">
        <f t="shared" ref="B23:B27" si="9">D23*63.5</f>
        <v>2.9908499999999996</v>
      </c>
      <c r="C23">
        <v>8.4000000000000005E-2</v>
      </c>
      <c r="D23">
        <f t="shared" ref="D23:D27" si="10">A23*0.157</f>
        <v>4.7099999999999996E-2</v>
      </c>
    </row>
    <row r="24" spans="1:6" x14ac:dyDescent="0.25">
      <c r="A24">
        <v>0.5</v>
      </c>
      <c r="B24">
        <f t="shared" si="9"/>
        <v>4.98475</v>
      </c>
      <c r="C24">
        <v>0.14299999999999999</v>
      </c>
      <c r="D24">
        <f t="shared" si="10"/>
        <v>7.85E-2</v>
      </c>
    </row>
    <row r="25" spans="1:6" x14ac:dyDescent="0.25">
      <c r="A25">
        <v>0.7</v>
      </c>
      <c r="B25">
        <f t="shared" si="9"/>
        <v>6.97865</v>
      </c>
      <c r="C25">
        <v>0.2</v>
      </c>
      <c r="D25">
        <f t="shared" si="10"/>
        <v>0.1099</v>
      </c>
    </row>
    <row r="26" spans="1:6" x14ac:dyDescent="0.25">
      <c r="A26">
        <v>0.9</v>
      </c>
      <c r="B26">
        <f t="shared" si="9"/>
        <v>8.97255</v>
      </c>
      <c r="C26">
        <v>0.25800000000000001</v>
      </c>
      <c r="D26">
        <f t="shared" si="10"/>
        <v>0.14130000000000001</v>
      </c>
    </row>
    <row r="27" spans="1:6" x14ac:dyDescent="0.25">
      <c r="A27">
        <v>1.1000000000000001</v>
      </c>
      <c r="B27">
        <f t="shared" si="9"/>
        <v>10.966450000000002</v>
      </c>
      <c r="C27">
        <v>0.317</v>
      </c>
      <c r="D27">
        <f t="shared" si="10"/>
        <v>0.17270000000000002</v>
      </c>
    </row>
  </sheetData>
  <mergeCells count="11">
    <mergeCell ref="A1:P1"/>
    <mergeCell ref="A21:B21"/>
    <mergeCell ref="N4:N6"/>
    <mergeCell ref="N7:N9"/>
    <mergeCell ref="N10:N12"/>
    <mergeCell ref="N13:N15"/>
    <mergeCell ref="O4:P6"/>
    <mergeCell ref="O7:P9"/>
    <mergeCell ref="O10:P12"/>
    <mergeCell ref="O13:P15"/>
    <mergeCell ref="O3:P3"/>
  </mergeCells>
  <phoneticPr fontId="6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topLeftCell="A3" workbookViewId="0">
      <selection activeCell="L5" sqref="L5:M6"/>
    </sheetView>
  </sheetViews>
  <sheetFormatPr defaultRowHeight="18.75" x14ac:dyDescent="0.3"/>
  <cols>
    <col min="1" max="1" width="15.42578125" style="11" customWidth="1"/>
    <col min="2" max="2" width="11.5703125" style="11" customWidth="1"/>
    <col min="3" max="5" width="9.140625" style="11"/>
    <col min="6" max="6" width="13.42578125" style="11" customWidth="1"/>
    <col min="7" max="7" width="10.85546875" style="11" bestFit="1" customWidth="1"/>
    <col min="8" max="8" width="14" style="11" bestFit="1" customWidth="1"/>
    <col min="9" max="9" width="11.28515625" style="11" customWidth="1"/>
    <col min="10" max="11" width="9.140625" style="11"/>
    <col min="12" max="12" width="20.42578125" style="11" customWidth="1"/>
    <col min="13" max="13" width="22.28515625" style="11" customWidth="1"/>
    <col min="14" max="14" width="21.5703125" style="11" customWidth="1"/>
    <col min="15" max="15" width="27.42578125" style="11" customWidth="1"/>
    <col min="16" max="16" width="32.5703125" style="11" customWidth="1"/>
    <col min="17" max="17" width="15.7109375" style="11" customWidth="1"/>
    <col min="18" max="18" width="19.42578125" style="11" customWidth="1"/>
    <col min="19" max="20" width="19" style="11" customWidth="1"/>
    <col min="21" max="21" width="18.28515625" style="11" customWidth="1"/>
    <col min="22" max="22" width="16.42578125" style="11" customWidth="1"/>
    <col min="23" max="16384" width="9.140625" style="11"/>
  </cols>
  <sheetData>
    <row r="1" spans="1:22" ht="27.75" x14ac:dyDescent="0.4">
      <c r="A1" s="57" t="s">
        <v>95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2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2" ht="75" x14ac:dyDescent="0.3">
      <c r="A3" s="12" t="s">
        <v>2</v>
      </c>
      <c r="B3" s="12" t="s">
        <v>13</v>
      </c>
      <c r="C3" s="12" t="s">
        <v>23</v>
      </c>
      <c r="D3" s="12" t="s">
        <v>31</v>
      </c>
      <c r="E3" s="12" t="s">
        <v>31</v>
      </c>
      <c r="F3" s="12" t="s">
        <v>30</v>
      </c>
      <c r="G3" s="12" t="s">
        <v>14</v>
      </c>
      <c r="H3" s="12" t="s">
        <v>15</v>
      </c>
      <c r="I3" s="12" t="s">
        <v>16</v>
      </c>
      <c r="J3" s="12" t="s">
        <v>18</v>
      </c>
      <c r="K3" s="13" t="s">
        <v>8</v>
      </c>
      <c r="L3" s="12" t="s">
        <v>27</v>
      </c>
      <c r="M3" s="12" t="s">
        <v>28</v>
      </c>
      <c r="N3" s="13" t="s">
        <v>29</v>
      </c>
      <c r="O3" s="15" t="s">
        <v>87</v>
      </c>
      <c r="P3" s="14"/>
      <c r="Q3" s="15"/>
      <c r="R3" s="16"/>
      <c r="S3" s="15"/>
      <c r="T3" s="15"/>
      <c r="U3" s="15"/>
      <c r="V3" s="17"/>
    </row>
    <row r="4" spans="1:22" x14ac:dyDescent="0.3">
      <c r="A4" s="2" t="s">
        <v>37</v>
      </c>
      <c r="B4" s="18">
        <f>25+3+0.02+0.0166</f>
        <v>28.0366</v>
      </c>
      <c r="C4" s="18">
        <v>12</v>
      </c>
      <c r="D4" s="18">
        <v>9.1999999999999998E-2</v>
      </c>
      <c r="E4" s="18">
        <v>9.7000000000000003E-2</v>
      </c>
      <c r="F4" s="18">
        <f>(D4+E4)/2</f>
        <v>9.4500000000000001E-2</v>
      </c>
      <c r="G4" s="18">
        <f>(F4*20.678+0.1291)/C4</f>
        <v>0.17359758333333333</v>
      </c>
      <c r="H4" s="10">
        <f>G4/63.5</f>
        <v>2.7338202099737533E-3</v>
      </c>
      <c r="I4" s="19">
        <f>H4*B4</f>
        <v>7.6647023698950129E-2</v>
      </c>
      <c r="J4" s="39">
        <v>2.1739999999999999</v>
      </c>
      <c r="K4" s="26">
        <v>0.2258</v>
      </c>
      <c r="L4" s="18">
        <f t="shared" ref="L4:L15" si="0">I4/J4</f>
        <v>3.5256220652690955E-2</v>
      </c>
      <c r="M4" s="18">
        <f t="shared" ref="M4:M15" si="1">I4/K4</f>
        <v>0.33944651771014228</v>
      </c>
      <c r="N4" s="85">
        <f>AVERAGE(M4:M6)</f>
        <v>0.55575034054989325</v>
      </c>
      <c r="O4" s="85">
        <f>AVERAGE(L4:L6)</f>
        <v>5.6603793998105466E-2</v>
      </c>
      <c r="P4" s="20"/>
      <c r="R4" s="82"/>
      <c r="S4" s="83"/>
      <c r="T4" s="21"/>
    </row>
    <row r="5" spans="1:22" x14ac:dyDescent="0.3">
      <c r="A5" s="52" t="s">
        <v>38</v>
      </c>
      <c r="B5" s="53">
        <f>25+4+0.8+0.03+0.04</f>
        <v>29.87</v>
      </c>
      <c r="C5" s="53">
        <v>12</v>
      </c>
      <c r="D5" s="53">
        <v>0.13</v>
      </c>
      <c r="E5" s="53">
        <v>0.129</v>
      </c>
      <c r="F5" s="53">
        <f t="shared" ref="F5:F15" si="2">(D5+E5)/2</f>
        <v>0.1295</v>
      </c>
      <c r="G5" s="53">
        <f>(F5*20.691+0.321)/C5</f>
        <v>0.25004037500000004</v>
      </c>
      <c r="H5" s="54">
        <f t="shared" ref="H5:H15" si="3">G5/63.5</f>
        <v>3.9376437007874023E-3</v>
      </c>
      <c r="I5" s="55">
        <f t="shared" ref="I5:I15" si="4">H5*B5</f>
        <v>0.11761741734251971</v>
      </c>
      <c r="J5" s="56">
        <v>2.2574999999999998</v>
      </c>
      <c r="K5" s="56">
        <v>0.22539999999999999</v>
      </c>
      <c r="L5" s="53">
        <f t="shared" si="0"/>
        <v>5.2100738579189246E-2</v>
      </c>
      <c r="M5" s="53">
        <f t="shared" si="1"/>
        <v>0.52181640347169345</v>
      </c>
      <c r="N5" s="85"/>
      <c r="O5" s="85"/>
      <c r="P5" s="20"/>
      <c r="R5" s="83"/>
      <c r="S5" s="83"/>
      <c r="T5" s="21"/>
    </row>
    <row r="6" spans="1:22" x14ac:dyDescent="0.3">
      <c r="A6" s="52" t="s">
        <v>39</v>
      </c>
      <c r="B6" s="53">
        <f>25+2+0.6+0.03+0.02</f>
        <v>27.650000000000002</v>
      </c>
      <c r="C6" s="53">
        <v>12</v>
      </c>
      <c r="D6" s="53">
        <v>0.21299999999999999</v>
      </c>
      <c r="E6" s="53">
        <v>0.21199999999999999</v>
      </c>
      <c r="F6" s="53">
        <f t="shared" si="2"/>
        <v>0.21249999999999999</v>
      </c>
      <c r="G6" s="53">
        <f>(F6*20.691+0.321)/C6</f>
        <v>0.39315312499999994</v>
      </c>
      <c r="H6" s="54">
        <f t="shared" si="3"/>
        <v>6.1913877952755898E-3</v>
      </c>
      <c r="I6" s="55">
        <f t="shared" si="4"/>
        <v>0.17119187253937007</v>
      </c>
      <c r="J6" s="56">
        <v>2.0762</v>
      </c>
      <c r="K6" s="56">
        <v>0.21240000000000001</v>
      </c>
      <c r="L6" s="53">
        <f t="shared" si="0"/>
        <v>8.2454422762436211E-2</v>
      </c>
      <c r="M6" s="53">
        <f t="shared" si="1"/>
        <v>0.80598810046784397</v>
      </c>
      <c r="N6" s="85"/>
      <c r="O6" s="85"/>
      <c r="P6" s="20"/>
      <c r="R6" s="83"/>
      <c r="S6" s="83"/>
      <c r="T6" s="21"/>
    </row>
    <row r="7" spans="1:22" x14ac:dyDescent="0.3">
      <c r="A7" s="2" t="s">
        <v>43</v>
      </c>
      <c r="B7" s="18">
        <f>25+2.3+0.04+0.005+0.005</f>
        <v>27.349999999999998</v>
      </c>
      <c r="C7" s="18">
        <v>12</v>
      </c>
      <c r="D7" s="18">
        <v>8.8999999999999996E-2</v>
      </c>
      <c r="E7" s="18">
        <v>0.09</v>
      </c>
      <c r="F7" s="18">
        <f t="shared" si="2"/>
        <v>8.9499999999999996E-2</v>
      </c>
      <c r="G7" s="18">
        <f t="shared" ref="G7:G15" si="5">(F7*20.678+0.1291)/C7</f>
        <v>0.16498175000000001</v>
      </c>
      <c r="H7" s="10">
        <f t="shared" si="3"/>
        <v>2.5981377952755905E-3</v>
      </c>
      <c r="I7" s="19">
        <f t="shared" si="4"/>
        <v>7.1059068700787389E-2</v>
      </c>
      <c r="J7" s="39">
        <v>1.9834000000000001</v>
      </c>
      <c r="K7" s="26">
        <v>0.20150000000000001</v>
      </c>
      <c r="L7" s="18">
        <f t="shared" si="0"/>
        <v>3.5826897600477657E-2</v>
      </c>
      <c r="M7" s="18">
        <f t="shared" si="1"/>
        <v>0.35265046501631458</v>
      </c>
      <c r="N7" s="87">
        <f>AVERAGE(M7:M9)</f>
        <v>0.35604538906629407</v>
      </c>
      <c r="O7" s="85">
        <f t="shared" ref="O7" si="6">AVERAGE(L7:L9)</f>
        <v>3.6472910645501504E-2</v>
      </c>
      <c r="P7" s="20"/>
      <c r="R7" s="82"/>
      <c r="S7" s="82"/>
      <c r="T7" s="82"/>
      <c r="U7" s="82"/>
      <c r="V7" s="82"/>
    </row>
    <row r="8" spans="1:22" x14ac:dyDescent="0.3">
      <c r="A8" s="2" t="s">
        <v>44</v>
      </c>
      <c r="B8" s="18">
        <f>25+1.9+0.025</f>
        <v>26.924999999999997</v>
      </c>
      <c r="C8" s="18">
        <v>12</v>
      </c>
      <c r="D8" s="18">
        <v>9.1999999999999998E-2</v>
      </c>
      <c r="E8" s="18">
        <v>9.1999999999999998E-2</v>
      </c>
      <c r="F8" s="18">
        <f t="shared" si="2"/>
        <v>9.1999999999999998E-2</v>
      </c>
      <c r="G8" s="18">
        <f t="shared" si="5"/>
        <v>0.16928966666666667</v>
      </c>
      <c r="H8" s="10">
        <f t="shared" si="3"/>
        <v>2.6659790026246719E-3</v>
      </c>
      <c r="I8" s="19">
        <f t="shared" si="4"/>
        <v>7.1781484645669288E-2</v>
      </c>
      <c r="J8" s="39">
        <v>2.4664999999999999</v>
      </c>
      <c r="K8" s="39">
        <v>0.2571</v>
      </c>
      <c r="L8" s="18">
        <f t="shared" si="0"/>
        <v>2.9102568273127627E-2</v>
      </c>
      <c r="M8" s="18">
        <f t="shared" si="1"/>
        <v>0.27919675085830142</v>
      </c>
      <c r="N8" s="87"/>
      <c r="O8" s="85"/>
      <c r="P8" s="20"/>
      <c r="R8" s="83"/>
      <c r="S8" s="83"/>
      <c r="T8" s="86"/>
      <c r="U8" s="83"/>
      <c r="V8" s="83"/>
    </row>
    <row r="9" spans="1:22" x14ac:dyDescent="0.3">
      <c r="A9" s="2" t="s">
        <v>45</v>
      </c>
      <c r="B9" s="18">
        <f>25+0.9+0.11+0.06</f>
        <v>26.069999999999997</v>
      </c>
      <c r="C9" s="18">
        <v>12</v>
      </c>
      <c r="D9" s="18">
        <v>0.14199999999999999</v>
      </c>
      <c r="E9" s="18">
        <v>0.14399999999999999</v>
      </c>
      <c r="F9" s="18">
        <f t="shared" si="2"/>
        <v>0.14299999999999999</v>
      </c>
      <c r="G9" s="18">
        <f t="shared" si="5"/>
        <v>0.25717116666666667</v>
      </c>
      <c r="H9" s="10">
        <f t="shared" si="3"/>
        <v>4.0499396325459321E-3</v>
      </c>
      <c r="I9" s="19">
        <f t="shared" si="4"/>
        <v>0.10558192622047244</v>
      </c>
      <c r="J9" s="39">
        <v>2.3732000000000002</v>
      </c>
      <c r="K9" s="39">
        <v>0.24199999999999999</v>
      </c>
      <c r="L9" s="18">
        <f t="shared" si="0"/>
        <v>4.448926606289922E-2</v>
      </c>
      <c r="M9" s="18">
        <f t="shared" si="1"/>
        <v>0.43628895132426626</v>
      </c>
      <c r="N9" s="87"/>
      <c r="O9" s="85"/>
      <c r="P9" s="20"/>
      <c r="R9" s="83"/>
      <c r="S9" s="83"/>
      <c r="T9" s="86"/>
      <c r="U9" s="83"/>
      <c r="V9" s="83"/>
    </row>
    <row r="10" spans="1:22" x14ac:dyDescent="0.3">
      <c r="A10" s="2" t="s">
        <v>40</v>
      </c>
      <c r="B10" s="18">
        <f>25+0.6+3.8+0.2+0.1+0.04+0.005</f>
        <v>29.745000000000001</v>
      </c>
      <c r="C10" s="18">
        <v>12</v>
      </c>
      <c r="D10" s="18">
        <v>9.0999999999999998E-2</v>
      </c>
      <c r="E10" s="18">
        <v>9.1999999999999998E-2</v>
      </c>
      <c r="F10" s="18">
        <f t="shared" si="2"/>
        <v>9.1499999999999998E-2</v>
      </c>
      <c r="G10" s="18">
        <f t="shared" si="5"/>
        <v>0.16842808333333334</v>
      </c>
      <c r="H10" s="10">
        <f t="shared" si="3"/>
        <v>2.6524107611548557E-3</v>
      </c>
      <c r="I10" s="19">
        <f t="shared" si="4"/>
        <v>7.889595809055118E-2</v>
      </c>
      <c r="J10" s="39">
        <v>2.5642999999999998</v>
      </c>
      <c r="K10" s="39">
        <v>0.26100000000000001</v>
      </c>
      <c r="L10" s="18">
        <f t="shared" si="0"/>
        <v>3.0767054592111369E-2</v>
      </c>
      <c r="M10" s="18">
        <f t="shared" si="1"/>
        <v>0.30228336433161368</v>
      </c>
      <c r="N10" s="87">
        <f>AVERAGE(M10:M12)</f>
        <v>0.30022017771189274</v>
      </c>
      <c r="O10" s="85">
        <f t="shared" ref="O10" si="7">AVERAGE(L10:L12)</f>
        <v>3.1262112332506975E-2</v>
      </c>
      <c r="P10" s="20"/>
      <c r="R10" s="82"/>
      <c r="S10" s="82"/>
      <c r="T10" s="82"/>
      <c r="U10" s="82"/>
      <c r="V10" s="82"/>
    </row>
    <row r="11" spans="1:22" x14ac:dyDescent="0.3">
      <c r="A11" s="2" t="s">
        <v>41</v>
      </c>
      <c r="B11" s="18">
        <f>25+2.1+0.025+0.04</f>
        <v>27.164999999999999</v>
      </c>
      <c r="C11" s="18">
        <v>12</v>
      </c>
      <c r="D11" s="18">
        <v>8.5999999999999993E-2</v>
      </c>
      <c r="E11" s="18">
        <v>8.6999999999999994E-2</v>
      </c>
      <c r="F11" s="18">
        <f t="shared" si="2"/>
        <v>8.6499999999999994E-2</v>
      </c>
      <c r="G11" s="18">
        <f t="shared" si="5"/>
        <v>0.15981224999999999</v>
      </c>
      <c r="H11" s="10">
        <f t="shared" si="3"/>
        <v>2.516728346456693E-3</v>
      </c>
      <c r="I11" s="19">
        <f t="shared" si="4"/>
        <v>6.8366925531496064E-2</v>
      </c>
      <c r="J11" s="39">
        <v>2.4083000000000001</v>
      </c>
      <c r="K11" s="39">
        <v>0.2467</v>
      </c>
      <c r="L11" s="18">
        <f t="shared" si="0"/>
        <v>2.8388043653820562E-2</v>
      </c>
      <c r="M11" s="18">
        <f t="shared" si="1"/>
        <v>0.2771257621868507</v>
      </c>
      <c r="N11" s="87"/>
      <c r="O11" s="85"/>
      <c r="P11" s="20"/>
      <c r="R11" s="83"/>
      <c r="S11" s="83"/>
      <c r="T11" s="86"/>
      <c r="U11" s="83"/>
      <c r="V11" s="83"/>
    </row>
    <row r="12" spans="1:22" x14ac:dyDescent="0.3">
      <c r="A12" s="2" t="s">
        <v>42</v>
      </c>
      <c r="B12" s="18">
        <f>25+1.9+0.02+0.02</f>
        <v>26.939999999999998</v>
      </c>
      <c r="C12" s="18">
        <v>12</v>
      </c>
      <c r="D12" s="18">
        <v>0.10199999999999999</v>
      </c>
      <c r="E12" s="18">
        <v>0.104</v>
      </c>
      <c r="F12" s="18">
        <f t="shared" si="2"/>
        <v>0.10299999999999999</v>
      </c>
      <c r="G12" s="18">
        <f t="shared" si="5"/>
        <v>0.18824450000000001</v>
      </c>
      <c r="H12" s="10">
        <f t="shared" si="3"/>
        <v>2.9644803149606299E-3</v>
      </c>
      <c r="I12" s="19">
        <f t="shared" si="4"/>
        <v>7.9863099685039365E-2</v>
      </c>
      <c r="J12" s="39">
        <v>2.3060999999999998</v>
      </c>
      <c r="K12" s="39">
        <v>0.24859999999999999</v>
      </c>
      <c r="L12" s="18">
        <f t="shared" si="0"/>
        <v>3.4631238751588994E-2</v>
      </c>
      <c r="M12" s="18">
        <f t="shared" si="1"/>
        <v>0.32125140661721385</v>
      </c>
      <c r="N12" s="87"/>
      <c r="O12" s="85"/>
      <c r="P12" s="20"/>
      <c r="R12" s="83"/>
      <c r="S12" s="83"/>
      <c r="T12" s="86"/>
      <c r="U12" s="83"/>
      <c r="V12" s="83"/>
    </row>
    <row r="13" spans="1:22" x14ac:dyDescent="0.3">
      <c r="A13" s="2" t="s">
        <v>46</v>
      </c>
      <c r="B13" s="18">
        <f>25+0.8+0.1+0.05+0.1+0.025+0.1+0.0166</f>
        <v>26.191600000000005</v>
      </c>
      <c r="C13" s="18">
        <v>12</v>
      </c>
      <c r="D13" s="18">
        <v>9.6000000000000002E-2</v>
      </c>
      <c r="E13" s="18">
        <v>9.6000000000000002E-2</v>
      </c>
      <c r="F13" s="18">
        <f t="shared" si="2"/>
        <v>9.6000000000000002E-2</v>
      </c>
      <c r="G13" s="18">
        <f t="shared" si="5"/>
        <v>0.17618233333333336</v>
      </c>
      <c r="H13" s="10">
        <f t="shared" si="3"/>
        <v>2.7745249343832023E-3</v>
      </c>
      <c r="I13" s="19">
        <f t="shared" si="4"/>
        <v>7.2669247271391096E-2</v>
      </c>
      <c r="J13" s="2">
        <v>2.2629000000000001</v>
      </c>
      <c r="K13" s="4">
        <v>0.22420000000000001</v>
      </c>
      <c r="L13" s="18">
        <f>I13/J13</f>
        <v>3.2113326824601655E-2</v>
      </c>
      <c r="M13" s="18">
        <f t="shared" si="1"/>
        <v>0.32412688345847945</v>
      </c>
      <c r="N13" s="87">
        <f>AVERAGE(M13:M15)</f>
        <v>0.2774429822967403</v>
      </c>
      <c r="O13" s="85">
        <f t="shared" ref="O13" si="8">AVERAGE(L13:L15)</f>
        <v>2.7694881299995162E-2</v>
      </c>
      <c r="P13" s="20"/>
      <c r="R13" s="82"/>
      <c r="S13" s="82"/>
      <c r="T13" s="82"/>
      <c r="U13" s="82"/>
      <c r="V13" s="82"/>
    </row>
    <row r="14" spans="1:22" x14ac:dyDescent="0.3">
      <c r="A14" s="2" t="s">
        <v>47</v>
      </c>
      <c r="B14" s="18">
        <f>25+2+0.075+0.05+0.01666+0.05+0.1+0.05+0.025+0.1+0.05+0.06</f>
        <v>27.576660000000004</v>
      </c>
      <c r="C14" s="18">
        <v>12</v>
      </c>
      <c r="D14" s="18">
        <v>7.0999999999999994E-2</v>
      </c>
      <c r="E14" s="18">
        <v>7.0000000000000007E-2</v>
      </c>
      <c r="F14" s="18">
        <f t="shared" si="2"/>
        <v>7.0500000000000007E-2</v>
      </c>
      <c r="G14" s="18">
        <f t="shared" si="5"/>
        <v>0.13224158333333336</v>
      </c>
      <c r="H14" s="10">
        <f t="shared" si="3"/>
        <v>2.0825446194225727E-3</v>
      </c>
      <c r="I14" s="19">
        <f t="shared" si="4"/>
        <v>5.742962490464569E-2</v>
      </c>
      <c r="J14" s="2">
        <v>2.2532000000000001</v>
      </c>
      <c r="K14" s="4">
        <v>0.2258</v>
      </c>
      <c r="L14" s="18">
        <f t="shared" si="0"/>
        <v>2.5488028095440124E-2</v>
      </c>
      <c r="M14" s="18">
        <f t="shared" si="1"/>
        <v>0.25433846281951145</v>
      </c>
      <c r="N14" s="87"/>
      <c r="O14" s="85"/>
      <c r="P14" s="20"/>
      <c r="R14" s="83"/>
      <c r="S14" s="83"/>
      <c r="T14" s="86"/>
      <c r="U14" s="83"/>
      <c r="V14" s="83"/>
    </row>
    <row r="15" spans="1:22" x14ac:dyDescent="0.3">
      <c r="A15" s="2" t="s">
        <v>48</v>
      </c>
      <c r="B15" s="18">
        <f>25+0.4+3.2+0.05+0.033</f>
        <v>28.683</v>
      </c>
      <c r="C15" s="18">
        <v>12</v>
      </c>
      <c r="D15" s="18">
        <v>6.7000000000000004E-2</v>
      </c>
      <c r="E15" s="18">
        <v>6.8000000000000005E-2</v>
      </c>
      <c r="F15" s="18">
        <f t="shared" si="2"/>
        <v>6.7500000000000004E-2</v>
      </c>
      <c r="G15" s="18">
        <f t="shared" si="5"/>
        <v>0.12707208333333334</v>
      </c>
      <c r="H15" s="10">
        <f t="shared" si="3"/>
        <v>2.0011351706036747E-3</v>
      </c>
      <c r="I15" s="19">
        <f t="shared" si="4"/>
        <v>5.73985600984252E-2</v>
      </c>
      <c r="J15" s="2">
        <v>2.2524000000000002</v>
      </c>
      <c r="K15" s="4">
        <v>0.2261</v>
      </c>
      <c r="L15" s="18">
        <f t="shared" si="0"/>
        <v>2.5483288979943702E-2</v>
      </c>
      <c r="M15" s="18">
        <f t="shared" si="1"/>
        <v>0.25386360061223001</v>
      </c>
      <c r="N15" s="87"/>
      <c r="O15" s="85"/>
      <c r="P15" s="20"/>
      <c r="R15" s="83"/>
      <c r="S15" s="83"/>
      <c r="T15" s="86"/>
      <c r="U15" s="83"/>
      <c r="V15" s="83"/>
    </row>
    <row r="17" spans="1:22" x14ac:dyDescent="0.3">
      <c r="M17" s="11" t="s">
        <v>84</v>
      </c>
      <c r="N17" s="11">
        <v>20</v>
      </c>
    </row>
    <row r="18" spans="1:22" x14ac:dyDescent="0.3">
      <c r="A18" t="s">
        <v>77</v>
      </c>
      <c r="B18" t="s">
        <v>78</v>
      </c>
      <c r="C18" t="s">
        <v>31</v>
      </c>
      <c r="D18" t="s">
        <v>14</v>
      </c>
      <c r="M18" s="11" t="s">
        <v>85</v>
      </c>
      <c r="N18" s="11">
        <v>16.666666666666668</v>
      </c>
      <c r="T18" s="22"/>
    </row>
    <row r="19" spans="1:22" x14ac:dyDescent="0.3">
      <c r="A19">
        <v>0.1</v>
      </c>
      <c r="B19">
        <f>A19*0.157</f>
        <v>1.5700000000000002E-2</v>
      </c>
      <c r="C19">
        <v>4.2999999999999997E-2</v>
      </c>
      <c r="D19">
        <f>B19*63.5</f>
        <v>0.99695000000000011</v>
      </c>
    </row>
    <row r="20" spans="1:22" x14ac:dyDescent="0.3">
      <c r="A20">
        <v>0.2</v>
      </c>
      <c r="B20">
        <f t="shared" ref="B20:B23" si="9">A20*0.157</f>
        <v>3.1400000000000004E-2</v>
      </c>
      <c r="C20">
        <v>8.8999999999999996E-2</v>
      </c>
      <c r="D20">
        <f t="shared" ref="D20:D23" si="10">B20*63.5</f>
        <v>1.9939000000000002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x14ac:dyDescent="0.3">
      <c r="A21">
        <v>0.3</v>
      </c>
      <c r="B21">
        <f t="shared" si="9"/>
        <v>4.7099999999999996E-2</v>
      </c>
      <c r="C21">
        <v>0.13900000000000001</v>
      </c>
      <c r="D21">
        <f t="shared" si="10"/>
        <v>2.9908499999999996</v>
      </c>
      <c r="R21" s="20"/>
      <c r="S21" s="20"/>
      <c r="T21" s="20"/>
      <c r="U21" s="20"/>
      <c r="V21" s="20"/>
    </row>
    <row r="22" spans="1:22" x14ac:dyDescent="0.3">
      <c r="A22">
        <v>0.4</v>
      </c>
      <c r="B22">
        <f t="shared" si="9"/>
        <v>6.2800000000000009E-2</v>
      </c>
      <c r="C22">
        <v>0.185</v>
      </c>
      <c r="D22">
        <f t="shared" si="10"/>
        <v>3.9878000000000005</v>
      </c>
      <c r="R22" s="20"/>
      <c r="S22" s="20"/>
      <c r="T22" s="20"/>
      <c r="U22" s="20"/>
      <c r="V22" s="20"/>
    </row>
    <row r="23" spans="1:22" x14ac:dyDescent="0.3">
      <c r="A23">
        <v>0.5</v>
      </c>
      <c r="B23">
        <f t="shared" si="9"/>
        <v>7.85E-2</v>
      </c>
      <c r="C23">
        <v>0.23599999999999999</v>
      </c>
      <c r="D23">
        <f t="shared" si="10"/>
        <v>4.98475</v>
      </c>
      <c r="R23" s="20"/>
      <c r="S23" s="20"/>
      <c r="T23" s="20"/>
      <c r="U23" s="20"/>
      <c r="V23" s="20"/>
    </row>
    <row r="26" spans="1:22" x14ac:dyDescent="0.3">
      <c r="A26" t="s">
        <v>77</v>
      </c>
      <c r="B26" t="s">
        <v>78</v>
      </c>
      <c r="C26" t="s">
        <v>31</v>
      </c>
      <c r="D26" t="s">
        <v>14</v>
      </c>
    </row>
    <row r="27" spans="1:22" x14ac:dyDescent="0.3">
      <c r="A27">
        <v>0.1</v>
      </c>
      <c r="B27">
        <f>A27*0.157</f>
        <v>1.5700000000000002E-2</v>
      </c>
      <c r="C27">
        <v>4.2999999999999997E-2</v>
      </c>
      <c r="D27">
        <f>B27*63.5</f>
        <v>0.99695000000000011</v>
      </c>
    </row>
    <row r="28" spans="1:22" x14ac:dyDescent="0.3">
      <c r="A28">
        <v>0.3</v>
      </c>
      <c r="B28">
        <f t="shared" ref="B28:B31" si="11">A28*0.157</f>
        <v>4.7099999999999996E-2</v>
      </c>
      <c r="C28">
        <v>0.13400000000000001</v>
      </c>
      <c r="D28">
        <f t="shared" ref="D28:D31" si="12">B28*63.5</f>
        <v>2.9908499999999996</v>
      </c>
    </row>
    <row r="29" spans="1:22" x14ac:dyDescent="0.3">
      <c r="A29">
        <v>0.5</v>
      </c>
      <c r="B29">
        <f t="shared" si="11"/>
        <v>7.85E-2</v>
      </c>
      <c r="C29">
        <v>0.2</v>
      </c>
      <c r="D29">
        <f t="shared" si="12"/>
        <v>4.98475</v>
      </c>
    </row>
    <row r="30" spans="1:22" x14ac:dyDescent="0.3">
      <c r="A30">
        <v>0.7</v>
      </c>
      <c r="B30">
        <f t="shared" si="11"/>
        <v>0.1099</v>
      </c>
      <c r="C30">
        <v>0.32500000000000001</v>
      </c>
      <c r="D30">
        <f t="shared" si="12"/>
        <v>6.97865</v>
      </c>
    </row>
    <row r="31" spans="1:22" x14ac:dyDescent="0.3">
      <c r="A31">
        <v>0.9</v>
      </c>
      <c r="B31">
        <f t="shared" si="11"/>
        <v>0.14130000000000001</v>
      </c>
      <c r="C31">
        <v>0.42499999999999999</v>
      </c>
      <c r="D31">
        <f t="shared" si="12"/>
        <v>8.97255</v>
      </c>
    </row>
  </sheetData>
  <mergeCells count="26">
    <mergeCell ref="N13:N15"/>
    <mergeCell ref="S4:S6"/>
    <mergeCell ref="S7:S9"/>
    <mergeCell ref="S10:S12"/>
    <mergeCell ref="S13:S15"/>
    <mergeCell ref="R4:R6"/>
    <mergeCell ref="R7:R9"/>
    <mergeCell ref="R10:R12"/>
    <mergeCell ref="R13:R15"/>
    <mergeCell ref="O4:O6"/>
    <mergeCell ref="V7:V9"/>
    <mergeCell ref="V10:V12"/>
    <mergeCell ref="V13:V15"/>
    <mergeCell ref="A1:O1"/>
    <mergeCell ref="O7:O9"/>
    <mergeCell ref="O10:O12"/>
    <mergeCell ref="O13:O15"/>
    <mergeCell ref="U7:U9"/>
    <mergeCell ref="U10:U12"/>
    <mergeCell ref="U13:U15"/>
    <mergeCell ref="T7:T9"/>
    <mergeCell ref="T10:T12"/>
    <mergeCell ref="T13:T15"/>
    <mergeCell ref="N4:N6"/>
    <mergeCell ref="N7:N9"/>
    <mergeCell ref="N10:N12"/>
  </mergeCells>
  <phoneticPr fontId="6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DD50-8BFC-421B-AB1A-22134387F08D}">
  <dimension ref="A1:T24"/>
  <sheetViews>
    <sheetView topLeftCell="C1" workbookViewId="0">
      <selection activeCell="Q19" sqref="Q19"/>
    </sheetView>
  </sheetViews>
  <sheetFormatPr defaultRowHeight="15" x14ac:dyDescent="0.25"/>
  <cols>
    <col min="1" max="1" width="19.28515625" customWidth="1"/>
    <col min="2" max="2" width="14.42578125" customWidth="1"/>
    <col min="7" max="7" width="12" bestFit="1" customWidth="1"/>
    <col min="11" max="12" width="12.28515625" customWidth="1"/>
    <col min="13" max="13" width="30.85546875" customWidth="1"/>
    <col min="14" max="15" width="26.140625" customWidth="1"/>
    <col min="16" max="16" width="30.42578125" customWidth="1"/>
    <col min="18" max="18" width="20.42578125" customWidth="1"/>
    <col min="19" max="19" width="11.85546875" customWidth="1"/>
    <col min="20" max="20" width="10.28515625" customWidth="1"/>
  </cols>
  <sheetData>
    <row r="1" spans="1:20" ht="27" x14ac:dyDescent="0.35">
      <c r="A1" s="57" t="s">
        <v>94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x14ac:dyDescent="0.25">
      <c r="S2" s="69"/>
      <c r="T2" s="69"/>
    </row>
    <row r="3" spans="1:20" ht="81" x14ac:dyDescent="0.3">
      <c r="A3" s="41" t="s">
        <v>2</v>
      </c>
      <c r="B3" s="41" t="s">
        <v>13</v>
      </c>
      <c r="C3" s="41" t="s">
        <v>23</v>
      </c>
      <c r="D3" s="41" t="s">
        <v>31</v>
      </c>
      <c r="E3" s="41" t="s">
        <v>31</v>
      </c>
      <c r="F3" s="41" t="s">
        <v>30</v>
      </c>
      <c r="G3" s="41" t="s">
        <v>14</v>
      </c>
      <c r="H3" s="41" t="s">
        <v>15</v>
      </c>
      <c r="I3" s="41" t="s">
        <v>16</v>
      </c>
      <c r="J3" s="41" t="s">
        <v>18</v>
      </c>
      <c r="K3" s="42" t="s">
        <v>8</v>
      </c>
      <c r="L3" s="33" t="s">
        <v>70</v>
      </c>
      <c r="M3" s="41" t="s">
        <v>103</v>
      </c>
      <c r="N3" s="41" t="s">
        <v>102</v>
      </c>
      <c r="O3" s="41" t="s">
        <v>101</v>
      </c>
      <c r="P3" s="42" t="s">
        <v>106</v>
      </c>
      <c r="Q3" s="88" t="s">
        <v>105</v>
      </c>
      <c r="R3" s="89"/>
      <c r="S3" s="88" t="s">
        <v>104</v>
      </c>
      <c r="T3" s="89"/>
    </row>
    <row r="4" spans="1:20" ht="20.25" x14ac:dyDescent="0.3">
      <c r="A4" s="43" t="s">
        <v>37</v>
      </c>
      <c r="B4" s="43">
        <f>25+0.1+0.2+0.55+0.033+0.016+0.016+0.016+0.015</f>
        <v>25.945999999999998</v>
      </c>
      <c r="C4" s="43">
        <v>5</v>
      </c>
      <c r="D4" s="43">
        <v>0.112</v>
      </c>
      <c r="E4" s="43">
        <v>0.113</v>
      </c>
      <c r="F4" s="43">
        <f>AVERAGE(D4:E4)</f>
        <v>0.1125</v>
      </c>
      <c r="G4" s="43">
        <f>(F4*98.481+0.5383)/C4</f>
        <v>2.3234824999999999</v>
      </c>
      <c r="H4" s="43">
        <f>G4/63.5</f>
        <v>3.6590275590551183E-2</v>
      </c>
      <c r="I4" s="43">
        <f>H4*B4</f>
        <v>0.94937129047244095</v>
      </c>
      <c r="J4" s="32">
        <v>1.9494</v>
      </c>
      <c r="K4" s="35">
        <f t="shared" ref="K4:K12" si="0">J4/(1+17.39036056)</f>
        <v>0.10600118435089562</v>
      </c>
      <c r="L4" s="36">
        <v>4.9700000000000001E-2</v>
      </c>
      <c r="M4" s="43">
        <f t="shared" ref="M4:M12" si="1">I4/J4</f>
        <v>0.48700692032032467</v>
      </c>
      <c r="N4" s="43">
        <f t="shared" ref="N4:N12" si="2">I4/K4</f>
        <v>8.9562328599059615</v>
      </c>
      <c r="O4" s="49">
        <f>I4/L4</f>
        <v>19.102038037674866</v>
      </c>
      <c r="P4" s="93">
        <f>AVERAGE(N4:N6)</f>
        <v>11.394299519227131</v>
      </c>
      <c r="Q4" s="90">
        <f>AVERAGE(M4:M6)</f>
        <v>0.6195799958381637</v>
      </c>
      <c r="R4" s="91"/>
      <c r="S4" s="90">
        <f>AVERAGE(O4:O6)</f>
        <v>24.150717943232724</v>
      </c>
      <c r="T4" s="91"/>
    </row>
    <row r="5" spans="1:20" ht="20.25" x14ac:dyDescent="0.3">
      <c r="A5" s="43" t="s">
        <v>38</v>
      </c>
      <c r="B5" s="43">
        <f>25.1+1.5+0.05+0.16</f>
        <v>26.810000000000002</v>
      </c>
      <c r="C5" s="43">
        <v>5</v>
      </c>
      <c r="D5" s="43">
        <v>0.14299999999999999</v>
      </c>
      <c r="E5" s="43">
        <v>0.14499999999999999</v>
      </c>
      <c r="F5" s="43">
        <f t="shared" ref="F5:F12" si="3">AVERAGE(D5:E5)</f>
        <v>0.14399999999999999</v>
      </c>
      <c r="G5" s="43">
        <f t="shared" ref="G5:G12" si="4">(F5*98.481+0.5383)/C5</f>
        <v>2.9439127999999997</v>
      </c>
      <c r="H5" s="43">
        <f t="shared" ref="H5:H12" si="5">G5/63.5</f>
        <v>4.6360831496062987E-2</v>
      </c>
      <c r="I5" s="43">
        <f t="shared" ref="I5:I12" si="6">H5*B5</f>
        <v>1.2429338924094488</v>
      </c>
      <c r="J5" s="32">
        <v>2.0306999999999999</v>
      </c>
      <c r="K5" s="35">
        <f t="shared" si="0"/>
        <v>0.11042197858898313</v>
      </c>
      <c r="L5" s="36">
        <v>5.0700000000000002E-2</v>
      </c>
      <c r="M5" s="43">
        <f t="shared" si="1"/>
        <v>0.6120716464319933</v>
      </c>
      <c r="N5" s="43">
        <f t="shared" si="2"/>
        <v>11.256218266437196</v>
      </c>
      <c r="O5" s="49">
        <f t="shared" ref="O5:O12" si="7">I5/L5</f>
        <v>24.515461388746523</v>
      </c>
      <c r="P5" s="94"/>
      <c r="Q5" s="90"/>
      <c r="R5" s="91"/>
      <c r="S5" s="90"/>
      <c r="T5" s="91"/>
    </row>
    <row r="6" spans="1:20" ht="20.25" x14ac:dyDescent="0.3">
      <c r="A6" s="43" t="s">
        <v>39</v>
      </c>
      <c r="B6" s="43">
        <f>25+1.6+0.03</f>
        <v>26.630000000000003</v>
      </c>
      <c r="C6" s="43">
        <v>5</v>
      </c>
      <c r="D6" s="43">
        <v>0.14099999999999999</v>
      </c>
      <c r="E6" s="43">
        <v>0.14199999999999999</v>
      </c>
      <c r="F6" s="43">
        <f t="shared" si="3"/>
        <v>0.14149999999999999</v>
      </c>
      <c r="G6" s="43">
        <f t="shared" si="4"/>
        <v>2.8946722999999994</v>
      </c>
      <c r="H6" s="43">
        <f t="shared" si="5"/>
        <v>4.558539055118109E-2</v>
      </c>
      <c r="I6" s="43">
        <f t="shared" si="6"/>
        <v>1.2139389503779525</v>
      </c>
      <c r="J6" s="32">
        <v>1.5980000000000001</v>
      </c>
      <c r="K6" s="35">
        <f t="shared" si="0"/>
        <v>8.6893348000785464E-2</v>
      </c>
      <c r="L6" s="36">
        <v>4.2099999999999999E-2</v>
      </c>
      <c r="M6" s="43">
        <f t="shared" si="1"/>
        <v>0.75966142076217302</v>
      </c>
      <c r="N6" s="43">
        <f t="shared" si="2"/>
        <v>13.970447431338233</v>
      </c>
      <c r="O6" s="49">
        <f t="shared" si="7"/>
        <v>28.834654403276783</v>
      </c>
      <c r="P6" s="95"/>
      <c r="Q6" s="90"/>
      <c r="R6" s="91"/>
      <c r="S6" s="90"/>
      <c r="T6" s="91"/>
    </row>
    <row r="7" spans="1:20" ht="20.25" x14ac:dyDescent="0.3">
      <c r="A7" s="45" t="s">
        <v>43</v>
      </c>
      <c r="B7" s="45">
        <f>25+0.9+0.025</f>
        <v>25.924999999999997</v>
      </c>
      <c r="C7" s="45">
        <v>5</v>
      </c>
      <c r="D7" s="45">
        <v>4.4999999999999998E-2</v>
      </c>
      <c r="E7" s="45">
        <v>4.5999999999999999E-2</v>
      </c>
      <c r="F7" s="45">
        <f t="shared" si="3"/>
        <v>4.5499999999999999E-2</v>
      </c>
      <c r="G7" s="45">
        <f t="shared" si="4"/>
        <v>1.0038370999999997</v>
      </c>
      <c r="H7" s="45">
        <f t="shared" si="5"/>
        <v>1.580845826771653E-2</v>
      </c>
      <c r="I7" s="45">
        <f t="shared" si="6"/>
        <v>0.40983428059055099</v>
      </c>
      <c r="J7" s="46">
        <v>1.7191000000000001</v>
      </c>
      <c r="K7" s="47">
        <f t="shared" si="0"/>
        <v>9.3478319491958881E-2</v>
      </c>
      <c r="L7" s="51">
        <v>4.53E-2</v>
      </c>
      <c r="M7" s="45">
        <f t="shared" si="1"/>
        <v>0.23840048897129368</v>
      </c>
      <c r="N7" s="45">
        <f t="shared" si="2"/>
        <v>4.3842709498623949</v>
      </c>
      <c r="O7" s="50">
        <f t="shared" si="7"/>
        <v>9.0471143618223184</v>
      </c>
      <c r="P7" s="96">
        <f>AVERAGE(N8:N9)</f>
        <v>13.823975154374171</v>
      </c>
      <c r="Q7" s="90">
        <f>AVERAGE(M8:M9)</f>
        <v>0.75169679840002934</v>
      </c>
      <c r="R7" s="91"/>
      <c r="S7" s="90">
        <f>AVERAGE(O8:O9)</f>
        <v>28.451356881040574</v>
      </c>
      <c r="T7" s="91"/>
    </row>
    <row r="8" spans="1:20" ht="20.25" x14ac:dyDescent="0.3">
      <c r="A8" s="43" t="s">
        <v>44</v>
      </c>
      <c r="B8" s="43">
        <f>25+1.9+0.03+0.01+0.05+0.02+0.005</f>
        <v>27.015000000000001</v>
      </c>
      <c r="C8" s="43">
        <v>5</v>
      </c>
      <c r="D8" s="43">
        <v>0.13800000000000001</v>
      </c>
      <c r="E8" s="43">
        <v>0.13900000000000001</v>
      </c>
      <c r="F8" s="43">
        <f t="shared" si="3"/>
        <v>0.13850000000000001</v>
      </c>
      <c r="G8" s="43">
        <f t="shared" si="4"/>
        <v>2.8355836999999999</v>
      </c>
      <c r="H8" s="43">
        <f t="shared" si="5"/>
        <v>4.4654861417322833E-2</v>
      </c>
      <c r="I8" s="43">
        <f t="shared" si="6"/>
        <v>1.2063510811889764</v>
      </c>
      <c r="J8" s="32">
        <v>1.5711999999999999</v>
      </c>
      <c r="K8" s="35">
        <f t="shared" si="0"/>
        <v>8.5436062815290439E-2</v>
      </c>
      <c r="L8" s="36">
        <v>4.1700000000000001E-2</v>
      </c>
      <c r="M8" s="43">
        <f t="shared" si="1"/>
        <v>0.76778963924960308</v>
      </c>
      <c r="N8" s="43">
        <f t="shared" si="2"/>
        <v>14.11992830003253</v>
      </c>
      <c r="O8" s="49">
        <f t="shared" si="7"/>
        <v>28.929282522517418</v>
      </c>
      <c r="P8" s="97"/>
      <c r="Q8" s="90"/>
      <c r="R8" s="91"/>
      <c r="S8" s="90"/>
      <c r="T8" s="91"/>
    </row>
    <row r="9" spans="1:20" ht="20.25" x14ac:dyDescent="0.3">
      <c r="A9" s="43" t="s">
        <v>45</v>
      </c>
      <c r="B9" s="43">
        <f>25+1.7+0.016+0.005</f>
        <v>26.720999999999997</v>
      </c>
      <c r="C9" s="43">
        <v>5</v>
      </c>
      <c r="D9" s="43">
        <v>0.14099999999999999</v>
      </c>
      <c r="E9" s="43">
        <v>0.13900000000000001</v>
      </c>
      <c r="F9" s="43">
        <f t="shared" si="3"/>
        <v>0.14000000000000001</v>
      </c>
      <c r="G9" s="43">
        <f t="shared" si="4"/>
        <v>2.8651279999999999</v>
      </c>
      <c r="H9" s="43">
        <f t="shared" si="5"/>
        <v>4.5120125984251969E-2</v>
      </c>
      <c r="I9" s="43">
        <f t="shared" si="6"/>
        <v>1.2056548864251968</v>
      </c>
      <c r="J9" s="32">
        <v>1.639</v>
      </c>
      <c r="K9" s="35">
        <f t="shared" si="0"/>
        <v>8.9122776829341291E-2</v>
      </c>
      <c r="L9" s="36">
        <v>4.3099999999999999E-2</v>
      </c>
      <c r="M9" s="43">
        <f t="shared" si="1"/>
        <v>0.7356039575504556</v>
      </c>
      <c r="N9" s="43">
        <f t="shared" si="2"/>
        <v>13.528022008715814</v>
      </c>
      <c r="O9" s="49">
        <f t="shared" si="7"/>
        <v>27.97343123956373</v>
      </c>
      <c r="P9" s="98"/>
      <c r="Q9" s="90"/>
      <c r="R9" s="91"/>
      <c r="S9" s="90"/>
      <c r="T9" s="91"/>
    </row>
    <row r="10" spans="1:20" ht="20.25" x14ac:dyDescent="0.3">
      <c r="A10" s="43" t="s">
        <v>40</v>
      </c>
      <c r="B10" s="43">
        <f>25+1.6+0.055</f>
        <v>26.655000000000001</v>
      </c>
      <c r="C10" s="43">
        <v>5</v>
      </c>
      <c r="D10" s="43">
        <v>0.11899999999999999</v>
      </c>
      <c r="E10" s="43">
        <v>0.12</v>
      </c>
      <c r="F10" s="43">
        <f t="shared" si="3"/>
        <v>0.1195</v>
      </c>
      <c r="G10" s="43">
        <f t="shared" si="4"/>
        <v>2.4613558999999996</v>
      </c>
      <c r="H10" s="43">
        <f t="shared" si="5"/>
        <v>3.8761510236220466E-2</v>
      </c>
      <c r="I10" s="43">
        <f t="shared" si="6"/>
        <v>1.0331880553464565</v>
      </c>
      <c r="J10" s="32">
        <v>1.4752000000000001</v>
      </c>
      <c r="K10" s="35">
        <f t="shared" si="0"/>
        <v>8.0215936777696326E-2</v>
      </c>
      <c r="L10" s="36">
        <v>3.9100000000000003E-2</v>
      </c>
      <c r="M10" s="43">
        <f t="shared" si="1"/>
        <v>0.70037151257216412</v>
      </c>
      <c r="N10" s="43">
        <f t="shared" si="2"/>
        <v>12.880084642154671</v>
      </c>
      <c r="O10" s="49">
        <f t="shared" si="7"/>
        <v>26.42424693980707</v>
      </c>
      <c r="P10" s="96">
        <f>AVERAGE(N10:N12)</f>
        <v>13.229775342453962</v>
      </c>
      <c r="Q10" s="90">
        <f t="shared" ref="Q10" si="8">AVERAGE(M10:M12)</f>
        <v>0.71938640350692296</v>
      </c>
      <c r="R10" s="91"/>
      <c r="S10" s="90">
        <f>AVERAGE(O10:O12)</f>
        <v>26.408146751270106</v>
      </c>
      <c r="T10" s="91"/>
    </row>
    <row r="11" spans="1:20" ht="20.25" x14ac:dyDescent="0.3">
      <c r="A11" s="43" t="s">
        <v>41</v>
      </c>
      <c r="B11" s="43">
        <f>25+1.6+0.016+0.005</f>
        <v>26.620999999999999</v>
      </c>
      <c r="C11" s="43">
        <v>5</v>
      </c>
      <c r="D11" s="43">
        <v>0.14599999999999999</v>
      </c>
      <c r="E11" s="43">
        <v>0.14399999999999999</v>
      </c>
      <c r="F11" s="43">
        <f t="shared" si="3"/>
        <v>0.14499999999999999</v>
      </c>
      <c r="G11" s="43">
        <f t="shared" si="4"/>
        <v>2.9636089999999995</v>
      </c>
      <c r="H11" s="43">
        <f t="shared" si="5"/>
        <v>4.6671007874015742E-2</v>
      </c>
      <c r="I11" s="43">
        <f t="shared" si="6"/>
        <v>1.2424289006141731</v>
      </c>
      <c r="J11" s="32">
        <v>1.5704</v>
      </c>
      <c r="K11" s="35">
        <f t="shared" si="0"/>
        <v>8.5392561764977157E-2</v>
      </c>
      <c r="L11" s="36">
        <v>4.5499999999999999E-2</v>
      </c>
      <c r="M11" s="43">
        <f t="shared" si="1"/>
        <v>0.79115441964733391</v>
      </c>
      <c r="N11" s="43">
        <f t="shared" si="2"/>
        <v>14.549615035952019</v>
      </c>
      <c r="O11" s="49">
        <f t="shared" si="7"/>
        <v>27.306129683827979</v>
      </c>
      <c r="P11" s="97"/>
      <c r="Q11" s="90"/>
      <c r="R11" s="91"/>
      <c r="S11" s="90"/>
      <c r="T11" s="91"/>
    </row>
    <row r="12" spans="1:20" ht="20.25" x14ac:dyDescent="0.3">
      <c r="A12" s="43" t="s">
        <v>42</v>
      </c>
      <c r="B12" s="43">
        <f>25.1+1.4+0.025+0.09+0.01+0.015</f>
        <v>26.64</v>
      </c>
      <c r="C12" s="43">
        <v>5</v>
      </c>
      <c r="D12" s="43">
        <v>0.13800000000000001</v>
      </c>
      <c r="E12" s="43">
        <v>0.13800000000000001</v>
      </c>
      <c r="F12" s="43">
        <f t="shared" si="3"/>
        <v>0.13800000000000001</v>
      </c>
      <c r="G12" s="43">
        <f t="shared" si="4"/>
        <v>2.8257356000000002</v>
      </c>
      <c r="H12" s="43">
        <f t="shared" si="5"/>
        <v>4.4499773228346459E-2</v>
      </c>
      <c r="I12" s="43">
        <f t="shared" si="6"/>
        <v>1.1854739588031498</v>
      </c>
      <c r="J12" s="32">
        <v>1.7783</v>
      </c>
      <c r="K12" s="35">
        <f t="shared" si="0"/>
        <v>9.6697397215141923E-2</v>
      </c>
      <c r="L12" s="36">
        <v>4.65E-2</v>
      </c>
      <c r="M12" s="43">
        <f t="shared" si="1"/>
        <v>0.66663327830127073</v>
      </c>
      <c r="N12" s="43">
        <f t="shared" si="2"/>
        <v>12.259626349255194</v>
      </c>
      <c r="O12" s="49">
        <f t="shared" si="7"/>
        <v>25.494063630175265</v>
      </c>
      <c r="P12" s="98"/>
      <c r="Q12" s="90"/>
      <c r="R12" s="91"/>
      <c r="S12" s="90"/>
      <c r="T12" s="91"/>
    </row>
    <row r="14" spans="1:20" ht="20.25" x14ac:dyDescent="0.3">
      <c r="A14" s="44" t="s">
        <v>91</v>
      </c>
    </row>
    <row r="15" spans="1:20" ht="20.25" x14ac:dyDescent="0.3">
      <c r="A15" s="44" t="s">
        <v>92</v>
      </c>
      <c r="B15" t="s">
        <v>14</v>
      </c>
      <c r="C15" t="s">
        <v>20</v>
      </c>
      <c r="D15" t="s">
        <v>88</v>
      </c>
      <c r="N15" s="92" t="s">
        <v>93</v>
      </c>
      <c r="O15" s="92"/>
      <c r="P15" s="92"/>
    </row>
    <row r="16" spans="1:20" ht="18.75" x14ac:dyDescent="0.3">
      <c r="A16" s="11">
        <v>1</v>
      </c>
      <c r="B16" s="11">
        <f>D16*63.5</f>
        <v>9.9695</v>
      </c>
      <c r="C16" s="11">
        <v>9.7000000000000003E-2</v>
      </c>
      <c r="D16" s="11">
        <f>A16*0.157</f>
        <v>0.157</v>
      </c>
    </row>
    <row r="17" spans="1:4" ht="18.75" x14ac:dyDescent="0.3">
      <c r="A17" s="11">
        <v>1.5</v>
      </c>
      <c r="B17" s="11">
        <f t="shared" ref="B17:B20" si="9">D17*63.5</f>
        <v>14.95425</v>
      </c>
      <c r="C17" s="11">
        <v>0.14599999999999999</v>
      </c>
      <c r="D17" s="11">
        <f t="shared" ref="D17:D20" si="10">A17*0.157</f>
        <v>0.23549999999999999</v>
      </c>
    </row>
    <row r="18" spans="1:4" ht="18.75" x14ac:dyDescent="0.3">
      <c r="A18" s="11">
        <v>2</v>
      </c>
      <c r="B18" s="11">
        <f t="shared" si="9"/>
        <v>19.939</v>
      </c>
      <c r="C18" s="11">
        <v>0.19600000000000001</v>
      </c>
      <c r="D18" s="11">
        <f t="shared" si="10"/>
        <v>0.314</v>
      </c>
    </row>
    <row r="19" spans="1:4" ht="18.75" x14ac:dyDescent="0.3">
      <c r="A19" s="11">
        <v>2.5</v>
      </c>
      <c r="B19" s="11">
        <f t="shared" si="9"/>
        <v>24.923750000000002</v>
      </c>
      <c r="C19" s="11">
        <v>0.246</v>
      </c>
      <c r="D19" s="11">
        <f t="shared" si="10"/>
        <v>0.39250000000000002</v>
      </c>
    </row>
    <row r="20" spans="1:4" ht="18.75" x14ac:dyDescent="0.3">
      <c r="A20" s="11">
        <v>3</v>
      </c>
      <c r="B20" s="11">
        <f t="shared" si="9"/>
        <v>29.9085</v>
      </c>
      <c r="C20" s="11">
        <v>0.3</v>
      </c>
      <c r="D20" s="11">
        <f t="shared" si="10"/>
        <v>0.47099999999999997</v>
      </c>
    </row>
    <row r="21" spans="1:4" ht="18.75" x14ac:dyDescent="0.3">
      <c r="A21" s="11"/>
      <c r="B21" s="11"/>
      <c r="C21" s="11"/>
      <c r="D21" s="11"/>
    </row>
    <row r="22" spans="1:4" ht="15" customHeight="1" x14ac:dyDescent="0.25"/>
    <row r="23" spans="1:4" ht="15" customHeight="1" x14ac:dyDescent="0.25"/>
    <row r="24" spans="1:4" ht="15" customHeight="1" x14ac:dyDescent="0.25"/>
  </sheetData>
  <mergeCells count="14">
    <mergeCell ref="N15:P15"/>
    <mergeCell ref="Q3:R3"/>
    <mergeCell ref="P4:P6"/>
    <mergeCell ref="Q4:R6"/>
    <mergeCell ref="P7:P9"/>
    <mergeCell ref="Q7:R9"/>
    <mergeCell ref="P10:P12"/>
    <mergeCell ref="Q10:R12"/>
    <mergeCell ref="A1:T1"/>
    <mergeCell ref="S3:T3"/>
    <mergeCell ref="S4:T6"/>
    <mergeCell ref="S7:T9"/>
    <mergeCell ref="S10:T12"/>
    <mergeCell ref="S2:T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Масса растений</vt:lpstr>
      <vt:lpstr>pH растворов</vt:lpstr>
      <vt:lpstr>После обработки</vt:lpstr>
      <vt:lpstr>Сорбция</vt:lpstr>
      <vt:lpstr>Озоление корней</vt:lpstr>
      <vt:lpstr>Озоление побегов</vt:lpstr>
      <vt:lpstr>Озоление стенки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2021-11-24T19:35:23Z</dcterms:modified>
</cp:coreProperties>
</file>