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filterPrivacy="1" defaultThemeVersion="124226"/>
  <xr:revisionPtr revIDLastSave="0" documentId="13_ncr:1_{DD772C81-52E4-4186-ABA0-A4B84017547B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Масса растений" sheetId="1" r:id="rId1"/>
    <sheet name="Сорбция КС побег" sheetId="6" r:id="rId2"/>
    <sheet name="Десорбция" sheetId="7" r:id="rId3"/>
    <sheet name="Озоление" sheetId="8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8" i="8" l="1"/>
  <c r="N18" i="8"/>
  <c r="B27" i="8"/>
  <c r="B26" i="8"/>
  <c r="B25" i="8"/>
  <c r="B24" i="8"/>
  <c r="B23" i="8"/>
  <c r="B22" i="8"/>
  <c r="B21" i="8"/>
  <c r="B20" i="8"/>
  <c r="B19" i="8"/>
  <c r="B18" i="8"/>
  <c r="F25" i="8"/>
  <c r="G25" i="8" s="1"/>
  <c r="F26" i="8"/>
  <c r="G26" i="8" s="1"/>
  <c r="F27" i="8"/>
  <c r="G27" i="8" s="1"/>
  <c r="B14" i="8"/>
  <c r="B13" i="8"/>
  <c r="B12" i="8"/>
  <c r="B11" i="8"/>
  <c r="B10" i="8"/>
  <c r="B9" i="8"/>
  <c r="B8" i="8"/>
  <c r="B7" i="8"/>
  <c r="B6" i="8"/>
  <c r="B5" i="8"/>
  <c r="B4" i="8"/>
  <c r="B3" i="8"/>
  <c r="F12" i="8"/>
  <c r="G12" i="8" s="1"/>
  <c r="F13" i="8"/>
  <c r="G13" i="8" s="1"/>
  <c r="F14" i="8"/>
  <c r="G14" i="8" s="1"/>
  <c r="M4" i="6"/>
  <c r="D4" i="1"/>
  <c r="E5" i="1"/>
  <c r="E6" i="1"/>
  <c r="E7" i="1"/>
  <c r="E8" i="1"/>
  <c r="E9" i="1"/>
  <c r="E10" i="1"/>
  <c r="E11" i="1"/>
  <c r="E12" i="1"/>
  <c r="E4" i="1"/>
  <c r="D5" i="1"/>
  <c r="D6" i="1"/>
  <c r="D7" i="1"/>
  <c r="D8" i="1"/>
  <c r="D9" i="1"/>
  <c r="D10" i="1"/>
  <c r="D11" i="1"/>
  <c r="D12" i="1"/>
  <c r="H27" i="8" l="1"/>
  <c r="I27" i="8" s="1"/>
  <c r="J27" i="8" s="1"/>
  <c r="H26" i="8"/>
  <c r="I26" i="8" s="1"/>
  <c r="H25" i="8"/>
  <c r="I25" i="8" s="1"/>
  <c r="J25" i="8" s="1"/>
  <c r="N25" i="8" s="1"/>
  <c r="K26" i="8"/>
  <c r="J26" i="8"/>
  <c r="H14" i="8"/>
  <c r="I14" i="8" s="1"/>
  <c r="J14" i="8" s="1"/>
  <c r="H13" i="8"/>
  <c r="I13" i="8" s="1"/>
  <c r="J13" i="8" s="1"/>
  <c r="H12" i="8"/>
  <c r="I12" i="8" s="1"/>
  <c r="J12" i="8" s="1"/>
  <c r="G28" i="1"/>
  <c r="F28" i="1"/>
  <c r="G15" i="1"/>
  <c r="G16" i="1"/>
  <c r="G17" i="1"/>
  <c r="G18" i="1"/>
  <c r="G19" i="1"/>
  <c r="G20" i="1"/>
  <c r="G21" i="1"/>
  <c r="G22" i="1"/>
  <c r="G23" i="1"/>
  <c r="G24" i="1"/>
  <c r="G25" i="1"/>
  <c r="G26" i="1"/>
  <c r="F16" i="1"/>
  <c r="F17" i="1"/>
  <c r="F18" i="1"/>
  <c r="F19" i="1"/>
  <c r="F20" i="1"/>
  <c r="F21" i="1"/>
  <c r="F22" i="1"/>
  <c r="F23" i="1"/>
  <c r="F24" i="1"/>
  <c r="F25" i="1"/>
  <c r="F26" i="1"/>
  <c r="F15" i="1"/>
  <c r="J24" i="6"/>
  <c r="J23" i="6"/>
  <c r="J22" i="6"/>
  <c r="J21" i="6"/>
  <c r="J20" i="6"/>
  <c r="J19" i="6"/>
  <c r="J18" i="6"/>
  <c r="J17" i="6"/>
  <c r="J16" i="6"/>
  <c r="J11" i="6"/>
  <c r="J12" i="6"/>
  <c r="J10" i="6"/>
  <c r="J8" i="6"/>
  <c r="J9" i="6"/>
  <c r="J7" i="6"/>
  <c r="J5" i="6"/>
  <c r="J6" i="6"/>
  <c r="J4" i="6"/>
  <c r="K4" i="6" s="1"/>
  <c r="O30" i="6"/>
  <c r="O31" i="6"/>
  <c r="O29" i="6"/>
  <c r="K27" i="8" l="1"/>
  <c r="K25" i="8"/>
  <c r="O25" i="8" s="1"/>
  <c r="K14" i="8"/>
  <c r="K12" i="8"/>
  <c r="K13" i="8"/>
  <c r="O12" i="8" s="1"/>
  <c r="N12" i="8"/>
  <c r="F12" i="6"/>
  <c r="G12" i="6" s="1"/>
  <c r="F11" i="6"/>
  <c r="G11" i="6" s="1"/>
  <c r="F10" i="6"/>
  <c r="G10" i="6" s="1"/>
  <c r="F9" i="6"/>
  <c r="G9" i="6" s="1"/>
  <c r="F8" i="6"/>
  <c r="G8" i="6" s="1"/>
  <c r="F7" i="6"/>
  <c r="G7" i="6" s="1"/>
  <c r="F6" i="6"/>
  <c r="G6" i="6" s="1"/>
  <c r="F5" i="6"/>
  <c r="G5" i="6" s="1"/>
  <c r="F4" i="6"/>
  <c r="G4" i="6" s="1"/>
  <c r="F12" i="7"/>
  <c r="F11" i="7"/>
  <c r="F10" i="7"/>
  <c r="F9" i="7"/>
  <c r="F8" i="7"/>
  <c r="F7" i="7"/>
  <c r="F6" i="7"/>
  <c r="F5" i="7"/>
  <c r="F4" i="7"/>
  <c r="G12" i="7" l="1"/>
  <c r="H12" i="7" s="1"/>
  <c r="I12" i="7" s="1"/>
  <c r="G11" i="7"/>
  <c r="H11" i="7" s="1"/>
  <c r="I11" i="7" s="1"/>
  <c r="G10" i="7"/>
  <c r="H10" i="7" s="1"/>
  <c r="I10" i="7" s="1"/>
  <c r="G9" i="7"/>
  <c r="H9" i="7" s="1"/>
  <c r="I9" i="7" s="1"/>
  <c r="G8" i="7"/>
  <c r="H8" i="7" s="1"/>
  <c r="I8" i="7" s="1"/>
  <c r="G7" i="7"/>
  <c r="H7" i="7" s="1"/>
  <c r="I7" i="7" s="1"/>
  <c r="G6" i="7"/>
  <c r="H6" i="7" s="1"/>
  <c r="I6" i="7" s="1"/>
  <c r="G5" i="7"/>
  <c r="H5" i="7" s="1"/>
  <c r="I5" i="7" s="1"/>
  <c r="G4" i="7"/>
  <c r="H4" i="7" s="1"/>
  <c r="I4" i="7" s="1"/>
  <c r="H10" i="6"/>
  <c r="I10" i="6" s="1"/>
  <c r="H8" i="6"/>
  <c r="I8" i="6" s="1"/>
  <c r="H7" i="6"/>
  <c r="I7" i="6" s="1"/>
  <c r="H5" i="6"/>
  <c r="I5" i="6" s="1"/>
  <c r="H12" i="6"/>
  <c r="I12" i="6" s="1"/>
  <c r="H6" i="6"/>
  <c r="I6" i="6" s="1"/>
  <c r="H11" i="6"/>
  <c r="I11" i="6" s="1"/>
  <c r="H4" i="6"/>
  <c r="I4" i="6" s="1"/>
  <c r="L4" i="6" s="1"/>
  <c r="H9" i="6"/>
  <c r="I9" i="6" s="1"/>
  <c r="B50" i="8"/>
  <c r="B49" i="8"/>
  <c r="B48" i="8"/>
  <c r="B47" i="8"/>
  <c r="B46" i="8"/>
  <c r="B31" i="8"/>
  <c r="B32" i="8"/>
  <c r="B33" i="8"/>
  <c r="B34" i="8"/>
  <c r="B30" i="8"/>
  <c r="F24" i="8"/>
  <c r="G24" i="8" s="1"/>
  <c r="F23" i="8"/>
  <c r="G23" i="8" s="1"/>
  <c r="F22" i="8"/>
  <c r="G22" i="8" s="1"/>
  <c r="F21" i="8"/>
  <c r="G21" i="8" s="1"/>
  <c r="F20" i="8"/>
  <c r="G20" i="8" s="1"/>
  <c r="F19" i="8"/>
  <c r="G19" i="8" s="1"/>
  <c r="F18" i="8"/>
  <c r="G18" i="8" s="1"/>
  <c r="F11" i="8"/>
  <c r="G11" i="8" s="1"/>
  <c r="F10" i="8"/>
  <c r="G10" i="8" s="1"/>
  <c r="F9" i="8"/>
  <c r="G9" i="8" s="1"/>
  <c r="F8" i="8"/>
  <c r="G8" i="8" s="1"/>
  <c r="F7" i="8"/>
  <c r="G7" i="8" s="1"/>
  <c r="F6" i="8"/>
  <c r="G6" i="8" s="1"/>
  <c r="F5" i="8"/>
  <c r="G5" i="8" s="1"/>
  <c r="F4" i="8"/>
  <c r="G4" i="8" s="1"/>
  <c r="F3" i="8"/>
  <c r="G3" i="8" s="1"/>
  <c r="B32" i="7"/>
  <c r="B31" i="7"/>
  <c r="B30" i="7"/>
  <c r="B29" i="7"/>
  <c r="B28" i="7"/>
  <c r="F24" i="7"/>
  <c r="G24" i="7" s="1"/>
  <c r="F23" i="7"/>
  <c r="G23" i="7" s="1"/>
  <c r="F22" i="7"/>
  <c r="G22" i="7" s="1"/>
  <c r="F21" i="7"/>
  <c r="G21" i="7" s="1"/>
  <c r="F20" i="7"/>
  <c r="G20" i="7" s="1"/>
  <c r="F19" i="7"/>
  <c r="G19" i="7" s="1"/>
  <c r="F18" i="7"/>
  <c r="G18" i="7" s="1"/>
  <c r="F17" i="7"/>
  <c r="G17" i="7" s="1"/>
  <c r="F16" i="7"/>
  <c r="G16" i="7" s="1"/>
  <c r="J4" i="1"/>
  <c r="H21" i="8" l="1"/>
  <c r="I21" i="8" s="1"/>
  <c r="J21" i="8" s="1"/>
  <c r="H24" i="8"/>
  <c r="I24" i="8" s="1"/>
  <c r="J24" i="8" s="1"/>
  <c r="H18" i="8"/>
  <c r="I18" i="8" s="1"/>
  <c r="K18" i="8" s="1"/>
  <c r="H23" i="8"/>
  <c r="I23" i="8" s="1"/>
  <c r="J10" i="7"/>
  <c r="K10" i="7"/>
  <c r="L10" i="7"/>
  <c r="K12" i="7"/>
  <c r="J12" i="7"/>
  <c r="L12" i="7"/>
  <c r="K11" i="7"/>
  <c r="L11" i="7"/>
  <c r="R10" i="7" s="1"/>
  <c r="J11" i="7"/>
  <c r="P10" i="7" s="1"/>
  <c r="L9" i="7"/>
  <c r="J9" i="7"/>
  <c r="K9" i="7"/>
  <c r="L8" i="7"/>
  <c r="K8" i="7"/>
  <c r="J8" i="7"/>
  <c r="K7" i="7"/>
  <c r="Q7" i="7" s="1"/>
  <c r="J7" i="7"/>
  <c r="L7" i="7"/>
  <c r="J6" i="7"/>
  <c r="K6" i="7"/>
  <c r="L6" i="7"/>
  <c r="L5" i="7"/>
  <c r="K5" i="7"/>
  <c r="J5" i="7"/>
  <c r="J4" i="7"/>
  <c r="P4" i="7" s="1"/>
  <c r="L4" i="7"/>
  <c r="R4" i="7" s="1"/>
  <c r="K4" i="7"/>
  <c r="Q4" i="7" s="1"/>
  <c r="Q10" i="7"/>
  <c r="H10" i="8"/>
  <c r="I10" i="8" s="1"/>
  <c r="J10" i="8" s="1"/>
  <c r="H8" i="8"/>
  <c r="I8" i="8" s="1"/>
  <c r="K8" i="8" s="1"/>
  <c r="H7" i="8"/>
  <c r="I7" i="8" s="1"/>
  <c r="K7" i="8" s="1"/>
  <c r="H6" i="8"/>
  <c r="I6" i="8" s="1"/>
  <c r="H5" i="8"/>
  <c r="I5" i="8" s="1"/>
  <c r="J5" i="8" s="1"/>
  <c r="H4" i="8"/>
  <c r="I4" i="8" s="1"/>
  <c r="K4" i="8" s="1"/>
  <c r="H22" i="8"/>
  <c r="I22" i="8" s="1"/>
  <c r="K22" i="8" s="1"/>
  <c r="H19" i="8"/>
  <c r="I19" i="8" s="1"/>
  <c r="K19" i="8" s="1"/>
  <c r="H20" i="8"/>
  <c r="I20" i="8" s="1"/>
  <c r="K20" i="8" s="1"/>
  <c r="H9" i="8"/>
  <c r="I9" i="8" s="1"/>
  <c r="J9" i="8" s="1"/>
  <c r="H11" i="8"/>
  <c r="I11" i="8" s="1"/>
  <c r="J11" i="8" s="1"/>
  <c r="H3" i="8"/>
  <c r="I3" i="8" s="1"/>
  <c r="J3" i="8" s="1"/>
  <c r="K21" i="8"/>
  <c r="H17" i="7"/>
  <c r="I17" i="7" s="1"/>
  <c r="L17" i="7" s="1"/>
  <c r="H18" i="7"/>
  <c r="I18" i="7" s="1"/>
  <c r="L18" i="7" s="1"/>
  <c r="H19" i="7"/>
  <c r="I19" i="7" s="1"/>
  <c r="L19" i="7" s="1"/>
  <c r="H20" i="7"/>
  <c r="I20" i="7" s="1"/>
  <c r="K20" i="7" s="1"/>
  <c r="H21" i="7"/>
  <c r="I21" i="7" s="1"/>
  <c r="K21" i="7" s="1"/>
  <c r="H22" i="7"/>
  <c r="I22" i="7" s="1"/>
  <c r="K22" i="7" s="1"/>
  <c r="H23" i="7"/>
  <c r="I23" i="7" s="1"/>
  <c r="J23" i="7" s="1"/>
  <c r="H24" i="7"/>
  <c r="I24" i="7" s="1"/>
  <c r="J24" i="7" s="1"/>
  <c r="H16" i="7"/>
  <c r="I16" i="7" s="1"/>
  <c r="J16" i="7" s="1"/>
  <c r="N31" i="6"/>
  <c r="N30" i="6"/>
  <c r="N29" i="6"/>
  <c r="B29" i="6"/>
  <c r="B33" i="6"/>
  <c r="B32" i="6"/>
  <c r="B31" i="6"/>
  <c r="B30" i="6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K10" i="8" l="1"/>
  <c r="K23" i="8"/>
  <c r="J23" i="8"/>
  <c r="J18" i="8"/>
  <c r="J22" i="8"/>
  <c r="J19" i="8"/>
  <c r="R7" i="7"/>
  <c r="P7" i="7"/>
  <c r="J21" i="7"/>
  <c r="J8" i="8"/>
  <c r="N9" i="8"/>
  <c r="K9" i="8"/>
  <c r="K6" i="8"/>
  <c r="O6" i="8" s="1"/>
  <c r="J6" i="8"/>
  <c r="O19" i="8"/>
  <c r="J20" i="8"/>
  <c r="K24" i="8"/>
  <c r="O22" i="8" s="1"/>
  <c r="J4" i="8"/>
  <c r="N3" i="8" s="1"/>
  <c r="K11" i="8"/>
  <c r="J7" i="8"/>
  <c r="K5" i="8"/>
  <c r="K3" i="8"/>
  <c r="J20" i="7"/>
  <c r="K18" i="7"/>
  <c r="J18" i="7"/>
  <c r="L21" i="7"/>
  <c r="L20" i="7"/>
  <c r="J19" i="7"/>
  <c r="K17" i="7"/>
  <c r="J17" i="7"/>
  <c r="K19" i="7"/>
  <c r="L22" i="7"/>
  <c r="J22" i="7"/>
  <c r="L24" i="7"/>
  <c r="K24" i="7"/>
  <c r="L23" i="7"/>
  <c r="K23" i="7"/>
  <c r="K16" i="7"/>
  <c r="L16" i="7"/>
  <c r="R16" i="7" s="1"/>
  <c r="P29" i="6"/>
  <c r="Q29" i="6" s="1"/>
  <c r="P30" i="6"/>
  <c r="Q30" i="6" s="1"/>
  <c r="P31" i="6"/>
  <c r="Q31" i="6" s="1"/>
  <c r="N22" i="8" l="1"/>
  <c r="N19" i="8"/>
  <c r="O9" i="8"/>
  <c r="R19" i="7"/>
  <c r="K5" i="6"/>
  <c r="K6" i="6"/>
  <c r="K11" i="6"/>
  <c r="K10" i="6"/>
  <c r="K12" i="6"/>
  <c r="K7" i="6"/>
  <c r="K8" i="6"/>
  <c r="K9" i="6"/>
  <c r="R22" i="7"/>
  <c r="N6" i="8"/>
  <c r="O3" i="8"/>
  <c r="Q22" i="7"/>
  <c r="P22" i="7"/>
  <c r="P16" i="7"/>
  <c r="P19" i="7"/>
  <c r="Q19" i="7"/>
  <c r="Q16" i="7"/>
  <c r="N8" i="6" l="1"/>
  <c r="L8" i="6"/>
  <c r="M8" i="6"/>
  <c r="M10" i="6"/>
  <c r="L10" i="6"/>
  <c r="N10" i="6"/>
  <c r="L11" i="6"/>
  <c r="M11" i="6"/>
  <c r="N11" i="6"/>
  <c r="N6" i="6"/>
  <c r="M6" i="6"/>
  <c r="L6" i="6"/>
  <c r="N9" i="6"/>
  <c r="L9" i="6"/>
  <c r="M9" i="6"/>
  <c r="N12" i="6"/>
  <c r="M12" i="6"/>
  <c r="L12" i="6"/>
  <c r="N4" i="6"/>
  <c r="N7" i="6"/>
  <c r="T7" i="6" s="1"/>
  <c r="L7" i="6"/>
  <c r="R7" i="6" s="1"/>
  <c r="M7" i="6"/>
  <c r="N5" i="6"/>
  <c r="M5" i="6"/>
  <c r="L5" i="6"/>
  <c r="F24" i="6"/>
  <c r="G24" i="6" s="1"/>
  <c r="F23" i="6"/>
  <c r="G23" i="6" s="1"/>
  <c r="F22" i="6"/>
  <c r="G22" i="6" s="1"/>
  <c r="F21" i="6"/>
  <c r="G21" i="6" s="1"/>
  <c r="F20" i="6"/>
  <c r="G20" i="6" s="1"/>
  <c r="F19" i="6"/>
  <c r="G19" i="6" s="1"/>
  <c r="F18" i="6"/>
  <c r="G18" i="6" s="1"/>
  <c r="F17" i="6"/>
  <c r="G17" i="6" s="1"/>
  <c r="F16" i="6"/>
  <c r="G16" i="6" s="1"/>
  <c r="S7" i="6" l="1"/>
  <c r="R10" i="6"/>
  <c r="S4" i="6"/>
  <c r="T10" i="6"/>
  <c r="T4" i="6"/>
  <c r="S10" i="6"/>
  <c r="R4" i="6"/>
  <c r="H24" i="6"/>
  <c r="I24" i="6" s="1"/>
  <c r="K24" i="6" s="1"/>
  <c r="H23" i="6"/>
  <c r="I23" i="6" s="1"/>
  <c r="K23" i="6" s="1"/>
  <c r="H22" i="6"/>
  <c r="H21" i="6"/>
  <c r="I21" i="6" s="1"/>
  <c r="K21" i="6" s="1"/>
  <c r="H20" i="6"/>
  <c r="I20" i="6" s="1"/>
  <c r="K20" i="6" s="1"/>
  <c r="H19" i="6"/>
  <c r="I19" i="6" s="1"/>
  <c r="K19" i="6" s="1"/>
  <c r="H18" i="6"/>
  <c r="I18" i="6" s="1"/>
  <c r="K18" i="6" s="1"/>
  <c r="H17" i="6"/>
  <c r="I17" i="6" s="1"/>
  <c r="K17" i="6" s="1"/>
  <c r="H16" i="6"/>
  <c r="I16" i="6" s="1"/>
  <c r="K16" i="6" s="1"/>
  <c r="M16" i="6" l="1"/>
  <c r="L16" i="6"/>
  <c r="I22" i="6"/>
  <c r="K22" i="6" s="1"/>
  <c r="L24" i="6"/>
  <c r="M24" i="6"/>
  <c r="N24" i="6"/>
  <c r="M23" i="6"/>
  <c r="N23" i="6"/>
  <c r="L23" i="6"/>
  <c r="N21" i="6"/>
  <c r="L21" i="6"/>
  <c r="M21" i="6"/>
  <c r="L20" i="6"/>
  <c r="M20" i="6"/>
  <c r="N20" i="6"/>
  <c r="N19" i="6"/>
  <c r="M19" i="6"/>
  <c r="L19" i="6"/>
  <c r="N18" i="6"/>
  <c r="M18" i="6"/>
  <c r="L18" i="6"/>
  <c r="M17" i="6"/>
  <c r="S16" i="6" s="1"/>
  <c r="N17" i="6"/>
  <c r="L17" i="6"/>
  <c r="N16" i="6"/>
  <c r="T19" i="6" l="1"/>
  <c r="N22" i="6"/>
  <c r="T22" i="6" s="1"/>
  <c r="M22" i="6"/>
  <c r="S22" i="6" s="1"/>
  <c r="L22" i="6"/>
  <c r="R22" i="6" s="1"/>
  <c r="R16" i="6"/>
  <c r="R19" i="6"/>
  <c r="T16" i="6"/>
  <c r="S19" i="6"/>
</calcChain>
</file>

<file path=xl/sharedStrings.xml><?xml version="1.0" encoding="utf-8"?>
<sst xmlns="http://schemas.openxmlformats.org/spreadsheetml/2006/main" count="221" uniqueCount="76">
  <si>
    <t>№</t>
  </si>
  <si>
    <t>мкг/мл</t>
  </si>
  <si>
    <t>мкмоль/мл</t>
  </si>
  <si>
    <t>мкмоль общ</t>
  </si>
  <si>
    <t>Калибровка</t>
  </si>
  <si>
    <t>V общ</t>
  </si>
  <si>
    <t>Vал.</t>
  </si>
  <si>
    <t>D600 1</t>
  </si>
  <si>
    <t>D600 2</t>
  </si>
  <si>
    <t>D600 Ср</t>
  </si>
  <si>
    <t>мкмоль общ. Ис. Р-ры</t>
  </si>
  <si>
    <t>Разница исх. - посл. Сорбц</t>
  </si>
  <si>
    <t>Сорбция на г сырой массы</t>
  </si>
  <si>
    <t>Сорбция на г сухой массы</t>
  </si>
  <si>
    <t>Сорбция на г сухой массы стенки</t>
  </si>
  <si>
    <t>l=50</t>
  </si>
  <si>
    <t>Средняя сорбция на грамм FW</t>
  </si>
  <si>
    <t>Средняя сорбция на грамм DW</t>
  </si>
  <si>
    <t>Средняя сорбция на грамм DW кл. ст.</t>
  </si>
  <si>
    <t>Масса растений 9 растений 10 дней</t>
  </si>
  <si>
    <t>Сорбция</t>
  </si>
  <si>
    <t>FW корня</t>
  </si>
  <si>
    <t>FW побега</t>
  </si>
  <si>
    <t>DW корня</t>
  </si>
  <si>
    <t>DW побега</t>
  </si>
  <si>
    <t>DW КС корня</t>
  </si>
  <si>
    <t>DW КС побега</t>
  </si>
  <si>
    <t>Оводненность корней (контр)</t>
  </si>
  <si>
    <t>Оводненность побегов (контр)</t>
  </si>
  <si>
    <t>Массовая доля КС корня</t>
  </si>
  <si>
    <t>Массовая доля КС побега</t>
  </si>
  <si>
    <r>
      <t>10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-4 </t>
    </r>
    <r>
      <rPr>
        <sz val="11"/>
        <color theme="1"/>
        <rFont val="Calibri"/>
        <family val="2"/>
        <charset val="204"/>
        <scheme val="minor"/>
      </rPr>
      <t>1</t>
    </r>
  </si>
  <si>
    <t>Озоление</t>
  </si>
  <si>
    <t>Оводненность Корней</t>
  </si>
  <si>
    <t>Оводненность Побег</t>
  </si>
  <si>
    <r>
      <t>10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-4 </t>
    </r>
    <r>
      <rPr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/>
    </r>
  </si>
  <si>
    <r>
      <t>10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-4 </t>
    </r>
    <r>
      <rPr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/>
    </r>
  </si>
  <si>
    <t>Сырая масса побегов</t>
  </si>
  <si>
    <t>Сухая масса побегов</t>
  </si>
  <si>
    <t>Сухая масса клеточной стенки побега</t>
  </si>
  <si>
    <t>L=10</t>
  </si>
  <si>
    <t>Десорбция на г сырой массы</t>
  </si>
  <si>
    <t>Десорбция на г сухой массы</t>
  </si>
  <si>
    <t>Десорбция на г сухой массы стенки</t>
  </si>
  <si>
    <t>ОЗОЛЕНИЕ КОРНЕЙ</t>
  </si>
  <si>
    <t>Эндогенная конц. на г сухой массы</t>
  </si>
  <si>
    <t>Эндогенная конц. на г сырой массы</t>
  </si>
  <si>
    <t>ОЗОЛЕНИЕ ПОБЕГОВ</t>
  </si>
  <si>
    <t>Сырая масса корня</t>
  </si>
  <si>
    <t>Сухая масса корня</t>
  </si>
  <si>
    <t>Калибровка корни L=30</t>
  </si>
  <si>
    <t>Калибровка побеги L=50</t>
  </si>
  <si>
    <t>ДЕСОРБЦИЯ КОРНИ</t>
  </si>
  <si>
    <t>ДЕСОРБЦИЯ ПОБЕГИ</t>
  </si>
  <si>
    <t>Сухая масса клеточной стенки корня</t>
  </si>
  <si>
    <t>СОРБЦИЯ ПО РАСТВОРАМ ПОБЕГА</t>
  </si>
  <si>
    <t>ИСХОДНЫЕ ДЛЯ ПОБЕГОВ</t>
  </si>
  <si>
    <t>СОРБЦИЯ ПО РАСТВОРАМ КОРНЯ</t>
  </si>
  <si>
    <t>Контроль 1</t>
  </si>
  <si>
    <t>Контроль 2</t>
  </si>
  <si>
    <t>Контроль 3</t>
  </si>
  <si>
    <t>Gln 1 1</t>
  </si>
  <si>
    <t>Gln 1 2</t>
  </si>
  <si>
    <t>Gln 1 3</t>
  </si>
  <si>
    <t>Gln 5 1</t>
  </si>
  <si>
    <t>Gln 5 2</t>
  </si>
  <si>
    <t>Gln 5 3</t>
  </si>
  <si>
    <t>100 mkM</t>
  </si>
  <si>
    <t>Gln 1 mM</t>
  </si>
  <si>
    <t>Gln 5 mM</t>
  </si>
  <si>
    <t>Сырая масса корней</t>
  </si>
  <si>
    <t>Сухая масса корней</t>
  </si>
  <si>
    <t>Сухая масса клеточной стенки корней</t>
  </si>
  <si>
    <t>100 mkM Gln 1 mM</t>
  </si>
  <si>
    <t>100 mkM Gln 5 mM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</si>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</sst>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164" fontId="1" fillId="0" borderId="1" xfId="0" applyNumberFormat="1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65" fontId="1" fillId="0" borderId="1" xfId="0" applyNumberFormat="1" applyFont="1" applyBorder="1" applyAlignment="1">
      <alignment wrapText="1"/>
    </xf>
    <xf numFmtId="164" fontId="1" fillId="0" borderId="2" xfId="0" applyNumberFormat="1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2" fontId="1" fillId="0" borderId="1" xfId="0" applyNumberFormat="1" applyFont="1" applyBorder="1" applyAlignment="1">
      <alignment wrapText="1"/>
    </xf>
    <xf numFmtId="165" fontId="1" fillId="0" borderId="0" xfId="0" applyNumberFormat="1" applyFont="1" applyFill="1" applyBorder="1" applyAlignment="1">
      <alignment wrapText="1"/>
    </xf>
    <xf numFmtId="2" fontId="3" fillId="0" borderId="1" xfId="0" applyNumberFormat="1" applyFont="1" applyBorder="1" applyAlignment="1">
      <alignment wrapText="1"/>
    </xf>
    <xf numFmtId="1" fontId="3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164" fontId="3" fillId="0" borderId="1" xfId="0" applyNumberFormat="1" applyFont="1" applyBorder="1" applyAlignment="1">
      <alignment wrapText="1"/>
    </xf>
    <xf numFmtId="0" fontId="3" fillId="0" borderId="1" xfId="0" applyFont="1" applyBorder="1"/>
    <xf numFmtId="0" fontId="3" fillId="0" borderId="0" xfId="0" applyFont="1" applyAlignment="1">
      <alignment wrapText="1"/>
    </xf>
    <xf numFmtId="164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489436771223264E-2"/>
          <c:y val="0.21212121212121213"/>
          <c:w val="0.8827004001548987"/>
          <c:h val="0.687453386508504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2309431607934251"/>
                  <c:y val="-0.199134199134199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'Сорбция КС побег'!$C$29:$C$35</c:f>
              <c:numCache>
                <c:formatCode>General</c:formatCode>
                <c:ptCount val="7"/>
                <c:pt idx="0">
                  <c:v>3.3000000000000002E-2</c:v>
                </c:pt>
                <c:pt idx="1">
                  <c:v>0.128</c:v>
                </c:pt>
                <c:pt idx="2">
                  <c:v>0.223</c:v>
                </c:pt>
                <c:pt idx="3">
                  <c:v>0.318</c:v>
                </c:pt>
                <c:pt idx="4">
                  <c:v>0.41</c:v>
                </c:pt>
              </c:numCache>
            </c:numRef>
          </c:xVal>
          <c:yVal>
            <c:numRef>
              <c:f>'Сорбция КС побег'!$B$29:$B$35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B0-4EFD-BA5E-3ECAD9679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76864"/>
        <c:axId val="449178176"/>
      </c:scatterChart>
      <c:valAx>
        <c:axId val="44917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178176"/>
        <c:crosses val="autoZero"/>
        <c:crossBetween val="midCat"/>
      </c:valAx>
      <c:valAx>
        <c:axId val="4491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17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781853487826214"/>
                  <c:y val="-0.16979731700204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Десорбция!$C$28:$C$32</c:f>
              <c:numCache>
                <c:formatCode>General</c:formatCode>
                <c:ptCount val="5"/>
                <c:pt idx="0">
                  <c:v>0.185</c:v>
                </c:pt>
                <c:pt idx="1">
                  <c:v>0.23599999999999999</c:v>
                </c:pt>
                <c:pt idx="2">
                  <c:v>0.28499999999999998</c:v>
                </c:pt>
                <c:pt idx="3">
                  <c:v>0.34200000000000003</c:v>
                </c:pt>
                <c:pt idx="4">
                  <c:v>0.38</c:v>
                </c:pt>
              </c:numCache>
            </c:numRef>
          </c:xVal>
          <c:yVal>
            <c:numRef>
              <c:f>Десорбция!$B$28:$B$32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24-413C-ABB7-72BF89528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87536"/>
        <c:axId val="631581304"/>
      </c:scatterChart>
      <c:valAx>
        <c:axId val="63158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1581304"/>
        <c:crosses val="autoZero"/>
        <c:crossBetween val="midCat"/>
      </c:valAx>
      <c:valAx>
        <c:axId val="63158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158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Озоление!$A$29</c:f>
              <c:strCache>
                <c:ptCount val="1"/>
                <c:pt idx="0">
                  <c:v>Калибровка корни L=30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392541557305341"/>
                  <c:y val="-0.181310148731408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Озоление!$C$30:$C$35</c:f>
              <c:numCache>
                <c:formatCode>0.000</c:formatCode>
                <c:ptCount val="6"/>
                <c:pt idx="0">
                  <c:v>8.8999999999999996E-2</c:v>
                </c:pt>
                <c:pt idx="1">
                  <c:v>0.22700000000000001</c:v>
                </c:pt>
                <c:pt idx="2">
                  <c:v>0.29699999999999999</c:v>
                </c:pt>
                <c:pt idx="3">
                  <c:v>0.38900000000000001</c:v>
                </c:pt>
                <c:pt idx="4">
                  <c:v>0.45800000000000002</c:v>
                </c:pt>
              </c:numCache>
            </c:numRef>
          </c:xVal>
          <c:yVal>
            <c:numRef>
              <c:f>Озоление!$B$30:$B$35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F9-460C-B627-134020E43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19248"/>
        <c:axId val="556124168"/>
      </c:scatterChart>
      <c:valAx>
        <c:axId val="5561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124168"/>
        <c:crosses val="autoZero"/>
        <c:crossBetween val="midCat"/>
      </c:valAx>
      <c:valAx>
        <c:axId val="55612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11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Озоление!$A$45</c:f>
              <c:strCache>
                <c:ptCount val="1"/>
                <c:pt idx="0">
                  <c:v>Калибровка побеги L=50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696802498227862"/>
                  <c:y val="-0.181240522018081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Озоление!$C$46:$C$50</c:f>
              <c:numCache>
                <c:formatCode>0.000</c:formatCode>
                <c:ptCount val="5"/>
                <c:pt idx="0">
                  <c:v>3.5999999999999997E-2</c:v>
                </c:pt>
                <c:pt idx="1">
                  <c:v>0.126</c:v>
                </c:pt>
                <c:pt idx="2">
                  <c:v>0.215</c:v>
                </c:pt>
                <c:pt idx="3">
                  <c:v>0.30499999999999999</c:v>
                </c:pt>
                <c:pt idx="4">
                  <c:v>0.36899999999999999</c:v>
                </c:pt>
              </c:numCache>
            </c:numRef>
          </c:xVal>
          <c:yVal>
            <c:numRef>
              <c:f>Озоление!$B$46:$B$50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68-41A0-89DB-5C65406D7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99072"/>
        <c:axId val="695502352"/>
      </c:scatterChart>
      <c:valAx>
        <c:axId val="69549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5502352"/>
        <c:crosses val="autoZero"/>
        <c:crossBetween val="midCat"/>
      </c:valAx>
      <c:valAx>
        <c:axId val="6955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549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33</xdr:row>
      <xdr:rowOff>9525</xdr:rowOff>
    </xdr:from>
    <xdr:to>
      <xdr:col>5</xdr:col>
      <xdr:colOff>76200</xdr:colOff>
      <xdr:row>45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745F3F4-5D1A-4281-9AF3-E8287FDA6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26</xdr:row>
      <xdr:rowOff>61912</xdr:rowOff>
    </xdr:from>
    <xdr:to>
      <xdr:col>10</xdr:col>
      <xdr:colOff>647700</xdr:colOff>
      <xdr:row>38</xdr:row>
      <xdr:rowOff>185737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0FBD6B3-F522-473B-8B70-627FB1EFC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28</xdr:row>
      <xdr:rowOff>14287</xdr:rowOff>
    </xdr:from>
    <xdr:to>
      <xdr:col>10</xdr:col>
      <xdr:colOff>666750</xdr:colOff>
      <xdr:row>40</xdr:row>
      <xdr:rowOff>185737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75A3186-93FE-4314-B0E9-E3AD9EFFA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457200</xdr:colOff>
      <xdr:row>44</xdr:row>
      <xdr:rowOff>14287</xdr:rowOff>
    </xdr:from>
    <xdr:to>
      <xdr:col>9</xdr:col>
      <xdr:colOff>1257300</xdr:colOff>
      <xdr:row>57</xdr:row>
      <xdr:rowOff>42862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A452228-1B01-49BD-9EB4-6329E4FE6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opLeftCell="A7" zoomScale="130" zoomScaleNormal="130" workbookViewId="0">
      <selection activeCell="E15" activeCellId="1" sqref="C15:C23 E15:E23"/>
    </sheetView>
  </sheetViews>
  <sheetFormatPr defaultRowHeight="15" x14ac:dyDescent="0.25"/>
  <cols>
    <col min="2" max="2" width="16" customWidth="1"/>
    <col min="3" max="3" width="19" customWidth="1"/>
    <col min="4" max="4" width="17.85546875" customWidth="1"/>
    <col min="5" max="5" width="17.7109375" customWidth="1"/>
    <col min="6" max="6" width="22.85546875" customWidth="1"/>
    <col min="7" max="7" width="19.85546875" customWidth="1"/>
    <col min="8" max="8" width="21.42578125" customWidth="1"/>
    <col min="9" max="9" width="20.7109375" customWidth="1"/>
    <col min="10" max="10" width="16" customWidth="1"/>
    <col min="11" max="11" width="23.28515625" customWidth="1"/>
    <col min="12" max="12" width="13" customWidth="1"/>
    <col min="13" max="14" width="11" bestFit="1" customWidth="1"/>
    <col min="15" max="16" width="10.85546875" bestFit="1" customWidth="1"/>
    <col min="19" max="19" width="15.85546875" customWidth="1"/>
    <col min="20" max="20" width="34.28515625" customWidth="1"/>
    <col min="21" max="21" width="12.7109375" customWidth="1"/>
    <col min="22" max="22" width="29.140625" customWidth="1"/>
    <col min="23" max="23" width="31.42578125" customWidth="1"/>
  </cols>
  <sheetData>
    <row r="1" spans="1:11" x14ac:dyDescent="0.25">
      <c r="A1" s="19" t="s">
        <v>19</v>
      </c>
      <c r="B1" s="19"/>
      <c r="C1" s="19"/>
      <c r="D1" s="19"/>
      <c r="E1" s="19"/>
      <c r="F1" s="7"/>
      <c r="G1" s="7"/>
    </row>
    <row r="2" spans="1:11" x14ac:dyDescent="0.25">
      <c r="A2" s="19" t="s">
        <v>20</v>
      </c>
      <c r="B2" s="19"/>
      <c r="C2" s="19"/>
      <c r="D2" s="19"/>
      <c r="E2" s="19"/>
      <c r="F2" s="7"/>
      <c r="G2" s="7"/>
    </row>
    <row r="3" spans="1:11" ht="30" x14ac:dyDescent="0.25">
      <c r="A3" t="s">
        <v>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 s="8" t="s">
        <v>27</v>
      </c>
      <c r="I3" s="8" t="s">
        <v>28</v>
      </c>
      <c r="J3" s="8" t="s">
        <v>29</v>
      </c>
      <c r="K3" s="8" t="s">
        <v>30</v>
      </c>
    </row>
    <row r="4" spans="1:11" ht="17.25" x14ac:dyDescent="0.25">
      <c r="A4">
        <v>1</v>
      </c>
      <c r="B4">
        <v>1.1459999999999999</v>
      </c>
      <c r="C4">
        <v>1.6060000000000001</v>
      </c>
      <c r="D4">
        <f>B4/(1+$F$28)</f>
        <v>6.8951080908513748E-2</v>
      </c>
      <c r="E4">
        <f>C4/(1+$G$28)</f>
        <v>0.1682609016044041</v>
      </c>
      <c r="F4">
        <v>3.6299999999999999E-2</v>
      </c>
      <c r="G4">
        <v>7.7200000000000005E-2</v>
      </c>
      <c r="J4">
        <f>F4/D4</f>
        <v>0.52646020224344081</v>
      </c>
      <c r="K4">
        <f>G4/E4</f>
        <v>0.45881128214505745</v>
      </c>
    </row>
    <row r="5" spans="1:11" ht="17.25" x14ac:dyDescent="0.25">
      <c r="A5">
        <v>2</v>
      </c>
      <c r="B5">
        <v>1.0249999999999999</v>
      </c>
      <c r="C5">
        <v>1.4212</v>
      </c>
      <c r="D5">
        <f t="shared" ref="D5:D12" si="0">B5/(1+$F$28)</f>
        <v>6.1670905699150604E-2</v>
      </c>
      <c r="E5">
        <f t="shared" ref="E5:E12" si="1">C5/(1+$G$28)</f>
        <v>0.14889937320060964</v>
      </c>
      <c r="F5">
        <v>3.1800000000000002E-2</v>
      </c>
      <c r="G5">
        <v>6.7400000000000002E-2</v>
      </c>
      <c r="J5">
        <f t="shared" ref="J5:K12" si="2">F5/D5</f>
        <v>0.51564023001591797</v>
      </c>
      <c r="K5">
        <f t="shared" si="2"/>
        <v>0.45265469257008295</v>
      </c>
    </row>
    <row r="6" spans="1:11" ht="17.25" x14ac:dyDescent="0.25">
      <c r="A6">
        <v>3</v>
      </c>
      <c r="B6">
        <v>1.3406</v>
      </c>
      <c r="C6">
        <v>1.9415</v>
      </c>
      <c r="D6">
        <f t="shared" si="0"/>
        <v>8.0659527980762258E-2</v>
      </c>
      <c r="E6">
        <f t="shared" si="1"/>
        <v>0.20341129543272138</v>
      </c>
      <c r="F6">
        <v>4.0899999999999999E-2</v>
      </c>
      <c r="G6">
        <v>9.1999999999999998E-2</v>
      </c>
      <c r="J6">
        <f t="shared" si="2"/>
        <v>0.50706966707956524</v>
      </c>
      <c r="K6">
        <f t="shared" si="2"/>
        <v>0.45228560097553261</v>
      </c>
    </row>
    <row r="7" spans="1:11" ht="17.25" x14ac:dyDescent="0.25">
      <c r="A7">
        <v>4</v>
      </c>
      <c r="B7">
        <v>1.3858999999999999</v>
      </c>
      <c r="C7">
        <v>2.1164000000000001</v>
      </c>
      <c r="D7">
        <f t="shared" si="0"/>
        <v>8.338508117897836E-2</v>
      </c>
      <c r="E7">
        <f t="shared" si="1"/>
        <v>0.22173559910059826</v>
      </c>
      <c r="F7">
        <v>4.0399999999999998E-2</v>
      </c>
      <c r="G7">
        <v>0.104</v>
      </c>
      <c r="J7">
        <f t="shared" si="2"/>
        <v>0.48449913856035154</v>
      </c>
      <c r="K7">
        <f t="shared" si="2"/>
        <v>0.46902707739237076</v>
      </c>
    </row>
    <row r="8" spans="1:11" ht="17.25" x14ac:dyDescent="0.25">
      <c r="A8">
        <v>5</v>
      </c>
      <c r="B8">
        <v>1.3539000000000001</v>
      </c>
      <c r="C8">
        <v>1.9294</v>
      </c>
      <c r="D8">
        <f t="shared" si="0"/>
        <v>8.1459745586419524E-2</v>
      </c>
      <c r="E8">
        <f t="shared" si="1"/>
        <v>0.20214357631104435</v>
      </c>
      <c r="F8">
        <v>4.1200000000000001E-2</v>
      </c>
      <c r="G8">
        <v>9.4299999999999995E-2</v>
      </c>
      <c r="J8">
        <f t="shared" si="2"/>
        <v>0.50577128253232129</v>
      </c>
      <c r="K8">
        <f t="shared" si="2"/>
        <v>0.46650010710653389</v>
      </c>
    </row>
    <row r="9" spans="1:11" ht="17.25" x14ac:dyDescent="0.25">
      <c r="A9">
        <v>6</v>
      </c>
      <c r="B9">
        <v>1.4752000000000001</v>
      </c>
      <c r="C9">
        <v>2.0356999999999998</v>
      </c>
      <c r="D9">
        <f t="shared" si="0"/>
        <v>8.8757970816962906E-2</v>
      </c>
      <c r="E9">
        <f t="shared" si="1"/>
        <v>0.21328064595023993</v>
      </c>
      <c r="F9">
        <v>4.3499999999999997E-2</v>
      </c>
      <c r="G9">
        <v>9.9299999999999999E-2</v>
      </c>
      <c r="J9">
        <f t="shared" si="2"/>
        <v>0.49009682848322317</v>
      </c>
      <c r="K9">
        <f t="shared" si="2"/>
        <v>0.46558373619689558</v>
      </c>
    </row>
    <row r="10" spans="1:11" x14ac:dyDescent="0.25">
      <c r="A10">
        <v>7</v>
      </c>
      <c r="B10">
        <v>1.2986</v>
      </c>
      <c r="C10">
        <v>1.7822</v>
      </c>
      <c r="D10">
        <f t="shared" si="0"/>
        <v>7.8132525015528767E-2</v>
      </c>
      <c r="E10">
        <f t="shared" si="1"/>
        <v>0.18672140650022973</v>
      </c>
      <c r="F10">
        <v>3.85E-2</v>
      </c>
      <c r="G10">
        <v>8.6900000000000005E-2</v>
      </c>
      <c r="J10">
        <f t="shared" si="2"/>
        <v>0.49275253797759844</v>
      </c>
      <c r="K10">
        <f t="shared" si="2"/>
        <v>0.46539923637460973</v>
      </c>
    </row>
    <row r="11" spans="1:11" x14ac:dyDescent="0.25">
      <c r="A11">
        <v>8</v>
      </c>
      <c r="B11">
        <v>1.0274000000000001</v>
      </c>
      <c r="C11">
        <v>1.4489000000000001</v>
      </c>
      <c r="D11">
        <f t="shared" si="0"/>
        <v>6.1815305868592532E-2</v>
      </c>
      <c r="E11">
        <f t="shared" si="1"/>
        <v>0.1518015070576719</v>
      </c>
      <c r="F11">
        <v>3.0599999999999999E-2</v>
      </c>
      <c r="G11">
        <v>6.6500000000000004E-2</v>
      </c>
      <c r="J11">
        <f t="shared" si="2"/>
        <v>0.49502302981481189</v>
      </c>
      <c r="K11">
        <f t="shared" si="2"/>
        <v>0.43807206719453423</v>
      </c>
    </row>
    <row r="12" spans="1:11" x14ac:dyDescent="0.25">
      <c r="A12">
        <v>9</v>
      </c>
      <c r="B12">
        <v>1.1449</v>
      </c>
      <c r="C12">
        <v>1.554</v>
      </c>
      <c r="D12">
        <f t="shared" si="0"/>
        <v>6.8884897497519554E-2</v>
      </c>
      <c r="E12">
        <f t="shared" si="1"/>
        <v>0.16281285248645327</v>
      </c>
      <c r="F12">
        <v>3.5099999999999999E-2</v>
      </c>
      <c r="G12">
        <v>7.4300000000000005E-2</v>
      </c>
      <c r="J12">
        <f t="shared" si="2"/>
        <v>0.50954565187912049</v>
      </c>
      <c r="K12">
        <f t="shared" si="2"/>
        <v>0.45635217899141028</v>
      </c>
    </row>
    <row r="13" spans="1:11" x14ac:dyDescent="0.25">
      <c r="A13" s="19" t="s">
        <v>32</v>
      </c>
      <c r="B13" s="19"/>
      <c r="C13" s="19"/>
      <c r="D13" s="19"/>
      <c r="E13" s="19"/>
      <c r="F13" s="7"/>
      <c r="G13" s="7"/>
    </row>
    <row r="14" spans="1:11" x14ac:dyDescent="0.25">
      <c r="A14" t="s">
        <v>0</v>
      </c>
      <c r="B14" t="s">
        <v>21</v>
      </c>
      <c r="C14" t="s">
        <v>22</v>
      </c>
      <c r="D14" t="s">
        <v>23</v>
      </c>
      <c r="E14" t="s">
        <v>24</v>
      </c>
      <c r="F14" t="s">
        <v>33</v>
      </c>
      <c r="G14" t="s">
        <v>34</v>
      </c>
    </row>
    <row r="15" spans="1:11" ht="17.25" x14ac:dyDescent="0.25">
      <c r="A15" t="s">
        <v>31</v>
      </c>
      <c r="B15">
        <v>1.0266999999999999</v>
      </c>
      <c r="C15">
        <v>2.0432999999999999</v>
      </c>
      <c r="D15">
        <v>7.1099999999999997E-2</v>
      </c>
      <c r="E15">
        <v>0.2266</v>
      </c>
      <c r="F15">
        <f>(B15-D15)/D15</f>
        <v>13.440225035161745</v>
      </c>
      <c r="G15">
        <f>(C15-E15)/E15</f>
        <v>8.0172109443954103</v>
      </c>
    </row>
    <row r="16" spans="1:11" ht="17.25" x14ac:dyDescent="0.25">
      <c r="A16" t="s">
        <v>35</v>
      </c>
      <c r="B16">
        <v>0.86309999999999998</v>
      </c>
      <c r="C16">
        <v>1.8365</v>
      </c>
      <c r="D16">
        <v>6.3399999999999998E-2</v>
      </c>
      <c r="E16">
        <v>0.20069999999999999</v>
      </c>
      <c r="F16">
        <f t="shared" ref="F16:G26" si="3">(B16-D16)/D16</f>
        <v>12.613564668769715</v>
      </c>
      <c r="G16">
        <f t="shared" si="3"/>
        <v>8.1504733432984562</v>
      </c>
    </row>
    <row r="17" spans="1:7" ht="17.25" x14ac:dyDescent="0.25">
      <c r="A17" t="s">
        <v>36</v>
      </c>
      <c r="B17">
        <v>1.0618000000000001</v>
      </c>
      <c r="C17">
        <v>2.0981000000000001</v>
      </c>
      <c r="D17">
        <v>7.4999999999999997E-2</v>
      </c>
      <c r="E17">
        <v>0.22220000000000001</v>
      </c>
      <c r="F17">
        <f t="shared" si="3"/>
        <v>13.157333333333336</v>
      </c>
      <c r="G17">
        <f t="shared" si="3"/>
        <v>8.4423942394239422</v>
      </c>
    </row>
    <row r="18" spans="1:7" ht="17.25" x14ac:dyDescent="0.25">
      <c r="A18" t="s">
        <v>61</v>
      </c>
      <c r="B18">
        <v>1.1106</v>
      </c>
      <c r="C18">
        <v>1.9953000000000001</v>
      </c>
      <c r="D18">
        <v>8.3199999999999996E-2</v>
      </c>
      <c r="E18">
        <v>0.21929999999999999</v>
      </c>
      <c r="F18">
        <f t="shared" si="3"/>
        <v>12.348557692307693</v>
      </c>
      <c r="G18">
        <f t="shared" si="3"/>
        <v>8.0984952120383031</v>
      </c>
    </row>
    <row r="19" spans="1:7" x14ac:dyDescent="0.25">
      <c r="A19" t="s">
        <v>62</v>
      </c>
      <c r="B19">
        <v>1.0696000000000001</v>
      </c>
      <c r="C19">
        <v>1.8274999999999999</v>
      </c>
      <c r="D19">
        <v>7.7200000000000005E-2</v>
      </c>
      <c r="E19">
        <v>0.1978</v>
      </c>
      <c r="F19">
        <f t="shared" si="3"/>
        <v>12.854922279792746</v>
      </c>
      <c r="G19">
        <f t="shared" si="3"/>
        <v>8.2391304347826075</v>
      </c>
    </row>
    <row r="20" spans="1:7" x14ac:dyDescent="0.25">
      <c r="A20" t="s">
        <v>63</v>
      </c>
      <c r="B20">
        <v>1.0829</v>
      </c>
      <c r="C20">
        <v>2.0015000000000001</v>
      </c>
      <c r="D20">
        <v>8.0500000000000002E-2</v>
      </c>
      <c r="E20">
        <v>0.20930000000000001</v>
      </c>
      <c r="F20">
        <f t="shared" si="3"/>
        <v>12.452173913043477</v>
      </c>
      <c r="G20">
        <f t="shared" si="3"/>
        <v>8.5628284758719531</v>
      </c>
    </row>
    <row r="21" spans="1:7" x14ac:dyDescent="0.25">
      <c r="A21" t="s">
        <v>64</v>
      </c>
      <c r="B21">
        <v>1.278</v>
      </c>
      <c r="C21">
        <v>2.1305000000000001</v>
      </c>
      <c r="D21">
        <v>9.2799999999999994E-2</v>
      </c>
      <c r="E21">
        <v>0.2286</v>
      </c>
      <c r="F21">
        <f t="shared" si="3"/>
        <v>12.771551724137932</v>
      </c>
      <c r="G21">
        <f t="shared" si="3"/>
        <v>8.3197725284339459</v>
      </c>
    </row>
    <row r="22" spans="1:7" x14ac:dyDescent="0.25">
      <c r="A22" t="s">
        <v>65</v>
      </c>
      <c r="B22">
        <v>1.0741000000000001</v>
      </c>
      <c r="C22">
        <v>1.7778</v>
      </c>
      <c r="D22">
        <v>7.6600000000000001E-2</v>
      </c>
      <c r="E22">
        <v>0.18920000000000001</v>
      </c>
      <c r="F22">
        <f t="shared" si="3"/>
        <v>13.022193211488251</v>
      </c>
      <c r="G22">
        <f t="shared" si="3"/>
        <v>8.3964059196617331</v>
      </c>
    </row>
    <row r="23" spans="1:7" x14ac:dyDescent="0.25">
      <c r="A23" t="s">
        <v>66</v>
      </c>
      <c r="B23">
        <v>1.3767</v>
      </c>
      <c r="C23">
        <v>2.3117000000000001</v>
      </c>
      <c r="D23">
        <v>0.10150000000000001</v>
      </c>
      <c r="E23">
        <v>0.25790000000000002</v>
      </c>
      <c r="F23">
        <f t="shared" si="3"/>
        <v>12.563546798029558</v>
      </c>
      <c r="G23">
        <f t="shared" si="3"/>
        <v>7.9635517642497078</v>
      </c>
    </row>
    <row r="24" spans="1:7" x14ac:dyDescent="0.25">
      <c r="A24" t="s">
        <v>58</v>
      </c>
      <c r="B24">
        <v>1.5389999999999999</v>
      </c>
      <c r="C24">
        <v>2.0465</v>
      </c>
      <c r="D24">
        <v>9.0499999999999997E-2</v>
      </c>
      <c r="E24">
        <v>0.21279999999999999</v>
      </c>
      <c r="F24">
        <f t="shared" si="3"/>
        <v>16.005524861878452</v>
      </c>
      <c r="G24">
        <f t="shared" si="3"/>
        <v>8.6170112781954895</v>
      </c>
    </row>
    <row r="25" spans="1:7" x14ac:dyDescent="0.25">
      <c r="A25" t="s">
        <v>59</v>
      </c>
      <c r="B25">
        <v>1.2315</v>
      </c>
      <c r="C25">
        <v>1.7673000000000001</v>
      </c>
      <c r="D25">
        <v>7.4200000000000002E-2</v>
      </c>
      <c r="E25">
        <v>0.188</v>
      </c>
      <c r="F25">
        <f t="shared" si="3"/>
        <v>15.597035040431267</v>
      </c>
      <c r="G25">
        <f t="shared" si="3"/>
        <v>8.4005319148936177</v>
      </c>
    </row>
    <row r="26" spans="1:7" x14ac:dyDescent="0.25">
      <c r="A26" t="s">
        <v>60</v>
      </c>
      <c r="B26">
        <v>1.4194</v>
      </c>
      <c r="C26">
        <v>1.9512</v>
      </c>
      <c r="D26">
        <v>8.7300000000000003E-2</v>
      </c>
      <c r="E26">
        <v>0.2029</v>
      </c>
      <c r="F26">
        <f t="shared" si="3"/>
        <v>15.258877434135167</v>
      </c>
      <c r="G26">
        <f t="shared" si="3"/>
        <v>8.6165598817151299</v>
      </c>
    </row>
    <row r="28" spans="1:7" x14ac:dyDescent="0.25">
      <c r="F28">
        <f>AVERAGE(F24:F26)</f>
        <v>15.620479112148296</v>
      </c>
      <c r="G28">
        <f>AVERAGE(G24:G26)</f>
        <v>8.5447010249347457</v>
      </c>
    </row>
  </sheetData>
  <mergeCells count="3">
    <mergeCell ref="A1:E1"/>
    <mergeCell ref="A2:E2"/>
    <mergeCell ref="A13:E13"/>
  </mergeCells>
  <phoneticPr fontId="2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BAE7D-29FA-49B5-8CDB-AEA22694641E}">
  <dimension ref="A1:T46"/>
  <sheetViews>
    <sheetView workbookViewId="0">
      <selection activeCell="P4" sqref="P4:P12"/>
    </sheetView>
  </sheetViews>
  <sheetFormatPr defaultRowHeight="15" x14ac:dyDescent="0.25"/>
  <cols>
    <col min="1" max="1" width="14.85546875" customWidth="1"/>
    <col min="7" max="7" width="10.85546875" bestFit="1" customWidth="1"/>
    <col min="9" max="9" width="12.42578125" customWidth="1"/>
    <col min="10" max="10" width="13.7109375" customWidth="1"/>
    <col min="11" max="11" width="14.85546875" customWidth="1"/>
    <col min="12" max="12" width="15.7109375" customWidth="1"/>
    <col min="13" max="13" width="14.7109375" customWidth="1"/>
    <col min="14" max="14" width="18.140625" customWidth="1"/>
    <col min="15" max="15" width="16.7109375" customWidth="1"/>
    <col min="16" max="16" width="13.28515625" customWidth="1"/>
    <col min="17" max="17" width="19.85546875" customWidth="1"/>
    <col min="18" max="18" width="14.28515625" customWidth="1"/>
    <col min="19" max="19" width="15.7109375" customWidth="1"/>
    <col min="20" max="20" width="22.5703125" customWidth="1"/>
  </cols>
  <sheetData>
    <row r="1" spans="1:20" ht="27" x14ac:dyDescent="0.35">
      <c r="A1" s="22" t="s">
        <v>57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3" spans="1:20" ht="60.75" customHeight="1" x14ac:dyDescent="0.3">
      <c r="A3" s="3" t="s">
        <v>0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</v>
      </c>
      <c r="H3" s="3" t="s">
        <v>2</v>
      </c>
      <c r="I3" s="3" t="s">
        <v>3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70</v>
      </c>
      <c r="P3" s="3" t="s">
        <v>71</v>
      </c>
      <c r="Q3" s="3" t="s">
        <v>72</v>
      </c>
      <c r="R3" s="6" t="s">
        <v>16</v>
      </c>
      <c r="S3" s="6" t="s">
        <v>17</v>
      </c>
      <c r="T3" s="6" t="s">
        <v>18</v>
      </c>
    </row>
    <row r="4" spans="1:20" ht="18.75" x14ac:dyDescent="0.3">
      <c r="A4" t="s">
        <v>67</v>
      </c>
      <c r="B4" s="4">
        <v>150</v>
      </c>
      <c r="C4" s="4">
        <v>1</v>
      </c>
      <c r="D4" s="5">
        <v>0.153</v>
      </c>
      <c r="E4" s="5">
        <v>0.157</v>
      </c>
      <c r="F4" s="5">
        <f>AVERAGE(D4:E4)</f>
        <v>0.155</v>
      </c>
      <c r="G4" s="3">
        <f>(F4*21.186+0.2883)/C4</f>
        <v>3.57213</v>
      </c>
      <c r="H4" s="3">
        <f>G4/63.5</f>
        <v>5.6254015748031495E-2</v>
      </c>
      <c r="I4" s="3">
        <f>H4*B4</f>
        <v>8.4381023622047238</v>
      </c>
      <c r="J4" s="3">
        <f>$Q$29</f>
        <v>15.519564566929134</v>
      </c>
      <c r="K4" s="3">
        <f>J4-I4</f>
        <v>7.08146220472441</v>
      </c>
      <c r="L4" s="3">
        <f>K4/O4</f>
        <v>6.1792863915570777</v>
      </c>
      <c r="M4" s="3">
        <f>K4/P4</f>
        <v>102.70270039885662</v>
      </c>
      <c r="N4" s="3">
        <f>K4/Q4</f>
        <v>195.08160343593417</v>
      </c>
      <c r="O4">
        <v>1.1459999999999999</v>
      </c>
      <c r="P4" s="3">
        <v>6.8951080908513748E-2</v>
      </c>
      <c r="Q4">
        <v>3.6299999999999999E-2</v>
      </c>
      <c r="R4" s="20">
        <f>AVERAGE(L4:L6)</f>
        <v>6.275617290093316</v>
      </c>
      <c r="S4" s="20">
        <f>AVERAGE(M4:M6)</f>
        <v>104.30376608583265</v>
      </c>
      <c r="T4" s="20">
        <f>AVERAGE(N4:N6)</f>
        <v>202.03758753038733</v>
      </c>
    </row>
    <row r="5" spans="1:20" ht="18.75" x14ac:dyDescent="0.3">
      <c r="A5" t="s">
        <v>67</v>
      </c>
      <c r="B5" s="4">
        <v>150</v>
      </c>
      <c r="C5" s="4">
        <v>1</v>
      </c>
      <c r="D5" s="5">
        <v>0.16500000000000001</v>
      </c>
      <c r="E5" s="5">
        <v>0.16300000000000001</v>
      </c>
      <c r="F5" s="5">
        <f t="shared" ref="F5:F12" si="0">AVERAGE(D5:E5)</f>
        <v>0.16400000000000001</v>
      </c>
      <c r="G5" s="3">
        <f t="shared" ref="G5:G12" si="1">(F5*21.186+0.2883)/C5</f>
        <v>3.762804</v>
      </c>
      <c r="H5" s="3">
        <f t="shared" ref="H5:H11" si="2">G5/63.5</f>
        <v>5.9256755905511813E-2</v>
      </c>
      <c r="I5" s="3">
        <f t="shared" ref="I5:I9" si="3">H5*B5</f>
        <v>8.8885133858267711</v>
      </c>
      <c r="J5" s="3">
        <f t="shared" ref="J5:J6" si="4">$Q$29</f>
        <v>15.519564566929134</v>
      </c>
      <c r="K5" s="3">
        <f t="shared" ref="K5:K11" si="5">J5-I5</f>
        <v>6.6310511811023627</v>
      </c>
      <c r="L5" s="3">
        <f t="shared" ref="L5:L12" si="6">K5/O5</f>
        <v>6.4693182254657202</v>
      </c>
      <c r="M5" s="3">
        <f t="shared" ref="M5:M11" si="7">K5/P5</f>
        <v>107.52316843619329</v>
      </c>
      <c r="N5" s="3">
        <f t="shared" ref="N5:N9" si="8">K5/Q5</f>
        <v>208.52362204724409</v>
      </c>
      <c r="O5">
        <v>1.0249999999999999</v>
      </c>
      <c r="P5" s="3">
        <v>6.1670905699150604E-2</v>
      </c>
      <c r="Q5">
        <v>3.1800000000000002E-2</v>
      </c>
      <c r="R5" s="21"/>
      <c r="S5" s="21"/>
      <c r="T5" s="21"/>
    </row>
    <row r="6" spans="1:20" ht="18.75" x14ac:dyDescent="0.3">
      <c r="A6" t="s">
        <v>67</v>
      </c>
      <c r="B6" s="4">
        <v>150</v>
      </c>
      <c r="C6" s="4">
        <v>1</v>
      </c>
      <c r="D6" s="5">
        <v>0.129</v>
      </c>
      <c r="E6" s="5">
        <v>0.13300000000000001</v>
      </c>
      <c r="F6" s="5">
        <f t="shared" si="0"/>
        <v>0.13100000000000001</v>
      </c>
      <c r="G6" s="3">
        <f t="shared" si="1"/>
        <v>3.063666</v>
      </c>
      <c r="H6" s="3">
        <f t="shared" si="2"/>
        <v>4.8246708661417323E-2</v>
      </c>
      <c r="I6" s="3">
        <f t="shared" si="3"/>
        <v>7.2370062992125987</v>
      </c>
      <c r="J6" s="3">
        <f t="shared" si="4"/>
        <v>15.519564566929134</v>
      </c>
      <c r="K6" s="3">
        <f t="shared" si="5"/>
        <v>8.282558267716535</v>
      </c>
      <c r="L6" s="3">
        <f t="shared" si="6"/>
        <v>6.1782472532571502</v>
      </c>
      <c r="M6" s="3">
        <f t="shared" si="7"/>
        <v>102.68542942244804</v>
      </c>
      <c r="N6" s="3">
        <f t="shared" si="8"/>
        <v>202.50753710798375</v>
      </c>
      <c r="O6">
        <v>1.3406</v>
      </c>
      <c r="P6" s="3">
        <v>8.0659527980762258E-2</v>
      </c>
      <c r="Q6">
        <v>4.0899999999999999E-2</v>
      </c>
      <c r="R6" s="21"/>
      <c r="S6" s="21"/>
      <c r="T6" s="21"/>
    </row>
    <row r="7" spans="1:20" ht="18.75" x14ac:dyDescent="0.3">
      <c r="A7" t="s">
        <v>61</v>
      </c>
      <c r="B7" s="4">
        <v>150</v>
      </c>
      <c r="C7" s="4">
        <v>1</v>
      </c>
      <c r="D7" s="5">
        <v>0.13500000000000001</v>
      </c>
      <c r="E7" s="5">
        <v>0.13300000000000001</v>
      </c>
      <c r="F7" s="5">
        <f t="shared" si="0"/>
        <v>0.13400000000000001</v>
      </c>
      <c r="G7" s="3">
        <f t="shared" si="1"/>
        <v>3.127224</v>
      </c>
      <c r="H7" s="3">
        <f t="shared" si="2"/>
        <v>4.9247622047244095E-2</v>
      </c>
      <c r="I7" s="3">
        <f t="shared" si="3"/>
        <v>7.3871433070866139</v>
      </c>
      <c r="J7" s="3">
        <f>$Q$30</f>
        <v>16.070066929133855</v>
      </c>
      <c r="K7" s="3">
        <f t="shared" si="5"/>
        <v>8.682923622047241</v>
      </c>
      <c r="L7" s="3">
        <f t="shared" si="6"/>
        <v>6.2651876917867391</v>
      </c>
      <c r="M7" s="3">
        <f t="shared" si="7"/>
        <v>104.1304211650301</v>
      </c>
      <c r="N7" s="3">
        <f t="shared" si="8"/>
        <v>214.9238520308723</v>
      </c>
      <c r="O7">
        <v>1.3858999999999999</v>
      </c>
      <c r="P7" s="3">
        <v>8.338508117897836E-2</v>
      </c>
      <c r="Q7">
        <v>4.0399999999999998E-2</v>
      </c>
      <c r="R7" s="20">
        <f t="shared" ref="R7" si="9">AVERAGE(L7:L9)</f>
        <v>6.0519232735207433</v>
      </c>
      <c r="S7" s="20">
        <f t="shared" ref="S7" si="10">AVERAGE(M7:M9)</f>
        <v>100.58586435587567</v>
      </c>
      <c r="T7" s="20">
        <f t="shared" ref="T7" si="11">AVERAGE(N7:N9)</f>
        <v>203.81468343931252</v>
      </c>
    </row>
    <row r="8" spans="1:20" ht="18.75" x14ac:dyDescent="0.3">
      <c r="A8" t="s">
        <v>62</v>
      </c>
      <c r="B8" s="4">
        <v>150</v>
      </c>
      <c r="C8" s="4">
        <v>1</v>
      </c>
      <c r="D8" s="5">
        <v>0.13600000000000001</v>
      </c>
      <c r="E8" s="5">
        <v>0.13300000000000001</v>
      </c>
      <c r="F8" s="5">
        <f t="shared" si="0"/>
        <v>0.13450000000000001</v>
      </c>
      <c r="G8" s="3">
        <f t="shared" si="1"/>
        <v>3.1378170000000001</v>
      </c>
      <c r="H8" s="3">
        <f t="shared" si="2"/>
        <v>4.9414440944881892E-2</v>
      </c>
      <c r="I8" s="3">
        <f t="shared" si="3"/>
        <v>7.4121661417322837</v>
      </c>
      <c r="J8" s="3">
        <f t="shared" ref="J8:J9" si="12">$Q$30</f>
        <v>16.070066929133855</v>
      </c>
      <c r="K8" s="3">
        <f t="shared" si="5"/>
        <v>8.6579007874015712</v>
      </c>
      <c r="L8" s="3">
        <f t="shared" si="6"/>
        <v>6.3947860162505137</v>
      </c>
      <c r="M8" s="3">
        <f t="shared" si="7"/>
        <v>106.28440740974968</v>
      </c>
      <c r="N8" s="3">
        <f t="shared" si="8"/>
        <v>210.14322299518378</v>
      </c>
      <c r="O8">
        <v>1.3539000000000001</v>
      </c>
      <c r="P8" s="3">
        <v>8.1459745586419524E-2</v>
      </c>
      <c r="Q8">
        <v>4.1200000000000001E-2</v>
      </c>
      <c r="R8" s="21"/>
      <c r="S8" s="21"/>
      <c r="T8" s="21"/>
    </row>
    <row r="9" spans="1:20" ht="18.75" x14ac:dyDescent="0.3">
      <c r="A9" t="s">
        <v>63</v>
      </c>
      <c r="B9" s="4">
        <v>150</v>
      </c>
      <c r="C9" s="4">
        <v>1</v>
      </c>
      <c r="D9" s="5">
        <v>0.14699999999999999</v>
      </c>
      <c r="E9" s="5">
        <v>0.14399999999999999</v>
      </c>
      <c r="F9" s="5">
        <f t="shared" si="0"/>
        <v>0.14549999999999999</v>
      </c>
      <c r="G9" s="3">
        <f t="shared" si="1"/>
        <v>3.3708629999999999</v>
      </c>
      <c r="H9" s="3">
        <f t="shared" si="2"/>
        <v>5.3084456692913382E-2</v>
      </c>
      <c r="I9" s="3">
        <f t="shared" si="3"/>
        <v>7.9626685039370075</v>
      </c>
      <c r="J9" s="3">
        <f t="shared" si="12"/>
        <v>16.070066929133855</v>
      </c>
      <c r="K9" s="3">
        <f t="shared" si="5"/>
        <v>8.1073984251968483</v>
      </c>
      <c r="L9" s="3">
        <f t="shared" si="6"/>
        <v>5.4957961125249781</v>
      </c>
      <c r="M9" s="3">
        <f t="shared" si="7"/>
        <v>91.342764492847209</v>
      </c>
      <c r="N9" s="3">
        <f t="shared" si="8"/>
        <v>186.37697529188159</v>
      </c>
      <c r="O9">
        <v>1.4752000000000001</v>
      </c>
      <c r="P9" s="3">
        <v>8.8757970816962906E-2</v>
      </c>
      <c r="Q9">
        <v>4.3499999999999997E-2</v>
      </c>
      <c r="R9" s="21"/>
      <c r="S9" s="21"/>
      <c r="T9" s="21"/>
    </row>
    <row r="10" spans="1:20" ht="18.75" x14ac:dyDescent="0.3">
      <c r="A10" t="s">
        <v>64</v>
      </c>
      <c r="B10" s="4">
        <v>150</v>
      </c>
      <c r="C10" s="4">
        <v>1</v>
      </c>
      <c r="D10" s="5">
        <v>0.14799999999999999</v>
      </c>
      <c r="E10" s="5">
        <v>0.14899999999999999</v>
      </c>
      <c r="F10" s="5">
        <f t="shared" si="0"/>
        <v>0.14849999999999999</v>
      </c>
      <c r="G10" s="3">
        <f t="shared" si="1"/>
        <v>3.4344209999999999</v>
      </c>
      <c r="H10" s="3">
        <f t="shared" si="2"/>
        <v>5.4085370078740154E-2</v>
      </c>
      <c r="I10" s="3">
        <f>H10*B10</f>
        <v>8.1128055118110236</v>
      </c>
      <c r="J10" s="3">
        <f>$Q$31</f>
        <v>15.269336220472443</v>
      </c>
      <c r="K10" s="3">
        <f t="shared" si="5"/>
        <v>7.1565307086614194</v>
      </c>
      <c r="L10" s="3">
        <f t="shared" si="6"/>
        <v>5.5109585004323272</v>
      </c>
      <c r="M10" s="3">
        <f t="shared" si="7"/>
        <v>91.59477064435157</v>
      </c>
      <c r="N10" s="3">
        <f>K10/Q10</f>
        <v>185.88391451068622</v>
      </c>
      <c r="O10">
        <v>1.2986</v>
      </c>
      <c r="P10" s="3">
        <v>7.8132525015528767E-2</v>
      </c>
      <c r="Q10">
        <v>3.85E-2</v>
      </c>
      <c r="R10" s="20">
        <f t="shared" ref="R10" si="13">AVERAGE(L10:L12)</f>
        <v>5.8604979094455407</v>
      </c>
      <c r="S10" s="20">
        <f t="shared" ref="S10" si="14">AVERAGE(M10:M12)</f>
        <v>97.404283090728356</v>
      </c>
      <c r="T10" s="20">
        <f t="shared" ref="T10" si="15">AVERAGE(N10:N12)</f>
        <v>195.18997195486315</v>
      </c>
    </row>
    <row r="11" spans="1:20" ht="18.75" x14ac:dyDescent="0.3">
      <c r="A11" t="s">
        <v>65</v>
      </c>
      <c r="B11" s="4">
        <v>150</v>
      </c>
      <c r="C11" s="4">
        <v>1</v>
      </c>
      <c r="D11" s="5">
        <v>0.16200000000000001</v>
      </c>
      <c r="E11" s="5">
        <v>0.16500000000000001</v>
      </c>
      <c r="F11" s="5">
        <f t="shared" si="0"/>
        <v>0.16350000000000001</v>
      </c>
      <c r="G11" s="3">
        <f t="shared" si="1"/>
        <v>3.752211</v>
      </c>
      <c r="H11" s="3">
        <f t="shared" si="2"/>
        <v>5.9089937007874016E-2</v>
      </c>
      <c r="I11" s="3">
        <f t="shared" ref="I11" si="16">H11*B11</f>
        <v>8.8634905511811031</v>
      </c>
      <c r="J11" s="3">
        <f t="shared" ref="J11:J12" si="17">$Q$31</f>
        <v>15.269336220472443</v>
      </c>
      <c r="K11" s="3">
        <f t="shared" si="5"/>
        <v>6.4058456692913399</v>
      </c>
      <c r="L11" s="3">
        <f t="shared" si="6"/>
        <v>6.23500649142626</v>
      </c>
      <c r="M11" s="3">
        <f t="shared" si="7"/>
        <v>103.62879515485918</v>
      </c>
      <c r="N11" s="3">
        <f t="shared" ref="N11:N12" si="18">K11/Q11</f>
        <v>209.34136174154708</v>
      </c>
      <c r="O11">
        <v>1.0274000000000001</v>
      </c>
      <c r="P11" s="3">
        <v>6.1815305868592532E-2</v>
      </c>
      <c r="Q11">
        <v>3.0599999999999999E-2</v>
      </c>
      <c r="R11" s="21"/>
      <c r="S11" s="21"/>
      <c r="T11" s="21"/>
    </row>
    <row r="12" spans="1:20" ht="18.75" x14ac:dyDescent="0.3">
      <c r="A12" t="s">
        <v>66</v>
      </c>
      <c r="B12" s="4">
        <v>150</v>
      </c>
      <c r="C12" s="4">
        <v>1</v>
      </c>
      <c r="D12" s="5">
        <v>0.159</v>
      </c>
      <c r="E12" s="5">
        <v>0.157</v>
      </c>
      <c r="F12" s="5">
        <f t="shared" si="0"/>
        <v>0.158</v>
      </c>
      <c r="G12" s="3">
        <f t="shared" si="1"/>
        <v>3.635688</v>
      </c>
      <c r="H12" s="3">
        <f>G12/63.5</f>
        <v>5.7254929133858268E-2</v>
      </c>
      <c r="I12" s="3">
        <f>H12*B12</f>
        <v>8.5882393700787407</v>
      </c>
      <c r="J12" s="3">
        <f t="shared" si="17"/>
        <v>15.269336220472443</v>
      </c>
      <c r="K12" s="3">
        <f>J12-I12</f>
        <v>6.6810968503937023</v>
      </c>
      <c r="L12" s="3">
        <f t="shared" si="6"/>
        <v>5.8355287364780351</v>
      </c>
      <c r="M12" s="3">
        <f>K12/P12</f>
        <v>96.989283472974307</v>
      </c>
      <c r="N12" s="3">
        <f t="shared" si="18"/>
        <v>190.34463961235619</v>
      </c>
      <c r="O12">
        <v>1.1449</v>
      </c>
      <c r="P12" s="3">
        <v>6.8884897497519554E-2</v>
      </c>
      <c r="Q12">
        <v>3.5099999999999999E-2</v>
      </c>
      <c r="R12" s="21"/>
      <c r="S12" s="21"/>
      <c r="T12" s="21"/>
    </row>
    <row r="13" spans="1:20" ht="27" x14ac:dyDescent="0.35">
      <c r="A13" s="22" t="s">
        <v>55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</row>
    <row r="15" spans="1:20" ht="60.75" customHeight="1" x14ac:dyDescent="0.3">
      <c r="A15" s="3" t="s">
        <v>0</v>
      </c>
      <c r="B15" s="3" t="s">
        <v>5</v>
      </c>
      <c r="C15" s="3" t="s">
        <v>6</v>
      </c>
      <c r="D15" s="3" t="s">
        <v>7</v>
      </c>
      <c r="E15" s="3" t="s">
        <v>8</v>
      </c>
      <c r="F15" s="3" t="s">
        <v>9</v>
      </c>
      <c r="G15" s="3" t="s">
        <v>1</v>
      </c>
      <c r="H15" s="3" t="s">
        <v>2</v>
      </c>
      <c r="I15" s="3" t="s">
        <v>3</v>
      </c>
      <c r="J15" s="3" t="s">
        <v>10</v>
      </c>
      <c r="K15" s="3" t="s">
        <v>11</v>
      </c>
      <c r="L15" s="3" t="s">
        <v>12</v>
      </c>
      <c r="M15" s="3" t="s">
        <v>13</v>
      </c>
      <c r="N15" s="3" t="s">
        <v>14</v>
      </c>
      <c r="O15" s="3" t="s">
        <v>37</v>
      </c>
      <c r="P15" s="3" t="s">
        <v>38</v>
      </c>
      <c r="Q15" s="3" t="s">
        <v>39</v>
      </c>
      <c r="R15" s="6" t="s">
        <v>16</v>
      </c>
      <c r="S15" s="6" t="s">
        <v>17</v>
      </c>
      <c r="T15" s="6" t="s">
        <v>18</v>
      </c>
    </row>
    <row r="16" spans="1:20" ht="18.75" x14ac:dyDescent="0.3">
      <c r="A16" t="s">
        <v>67</v>
      </c>
      <c r="B16" s="4">
        <v>150</v>
      </c>
      <c r="C16" s="4">
        <v>1</v>
      </c>
      <c r="D16" s="5">
        <v>0.2</v>
      </c>
      <c r="E16" s="5">
        <v>0.19700000000000001</v>
      </c>
      <c r="F16" s="5">
        <f>AVERAGE(D16:E16)</f>
        <v>0.19850000000000001</v>
      </c>
      <c r="G16" s="3">
        <f>(F16*21.186+0.2883)/C16</f>
        <v>4.4937210000000007</v>
      </c>
      <c r="H16" s="3">
        <f>G16/63.5</f>
        <v>7.0767259842519692E-2</v>
      </c>
      <c r="I16" s="3">
        <f>H16*B16</f>
        <v>10.615088976377955</v>
      </c>
      <c r="J16" s="3">
        <f>$Q$29</f>
        <v>15.519564566929134</v>
      </c>
      <c r="K16" s="3">
        <f>J16-I16</f>
        <v>4.9044755905511792</v>
      </c>
      <c r="L16" s="3">
        <f>K16/O16</f>
        <v>3.0538453241290031</v>
      </c>
      <c r="M16" s="3">
        <f>K16/P16</f>
        <v>29.148040595206275</v>
      </c>
      <c r="N16" s="3">
        <f>K16/Q16</f>
        <v>63.529476561543767</v>
      </c>
      <c r="O16">
        <v>1.6060000000000001</v>
      </c>
      <c r="P16" s="3">
        <v>0.1682609016044041</v>
      </c>
      <c r="Q16">
        <v>7.7200000000000005E-2</v>
      </c>
      <c r="R16" s="20">
        <f>AVERAGE(L16:L18)</f>
        <v>5.0305479197199423</v>
      </c>
      <c r="S16" s="20">
        <f>AVERAGE(M16:M18)</f>
        <v>48.015075885334284</v>
      </c>
      <c r="T16" s="20">
        <f>AVERAGE(N16:N18)</f>
        <v>105.81432296746158</v>
      </c>
    </row>
    <row r="17" spans="1:20" ht="18.75" x14ac:dyDescent="0.3">
      <c r="A17" t="s">
        <v>67</v>
      </c>
      <c r="B17" s="4">
        <v>150</v>
      </c>
      <c r="C17" s="4">
        <v>1</v>
      </c>
      <c r="D17" s="5">
        <v>9.4E-2</v>
      </c>
      <c r="E17" s="5">
        <v>9.1999999999999998E-2</v>
      </c>
      <c r="F17" s="5">
        <f t="shared" ref="F17:F24" si="19">AVERAGE(D17:E17)</f>
        <v>9.2999999999999999E-2</v>
      </c>
      <c r="G17" s="3">
        <f t="shared" ref="G17:G24" si="20">(F17*21.186+0.2883)/C17</f>
        <v>2.2585980000000001</v>
      </c>
      <c r="H17" s="3">
        <f t="shared" ref="H17:H23" si="21">G17/63.5</f>
        <v>3.5568472440944882E-2</v>
      </c>
      <c r="I17" s="3">
        <f t="shared" ref="I17:I23" si="22">H17*B17</f>
        <v>5.3352708661417321</v>
      </c>
      <c r="J17" s="3">
        <f t="shared" ref="J17:J18" si="23">$Q$29</f>
        <v>15.519564566929134</v>
      </c>
      <c r="K17" s="3">
        <f t="shared" ref="K17:K23" si="24">J17-I17</f>
        <v>10.184293700787402</v>
      </c>
      <c r="L17" s="3">
        <f t="shared" ref="L17:L24" si="25">K17/O17</f>
        <v>7.1659820579703082</v>
      </c>
      <c r="M17" s="3">
        <f t="shared" ref="M17:M23" si="26">K17/P17</f>
        <v>68.3971562933732</v>
      </c>
      <c r="N17" s="3">
        <f t="shared" ref="N17:N24" si="27">K17/Q17</f>
        <v>151.10228042711279</v>
      </c>
      <c r="O17">
        <v>1.4212</v>
      </c>
      <c r="P17" s="3">
        <v>0.14889937320060964</v>
      </c>
      <c r="Q17">
        <v>6.7400000000000002E-2</v>
      </c>
      <c r="R17" s="21"/>
      <c r="S17" s="21"/>
      <c r="T17" s="21"/>
    </row>
    <row r="18" spans="1:20" ht="18.75" x14ac:dyDescent="0.3">
      <c r="A18" t="s">
        <v>67</v>
      </c>
      <c r="B18" s="4">
        <v>150</v>
      </c>
      <c r="C18" s="4">
        <v>1</v>
      </c>
      <c r="D18" s="5">
        <v>0.11</v>
      </c>
      <c r="E18" s="5">
        <v>0.105</v>
      </c>
      <c r="F18" s="5">
        <f t="shared" si="19"/>
        <v>0.1075</v>
      </c>
      <c r="G18" s="3">
        <f t="shared" si="20"/>
        <v>2.565795</v>
      </c>
      <c r="H18" s="3">
        <f t="shared" si="21"/>
        <v>4.0406220472440947E-2</v>
      </c>
      <c r="I18" s="3">
        <f t="shared" si="22"/>
        <v>6.0609330708661417</v>
      </c>
      <c r="J18" s="3">
        <f t="shared" si="23"/>
        <v>15.519564566929134</v>
      </c>
      <c r="K18" s="3">
        <f t="shared" si="24"/>
        <v>9.458631496062992</v>
      </c>
      <c r="L18" s="3">
        <f t="shared" si="25"/>
        <v>4.8718163770605161</v>
      </c>
      <c r="M18" s="3">
        <f t="shared" si="26"/>
        <v>46.500030767423382</v>
      </c>
      <c r="N18" s="3">
        <f t="shared" si="27"/>
        <v>102.81121191372817</v>
      </c>
      <c r="O18">
        <v>1.9415</v>
      </c>
      <c r="P18" s="3">
        <v>0.20341129543272138</v>
      </c>
      <c r="Q18">
        <v>9.1999999999999998E-2</v>
      </c>
      <c r="R18" s="21"/>
      <c r="S18" s="21"/>
      <c r="T18" s="21"/>
    </row>
    <row r="19" spans="1:20" ht="18.75" x14ac:dyDescent="0.3">
      <c r="A19" t="s">
        <v>61</v>
      </c>
      <c r="B19" s="4">
        <v>150</v>
      </c>
      <c r="C19" s="4">
        <v>1</v>
      </c>
      <c r="D19" s="5">
        <v>9.5000000000000001E-2</v>
      </c>
      <c r="E19" s="5">
        <v>9.0999999999999998E-2</v>
      </c>
      <c r="F19" s="5">
        <f t="shared" si="19"/>
        <v>9.2999999999999999E-2</v>
      </c>
      <c r="G19" s="3">
        <f t="shared" si="20"/>
        <v>2.2585980000000001</v>
      </c>
      <c r="H19" s="3">
        <f t="shared" si="21"/>
        <v>3.5568472440944882E-2</v>
      </c>
      <c r="I19" s="3">
        <f t="shared" si="22"/>
        <v>5.3352708661417321</v>
      </c>
      <c r="J19" s="3">
        <f>$Q$30</f>
        <v>16.070066929133855</v>
      </c>
      <c r="K19" s="3">
        <f t="shared" si="24"/>
        <v>10.734796062992123</v>
      </c>
      <c r="L19" s="3">
        <f t="shared" si="25"/>
        <v>5.0721962119599899</v>
      </c>
      <c r="M19" s="3">
        <f t="shared" si="26"/>
        <v>48.412596382964651</v>
      </c>
      <c r="N19" s="3">
        <f t="shared" si="27"/>
        <v>103.2191929133858</v>
      </c>
      <c r="O19">
        <v>2.1164000000000001</v>
      </c>
      <c r="P19" s="3">
        <v>0.22173559910059826</v>
      </c>
      <c r="Q19">
        <v>0.104</v>
      </c>
      <c r="R19" s="20">
        <f t="shared" ref="R19:T19" si="28">AVERAGE(L19:L21)</f>
        <v>5.374809201374954</v>
      </c>
      <c r="S19" s="20">
        <f t="shared" si="28"/>
        <v>51.300946893192219</v>
      </c>
      <c r="T19" s="20">
        <f t="shared" si="28"/>
        <v>109.85871549815818</v>
      </c>
    </row>
    <row r="20" spans="1:20" ht="18.75" x14ac:dyDescent="0.3">
      <c r="A20" t="s">
        <v>62</v>
      </c>
      <c r="B20" s="4">
        <v>150</v>
      </c>
      <c r="C20" s="4">
        <v>1</v>
      </c>
      <c r="D20" s="5">
        <v>9.9000000000000005E-2</v>
      </c>
      <c r="E20" s="5">
        <v>9.6000000000000002E-2</v>
      </c>
      <c r="F20" s="5">
        <f t="shared" si="19"/>
        <v>9.7500000000000003E-2</v>
      </c>
      <c r="G20" s="3">
        <f t="shared" si="20"/>
        <v>2.3539349999999999</v>
      </c>
      <c r="H20" s="3">
        <f t="shared" si="21"/>
        <v>3.7069842519685037E-2</v>
      </c>
      <c r="I20" s="3">
        <f t="shared" si="22"/>
        <v>5.5604763779527557</v>
      </c>
      <c r="J20" s="3">
        <f t="shared" ref="J20:J21" si="29">$Q$30</f>
        <v>16.070066929133855</v>
      </c>
      <c r="K20" s="3">
        <f t="shared" si="24"/>
        <v>10.509590551181098</v>
      </c>
      <c r="L20" s="3">
        <f t="shared" si="25"/>
        <v>5.4470770971188447</v>
      </c>
      <c r="M20" s="3">
        <f t="shared" si="26"/>
        <v>51.990722351768817</v>
      </c>
      <c r="N20" s="3">
        <f t="shared" si="27"/>
        <v>111.4484681991633</v>
      </c>
      <c r="O20">
        <v>1.9294</v>
      </c>
      <c r="P20" s="3">
        <v>0.20214357631104435</v>
      </c>
      <c r="Q20">
        <v>9.4299999999999995E-2</v>
      </c>
      <c r="R20" s="21"/>
      <c r="S20" s="21"/>
      <c r="T20" s="21"/>
    </row>
    <row r="21" spans="1:20" ht="18.75" x14ac:dyDescent="0.3">
      <c r="A21" t="s">
        <v>63</v>
      </c>
      <c r="B21" s="4">
        <v>150</v>
      </c>
      <c r="C21" s="4">
        <v>1</v>
      </c>
      <c r="D21" s="5">
        <v>0.08</v>
      </c>
      <c r="E21" s="5">
        <v>7.9000000000000001E-2</v>
      </c>
      <c r="F21" s="5">
        <f t="shared" si="19"/>
        <v>7.9500000000000001E-2</v>
      </c>
      <c r="G21" s="3">
        <f t="shared" si="20"/>
        <v>1.9725870000000001</v>
      </c>
      <c r="H21" s="3">
        <f t="shared" si="21"/>
        <v>3.1064362204724409E-2</v>
      </c>
      <c r="I21" s="3">
        <f t="shared" si="22"/>
        <v>4.6596543307086611</v>
      </c>
      <c r="J21" s="3">
        <f t="shared" si="29"/>
        <v>16.070066929133855</v>
      </c>
      <c r="K21" s="3">
        <f t="shared" si="24"/>
        <v>11.410412598425193</v>
      </c>
      <c r="L21" s="3">
        <f t="shared" si="25"/>
        <v>5.6051542950460256</v>
      </c>
      <c r="M21" s="3">
        <f t="shared" si="26"/>
        <v>53.499521944843195</v>
      </c>
      <c r="N21" s="3">
        <f t="shared" si="27"/>
        <v>114.9084853819254</v>
      </c>
      <c r="O21">
        <v>2.0356999999999998</v>
      </c>
      <c r="P21" s="3">
        <v>0.21328064595023993</v>
      </c>
      <c r="Q21">
        <v>9.9299999999999999E-2</v>
      </c>
      <c r="R21" s="21"/>
      <c r="S21" s="21"/>
      <c r="T21" s="21"/>
    </row>
    <row r="22" spans="1:20" ht="18.75" x14ac:dyDescent="0.3">
      <c r="A22" t="s">
        <v>64</v>
      </c>
      <c r="B22" s="4">
        <v>150</v>
      </c>
      <c r="C22" s="4">
        <v>1</v>
      </c>
      <c r="D22" s="5">
        <v>0.112</v>
      </c>
      <c r="E22" s="5">
        <v>0.113</v>
      </c>
      <c r="F22" s="5">
        <f t="shared" si="19"/>
        <v>0.1125</v>
      </c>
      <c r="G22" s="3">
        <f t="shared" si="20"/>
        <v>2.6717249999999999</v>
      </c>
      <c r="H22" s="3">
        <f t="shared" si="21"/>
        <v>4.2074409448818899E-2</v>
      </c>
      <c r="I22" s="3">
        <f>H22*B22</f>
        <v>6.3111614173228352</v>
      </c>
      <c r="J22" s="3">
        <f>$Q$31</f>
        <v>15.269336220472443</v>
      </c>
      <c r="K22" s="3">
        <f t="shared" si="24"/>
        <v>8.9581748031496069</v>
      </c>
      <c r="L22" s="3">
        <f t="shared" si="25"/>
        <v>5.0264699826897132</v>
      </c>
      <c r="M22" s="3">
        <f t="shared" si="26"/>
        <v>47.976153195582242</v>
      </c>
      <c r="N22" s="3">
        <f>K22/Q22</f>
        <v>103.08601614671583</v>
      </c>
      <c r="O22">
        <v>1.7822</v>
      </c>
      <c r="P22" s="3">
        <v>0.18672140650022973</v>
      </c>
      <c r="Q22">
        <v>8.6900000000000005E-2</v>
      </c>
      <c r="R22" s="20">
        <f t="shared" ref="R22:T22" si="30">AVERAGE(L22:L24)</f>
        <v>4.793588331145858</v>
      </c>
      <c r="S22" s="20">
        <f t="shared" si="30"/>
        <v>45.753367457403101</v>
      </c>
      <c r="T22" s="20">
        <f t="shared" si="30"/>
        <v>100.88901509928036</v>
      </c>
    </row>
    <row r="23" spans="1:20" ht="18.75" x14ac:dyDescent="0.3">
      <c r="A23" t="s">
        <v>65</v>
      </c>
      <c r="B23" s="4">
        <v>150</v>
      </c>
      <c r="C23" s="4">
        <v>1</v>
      </c>
      <c r="D23" s="5">
        <v>0.161</v>
      </c>
      <c r="E23" s="5">
        <v>0.161</v>
      </c>
      <c r="F23" s="5">
        <f t="shared" si="19"/>
        <v>0.161</v>
      </c>
      <c r="G23" s="3">
        <f t="shared" si="20"/>
        <v>3.699246</v>
      </c>
      <c r="H23" s="3">
        <f t="shared" si="21"/>
        <v>5.825584251968504E-2</v>
      </c>
      <c r="I23" s="3">
        <f t="shared" si="22"/>
        <v>8.7383763779527559</v>
      </c>
      <c r="J23" s="3">
        <f t="shared" ref="J23:J24" si="31">$Q$31</f>
        <v>15.269336220472443</v>
      </c>
      <c r="K23" s="3">
        <f t="shared" si="24"/>
        <v>6.5309598425196871</v>
      </c>
      <c r="L23" s="3">
        <f t="shared" si="25"/>
        <v>4.5075297415416431</v>
      </c>
      <c r="M23" s="3">
        <f t="shared" si="26"/>
        <v>43.023023744016371</v>
      </c>
      <c r="N23" s="3">
        <f t="shared" si="27"/>
        <v>98.209922443905057</v>
      </c>
      <c r="O23">
        <v>1.4489000000000001</v>
      </c>
      <c r="P23" s="3">
        <v>0.1518015070576719</v>
      </c>
      <c r="Q23">
        <v>6.6500000000000004E-2</v>
      </c>
      <c r="R23" s="21"/>
      <c r="S23" s="21"/>
      <c r="T23" s="21"/>
    </row>
    <row r="24" spans="1:20" ht="18.75" x14ac:dyDescent="0.3">
      <c r="A24" t="s">
        <v>66</v>
      </c>
      <c r="B24" s="4">
        <v>150</v>
      </c>
      <c r="C24" s="4">
        <v>1</v>
      </c>
      <c r="D24" s="5">
        <v>0.14099999999999999</v>
      </c>
      <c r="E24" s="5">
        <v>0.14099999999999999</v>
      </c>
      <c r="F24" s="5">
        <f t="shared" si="19"/>
        <v>0.14099999999999999</v>
      </c>
      <c r="G24" s="3">
        <f t="shared" si="20"/>
        <v>3.2755259999999997</v>
      </c>
      <c r="H24" s="3">
        <f>G24/63.5</f>
        <v>5.1583086614173226E-2</v>
      </c>
      <c r="I24" s="3">
        <f>H24*B24</f>
        <v>7.7374629921259839</v>
      </c>
      <c r="J24" s="3">
        <f t="shared" si="31"/>
        <v>15.269336220472443</v>
      </c>
      <c r="K24" s="3">
        <f>J24-I24</f>
        <v>7.5318732283464591</v>
      </c>
      <c r="L24" s="3">
        <f t="shared" si="25"/>
        <v>4.8467652692062151</v>
      </c>
      <c r="M24" s="3">
        <f>K24/P24</f>
        <v>46.260925432610691</v>
      </c>
      <c r="N24" s="3">
        <f t="shared" si="27"/>
        <v>101.37110670722016</v>
      </c>
      <c r="O24">
        <v>1.554</v>
      </c>
      <c r="P24" s="3">
        <v>0.16281285248645327</v>
      </c>
      <c r="Q24">
        <v>7.4300000000000005E-2</v>
      </c>
      <c r="R24" s="21"/>
      <c r="S24" s="21"/>
      <c r="T24" s="21"/>
    </row>
    <row r="26" spans="1:20" x14ac:dyDescent="0.25">
      <c r="B26" t="s">
        <v>4</v>
      </c>
      <c r="D26" t="s">
        <v>15</v>
      </c>
    </row>
    <row r="27" spans="1:20" ht="20.25" x14ac:dyDescent="0.3">
      <c r="I27" s="9" t="s">
        <v>56</v>
      </c>
      <c r="J27" s="9"/>
      <c r="K27" s="9"/>
      <c r="L27" s="9"/>
      <c r="M27" s="9"/>
      <c r="N27" s="9"/>
      <c r="O27" s="9"/>
      <c r="P27" s="9"/>
      <c r="Q27" s="9"/>
    </row>
    <row r="28" spans="1:20" ht="20.25" x14ac:dyDescent="0.3">
      <c r="I28" s="9" t="s">
        <v>0</v>
      </c>
      <c r="J28" s="9" t="s">
        <v>5</v>
      </c>
      <c r="K28" s="9" t="s">
        <v>6</v>
      </c>
      <c r="L28" s="9" t="s">
        <v>7</v>
      </c>
      <c r="M28" s="9" t="s">
        <v>8</v>
      </c>
      <c r="N28" s="9" t="s">
        <v>9</v>
      </c>
      <c r="O28" s="9" t="s">
        <v>1</v>
      </c>
      <c r="P28" s="9" t="s">
        <v>2</v>
      </c>
      <c r="Q28" s="9" t="s">
        <v>3</v>
      </c>
    </row>
    <row r="29" spans="1:20" ht="20.25" x14ac:dyDescent="0.3">
      <c r="A29" s="9">
        <v>0.1</v>
      </c>
      <c r="B29" s="9">
        <f>A29*10</f>
        <v>1</v>
      </c>
      <c r="C29" s="9">
        <v>3.3000000000000002E-2</v>
      </c>
      <c r="I29" s="1" t="s">
        <v>67</v>
      </c>
      <c r="J29" s="9">
        <v>150</v>
      </c>
      <c r="K29" s="9">
        <v>1</v>
      </c>
      <c r="L29" s="9">
        <v>0.29599999999999999</v>
      </c>
      <c r="M29" s="9">
        <v>0.29699999999999999</v>
      </c>
      <c r="N29" s="9">
        <f>AVERAGE(L29:M29)</f>
        <v>0.29649999999999999</v>
      </c>
      <c r="O29" s="9">
        <f>(N29*21.186+0.2883)/K29</f>
        <v>6.5699489999999994</v>
      </c>
      <c r="P29" s="9">
        <f>O29/63.5</f>
        <v>0.10346376377952755</v>
      </c>
      <c r="Q29" s="9">
        <f>P29*J29</f>
        <v>15.519564566929134</v>
      </c>
    </row>
    <row r="30" spans="1:20" ht="20.25" x14ac:dyDescent="0.3">
      <c r="A30" s="9">
        <v>0.3</v>
      </c>
      <c r="B30" s="9">
        <f t="shared" ref="B30:B33" si="32">A30*10</f>
        <v>3</v>
      </c>
      <c r="C30" s="9">
        <v>0.128</v>
      </c>
      <c r="I30" t="s">
        <v>68</v>
      </c>
      <c r="J30" s="9">
        <v>150</v>
      </c>
      <c r="K30" s="9">
        <v>1</v>
      </c>
      <c r="L30" s="9">
        <v>0.30299999999999999</v>
      </c>
      <c r="M30" s="9">
        <v>0.312</v>
      </c>
      <c r="N30" s="9">
        <f t="shared" ref="N30:N31" si="33">AVERAGE(L30:M30)</f>
        <v>0.3075</v>
      </c>
      <c r="O30" s="9">
        <f t="shared" ref="O30:O31" si="34">(N30*21.186+0.2883)/K30</f>
        <v>6.8029949999999992</v>
      </c>
      <c r="P30" s="9">
        <f t="shared" ref="P30:P31" si="35">O30/63.5</f>
        <v>0.10713377952755904</v>
      </c>
      <c r="Q30" s="9">
        <f t="shared" ref="Q30:Q31" si="36">P30*J30</f>
        <v>16.070066929133855</v>
      </c>
    </row>
    <row r="31" spans="1:20" ht="20.25" x14ac:dyDescent="0.3">
      <c r="A31" s="9">
        <v>0.5</v>
      </c>
      <c r="B31" s="9">
        <f t="shared" si="32"/>
        <v>5</v>
      </c>
      <c r="C31" s="9">
        <v>0.223</v>
      </c>
      <c r="I31" t="s">
        <v>69</v>
      </c>
      <c r="J31" s="9">
        <v>150</v>
      </c>
      <c r="K31" s="9">
        <v>1</v>
      </c>
      <c r="L31" s="9">
        <v>0.28999999999999998</v>
      </c>
      <c r="M31" s="9">
        <v>0.29299999999999998</v>
      </c>
      <c r="N31" s="9">
        <f t="shared" si="33"/>
        <v>0.29149999999999998</v>
      </c>
      <c r="O31" s="9">
        <f t="shared" si="34"/>
        <v>6.4640190000000004</v>
      </c>
      <c r="P31" s="9">
        <f t="shared" si="35"/>
        <v>0.10179557480314962</v>
      </c>
      <c r="Q31" s="9">
        <f t="shared" si="36"/>
        <v>15.269336220472443</v>
      </c>
    </row>
    <row r="32" spans="1:20" ht="20.25" x14ac:dyDescent="0.3">
      <c r="A32" s="9">
        <v>0.7</v>
      </c>
      <c r="B32" s="9">
        <f t="shared" si="32"/>
        <v>7</v>
      </c>
      <c r="C32" s="9">
        <v>0.318</v>
      </c>
    </row>
    <row r="33" spans="1:17" ht="20.25" x14ac:dyDescent="0.3">
      <c r="A33" s="9">
        <v>0.9</v>
      </c>
      <c r="B33" s="9">
        <f t="shared" si="32"/>
        <v>9</v>
      </c>
      <c r="C33" s="9">
        <v>0.41</v>
      </c>
      <c r="I33" s="9"/>
      <c r="J33" s="9"/>
      <c r="K33" s="9"/>
      <c r="L33" s="9"/>
      <c r="M33" s="9"/>
      <c r="N33" s="9"/>
      <c r="O33" s="9"/>
      <c r="P33" s="9"/>
      <c r="Q33" s="9"/>
    </row>
    <row r="34" spans="1:17" ht="20.25" x14ac:dyDescent="0.3">
      <c r="A34" s="9"/>
      <c r="B34" s="9"/>
      <c r="C34" s="9"/>
      <c r="I34" s="9"/>
      <c r="J34" s="9"/>
      <c r="K34" s="9"/>
      <c r="L34" s="9"/>
      <c r="M34" s="9"/>
      <c r="N34" s="9"/>
      <c r="O34" s="9"/>
      <c r="P34" s="9"/>
      <c r="Q34" s="9"/>
    </row>
    <row r="35" spans="1:17" ht="20.25" x14ac:dyDescent="0.3">
      <c r="A35" s="9"/>
      <c r="B35" s="9"/>
      <c r="C35" s="9"/>
      <c r="I35" s="1"/>
      <c r="J35" s="9"/>
      <c r="K35" s="9"/>
      <c r="L35" s="9"/>
      <c r="M35" s="9"/>
      <c r="N35" s="9"/>
      <c r="O35" s="9"/>
      <c r="P35" s="9"/>
      <c r="Q35" s="9"/>
    </row>
    <row r="36" spans="1:17" ht="20.25" x14ac:dyDescent="0.3">
      <c r="J36" s="9"/>
      <c r="K36" s="9"/>
      <c r="L36" s="9"/>
      <c r="M36" s="9"/>
      <c r="N36" s="9"/>
      <c r="O36" s="9"/>
      <c r="P36" s="9"/>
      <c r="Q36" s="9"/>
    </row>
    <row r="37" spans="1:17" ht="20.25" x14ac:dyDescent="0.3">
      <c r="J37" s="9"/>
      <c r="K37" s="9"/>
      <c r="L37" s="9"/>
      <c r="M37" s="9"/>
      <c r="N37" s="9"/>
      <c r="O37" s="9"/>
      <c r="P37" s="9"/>
      <c r="Q37" s="9"/>
    </row>
    <row r="40" spans="1:17" ht="20.25" x14ac:dyDescent="0.3">
      <c r="K40" s="9"/>
    </row>
    <row r="41" spans="1:17" ht="20.25" x14ac:dyDescent="0.3">
      <c r="K41" s="9"/>
    </row>
    <row r="42" spans="1:17" ht="20.25" x14ac:dyDescent="0.3">
      <c r="K42" s="9"/>
    </row>
    <row r="43" spans="1:17" ht="20.25" x14ac:dyDescent="0.3">
      <c r="K43" s="9"/>
    </row>
    <row r="44" spans="1:17" ht="20.25" x14ac:dyDescent="0.3">
      <c r="K44" s="9"/>
    </row>
    <row r="45" spans="1:17" ht="20.25" x14ac:dyDescent="0.3">
      <c r="K45" s="9"/>
    </row>
    <row r="46" spans="1:17" ht="20.25" x14ac:dyDescent="0.3">
      <c r="K46" s="9"/>
    </row>
  </sheetData>
  <mergeCells count="20">
    <mergeCell ref="A13:S13"/>
    <mergeCell ref="T16:T18"/>
    <mergeCell ref="T19:T21"/>
    <mergeCell ref="T22:T24"/>
    <mergeCell ref="R16:R18"/>
    <mergeCell ref="R19:R21"/>
    <mergeCell ref="R22:R24"/>
    <mergeCell ref="S16:S18"/>
    <mergeCell ref="S19:S21"/>
    <mergeCell ref="S22:S24"/>
    <mergeCell ref="R10:R12"/>
    <mergeCell ref="S10:S12"/>
    <mergeCell ref="T10:T12"/>
    <mergeCell ref="A1:S1"/>
    <mergeCell ref="R4:R6"/>
    <mergeCell ref="S4:S6"/>
    <mergeCell ref="T4:T6"/>
    <mergeCell ref="R7:R9"/>
    <mergeCell ref="S7:S9"/>
    <mergeCell ref="T7:T9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738AE-CA37-47A6-8FC6-045437A99477}">
  <dimension ref="A1:R32"/>
  <sheetViews>
    <sheetView workbookViewId="0">
      <selection activeCell="N4" sqref="N4:N12"/>
    </sheetView>
  </sheetViews>
  <sheetFormatPr defaultRowHeight="15" x14ac:dyDescent="0.25"/>
  <cols>
    <col min="1" max="1" width="13.42578125" customWidth="1"/>
    <col min="7" max="7" width="10.85546875" bestFit="1" customWidth="1"/>
    <col min="10" max="10" width="21.5703125" customWidth="1"/>
    <col min="11" max="11" width="21.85546875" customWidth="1"/>
    <col min="12" max="12" width="20" customWidth="1"/>
    <col min="13" max="13" width="20.140625" customWidth="1"/>
    <col min="14" max="14" width="21.28515625" customWidth="1"/>
    <col min="15" max="15" width="24" customWidth="1"/>
    <col min="16" max="16" width="20.85546875" customWidth="1"/>
    <col min="17" max="17" width="22.28515625" customWidth="1"/>
    <col min="18" max="18" width="23.42578125" customWidth="1"/>
  </cols>
  <sheetData>
    <row r="1" spans="1:18" ht="27" x14ac:dyDescent="0.35">
      <c r="A1" s="22" t="s">
        <v>52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3" spans="1:18" ht="56.25" x14ac:dyDescent="0.3">
      <c r="A3" s="3" t="s">
        <v>0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</v>
      </c>
      <c r="H3" s="3" t="s">
        <v>2</v>
      </c>
      <c r="I3" s="3" t="s">
        <v>3</v>
      </c>
      <c r="J3" s="3" t="s">
        <v>41</v>
      </c>
      <c r="K3" s="3" t="s">
        <v>42</v>
      </c>
      <c r="L3" s="3" t="s">
        <v>43</v>
      </c>
      <c r="M3" s="3" t="s">
        <v>48</v>
      </c>
      <c r="N3" s="3" t="s">
        <v>49</v>
      </c>
      <c r="O3" s="3" t="s">
        <v>54</v>
      </c>
      <c r="P3" s="6" t="s">
        <v>16</v>
      </c>
      <c r="Q3" s="6" t="s">
        <v>17</v>
      </c>
      <c r="R3" s="6" t="s">
        <v>18</v>
      </c>
    </row>
    <row r="4" spans="1:18" ht="18.75" x14ac:dyDescent="0.3">
      <c r="A4" t="s">
        <v>67</v>
      </c>
      <c r="B4" s="4">
        <v>20</v>
      </c>
      <c r="C4" s="4">
        <v>1</v>
      </c>
      <c r="D4" s="5">
        <v>0.221</v>
      </c>
      <c r="E4" s="5">
        <v>0.222</v>
      </c>
      <c r="F4" s="5">
        <f>AVERAGE(D4:E4)</f>
        <v>0.2215</v>
      </c>
      <c r="G4" s="3">
        <f>(F4*100.51+1.2932)/C4</f>
        <v>23.556165</v>
      </c>
      <c r="H4" s="3">
        <f>G4/63.5</f>
        <v>0.37096322834645667</v>
      </c>
      <c r="I4" s="3">
        <f>H4*B4</f>
        <v>7.4192645669291331</v>
      </c>
      <c r="J4" s="3">
        <f>I4/M4</f>
        <v>6.4740528507235027</v>
      </c>
      <c r="K4" s="3">
        <f>I4/N4</f>
        <v>107.6018601763941</v>
      </c>
      <c r="L4" s="3">
        <f>I4/O4</f>
        <v>204.38745363441137</v>
      </c>
      <c r="M4">
        <v>1.1459999999999999</v>
      </c>
      <c r="N4" s="3">
        <v>6.8951080908513748E-2</v>
      </c>
      <c r="O4">
        <v>3.6299999999999999E-2</v>
      </c>
      <c r="P4" s="20">
        <f>AVERAGE(J4:J6)</f>
        <v>6.5254248541481852</v>
      </c>
      <c r="Q4" s="20">
        <f>AVERAGE(K4:K6)</f>
        <v>108.45568748626324</v>
      </c>
      <c r="R4" s="20">
        <f>AVERAGE(L4:L6)</f>
        <v>210.0318875240653</v>
      </c>
    </row>
    <row r="5" spans="1:18" ht="18.75" x14ac:dyDescent="0.3">
      <c r="A5" t="s">
        <v>67</v>
      </c>
      <c r="B5" s="4">
        <v>20</v>
      </c>
      <c r="C5" s="4">
        <v>1</v>
      </c>
      <c r="D5" s="5">
        <v>0.21099999999999999</v>
      </c>
      <c r="E5" s="5">
        <v>0.20899999999999999</v>
      </c>
      <c r="F5" s="5">
        <f t="shared" ref="F5:F12" si="0">AVERAGE(D5:E5)</f>
        <v>0.21</v>
      </c>
      <c r="G5" s="3">
        <f t="shared" ref="G5:G12" si="1">(F5*100.51+1.2932)/C5</f>
        <v>22.400299999999998</v>
      </c>
      <c r="H5" s="3">
        <f t="shared" ref="H5:H11" si="2">G5/63.5</f>
        <v>0.35276062992125978</v>
      </c>
      <c r="I5" s="3">
        <f t="shared" ref="I5:I9" si="3">H5*B5</f>
        <v>7.0552125984251957</v>
      </c>
      <c r="J5" s="3">
        <f t="shared" ref="J5:J8" si="4">I5/M5</f>
        <v>6.8831342423660455</v>
      </c>
      <c r="K5" s="3">
        <f t="shared" ref="K5:K12" si="5">I5/N5</f>
        <v>114.40098890135754</v>
      </c>
      <c r="L5" s="3">
        <f t="shared" ref="L5:L12" si="6">I5/O5</f>
        <v>221.86203139701871</v>
      </c>
      <c r="M5">
        <v>1.0249999999999999</v>
      </c>
      <c r="N5" s="3">
        <v>6.1670905699150604E-2</v>
      </c>
      <c r="O5">
        <v>3.1800000000000002E-2</v>
      </c>
      <c r="P5" s="21"/>
      <c r="Q5" s="21"/>
      <c r="R5" s="21"/>
    </row>
    <row r="6" spans="1:18" ht="18.75" x14ac:dyDescent="0.3">
      <c r="A6" t="s">
        <v>67</v>
      </c>
      <c r="B6" s="4">
        <v>20</v>
      </c>
      <c r="C6" s="4">
        <v>1</v>
      </c>
      <c r="D6" s="5">
        <v>0.249</v>
      </c>
      <c r="E6" s="5">
        <v>0.252</v>
      </c>
      <c r="F6" s="5">
        <f t="shared" si="0"/>
        <v>0.2505</v>
      </c>
      <c r="G6" s="3">
        <f t="shared" si="1"/>
        <v>26.470955</v>
      </c>
      <c r="H6" s="3">
        <f t="shared" si="2"/>
        <v>0.41686543307086615</v>
      </c>
      <c r="I6" s="3">
        <f t="shared" si="3"/>
        <v>8.3373086614173229</v>
      </c>
      <c r="J6" s="3">
        <f t="shared" si="4"/>
        <v>6.2190874693550073</v>
      </c>
      <c r="K6" s="3">
        <f t="shared" si="5"/>
        <v>103.3642133810381</v>
      </c>
      <c r="L6" s="3">
        <f t="shared" si="6"/>
        <v>203.84617754076584</v>
      </c>
      <c r="M6">
        <v>1.3406</v>
      </c>
      <c r="N6" s="3">
        <v>8.0659527980762258E-2</v>
      </c>
      <c r="O6">
        <v>4.0899999999999999E-2</v>
      </c>
      <c r="P6" s="21"/>
      <c r="Q6" s="21"/>
      <c r="R6" s="21"/>
    </row>
    <row r="7" spans="1:18" ht="18.75" x14ac:dyDescent="0.3">
      <c r="A7" t="s">
        <v>61</v>
      </c>
      <c r="B7" s="4">
        <v>20</v>
      </c>
      <c r="C7" s="4">
        <v>1</v>
      </c>
      <c r="D7" s="5">
        <v>0.253</v>
      </c>
      <c r="E7" s="5">
        <v>0.253</v>
      </c>
      <c r="F7" s="5">
        <f t="shared" si="0"/>
        <v>0.253</v>
      </c>
      <c r="G7" s="3">
        <f t="shared" si="1"/>
        <v>26.72223</v>
      </c>
      <c r="H7" s="3">
        <f t="shared" si="2"/>
        <v>0.42082251968503936</v>
      </c>
      <c r="I7" s="3">
        <f t="shared" si="3"/>
        <v>8.4164503937007868</v>
      </c>
      <c r="J7" s="3">
        <f t="shared" si="4"/>
        <v>6.0729131926551609</v>
      </c>
      <c r="K7" s="3">
        <f t="shared" si="5"/>
        <v>100.93472686841493</v>
      </c>
      <c r="L7" s="3">
        <f t="shared" si="6"/>
        <v>208.32798004209869</v>
      </c>
      <c r="M7">
        <v>1.3858999999999999</v>
      </c>
      <c r="N7" s="3">
        <v>8.338508117897836E-2</v>
      </c>
      <c r="O7">
        <v>4.0399999999999998E-2</v>
      </c>
      <c r="P7" s="20">
        <f t="shared" ref="P7" si="7">AVERAGE(J7:J9)</f>
        <v>5.9406737952855204</v>
      </c>
      <c r="Q7" s="20">
        <f t="shared" ref="Q7" si="8">AVERAGE(K7:K9)</f>
        <v>98.736844726629727</v>
      </c>
      <c r="R7" s="20">
        <f t="shared" ref="R7" si="9">AVERAGE(L7:L9)</f>
        <v>200.08338038849897</v>
      </c>
    </row>
    <row r="8" spans="1:18" ht="18.75" x14ac:dyDescent="0.3">
      <c r="A8" t="s">
        <v>62</v>
      </c>
      <c r="B8" s="4">
        <v>20</v>
      </c>
      <c r="C8" s="4">
        <v>1</v>
      </c>
      <c r="D8" s="5">
        <v>0.253</v>
      </c>
      <c r="E8" s="5">
        <v>0.252</v>
      </c>
      <c r="F8" s="5">
        <f t="shared" si="0"/>
        <v>0.2525</v>
      </c>
      <c r="G8" s="3">
        <f t="shared" si="1"/>
        <v>26.671975</v>
      </c>
      <c r="H8" s="3">
        <f t="shared" si="2"/>
        <v>0.4200311023622047</v>
      </c>
      <c r="I8" s="3">
        <f t="shared" si="3"/>
        <v>8.4006220472440933</v>
      </c>
      <c r="J8" s="3">
        <f t="shared" si="4"/>
        <v>6.2047581411065016</v>
      </c>
      <c r="K8" s="3">
        <f t="shared" si="5"/>
        <v>103.1260530801927</v>
      </c>
      <c r="L8" s="3">
        <f t="shared" si="6"/>
        <v>203.898593379711</v>
      </c>
      <c r="M8">
        <v>1.3539000000000001</v>
      </c>
      <c r="N8" s="3">
        <v>8.1459745586419524E-2</v>
      </c>
      <c r="O8">
        <v>4.1200000000000001E-2</v>
      </c>
      <c r="P8" s="21"/>
      <c r="Q8" s="21"/>
      <c r="R8" s="21"/>
    </row>
    <row r="9" spans="1:18" ht="18.75" x14ac:dyDescent="0.3">
      <c r="A9" t="s">
        <v>63</v>
      </c>
      <c r="B9" s="4">
        <v>20</v>
      </c>
      <c r="C9" s="4">
        <v>1</v>
      </c>
      <c r="D9" s="5">
        <v>0.245</v>
      </c>
      <c r="E9" s="5">
        <v>0.246</v>
      </c>
      <c r="F9" s="5">
        <f t="shared" si="0"/>
        <v>0.2455</v>
      </c>
      <c r="G9" s="3">
        <f t="shared" si="1"/>
        <v>25.968405000000001</v>
      </c>
      <c r="H9" s="3">
        <f t="shared" si="2"/>
        <v>0.40895125984251968</v>
      </c>
      <c r="I9" s="3">
        <f t="shared" si="3"/>
        <v>8.1790251968503931</v>
      </c>
      <c r="J9" s="3">
        <f>I9/M9</f>
        <v>5.5443500520948978</v>
      </c>
      <c r="K9" s="3">
        <f t="shared" si="5"/>
        <v>92.149754231281563</v>
      </c>
      <c r="L9" s="3">
        <f t="shared" si="6"/>
        <v>188.02356774368721</v>
      </c>
      <c r="M9">
        <v>1.4752000000000001</v>
      </c>
      <c r="N9" s="3">
        <v>8.8757970816962906E-2</v>
      </c>
      <c r="O9">
        <v>4.3499999999999997E-2</v>
      </c>
      <c r="P9" s="21"/>
      <c r="Q9" s="21"/>
      <c r="R9" s="21"/>
    </row>
    <row r="10" spans="1:18" ht="18.75" x14ac:dyDescent="0.3">
      <c r="A10" t="s">
        <v>64</v>
      </c>
      <c r="B10" s="4">
        <v>20</v>
      </c>
      <c r="C10" s="4">
        <v>1</v>
      </c>
      <c r="D10" s="5">
        <v>0.217</v>
      </c>
      <c r="E10" s="5">
        <v>0.214</v>
      </c>
      <c r="F10" s="5">
        <f t="shared" si="0"/>
        <v>0.2155</v>
      </c>
      <c r="G10" s="3">
        <f t="shared" si="1"/>
        <v>22.953105000000001</v>
      </c>
      <c r="H10" s="3">
        <f t="shared" si="2"/>
        <v>0.36146622047244098</v>
      </c>
      <c r="I10" s="3">
        <f>H10*B10</f>
        <v>7.2293244094488198</v>
      </c>
      <c r="J10" s="3">
        <f t="shared" ref="J10:J12" si="10">I10/M10</f>
        <v>5.5670140223693361</v>
      </c>
      <c r="K10" s="3">
        <f t="shared" si="5"/>
        <v>92.526440275826204</v>
      </c>
      <c r="L10" s="3">
        <f t="shared" si="6"/>
        <v>187.77465998568363</v>
      </c>
      <c r="M10">
        <v>1.2986</v>
      </c>
      <c r="N10" s="3">
        <v>7.8132525015528767E-2</v>
      </c>
      <c r="O10">
        <v>3.85E-2</v>
      </c>
      <c r="P10" s="20">
        <f t="shared" ref="P10" si="11">AVERAGE(J10:J12)</f>
        <v>5.9428152062398327</v>
      </c>
      <c r="Q10" s="20">
        <f t="shared" ref="Q10" si="12">AVERAGE(K10:K12)</f>
        <v>98.772436002666396</v>
      </c>
      <c r="R10" s="20">
        <f t="shared" ref="R10" si="13">AVERAGE(L10:L12)</f>
        <v>197.94505577222887</v>
      </c>
    </row>
    <row r="11" spans="1:18" ht="18.75" x14ac:dyDescent="0.3">
      <c r="A11" t="s">
        <v>65</v>
      </c>
      <c r="B11" s="4">
        <v>20</v>
      </c>
      <c r="C11" s="4">
        <v>1</v>
      </c>
      <c r="D11" s="5">
        <v>0.19400000000000001</v>
      </c>
      <c r="E11" s="5">
        <v>0.19500000000000001</v>
      </c>
      <c r="F11" s="5">
        <f t="shared" si="0"/>
        <v>0.19450000000000001</v>
      </c>
      <c r="G11" s="3">
        <f t="shared" si="1"/>
        <v>20.842395</v>
      </c>
      <c r="H11" s="3">
        <f t="shared" si="2"/>
        <v>0.3282266929133858</v>
      </c>
      <c r="I11" s="3">
        <f t="shared" ref="I11" si="14">H11*B11</f>
        <v>6.5645338582677155</v>
      </c>
      <c r="J11" s="3">
        <f t="shared" si="10"/>
        <v>6.3894625834803529</v>
      </c>
      <c r="K11" s="3">
        <f t="shared" si="5"/>
        <v>106.19592940658829</v>
      </c>
      <c r="L11" s="3">
        <f t="shared" si="6"/>
        <v>214.52725027018678</v>
      </c>
      <c r="M11">
        <v>1.0274000000000001</v>
      </c>
      <c r="N11" s="3">
        <v>6.1815305868592532E-2</v>
      </c>
      <c r="O11">
        <v>3.0599999999999999E-2</v>
      </c>
      <c r="P11" s="21"/>
      <c r="Q11" s="21"/>
      <c r="R11" s="21"/>
    </row>
    <row r="12" spans="1:18" ht="18.75" x14ac:dyDescent="0.3">
      <c r="A12" t="s">
        <v>66</v>
      </c>
      <c r="B12" s="4">
        <v>20</v>
      </c>
      <c r="C12" s="4">
        <v>1</v>
      </c>
      <c r="D12" s="5">
        <v>0.19800000000000001</v>
      </c>
      <c r="E12" s="5">
        <v>0.20100000000000001</v>
      </c>
      <c r="F12" s="5">
        <f t="shared" si="0"/>
        <v>0.19950000000000001</v>
      </c>
      <c r="G12" s="3">
        <f t="shared" si="1"/>
        <v>21.344944999999999</v>
      </c>
      <c r="H12" s="3">
        <f>G12/63.5</f>
        <v>0.33614086614173228</v>
      </c>
      <c r="I12" s="3">
        <f>H12*B12</f>
        <v>6.7228173228346453</v>
      </c>
      <c r="J12" s="3">
        <f t="shared" si="10"/>
        <v>5.8719690128698101</v>
      </c>
      <c r="K12" s="3">
        <f t="shared" si="5"/>
        <v>97.594938325584707</v>
      </c>
      <c r="L12" s="3">
        <f t="shared" si="6"/>
        <v>191.53325706081611</v>
      </c>
      <c r="M12">
        <v>1.1449</v>
      </c>
      <c r="N12" s="3">
        <v>6.8884897497519554E-2</v>
      </c>
      <c r="O12">
        <v>3.5099999999999999E-2</v>
      </c>
      <c r="P12" s="21"/>
      <c r="Q12" s="21"/>
      <c r="R12" s="21"/>
    </row>
    <row r="13" spans="1:18" ht="27" x14ac:dyDescent="0.35">
      <c r="A13" s="22" t="s">
        <v>53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5" spans="1:18" ht="56.25" x14ac:dyDescent="0.3">
      <c r="A15" s="3" t="s">
        <v>0</v>
      </c>
      <c r="B15" s="3" t="s">
        <v>5</v>
      </c>
      <c r="C15" s="3" t="s">
        <v>6</v>
      </c>
      <c r="D15" s="3" t="s">
        <v>7</v>
      </c>
      <c r="E15" s="3" t="s">
        <v>8</v>
      </c>
      <c r="F15" s="3" t="s">
        <v>9</v>
      </c>
      <c r="G15" s="3" t="s">
        <v>1</v>
      </c>
      <c r="H15" s="3" t="s">
        <v>2</v>
      </c>
      <c r="I15" s="3" t="s">
        <v>3</v>
      </c>
      <c r="J15" s="3" t="s">
        <v>41</v>
      </c>
      <c r="K15" s="3" t="s">
        <v>42</v>
      </c>
      <c r="L15" s="3" t="s">
        <v>43</v>
      </c>
      <c r="M15" s="3" t="s">
        <v>37</v>
      </c>
      <c r="N15" s="3" t="s">
        <v>38</v>
      </c>
      <c r="O15" s="3" t="s">
        <v>39</v>
      </c>
      <c r="P15" s="6" t="s">
        <v>16</v>
      </c>
      <c r="Q15" s="6" t="s">
        <v>17</v>
      </c>
      <c r="R15" s="6" t="s">
        <v>18</v>
      </c>
    </row>
    <row r="16" spans="1:18" ht="18.75" x14ac:dyDescent="0.3">
      <c r="A16" t="s">
        <v>67</v>
      </c>
      <c r="B16" s="4">
        <v>20</v>
      </c>
      <c r="C16" s="4">
        <v>1</v>
      </c>
      <c r="D16" s="5">
        <v>0.28699999999999998</v>
      </c>
      <c r="E16" s="5">
        <v>0.28599999999999998</v>
      </c>
      <c r="F16" s="5">
        <f>AVERAGE(D16:E16)</f>
        <v>0.28649999999999998</v>
      </c>
      <c r="G16" s="3">
        <f>(F16*100.51+1.2932)/C16</f>
        <v>30.089314999999999</v>
      </c>
      <c r="H16" s="3">
        <f>G16/63.5</f>
        <v>0.4738474803149606</v>
      </c>
      <c r="I16" s="3">
        <f>H16*B16</f>
        <v>9.4769496062992111</v>
      </c>
      <c r="J16" s="3">
        <f>I16/M16</f>
        <v>5.9009648856159469</v>
      </c>
      <c r="K16" s="3">
        <f>I16/N16</f>
        <v>56.322945591842469</v>
      </c>
      <c r="L16" s="3">
        <f>I16/O16</f>
        <v>122.75841458936802</v>
      </c>
      <c r="M16">
        <v>1.6060000000000001</v>
      </c>
      <c r="N16" s="3">
        <v>0.1682609016044041</v>
      </c>
      <c r="O16">
        <v>7.7200000000000005E-2</v>
      </c>
      <c r="P16" s="20">
        <f>AVERAGE(J16:J18)</f>
        <v>5.5352924275152544</v>
      </c>
      <c r="Q16" s="20">
        <f>AVERAGE(K16:K18)</f>
        <v>52.832711306218378</v>
      </c>
      <c r="R16" s="20">
        <f>AVERAGE(L16:L18)</f>
        <v>116.18784550304009</v>
      </c>
    </row>
    <row r="17" spans="1:18" ht="18.75" x14ac:dyDescent="0.3">
      <c r="A17" t="s">
        <v>67</v>
      </c>
      <c r="B17" s="4">
        <v>20</v>
      </c>
      <c r="C17" s="4">
        <v>1</v>
      </c>
      <c r="D17" s="5">
        <v>0.255</v>
      </c>
      <c r="E17" s="5">
        <v>0.25900000000000001</v>
      </c>
      <c r="F17" s="5">
        <f t="shared" ref="F17:F24" si="15">AVERAGE(D17:E17)</f>
        <v>0.25700000000000001</v>
      </c>
      <c r="G17" s="3">
        <f t="shared" ref="G17:G24" si="16">(F17*100.51+1.2932)/C17</f>
        <v>27.124269999999999</v>
      </c>
      <c r="H17" s="3">
        <f t="shared" ref="H17:H23" si="17">G17/63.5</f>
        <v>0.42715385826771651</v>
      </c>
      <c r="I17" s="3">
        <f t="shared" ref="I17:I23" si="18">H17*B17</f>
        <v>8.5430771653543296</v>
      </c>
      <c r="J17" s="3">
        <f t="shared" ref="J17:J24" si="19">I17/M17</f>
        <v>6.0111716615214812</v>
      </c>
      <c r="K17" s="3">
        <f t="shared" ref="K17:K24" si="20">I17/N17</f>
        <v>57.374836318782783</v>
      </c>
      <c r="L17" s="3">
        <f t="shared" ref="L17:L24" si="21">I17/O17</f>
        <v>126.75188672632537</v>
      </c>
      <c r="M17">
        <v>1.4212</v>
      </c>
      <c r="N17" s="3">
        <v>0.14889937320060964</v>
      </c>
      <c r="O17">
        <v>6.7400000000000002E-2</v>
      </c>
      <c r="P17" s="21"/>
      <c r="Q17" s="21"/>
      <c r="R17" s="21"/>
    </row>
    <row r="18" spans="1:18" ht="18.75" x14ac:dyDescent="0.3">
      <c r="A18" t="s">
        <v>67</v>
      </c>
      <c r="B18" s="4">
        <v>20</v>
      </c>
      <c r="C18" s="4">
        <v>1</v>
      </c>
      <c r="D18" s="5">
        <v>0.27600000000000002</v>
      </c>
      <c r="E18" s="5">
        <v>0.27400000000000002</v>
      </c>
      <c r="F18" s="5">
        <f t="shared" si="15"/>
        <v>0.27500000000000002</v>
      </c>
      <c r="G18" s="3">
        <f t="shared" si="16"/>
        <v>28.933450000000004</v>
      </c>
      <c r="H18" s="3">
        <f t="shared" si="17"/>
        <v>0.45564488188976382</v>
      </c>
      <c r="I18" s="3">
        <f t="shared" si="18"/>
        <v>9.1128976377952764</v>
      </c>
      <c r="J18" s="3">
        <f t="shared" si="19"/>
        <v>4.6937407354083316</v>
      </c>
      <c r="K18" s="3">
        <f t="shared" si="20"/>
        <v>44.800352008029869</v>
      </c>
      <c r="L18" s="3">
        <f t="shared" si="21"/>
        <v>99.053235193426914</v>
      </c>
      <c r="M18">
        <v>1.9415</v>
      </c>
      <c r="N18" s="3">
        <v>0.20341129543272138</v>
      </c>
      <c r="O18">
        <v>9.1999999999999998E-2</v>
      </c>
      <c r="P18" s="21"/>
      <c r="Q18" s="21"/>
      <c r="R18" s="21"/>
    </row>
    <row r="19" spans="1:18" ht="18.75" x14ac:dyDescent="0.3">
      <c r="A19" t="s">
        <v>61</v>
      </c>
      <c r="B19" s="4">
        <v>20</v>
      </c>
      <c r="C19" s="4">
        <v>1</v>
      </c>
      <c r="D19" s="5">
        <v>0.30299999999999999</v>
      </c>
      <c r="E19" s="5">
        <v>0.30499999999999999</v>
      </c>
      <c r="F19" s="5">
        <f t="shared" si="15"/>
        <v>0.30399999999999999</v>
      </c>
      <c r="G19" s="3">
        <f t="shared" si="16"/>
        <v>31.848240000000001</v>
      </c>
      <c r="H19" s="3">
        <f t="shared" si="17"/>
        <v>0.50154708661417324</v>
      </c>
      <c r="I19" s="3">
        <f t="shared" si="18"/>
        <v>10.030941732283464</v>
      </c>
      <c r="J19" s="3">
        <f t="shared" si="19"/>
        <v>4.7396247081286447</v>
      </c>
      <c r="K19" s="3">
        <f t="shared" si="20"/>
        <v>45.238300809481522</v>
      </c>
      <c r="L19" s="3">
        <f t="shared" si="21"/>
        <v>96.451362810417933</v>
      </c>
      <c r="M19">
        <v>2.1164000000000001</v>
      </c>
      <c r="N19" s="3">
        <v>0.22173559910059826</v>
      </c>
      <c r="O19">
        <v>0.104</v>
      </c>
      <c r="P19" s="20">
        <f t="shared" ref="P19:R19" si="22">AVERAGE(J19:J21)</f>
        <v>4.9936840152956394</v>
      </c>
      <c r="Q19" s="20">
        <f t="shared" si="22"/>
        <v>47.663220938992545</v>
      </c>
      <c r="R19" s="20">
        <f t="shared" si="22"/>
        <v>102.06591226414747</v>
      </c>
    </row>
    <row r="20" spans="1:18" ht="18.75" x14ac:dyDescent="0.3">
      <c r="A20" t="s">
        <v>62</v>
      </c>
      <c r="B20" s="4">
        <v>20</v>
      </c>
      <c r="C20" s="4">
        <v>1</v>
      </c>
      <c r="D20" s="5">
        <v>0.30199999999999999</v>
      </c>
      <c r="E20" s="5">
        <v>0.30199999999999999</v>
      </c>
      <c r="F20" s="5">
        <f t="shared" si="15"/>
        <v>0.30199999999999999</v>
      </c>
      <c r="G20" s="3">
        <f t="shared" si="16"/>
        <v>31.647220000000001</v>
      </c>
      <c r="H20" s="3">
        <f t="shared" si="17"/>
        <v>0.49838141732283464</v>
      </c>
      <c r="I20" s="3">
        <f t="shared" si="18"/>
        <v>9.9676283464566922</v>
      </c>
      <c r="J20" s="3">
        <f t="shared" si="19"/>
        <v>5.1661803392021834</v>
      </c>
      <c r="K20" s="3">
        <f t="shared" si="20"/>
        <v>49.309646778580813</v>
      </c>
      <c r="L20" s="3">
        <f t="shared" si="21"/>
        <v>105.70125499954075</v>
      </c>
      <c r="M20">
        <v>1.9294</v>
      </c>
      <c r="N20" s="3">
        <v>0.20214357631104435</v>
      </c>
      <c r="O20">
        <v>9.4299999999999995E-2</v>
      </c>
      <c r="P20" s="21"/>
      <c r="Q20" s="21"/>
      <c r="R20" s="21"/>
    </row>
    <row r="21" spans="1:18" ht="18.75" x14ac:dyDescent="0.3">
      <c r="A21" t="s">
        <v>63</v>
      </c>
      <c r="B21" s="4">
        <v>20</v>
      </c>
      <c r="C21" s="4">
        <v>1</v>
      </c>
      <c r="D21" s="5">
        <v>0.311</v>
      </c>
      <c r="E21" s="5">
        <v>0.316</v>
      </c>
      <c r="F21" s="5">
        <f t="shared" si="15"/>
        <v>0.3135</v>
      </c>
      <c r="G21" s="3">
        <f t="shared" si="16"/>
        <v>32.803085000000003</v>
      </c>
      <c r="H21" s="3">
        <f t="shared" si="17"/>
        <v>0.51658401574803159</v>
      </c>
      <c r="I21" s="3">
        <f t="shared" si="18"/>
        <v>10.331680314960632</v>
      </c>
      <c r="J21" s="3">
        <f>I21/M21</f>
        <v>5.0752469985560902</v>
      </c>
      <c r="K21" s="3">
        <f t="shared" si="20"/>
        <v>48.441715228915307</v>
      </c>
      <c r="L21" s="3">
        <f t="shared" si="21"/>
        <v>104.04511898248371</v>
      </c>
      <c r="M21">
        <v>2.0356999999999998</v>
      </c>
      <c r="N21" s="3">
        <v>0.21328064595023993</v>
      </c>
      <c r="O21">
        <v>9.9299999999999999E-2</v>
      </c>
      <c r="P21" s="21"/>
      <c r="Q21" s="21"/>
      <c r="R21" s="21"/>
    </row>
    <row r="22" spans="1:18" ht="18.75" x14ac:dyDescent="0.3">
      <c r="A22" t="s">
        <v>64</v>
      </c>
      <c r="B22" s="4">
        <v>20</v>
      </c>
      <c r="C22" s="4">
        <v>1</v>
      </c>
      <c r="D22" s="5">
        <v>0.25</v>
      </c>
      <c r="E22" s="5">
        <v>0.252</v>
      </c>
      <c r="F22" s="5">
        <f t="shared" si="15"/>
        <v>0.251</v>
      </c>
      <c r="G22" s="3">
        <f t="shared" si="16"/>
        <v>26.52121</v>
      </c>
      <c r="H22" s="3">
        <f t="shared" si="17"/>
        <v>0.41765685039370076</v>
      </c>
      <c r="I22" s="3">
        <f>H22*B22</f>
        <v>8.3531370078740146</v>
      </c>
      <c r="J22" s="3">
        <f t="shared" si="19"/>
        <v>4.6869807024318337</v>
      </c>
      <c r="K22" s="3">
        <f t="shared" si="20"/>
        <v>44.735829514350499</v>
      </c>
      <c r="L22" s="3">
        <f t="shared" si="21"/>
        <v>96.123555901887386</v>
      </c>
      <c r="M22">
        <v>1.7822</v>
      </c>
      <c r="N22" s="3">
        <v>0.18672140650022973</v>
      </c>
      <c r="O22">
        <v>8.6900000000000005E-2</v>
      </c>
      <c r="P22" s="20">
        <f t="shared" ref="P22:R22" si="23">AVERAGE(J22:J24)</f>
        <v>4.6363406519335788</v>
      </c>
      <c r="Q22" s="20">
        <f t="shared" si="23"/>
        <v>44.252485372457045</v>
      </c>
      <c r="R22" s="20">
        <f t="shared" si="23"/>
        <v>97.646541682862889</v>
      </c>
    </row>
    <row r="23" spans="1:18" ht="18.75" x14ac:dyDescent="0.3">
      <c r="A23" t="s">
        <v>65</v>
      </c>
      <c r="B23" s="4">
        <v>20</v>
      </c>
      <c r="C23" s="4">
        <v>1</v>
      </c>
      <c r="D23" s="5">
        <v>0.192</v>
      </c>
      <c r="E23" s="5">
        <v>0.19500000000000001</v>
      </c>
      <c r="F23" s="5">
        <f t="shared" si="15"/>
        <v>0.19350000000000001</v>
      </c>
      <c r="G23" s="3">
        <f t="shared" si="16"/>
        <v>20.741885</v>
      </c>
      <c r="H23" s="3">
        <f t="shared" si="17"/>
        <v>0.32664385826771652</v>
      </c>
      <c r="I23" s="3">
        <f t="shared" si="18"/>
        <v>6.5328771653543303</v>
      </c>
      <c r="J23" s="3">
        <f t="shared" si="19"/>
        <v>4.5088530370310789</v>
      </c>
      <c r="K23" s="3">
        <f t="shared" si="20"/>
        <v>43.035654203830681</v>
      </c>
      <c r="L23" s="3">
        <f t="shared" si="21"/>
        <v>98.238754366230523</v>
      </c>
      <c r="M23">
        <v>1.4489000000000001</v>
      </c>
      <c r="N23" s="3">
        <v>0.1518015070576719</v>
      </c>
      <c r="O23">
        <v>6.6500000000000004E-2</v>
      </c>
      <c r="P23" s="21"/>
      <c r="Q23" s="21"/>
      <c r="R23" s="21"/>
    </row>
    <row r="24" spans="1:18" ht="18.75" x14ac:dyDescent="0.3">
      <c r="A24" t="s">
        <v>66</v>
      </c>
      <c r="B24" s="4">
        <v>20</v>
      </c>
      <c r="C24" s="4">
        <v>1</v>
      </c>
      <c r="D24" s="5">
        <v>0.216</v>
      </c>
      <c r="E24" s="5">
        <v>0.221</v>
      </c>
      <c r="F24" s="5">
        <f t="shared" si="15"/>
        <v>0.2185</v>
      </c>
      <c r="G24" s="3">
        <f t="shared" si="16"/>
        <v>23.254635</v>
      </c>
      <c r="H24" s="3">
        <f>G24/63.5</f>
        <v>0.3662147244094488</v>
      </c>
      <c r="I24" s="3">
        <f>H24*B24</f>
        <v>7.3242944881889755</v>
      </c>
      <c r="J24" s="3">
        <f t="shared" si="19"/>
        <v>4.713188216337822</v>
      </c>
      <c r="K24" s="3">
        <f t="shared" si="20"/>
        <v>44.985972399189976</v>
      </c>
      <c r="L24" s="3">
        <f t="shared" si="21"/>
        <v>98.577314780470729</v>
      </c>
      <c r="M24">
        <v>1.554</v>
      </c>
      <c r="N24" s="3">
        <v>0.16281285248645327</v>
      </c>
      <c r="O24">
        <v>7.4300000000000005E-2</v>
      </c>
      <c r="P24" s="21"/>
      <c r="Q24" s="21"/>
      <c r="R24" s="21"/>
    </row>
    <row r="27" spans="1:18" x14ac:dyDescent="0.25">
      <c r="B27" t="s">
        <v>40</v>
      </c>
    </row>
    <row r="28" spans="1:18" ht="20.25" x14ac:dyDescent="0.3">
      <c r="A28" s="9">
        <v>2</v>
      </c>
      <c r="B28" s="9">
        <f>A28*10</f>
        <v>20</v>
      </c>
      <c r="C28" s="9">
        <v>0.185</v>
      </c>
    </row>
    <row r="29" spans="1:18" ht="20.25" x14ac:dyDescent="0.3">
      <c r="A29" s="9">
        <v>2.5</v>
      </c>
      <c r="B29" s="9">
        <f t="shared" ref="B29:B32" si="24">A29*10</f>
        <v>25</v>
      </c>
      <c r="C29" s="9">
        <v>0.23599999999999999</v>
      </c>
    </row>
    <row r="30" spans="1:18" ht="20.25" x14ac:dyDescent="0.3">
      <c r="A30" s="9">
        <v>3</v>
      </c>
      <c r="B30" s="9">
        <f t="shared" si="24"/>
        <v>30</v>
      </c>
      <c r="C30" s="9">
        <v>0.28499999999999998</v>
      </c>
    </row>
    <row r="31" spans="1:18" ht="20.25" x14ac:dyDescent="0.3">
      <c r="A31" s="9">
        <v>3.5</v>
      </c>
      <c r="B31" s="9">
        <f t="shared" si="24"/>
        <v>35</v>
      </c>
      <c r="C31" s="9">
        <v>0.34200000000000003</v>
      </c>
    </row>
    <row r="32" spans="1:18" ht="20.25" x14ac:dyDescent="0.3">
      <c r="A32" s="9">
        <v>4</v>
      </c>
      <c r="B32" s="9">
        <f t="shared" si="24"/>
        <v>40</v>
      </c>
      <c r="C32" s="9">
        <v>0.38</v>
      </c>
    </row>
  </sheetData>
  <mergeCells count="20">
    <mergeCell ref="P22:P24"/>
    <mergeCell ref="Q22:Q24"/>
    <mergeCell ref="R22:R24"/>
    <mergeCell ref="A13:Q13"/>
    <mergeCell ref="P16:P18"/>
    <mergeCell ref="Q16:Q18"/>
    <mergeCell ref="R16:R18"/>
    <mergeCell ref="P19:P21"/>
    <mergeCell ref="Q19:Q21"/>
    <mergeCell ref="R19:R21"/>
    <mergeCell ref="P10:P12"/>
    <mergeCell ref="Q10:Q12"/>
    <mergeCell ref="R10:R12"/>
    <mergeCell ref="A1:Q1"/>
    <mergeCell ref="P4:P6"/>
    <mergeCell ref="Q4:Q6"/>
    <mergeCell ref="R4:R6"/>
    <mergeCell ref="P7:P9"/>
    <mergeCell ref="Q7:Q9"/>
    <mergeCell ref="R7:R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5A2FD-7F06-4A5E-9647-5C416DD21A71}">
  <dimension ref="A1:O50"/>
  <sheetViews>
    <sheetView tabSelected="1" topLeftCell="A16" workbookViewId="0">
      <selection activeCell="E28" sqref="E28"/>
    </sheetView>
  </sheetViews>
  <sheetFormatPr defaultRowHeight="15" x14ac:dyDescent="0.25"/>
  <cols>
    <col min="1" max="1" width="15.5703125" customWidth="1"/>
    <col min="6" max="9" width="12" bestFit="1" customWidth="1"/>
    <col min="10" max="10" width="21.5703125" customWidth="1"/>
    <col min="11" max="11" width="21.85546875" customWidth="1"/>
    <col min="12" max="12" width="20.140625" customWidth="1"/>
    <col min="13" max="13" width="21.28515625" customWidth="1"/>
    <col min="14" max="14" width="20.85546875" customWidth="1"/>
    <col min="15" max="15" width="22.28515625" customWidth="1"/>
  </cols>
  <sheetData>
    <row r="1" spans="1:15" ht="21" x14ac:dyDescent="0.35">
      <c r="A1" s="25" t="s">
        <v>44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ht="56.25" x14ac:dyDescent="0.3">
      <c r="A2" s="3" t="s">
        <v>0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</v>
      </c>
      <c r="H2" s="3" t="s">
        <v>2</v>
      </c>
      <c r="I2" s="3" t="s">
        <v>3</v>
      </c>
      <c r="J2" s="3" t="s">
        <v>46</v>
      </c>
      <c r="K2" s="3" t="s">
        <v>45</v>
      </c>
      <c r="L2" s="3" t="s">
        <v>48</v>
      </c>
      <c r="M2" s="3" t="s">
        <v>49</v>
      </c>
      <c r="N2" s="6" t="s">
        <v>16</v>
      </c>
      <c r="O2" s="6" t="s">
        <v>17</v>
      </c>
    </row>
    <row r="3" spans="1:15" ht="20.25" x14ac:dyDescent="0.3">
      <c r="A3" s="9" t="s">
        <v>75</v>
      </c>
      <c r="B3" s="12">
        <f>25+0.9+0.1+2*0.0167</f>
        <v>26.0334</v>
      </c>
      <c r="C3" s="13">
        <v>12</v>
      </c>
      <c r="D3" s="14">
        <v>6.8000000000000005E-2</v>
      </c>
      <c r="E3" s="14">
        <v>6.7000000000000004E-2</v>
      </c>
      <c r="F3" s="14">
        <f>AVERAGE(D3:E3)</f>
        <v>6.7500000000000004E-2</v>
      </c>
      <c r="G3" s="15">
        <f>(F3*37.683-0.4035)/C3</f>
        <v>0.17834187499999998</v>
      </c>
      <c r="H3" s="15">
        <f>G3/63.5</f>
        <v>2.808533464566929E-3</v>
      </c>
      <c r="I3" s="15">
        <f>H3*B3</f>
        <v>7.3115675096456695E-2</v>
      </c>
      <c r="J3" s="15">
        <f t="shared" ref="J3:J11" si="0">I3/L3</f>
        <v>4.7508560816411111E-2</v>
      </c>
      <c r="K3" s="15">
        <f t="shared" ref="K3:K11" si="1">I3/M3</f>
        <v>0.80790801211554364</v>
      </c>
      <c r="L3" s="16">
        <v>1.5389999999999999</v>
      </c>
      <c r="M3" s="15">
        <v>9.0499999999999997E-2</v>
      </c>
      <c r="N3" s="23">
        <f>AVERAGE(J3:J5)</f>
        <v>6.562365152955596E-2</v>
      </c>
      <c r="O3" s="23">
        <f>AVERAGE(K3:K5)</f>
        <v>1.0855540757124398</v>
      </c>
    </row>
    <row r="4" spans="1:15" ht="20.25" x14ac:dyDescent="0.3">
      <c r="A4" s="9" t="s">
        <v>75</v>
      </c>
      <c r="B4" s="12">
        <f>25+0.2+0.2+0.014</f>
        <v>25.413999999999998</v>
      </c>
      <c r="C4" s="13">
        <v>12</v>
      </c>
      <c r="D4" s="14">
        <v>7.0000000000000007E-2</v>
      </c>
      <c r="E4" s="14">
        <v>6.9000000000000006E-2</v>
      </c>
      <c r="F4" s="14">
        <f t="shared" ref="F4:F11" si="2">AVERAGE(D4:E4)</f>
        <v>6.9500000000000006E-2</v>
      </c>
      <c r="G4" s="15">
        <f t="shared" ref="G4:G14" si="3">(F4*37.683-0.4035)/C4</f>
        <v>0.18462237500000001</v>
      </c>
      <c r="H4" s="15">
        <f t="shared" ref="H4:H10" si="4">G4/63.5</f>
        <v>2.9074389763779529E-3</v>
      </c>
      <c r="I4" s="15">
        <f t="shared" ref="I4:I10" si="5">H4*B4</f>
        <v>7.3889654145669295E-2</v>
      </c>
      <c r="J4" s="15">
        <f t="shared" si="0"/>
        <v>5.9999719160104985E-2</v>
      </c>
      <c r="K4" s="15">
        <f t="shared" si="1"/>
        <v>0.99581744131629779</v>
      </c>
      <c r="L4" s="16">
        <v>1.2315</v>
      </c>
      <c r="M4" s="15">
        <v>7.4200000000000002E-2</v>
      </c>
      <c r="N4" s="24"/>
      <c r="O4" s="24"/>
    </row>
    <row r="5" spans="1:15" ht="20.25" x14ac:dyDescent="0.3">
      <c r="A5" s="9" t="s">
        <v>75</v>
      </c>
      <c r="B5" s="12">
        <f>25+0.1+2*0.0167+3*0.014+2*0.011</f>
        <v>25.197400000000002</v>
      </c>
      <c r="C5" s="13">
        <v>12</v>
      </c>
      <c r="D5" s="14">
        <v>0.114</v>
      </c>
      <c r="E5" s="14">
        <v>0.111</v>
      </c>
      <c r="F5" s="14">
        <f t="shared" si="2"/>
        <v>0.1125</v>
      </c>
      <c r="G5" s="15">
        <f t="shared" si="3"/>
        <v>0.31965312500000004</v>
      </c>
      <c r="H5" s="15">
        <f t="shared" si="4"/>
        <v>5.0339074803149612E-3</v>
      </c>
      <c r="I5" s="15">
        <f t="shared" si="5"/>
        <v>0.12684138034448822</v>
      </c>
      <c r="J5" s="15">
        <f t="shared" si="0"/>
        <v>8.9362674612151763E-2</v>
      </c>
      <c r="K5" s="15">
        <f t="shared" si="1"/>
        <v>1.4529367737054779</v>
      </c>
      <c r="L5" s="16">
        <v>1.4194</v>
      </c>
      <c r="M5" s="15">
        <v>8.7300000000000003E-2</v>
      </c>
      <c r="N5" s="24"/>
      <c r="O5" s="24"/>
    </row>
    <row r="6" spans="1:15" ht="20.25" x14ac:dyDescent="0.3">
      <c r="A6" s="17" t="s">
        <v>67</v>
      </c>
      <c r="B6" s="12">
        <f>25.05+0.2+2*0.02+0.1+0.1+3*0.0125+0.016+0.028+0.014</f>
        <v>25.5855</v>
      </c>
      <c r="C6" s="13">
        <v>1</v>
      </c>
      <c r="D6" s="14">
        <v>0.24199999999999999</v>
      </c>
      <c r="E6" s="14">
        <v>0.245</v>
      </c>
      <c r="F6" s="14">
        <f t="shared" si="2"/>
        <v>0.24349999999999999</v>
      </c>
      <c r="G6" s="15">
        <f t="shared" si="3"/>
        <v>8.7723104999999997</v>
      </c>
      <c r="H6" s="15">
        <f t="shared" si="4"/>
        <v>0.13814662204724409</v>
      </c>
      <c r="I6" s="15">
        <f t="shared" si="5"/>
        <v>3.5345503983897637</v>
      </c>
      <c r="J6" s="15">
        <f t="shared" si="0"/>
        <v>3.4426321207653294</v>
      </c>
      <c r="K6" s="15">
        <f t="shared" si="1"/>
        <v>49.712382537127482</v>
      </c>
      <c r="L6" s="16">
        <v>1.0266999999999999</v>
      </c>
      <c r="M6" s="15">
        <v>7.1099999999999997E-2</v>
      </c>
      <c r="N6" s="23">
        <f>AVERAGE(J6:J8)</f>
        <v>3.4732157097546961</v>
      </c>
      <c r="O6" s="23">
        <f>AVERAGE(K6:K8)</f>
        <v>48.829242173558988</v>
      </c>
    </row>
    <row r="7" spans="1:15" ht="20.25" x14ac:dyDescent="0.3">
      <c r="A7" s="17" t="s">
        <v>67</v>
      </c>
      <c r="B7" s="12">
        <f>25.2+0.2+4*0.016+0.028+0.014</f>
        <v>25.505999999999997</v>
      </c>
      <c r="C7" s="13">
        <v>1</v>
      </c>
      <c r="D7" s="14">
        <v>0.22</v>
      </c>
      <c r="E7" s="14">
        <v>0.221</v>
      </c>
      <c r="F7" s="14">
        <f t="shared" si="2"/>
        <v>0.2205</v>
      </c>
      <c r="G7" s="15">
        <f t="shared" si="3"/>
        <v>7.9056015000000004</v>
      </c>
      <c r="H7" s="15">
        <f t="shared" si="4"/>
        <v>0.12449766141732284</v>
      </c>
      <c r="I7" s="15">
        <f t="shared" si="5"/>
        <v>3.1754373521102357</v>
      </c>
      <c r="J7" s="15">
        <f t="shared" si="0"/>
        <v>3.6791071163367346</v>
      </c>
      <c r="K7" s="15">
        <f t="shared" si="1"/>
        <v>50.085762651581007</v>
      </c>
      <c r="L7" s="16">
        <v>0.86309999999999998</v>
      </c>
      <c r="M7" s="15">
        <v>6.3399999999999998E-2</v>
      </c>
      <c r="N7" s="24"/>
      <c r="O7" s="24"/>
    </row>
    <row r="8" spans="1:15" ht="20.25" x14ac:dyDescent="0.3">
      <c r="A8" s="17" t="s">
        <v>67</v>
      </c>
      <c r="B8" s="12">
        <f>25.05+0.3+0.4+0.016+2*0.0125</f>
        <v>25.790999999999997</v>
      </c>
      <c r="C8" s="13">
        <v>1</v>
      </c>
      <c r="D8" s="14">
        <v>0.23899999999999999</v>
      </c>
      <c r="E8" s="14">
        <v>0.24</v>
      </c>
      <c r="F8" s="14">
        <f t="shared" si="2"/>
        <v>0.23949999999999999</v>
      </c>
      <c r="G8" s="15">
        <f t="shared" si="3"/>
        <v>8.6215785</v>
      </c>
      <c r="H8" s="15">
        <f t="shared" si="4"/>
        <v>0.13577288976377952</v>
      </c>
      <c r="I8" s="15">
        <f t="shared" si="5"/>
        <v>3.5017185998976372</v>
      </c>
      <c r="J8" s="15">
        <f t="shared" si="0"/>
        <v>3.2979078921620237</v>
      </c>
      <c r="K8" s="15">
        <f t="shared" si="1"/>
        <v>46.689581331968498</v>
      </c>
      <c r="L8" s="16">
        <v>1.0618000000000001</v>
      </c>
      <c r="M8" s="15">
        <v>7.4999999999999997E-2</v>
      </c>
      <c r="N8" s="24"/>
      <c r="O8" s="24"/>
    </row>
    <row r="9" spans="1:15" ht="40.5" x14ac:dyDescent="0.3">
      <c r="A9" s="17" t="s">
        <v>73</v>
      </c>
      <c r="B9" s="12">
        <f>25.05+0.3+0.2+0.1+0.0125+3*0.014+2*0.011</f>
        <v>25.726500000000001</v>
      </c>
      <c r="C9" s="13">
        <v>5</v>
      </c>
      <c r="D9" s="14">
        <v>0.432</v>
      </c>
      <c r="E9" s="14">
        <v>0.43099999999999999</v>
      </c>
      <c r="F9" s="14">
        <f t="shared" si="2"/>
        <v>0.43149999999999999</v>
      </c>
      <c r="G9" s="15">
        <f t="shared" si="3"/>
        <v>3.1713429</v>
      </c>
      <c r="H9" s="15">
        <f t="shared" si="4"/>
        <v>4.994240787401575E-2</v>
      </c>
      <c r="I9" s="15">
        <f>H9*B9</f>
        <v>1.2848433561708663</v>
      </c>
      <c r="J9" s="15">
        <f t="shared" si="0"/>
        <v>1.1568911905014103</v>
      </c>
      <c r="K9" s="15">
        <f t="shared" si="1"/>
        <v>15.442828800130606</v>
      </c>
      <c r="L9" s="16">
        <v>1.1106</v>
      </c>
      <c r="M9" s="15">
        <v>8.3199999999999996E-2</v>
      </c>
      <c r="N9" s="23">
        <f>AVERAGE(J9:J11)</f>
        <v>1.1853965647507632</v>
      </c>
      <c r="O9" s="23">
        <f>AVERAGE(K9:K11)</f>
        <v>16.058206227861135</v>
      </c>
    </row>
    <row r="10" spans="1:15" ht="40.5" x14ac:dyDescent="0.3">
      <c r="A10" s="17" t="s">
        <v>73</v>
      </c>
      <c r="B10" s="12">
        <f>25+0.1+4*0.016+0.2</f>
        <v>25.364000000000001</v>
      </c>
      <c r="C10" s="13">
        <v>5</v>
      </c>
      <c r="D10" s="14">
        <v>0.41499999999999998</v>
      </c>
      <c r="E10" s="14">
        <v>0.41099999999999998</v>
      </c>
      <c r="F10" s="14">
        <f t="shared" si="2"/>
        <v>0.41299999999999998</v>
      </c>
      <c r="G10" s="15">
        <f t="shared" si="3"/>
        <v>3.0319157999999997</v>
      </c>
      <c r="H10" s="15">
        <f t="shared" si="4"/>
        <v>4.7746705511811018E-2</v>
      </c>
      <c r="I10" s="15">
        <f t="shared" si="5"/>
        <v>1.2110474386015746</v>
      </c>
      <c r="J10" s="15">
        <f t="shared" si="0"/>
        <v>1.1322433046013225</v>
      </c>
      <c r="K10" s="15">
        <f t="shared" si="1"/>
        <v>15.687142987067027</v>
      </c>
      <c r="L10" s="16">
        <v>1.0696000000000001</v>
      </c>
      <c r="M10" s="15">
        <v>7.7200000000000005E-2</v>
      </c>
      <c r="N10" s="24"/>
      <c r="O10" s="24"/>
    </row>
    <row r="11" spans="1:15" ht="40.5" x14ac:dyDescent="0.3">
      <c r="A11" s="17" t="s">
        <v>73</v>
      </c>
      <c r="B11" s="12">
        <f>25+0.1+0.028+0.042+0.028</f>
        <v>25.198</v>
      </c>
      <c r="C11" s="13">
        <v>5</v>
      </c>
      <c r="D11" s="14">
        <v>0.47</v>
      </c>
      <c r="E11" s="14">
        <v>0.46899999999999997</v>
      </c>
      <c r="F11" s="14">
        <f t="shared" si="2"/>
        <v>0.46949999999999997</v>
      </c>
      <c r="G11" s="15">
        <f t="shared" si="3"/>
        <v>3.4577336999999995</v>
      </c>
      <c r="H11" s="15">
        <f>G11/63.5</f>
        <v>5.4452499212598419E-2</v>
      </c>
      <c r="I11" s="15">
        <f>H11*B11</f>
        <v>1.3720940751590549</v>
      </c>
      <c r="J11" s="15">
        <f t="shared" si="0"/>
        <v>1.2670551991495567</v>
      </c>
      <c r="K11" s="15">
        <f t="shared" si="1"/>
        <v>17.044646896385775</v>
      </c>
      <c r="L11" s="16">
        <v>1.0829</v>
      </c>
      <c r="M11" s="15">
        <v>8.0500000000000002E-2</v>
      </c>
      <c r="N11" s="24"/>
      <c r="O11" s="24"/>
    </row>
    <row r="12" spans="1:15" ht="40.5" x14ac:dyDescent="0.3">
      <c r="A12" s="17" t="s">
        <v>74</v>
      </c>
      <c r="B12" s="12">
        <f>25.1+0.1+0.05+2*0.0125+0.011+0.005</f>
        <v>25.291</v>
      </c>
      <c r="C12" s="13">
        <v>5</v>
      </c>
      <c r="D12" s="14">
        <v>0.26</v>
      </c>
      <c r="E12" s="14">
        <v>0.26100000000000001</v>
      </c>
      <c r="F12" s="14">
        <f t="shared" ref="F12:F14" si="6">AVERAGE(D12:E12)</f>
        <v>0.26050000000000001</v>
      </c>
      <c r="G12" s="15">
        <f t="shared" si="3"/>
        <v>1.8825843000000002</v>
      </c>
      <c r="H12" s="15">
        <f t="shared" ref="H12:H13" si="7">G12/63.5</f>
        <v>2.9646996850393705E-2</v>
      </c>
      <c r="I12" s="15">
        <f>H12*B12</f>
        <v>0.74980219734330722</v>
      </c>
      <c r="J12" s="15">
        <f t="shared" ref="J12:J14" si="8">I12/L12</f>
        <v>0.58669968493216529</v>
      </c>
      <c r="K12" s="15">
        <f t="shared" ref="K12:K14" si="9">I12/M12</f>
        <v>8.0797650575787419</v>
      </c>
      <c r="L12" s="16">
        <v>1.278</v>
      </c>
      <c r="M12" s="15">
        <v>9.2799999999999994E-2</v>
      </c>
      <c r="N12" s="23">
        <f>AVERAGE(J12:J14)</f>
        <v>0.57917577465991343</v>
      </c>
      <c r="O12" s="23">
        <f>AVERAGE(K12:K14)</f>
        <v>7.9643230508676268</v>
      </c>
    </row>
    <row r="13" spans="1:15" ht="40.5" x14ac:dyDescent="0.3">
      <c r="A13" s="17" t="s">
        <v>74</v>
      </c>
      <c r="B13" s="12">
        <f>25+0.3+0.1+2*0.125+0.01</f>
        <v>25.660000000000004</v>
      </c>
      <c r="C13" s="13">
        <v>5</v>
      </c>
      <c r="D13" s="14">
        <v>0.16500000000000001</v>
      </c>
      <c r="E13" s="14">
        <v>0.17</v>
      </c>
      <c r="F13" s="14">
        <f t="shared" si="6"/>
        <v>0.16750000000000001</v>
      </c>
      <c r="G13" s="15">
        <f t="shared" si="3"/>
        <v>1.1816805000000001</v>
      </c>
      <c r="H13" s="15">
        <f t="shared" si="7"/>
        <v>1.8609141732283466E-2</v>
      </c>
      <c r="I13" s="15">
        <f t="shared" ref="I13" si="10">H13*B13</f>
        <v>0.47751057685039378</v>
      </c>
      <c r="J13" s="15">
        <f t="shared" si="8"/>
        <v>0.44456808197597408</v>
      </c>
      <c r="K13" s="15">
        <f t="shared" si="9"/>
        <v>6.2338195411278559</v>
      </c>
      <c r="L13" s="16">
        <v>1.0741000000000001</v>
      </c>
      <c r="M13" s="15">
        <v>7.6600000000000001E-2</v>
      </c>
      <c r="N13" s="24"/>
      <c r="O13" s="24"/>
    </row>
    <row r="14" spans="1:15" ht="40.5" x14ac:dyDescent="0.3">
      <c r="A14" s="17" t="s">
        <v>74</v>
      </c>
      <c r="B14" s="12">
        <f>25+0.2+0.1+0.03+0.01</f>
        <v>25.340000000000003</v>
      </c>
      <c r="C14" s="13">
        <v>5</v>
      </c>
      <c r="D14" s="14">
        <v>0.33600000000000002</v>
      </c>
      <c r="E14" s="14">
        <v>0.33200000000000002</v>
      </c>
      <c r="F14" s="14">
        <f t="shared" si="6"/>
        <v>0.33400000000000002</v>
      </c>
      <c r="G14" s="15">
        <f t="shared" si="3"/>
        <v>2.4365244000000006</v>
      </c>
      <c r="H14" s="15">
        <f>G14/63.5</f>
        <v>3.8370462992125993E-2</v>
      </c>
      <c r="I14" s="15">
        <f>H14*B14</f>
        <v>0.97230753222047284</v>
      </c>
      <c r="J14" s="15">
        <f t="shared" si="8"/>
        <v>0.70625955707160082</v>
      </c>
      <c r="K14" s="15">
        <f t="shared" si="9"/>
        <v>9.5793845538962827</v>
      </c>
      <c r="L14" s="16">
        <v>1.3767</v>
      </c>
      <c r="M14" s="15">
        <v>0.10150000000000001</v>
      </c>
      <c r="N14" s="24"/>
      <c r="O14" s="24"/>
    </row>
    <row r="16" spans="1:15" ht="21" x14ac:dyDescent="0.35">
      <c r="A16" s="25" t="s">
        <v>47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56.25" x14ac:dyDescent="0.3">
      <c r="A17" s="3" t="s">
        <v>0</v>
      </c>
      <c r="B17" s="3" t="s">
        <v>5</v>
      </c>
      <c r="C17" s="3" t="s">
        <v>6</v>
      </c>
      <c r="D17" s="3" t="s">
        <v>7</v>
      </c>
      <c r="E17" s="3" t="s">
        <v>8</v>
      </c>
      <c r="F17" s="3" t="s">
        <v>9</v>
      </c>
      <c r="G17" s="3" t="s">
        <v>1</v>
      </c>
      <c r="H17" s="3" t="s">
        <v>2</v>
      </c>
      <c r="I17" s="3" t="s">
        <v>3</v>
      </c>
      <c r="J17" s="3" t="s">
        <v>46</v>
      </c>
      <c r="K17" s="3" t="s">
        <v>45</v>
      </c>
      <c r="L17" s="3" t="s">
        <v>37</v>
      </c>
      <c r="M17" s="3" t="s">
        <v>38</v>
      </c>
      <c r="N17" s="6" t="s">
        <v>16</v>
      </c>
      <c r="O17" s="6" t="s">
        <v>17</v>
      </c>
    </row>
    <row r="18" spans="1:15" ht="20.25" x14ac:dyDescent="0.3">
      <c r="A18" s="9" t="s">
        <v>75</v>
      </c>
      <c r="B18" s="10">
        <f>25+0.2+0.1+2*0.016</f>
        <v>25.332000000000001</v>
      </c>
      <c r="C18" s="4">
        <v>12</v>
      </c>
      <c r="D18" s="5">
        <v>6.8000000000000005E-2</v>
      </c>
      <c r="E18" s="5">
        <v>6.9000000000000006E-2</v>
      </c>
      <c r="F18" s="5">
        <f t="shared" ref="F18:F24" si="11">AVERAGE(D18:E18)</f>
        <v>6.8500000000000005E-2</v>
      </c>
      <c r="G18" s="3">
        <f t="shared" ref="G18:G27" si="12">(F18*23.583+0.0429)/C18</f>
        <v>0.13819462499999999</v>
      </c>
      <c r="H18" s="3">
        <f t="shared" ref="H18:H23" si="13">G18/63.5</f>
        <v>2.1762933070866141E-3</v>
      </c>
      <c r="I18" s="3">
        <f t="shared" ref="I18:I21" si="14">H18*B18</f>
        <v>5.5129862055118113E-2</v>
      </c>
      <c r="J18" s="3">
        <f t="shared" ref="J18:J24" si="15">I18/L18</f>
        <v>2.8254336846616497E-2</v>
      </c>
      <c r="K18" s="3">
        <f t="shared" ref="K18:K24" si="16">I18/M18</f>
        <v>0.27170952220363781</v>
      </c>
      <c r="L18" s="2">
        <v>1.9512</v>
      </c>
      <c r="M18" s="3">
        <v>0.2029</v>
      </c>
      <c r="N18" s="18">
        <f>AVERAGE(J18)</f>
        <v>2.8254336846616497E-2</v>
      </c>
      <c r="O18" s="18">
        <f>AVERAGE(K18)</f>
        <v>0.27170952220363781</v>
      </c>
    </row>
    <row r="19" spans="1:15" ht="20.25" x14ac:dyDescent="0.3">
      <c r="A19" s="17" t="s">
        <v>67</v>
      </c>
      <c r="B19" s="10">
        <f>25+0.5+2*0.016</f>
        <v>25.532</v>
      </c>
      <c r="C19" s="4">
        <v>12</v>
      </c>
      <c r="D19" s="5">
        <v>0.217</v>
      </c>
      <c r="E19" s="5">
        <v>0.223</v>
      </c>
      <c r="F19" s="5">
        <f t="shared" si="11"/>
        <v>0.22</v>
      </c>
      <c r="G19" s="3">
        <f t="shared" si="12"/>
        <v>0.43592999999999998</v>
      </c>
      <c r="H19" s="3">
        <f t="shared" si="13"/>
        <v>6.8650393700787401E-3</v>
      </c>
      <c r="I19" s="3">
        <f t="shared" si="14"/>
        <v>0.1752781851968504</v>
      </c>
      <c r="J19" s="3">
        <f t="shared" si="15"/>
        <v>8.5781914156927722E-2</v>
      </c>
      <c r="K19" s="3">
        <f t="shared" si="16"/>
        <v>0.77351361516703621</v>
      </c>
      <c r="L19" s="2">
        <v>2.0432999999999999</v>
      </c>
      <c r="M19" s="3">
        <v>0.2266</v>
      </c>
      <c r="N19" s="20">
        <f>AVERAGE(J19:J21)</f>
        <v>8.2216747990664071E-2</v>
      </c>
      <c r="O19" s="20">
        <f>AVERAGE(K19:K21)</f>
        <v>0.75623393616968559</v>
      </c>
    </row>
    <row r="20" spans="1:15" ht="20.25" x14ac:dyDescent="0.3">
      <c r="A20" s="17" t="s">
        <v>67</v>
      </c>
      <c r="B20" s="10">
        <f>26.2+0.5+0.1+0.1+0.1+2*0.016+0.016</f>
        <v>27.048000000000002</v>
      </c>
      <c r="C20" s="4">
        <v>12</v>
      </c>
      <c r="D20" s="5">
        <v>0.17399999999999999</v>
      </c>
      <c r="E20" s="5">
        <v>0.18</v>
      </c>
      <c r="F20" s="5">
        <f t="shared" si="11"/>
        <v>0.17699999999999999</v>
      </c>
      <c r="G20" s="3">
        <f t="shared" si="12"/>
        <v>0.35142424999999999</v>
      </c>
      <c r="H20" s="3">
        <f t="shared" si="13"/>
        <v>5.5342401574803145E-3</v>
      </c>
      <c r="I20" s="3">
        <f t="shared" si="14"/>
        <v>0.14969012777952756</v>
      </c>
      <c r="J20" s="3">
        <f t="shared" si="15"/>
        <v>8.1508373416568233E-2</v>
      </c>
      <c r="K20" s="3">
        <f t="shared" si="16"/>
        <v>0.74584019820392411</v>
      </c>
      <c r="L20" s="2">
        <v>1.8365</v>
      </c>
      <c r="M20" s="3">
        <v>0.20069999999999999</v>
      </c>
      <c r="N20" s="21"/>
      <c r="O20" s="21"/>
    </row>
    <row r="21" spans="1:15" ht="20.25" x14ac:dyDescent="0.3">
      <c r="A21" s="17" t="s">
        <v>67</v>
      </c>
      <c r="B21" s="10">
        <f>25.3+0.4+4*0.016</f>
        <v>25.763999999999999</v>
      </c>
      <c r="C21" s="4">
        <v>12</v>
      </c>
      <c r="D21" s="5">
        <v>0.20699999999999999</v>
      </c>
      <c r="E21" s="5">
        <v>0.20699999999999999</v>
      </c>
      <c r="F21" s="5">
        <f t="shared" si="11"/>
        <v>0.20699999999999999</v>
      </c>
      <c r="G21" s="3">
        <f t="shared" si="12"/>
        <v>0.41038174999999999</v>
      </c>
      <c r="H21" s="3">
        <f t="shared" si="13"/>
        <v>6.4627047244094488E-3</v>
      </c>
      <c r="I21" s="3">
        <f t="shared" si="14"/>
        <v>0.16650512451968502</v>
      </c>
      <c r="J21" s="3">
        <f t="shared" si="15"/>
        <v>7.9359956398496259E-2</v>
      </c>
      <c r="K21" s="3">
        <f t="shared" si="16"/>
        <v>0.74934799513809636</v>
      </c>
      <c r="L21" s="2">
        <v>2.0981000000000001</v>
      </c>
      <c r="M21" s="3">
        <v>0.22220000000000001</v>
      </c>
      <c r="N21" s="21"/>
      <c r="O21" s="21"/>
    </row>
    <row r="22" spans="1:15" ht="40.5" x14ac:dyDescent="0.3">
      <c r="A22" s="17" t="s">
        <v>73</v>
      </c>
      <c r="B22" s="10">
        <f>25.05+0.2+0.016+0.005</f>
        <v>25.270999999999997</v>
      </c>
      <c r="C22" s="4">
        <v>12</v>
      </c>
      <c r="D22" s="5">
        <v>0.16700000000000001</v>
      </c>
      <c r="E22" s="5">
        <v>0.16800000000000001</v>
      </c>
      <c r="F22" s="5">
        <f t="shared" si="11"/>
        <v>0.16750000000000001</v>
      </c>
      <c r="G22" s="3">
        <f t="shared" si="12"/>
        <v>0.33275437499999999</v>
      </c>
      <c r="H22" s="3">
        <f t="shared" si="13"/>
        <v>5.2402263779527556E-3</v>
      </c>
      <c r="I22" s="3">
        <f>H22*B22</f>
        <v>0.13242576079724408</v>
      </c>
      <c r="J22" s="3">
        <f t="shared" si="15"/>
        <v>6.6368847189517396E-2</v>
      </c>
      <c r="K22" s="3">
        <f t="shared" si="16"/>
        <v>0.60385663838232595</v>
      </c>
      <c r="L22" s="2">
        <v>1.9953000000000001</v>
      </c>
      <c r="M22" s="3">
        <v>0.21929999999999999</v>
      </c>
      <c r="N22" s="20">
        <f>AVERAGE(J22:J24)</f>
        <v>6.3491162076802166E-2</v>
      </c>
      <c r="O22" s="20">
        <f>AVERAGE(K22:K24)</f>
        <v>0.59069129874604054</v>
      </c>
    </row>
    <row r="23" spans="1:15" ht="40.5" x14ac:dyDescent="0.3">
      <c r="A23" s="17" t="s">
        <v>73</v>
      </c>
      <c r="B23" s="10">
        <f>25+1</f>
        <v>26</v>
      </c>
      <c r="C23" s="4">
        <v>12</v>
      </c>
      <c r="D23" s="5">
        <v>0.129</v>
      </c>
      <c r="E23" s="5">
        <v>0.128</v>
      </c>
      <c r="F23" s="5">
        <f t="shared" si="11"/>
        <v>0.1285</v>
      </c>
      <c r="G23" s="3">
        <f t="shared" si="12"/>
        <v>0.25610962499999995</v>
      </c>
      <c r="H23" s="3">
        <f t="shared" si="13"/>
        <v>4.0332224409448808E-3</v>
      </c>
      <c r="I23" s="3">
        <f t="shared" ref="I23" si="17">H23*B23</f>
        <v>0.1048637834645669</v>
      </c>
      <c r="J23" s="3">
        <f t="shared" si="15"/>
        <v>5.7381003263784904E-2</v>
      </c>
      <c r="K23" s="3">
        <f t="shared" si="16"/>
        <v>0.53015057363279527</v>
      </c>
      <c r="L23" s="2">
        <v>1.8274999999999999</v>
      </c>
      <c r="M23" s="3">
        <v>0.1978</v>
      </c>
      <c r="N23" s="21"/>
      <c r="O23" s="21"/>
    </row>
    <row r="24" spans="1:15" ht="40.5" x14ac:dyDescent="0.3">
      <c r="A24" s="17" t="s">
        <v>73</v>
      </c>
      <c r="B24" s="10">
        <f>25+0.3+0.1+0.01</f>
        <v>25.410000000000004</v>
      </c>
      <c r="C24" s="4">
        <v>12</v>
      </c>
      <c r="D24" s="5">
        <v>0.16700000000000001</v>
      </c>
      <c r="E24" s="5">
        <v>0.16900000000000001</v>
      </c>
      <c r="F24" s="5">
        <f t="shared" si="11"/>
        <v>0.16800000000000001</v>
      </c>
      <c r="G24" s="3">
        <f t="shared" si="12"/>
        <v>0.33373700000000001</v>
      </c>
      <c r="H24" s="3">
        <f>G24/63.5</f>
        <v>5.2557007874015748E-3</v>
      </c>
      <c r="I24" s="3">
        <f>H24*B24</f>
        <v>0.13354735700787404</v>
      </c>
      <c r="J24" s="3">
        <f t="shared" si="15"/>
        <v>6.672363577710419E-2</v>
      </c>
      <c r="K24" s="3">
        <f t="shared" si="16"/>
        <v>0.63806668422300061</v>
      </c>
      <c r="L24" s="2">
        <v>2.0015000000000001</v>
      </c>
      <c r="M24" s="3">
        <v>0.20930000000000001</v>
      </c>
      <c r="N24" s="21"/>
      <c r="O24" s="21"/>
    </row>
    <row r="25" spans="1:15" ht="40.5" x14ac:dyDescent="0.3">
      <c r="A25" s="17" t="s">
        <v>74</v>
      </c>
      <c r="B25" s="10">
        <f>25+0.2+0.05</f>
        <v>25.25</v>
      </c>
      <c r="C25" s="4">
        <v>12</v>
      </c>
      <c r="D25" s="5">
        <v>0.14000000000000001</v>
      </c>
      <c r="E25" s="5">
        <v>0.13700000000000001</v>
      </c>
      <c r="F25" s="5">
        <f t="shared" ref="F25:F27" si="18">AVERAGE(D25:E25)</f>
        <v>0.13850000000000001</v>
      </c>
      <c r="G25" s="3">
        <f t="shared" si="12"/>
        <v>0.27576212500000002</v>
      </c>
      <c r="H25" s="3">
        <f t="shared" ref="H25:H26" si="19">G25/63.5</f>
        <v>4.3427106299212606E-3</v>
      </c>
      <c r="I25" s="3">
        <f>H25*B25</f>
        <v>0.10965344340551184</v>
      </c>
      <c r="J25" s="3">
        <f t="shared" ref="J25:J27" si="20">I25/L25</f>
        <v>5.1468408075809359E-2</v>
      </c>
      <c r="K25" s="3">
        <f t="shared" ref="K25:K27" si="21">I25/M25</f>
        <v>0.47967385566715587</v>
      </c>
      <c r="L25" s="2">
        <v>2.1305000000000001</v>
      </c>
      <c r="M25" s="3">
        <v>0.2286</v>
      </c>
      <c r="N25" s="20">
        <f>AVERAGE(J25:J27)</f>
        <v>4.5758633280533513E-2</v>
      </c>
      <c r="O25" s="20">
        <f>AVERAGE(K25:K27)</f>
        <v>0.42260626427171805</v>
      </c>
    </row>
    <row r="26" spans="1:15" ht="40.5" x14ac:dyDescent="0.3">
      <c r="A26" s="17" t="s">
        <v>74</v>
      </c>
      <c r="B26" s="10">
        <f>25+0.8+0.1+0.016</f>
        <v>25.916</v>
      </c>
      <c r="C26" s="4">
        <v>12</v>
      </c>
      <c r="D26" s="5">
        <v>9.5000000000000001E-2</v>
      </c>
      <c r="E26" s="5">
        <v>9.6000000000000002E-2</v>
      </c>
      <c r="F26" s="5">
        <f t="shared" si="18"/>
        <v>9.5500000000000002E-2</v>
      </c>
      <c r="G26" s="3">
        <f t="shared" si="12"/>
        <v>0.19125637500000001</v>
      </c>
      <c r="H26" s="3">
        <f t="shared" si="19"/>
        <v>3.0119114173228346E-3</v>
      </c>
      <c r="I26" s="3">
        <f t="shared" ref="I26" si="22">H26*B26</f>
        <v>7.8056696291338587E-2</v>
      </c>
      <c r="J26" s="3">
        <f t="shared" si="20"/>
        <v>4.3906342834592521E-2</v>
      </c>
      <c r="K26" s="3">
        <f t="shared" si="21"/>
        <v>0.41256181972166273</v>
      </c>
      <c r="L26" s="2">
        <v>1.7778</v>
      </c>
      <c r="M26" s="3">
        <v>0.18920000000000001</v>
      </c>
      <c r="N26" s="21"/>
      <c r="O26" s="21"/>
    </row>
    <row r="27" spans="1:15" ht="40.5" x14ac:dyDescent="0.3">
      <c r="A27" s="17" t="s">
        <v>74</v>
      </c>
      <c r="B27" s="10">
        <f>25.05+0.6+2*0.016+0.005+0.005</f>
        <v>25.692</v>
      </c>
      <c r="C27" s="4">
        <v>12</v>
      </c>
      <c r="D27" s="5">
        <v>0.121</v>
      </c>
      <c r="E27" s="5">
        <v>0.11899999999999999</v>
      </c>
      <c r="F27" s="5">
        <f t="shared" si="18"/>
        <v>0.12</v>
      </c>
      <c r="G27" s="3">
        <f t="shared" si="12"/>
        <v>0.23940499999999998</v>
      </c>
      <c r="H27" s="3">
        <f>G27/63.5</f>
        <v>3.7701574803149602E-3</v>
      </c>
      <c r="I27" s="3">
        <f>H27*B27</f>
        <v>9.6862885984251954E-2</v>
      </c>
      <c r="J27" s="3">
        <f t="shared" si="20"/>
        <v>4.1901148931198666E-2</v>
      </c>
      <c r="K27" s="3">
        <f t="shared" si="21"/>
        <v>0.3755831174263356</v>
      </c>
      <c r="L27" s="2">
        <v>2.3117000000000001</v>
      </c>
      <c r="M27" s="3">
        <v>0.25790000000000002</v>
      </c>
      <c r="N27" s="21"/>
      <c r="O27" s="21"/>
    </row>
    <row r="29" spans="1:15" x14ac:dyDescent="0.25">
      <c r="A29" t="s">
        <v>50</v>
      </c>
    </row>
    <row r="30" spans="1:15" ht="18.75" x14ac:dyDescent="0.3">
      <c r="A30">
        <v>0.3</v>
      </c>
      <c r="B30">
        <f>A30*10</f>
        <v>3</v>
      </c>
      <c r="C30" s="11">
        <v>8.8999999999999996E-2</v>
      </c>
    </row>
    <row r="31" spans="1:15" ht="18.75" x14ac:dyDescent="0.3">
      <c r="A31">
        <v>0.8</v>
      </c>
      <c r="B31">
        <f t="shared" ref="B31:B34" si="23">A31*10</f>
        <v>8</v>
      </c>
      <c r="C31" s="11">
        <v>0.22700000000000001</v>
      </c>
    </row>
    <row r="32" spans="1:15" ht="18.75" x14ac:dyDescent="0.3">
      <c r="A32">
        <v>1.1000000000000001</v>
      </c>
      <c r="B32">
        <f t="shared" si="23"/>
        <v>11</v>
      </c>
      <c r="C32" s="11">
        <v>0.29699999999999999</v>
      </c>
    </row>
    <row r="33" spans="1:3" ht="18.75" x14ac:dyDescent="0.3">
      <c r="A33">
        <v>1.4</v>
      </c>
      <c r="B33">
        <f t="shared" si="23"/>
        <v>14</v>
      </c>
      <c r="C33" s="11">
        <v>0.38900000000000001</v>
      </c>
    </row>
    <row r="34" spans="1:3" ht="18.75" x14ac:dyDescent="0.3">
      <c r="A34">
        <v>1.7</v>
      </c>
      <c r="B34">
        <f t="shared" si="23"/>
        <v>17</v>
      </c>
      <c r="C34" s="11">
        <v>0.45800000000000002</v>
      </c>
    </row>
    <row r="35" spans="1:3" ht="18.75" x14ac:dyDescent="0.3">
      <c r="C35" s="11"/>
    </row>
    <row r="45" spans="1:3" x14ac:dyDescent="0.25">
      <c r="A45" t="s">
        <v>51</v>
      </c>
    </row>
    <row r="46" spans="1:3" ht="18.75" x14ac:dyDescent="0.3">
      <c r="A46">
        <v>0.1</v>
      </c>
      <c r="B46">
        <f>A46*10</f>
        <v>1</v>
      </c>
      <c r="C46" s="11">
        <v>3.5999999999999997E-2</v>
      </c>
    </row>
    <row r="47" spans="1:3" ht="18.75" x14ac:dyDescent="0.3">
      <c r="A47">
        <v>0.3</v>
      </c>
      <c r="B47">
        <f t="shared" ref="B47:B50" si="24">A47*10</f>
        <v>3</v>
      </c>
      <c r="C47" s="11">
        <v>0.126</v>
      </c>
    </row>
    <row r="48" spans="1:3" ht="18.75" x14ac:dyDescent="0.3">
      <c r="A48">
        <v>0.5</v>
      </c>
      <c r="B48">
        <f t="shared" si="24"/>
        <v>5</v>
      </c>
      <c r="C48" s="11">
        <v>0.215</v>
      </c>
    </row>
    <row r="49" spans="1:3" ht="18.75" x14ac:dyDescent="0.3">
      <c r="A49">
        <v>0.7</v>
      </c>
      <c r="B49">
        <f t="shared" si="24"/>
        <v>7</v>
      </c>
      <c r="C49" s="11">
        <v>0.30499999999999999</v>
      </c>
    </row>
    <row r="50" spans="1:3" ht="18.75" x14ac:dyDescent="0.3">
      <c r="A50">
        <v>0.9</v>
      </c>
      <c r="B50">
        <f t="shared" si="24"/>
        <v>9</v>
      </c>
      <c r="C50" s="11">
        <v>0.36899999999999999</v>
      </c>
    </row>
  </sheetData>
  <mergeCells count="16">
    <mergeCell ref="N22:N24"/>
    <mergeCell ref="O22:O24"/>
    <mergeCell ref="N9:N11"/>
    <mergeCell ref="O9:O11"/>
    <mergeCell ref="N25:N27"/>
    <mergeCell ref="O25:O27"/>
    <mergeCell ref="A1:O1"/>
    <mergeCell ref="A16:O16"/>
    <mergeCell ref="N3:N5"/>
    <mergeCell ref="O3:O5"/>
    <mergeCell ref="N6:N8"/>
    <mergeCell ref="O6:O8"/>
    <mergeCell ref="N12:N14"/>
    <mergeCell ref="O12:O14"/>
    <mergeCell ref="N19:N21"/>
    <mergeCell ref="O19:O21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Масса растений</vt:lpstr>
      <vt:lpstr>Сорбция КС побег</vt:lpstr>
      <vt:lpstr>Десорбция</vt:lpstr>
      <vt:lpstr>Озоление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2022-08-04T12:43:16Z</dcterms:modified>
</cp:coreProperties>
</file>