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nikus\OneDrive\Рабочий стол\Аспирантура\Диссертация\Опыты ВИКА 9 растений\"/>
    </mc:Choice>
  </mc:AlternateContent>
  <xr:revisionPtr revIDLastSave="0" documentId="13_ncr:1_{27B5FF92-4D35-4119-80CB-12A0A27CEFFC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Массы растений" sheetId="1" r:id="rId1"/>
    <sheet name="Сорбция по растворам" sheetId="2" r:id="rId2"/>
    <sheet name="Десорбция" sheetId="3" r:id="rId3"/>
    <sheet name="Озоление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10" i="2" l="1"/>
  <c r="J15" i="4"/>
  <c r="K15" i="4"/>
  <c r="B23" i="4"/>
  <c r="B22" i="4"/>
  <c r="B21" i="4"/>
  <c r="B20" i="4"/>
  <c r="B19" i="4"/>
  <c r="B18" i="4"/>
  <c r="B17" i="4"/>
  <c r="B16" i="4"/>
  <c r="B15" i="4"/>
  <c r="B37" i="4"/>
  <c r="B38" i="4"/>
  <c r="B39" i="4"/>
  <c r="B40" i="4"/>
  <c r="B36" i="4"/>
  <c r="J7" i="3"/>
  <c r="J16" i="3"/>
  <c r="G15" i="1"/>
  <c r="G16" i="1"/>
  <c r="G17" i="1"/>
  <c r="G18" i="1"/>
  <c r="G19" i="1"/>
  <c r="G20" i="1"/>
  <c r="G21" i="1"/>
  <c r="G22" i="1"/>
  <c r="G14" i="1"/>
  <c r="B29" i="4"/>
  <c r="B30" i="4"/>
  <c r="B31" i="4"/>
  <c r="B32" i="4"/>
  <c r="B28" i="4"/>
  <c r="B11" i="4"/>
  <c r="B10" i="4"/>
  <c r="B9" i="4"/>
  <c r="B8" i="4"/>
  <c r="B7" i="4"/>
  <c r="B6" i="4"/>
  <c r="B5" i="4"/>
  <c r="B3" i="4"/>
  <c r="B4" i="4"/>
  <c r="F23" i="4"/>
  <c r="G23" i="4" s="1"/>
  <c r="F22" i="4"/>
  <c r="G22" i="4" s="1"/>
  <c r="F21" i="4"/>
  <c r="G21" i="4" s="1"/>
  <c r="F20" i="4"/>
  <c r="G20" i="4" s="1"/>
  <c r="F19" i="4"/>
  <c r="G19" i="4" s="1"/>
  <c r="F18" i="4"/>
  <c r="G18" i="4" s="1"/>
  <c r="F17" i="4"/>
  <c r="G17" i="4" s="1"/>
  <c r="F16" i="4"/>
  <c r="G16" i="4" s="1"/>
  <c r="F15" i="4"/>
  <c r="G15" i="4" s="1"/>
  <c r="F11" i="4"/>
  <c r="F10" i="4"/>
  <c r="F9" i="4"/>
  <c r="G9" i="4" s="1"/>
  <c r="F8" i="4"/>
  <c r="G8" i="4" s="1"/>
  <c r="F7" i="4"/>
  <c r="F6" i="4"/>
  <c r="G6" i="4" s="1"/>
  <c r="F5" i="4"/>
  <c r="F4" i="4"/>
  <c r="G4" i="4" s="1"/>
  <c r="F3" i="4"/>
  <c r="G3" i="4" s="1"/>
  <c r="F15" i="1"/>
  <c r="F16" i="1"/>
  <c r="F17" i="1"/>
  <c r="F18" i="1"/>
  <c r="F19" i="1"/>
  <c r="F20" i="1"/>
  <c r="F21" i="1"/>
  <c r="F22" i="1"/>
  <c r="F14" i="1"/>
  <c r="F17" i="3"/>
  <c r="G17" i="3" s="1"/>
  <c r="H17" i="3" s="1"/>
  <c r="I17" i="3" s="1"/>
  <c r="F18" i="3"/>
  <c r="G18" i="3" s="1"/>
  <c r="H18" i="3" s="1"/>
  <c r="I18" i="3" s="1"/>
  <c r="F19" i="3"/>
  <c r="G19" i="3" s="1"/>
  <c r="H19" i="3" s="1"/>
  <c r="I19" i="3" s="1"/>
  <c r="K19" i="3" s="1"/>
  <c r="F20" i="3"/>
  <c r="G20" i="3" s="1"/>
  <c r="H20" i="3" s="1"/>
  <c r="I20" i="3" s="1"/>
  <c r="K20" i="3" s="1"/>
  <c r="F21" i="3"/>
  <c r="G21" i="3" s="1"/>
  <c r="H21" i="3" s="1"/>
  <c r="I21" i="3" s="1"/>
  <c r="F22" i="3"/>
  <c r="G22" i="3" s="1"/>
  <c r="H22" i="3" s="1"/>
  <c r="I22" i="3" s="1"/>
  <c r="F23" i="3"/>
  <c r="G23" i="3" s="1"/>
  <c r="H23" i="3" s="1"/>
  <c r="I23" i="3" s="1"/>
  <c r="F24" i="3"/>
  <c r="G24" i="3" s="1"/>
  <c r="H24" i="3" s="1"/>
  <c r="I24" i="3" s="1"/>
  <c r="K22" i="2"/>
  <c r="K23" i="2"/>
  <c r="K21" i="2"/>
  <c r="K19" i="2"/>
  <c r="K20" i="2"/>
  <c r="K18" i="2"/>
  <c r="K16" i="2"/>
  <c r="K17" i="2"/>
  <c r="K15" i="2"/>
  <c r="K3" i="2"/>
  <c r="P36" i="2"/>
  <c r="Q36" i="2" s="1"/>
  <c r="P35" i="2"/>
  <c r="Q35" i="2" s="1"/>
  <c r="P34" i="2"/>
  <c r="Q34" i="2" s="1"/>
  <c r="H19" i="4" l="1"/>
  <c r="I19" i="4" s="1"/>
  <c r="J19" i="4" s="1"/>
  <c r="H23" i="4"/>
  <c r="I23" i="4" s="1"/>
  <c r="K23" i="4" s="1"/>
  <c r="H22" i="4"/>
  <c r="I22" i="4" s="1"/>
  <c r="J22" i="4" s="1"/>
  <c r="H21" i="4"/>
  <c r="I21" i="4" s="1"/>
  <c r="K21" i="4" s="1"/>
  <c r="H20" i="4"/>
  <c r="I20" i="4" s="1"/>
  <c r="K20" i="4" s="1"/>
  <c r="H18" i="4"/>
  <c r="I18" i="4" s="1"/>
  <c r="K18" i="4" s="1"/>
  <c r="H17" i="4"/>
  <c r="I17" i="4" s="1"/>
  <c r="K17" i="4" s="1"/>
  <c r="H16" i="4"/>
  <c r="I16" i="4" s="1"/>
  <c r="K16" i="4" s="1"/>
  <c r="H15" i="4"/>
  <c r="I15" i="4" s="1"/>
  <c r="G11" i="4"/>
  <c r="H11" i="4" s="1"/>
  <c r="I11" i="4" s="1"/>
  <c r="G10" i="4"/>
  <c r="H10" i="4" s="1"/>
  <c r="I10" i="4" s="1"/>
  <c r="H9" i="4"/>
  <c r="I9" i="4" s="1"/>
  <c r="K9" i="4" s="1"/>
  <c r="H8" i="4"/>
  <c r="I8" i="4" s="1"/>
  <c r="K8" i="4" s="1"/>
  <c r="G7" i="4"/>
  <c r="H7" i="4" s="1"/>
  <c r="I7" i="4" s="1"/>
  <c r="K7" i="4" s="1"/>
  <c r="G5" i="4"/>
  <c r="H5" i="4" s="1"/>
  <c r="I5" i="4" s="1"/>
  <c r="K5" i="4" s="1"/>
  <c r="H4" i="4"/>
  <c r="I4" i="4" s="1"/>
  <c r="K4" i="4" s="1"/>
  <c r="H6" i="4"/>
  <c r="I6" i="4" s="1"/>
  <c r="K6" i="4" s="1"/>
  <c r="H3" i="4"/>
  <c r="I3" i="4" s="1"/>
  <c r="J3" i="4" s="1"/>
  <c r="K17" i="3"/>
  <c r="L17" i="3"/>
  <c r="J17" i="3"/>
  <c r="J18" i="3"/>
  <c r="K18" i="3"/>
  <c r="K24" i="3"/>
  <c r="L24" i="3"/>
  <c r="J24" i="3"/>
  <c r="K23" i="3"/>
  <c r="L23" i="3"/>
  <c r="J23" i="3"/>
  <c r="K22" i="3"/>
  <c r="J22" i="3"/>
  <c r="L22" i="3"/>
  <c r="K21" i="3"/>
  <c r="J21" i="3"/>
  <c r="L21" i="3"/>
  <c r="L19" i="3"/>
  <c r="J19" i="3"/>
  <c r="L18" i="3"/>
  <c r="L20" i="3"/>
  <c r="J20" i="3"/>
  <c r="R35" i="2"/>
  <c r="S35" i="2" s="1"/>
  <c r="R36" i="2"/>
  <c r="S36" i="2" s="1"/>
  <c r="R34" i="2"/>
  <c r="S34" i="2" s="1"/>
  <c r="D9" i="1"/>
  <c r="J9" i="1" s="1"/>
  <c r="D8" i="1"/>
  <c r="J8" i="1" s="1"/>
  <c r="E8" i="1"/>
  <c r="K8" i="1" s="1"/>
  <c r="E9" i="1"/>
  <c r="K9" i="1" s="1"/>
  <c r="E7" i="1"/>
  <c r="K7" i="1" s="1"/>
  <c r="D7" i="1"/>
  <c r="J7" i="1" s="1"/>
  <c r="E10" i="1"/>
  <c r="K10" i="1" s="1"/>
  <c r="E12" i="1"/>
  <c r="K12" i="1" s="1"/>
  <c r="E11" i="1"/>
  <c r="K11" i="1" s="1"/>
  <c r="D11" i="1"/>
  <c r="J11" i="1" s="1"/>
  <c r="D12" i="1"/>
  <c r="J12" i="1" s="1"/>
  <c r="D10" i="1"/>
  <c r="J10" i="1" s="1"/>
  <c r="K19" i="4" l="1"/>
  <c r="J23" i="4"/>
  <c r="K22" i="4"/>
  <c r="J21" i="4"/>
  <c r="J18" i="4"/>
  <c r="J17" i="4"/>
  <c r="J16" i="4"/>
  <c r="J20" i="4"/>
  <c r="K11" i="4"/>
  <c r="O9" i="4" s="1"/>
  <c r="J11" i="4"/>
  <c r="K10" i="4"/>
  <c r="J10" i="4"/>
  <c r="J7" i="4"/>
  <c r="O6" i="4"/>
  <c r="J6" i="4"/>
  <c r="J4" i="4"/>
  <c r="J9" i="4"/>
  <c r="J8" i="4"/>
  <c r="J5" i="4"/>
  <c r="K3" i="4"/>
  <c r="O3" i="4" s="1"/>
  <c r="N21" i="4"/>
  <c r="O21" i="4"/>
  <c r="N15" i="4"/>
  <c r="N18" i="4"/>
  <c r="O18" i="4"/>
  <c r="O15" i="4"/>
  <c r="B28" i="3"/>
  <c r="B29" i="3"/>
  <c r="B30" i="3"/>
  <c r="B31" i="3"/>
  <c r="B32" i="3"/>
  <c r="F16" i="3"/>
  <c r="G16" i="3" s="1"/>
  <c r="F10" i="3"/>
  <c r="G10" i="3" s="1"/>
  <c r="F9" i="3"/>
  <c r="G9" i="3" s="1"/>
  <c r="F8" i="3"/>
  <c r="G8" i="3" s="1"/>
  <c r="F7" i="3"/>
  <c r="G7" i="3" s="1"/>
  <c r="F6" i="3"/>
  <c r="G6" i="3" s="1"/>
  <c r="F5" i="3"/>
  <c r="G5" i="3" s="1"/>
  <c r="F4" i="3"/>
  <c r="G4" i="3" s="1"/>
  <c r="E5" i="1"/>
  <c r="K5" i="1" s="1"/>
  <c r="E6" i="1"/>
  <c r="K6" i="1" s="1"/>
  <c r="E4" i="1"/>
  <c r="K4" i="1" s="1"/>
  <c r="D5" i="1"/>
  <c r="J5" i="1" s="1"/>
  <c r="D6" i="1"/>
  <c r="J6" i="1" s="1"/>
  <c r="D4" i="1"/>
  <c r="J4" i="1" s="1"/>
  <c r="N9" i="4" l="1"/>
  <c r="N6" i="4"/>
  <c r="N3" i="4"/>
  <c r="H10" i="3"/>
  <c r="I10" i="3" s="1"/>
  <c r="H7" i="3"/>
  <c r="I7" i="3" s="1"/>
  <c r="H5" i="3"/>
  <c r="I5" i="3" s="1"/>
  <c r="H4" i="3"/>
  <c r="I4" i="3" s="1"/>
  <c r="H16" i="3"/>
  <c r="I16" i="3" s="1"/>
  <c r="K16" i="3" s="1"/>
  <c r="H9" i="3"/>
  <c r="I9" i="3" s="1"/>
  <c r="H6" i="3"/>
  <c r="I6" i="3" s="1"/>
  <c r="L6" i="3" s="1"/>
  <c r="H8" i="3"/>
  <c r="I8" i="3" s="1"/>
  <c r="F11" i="3"/>
  <c r="G11" i="3" s="1"/>
  <c r="F12" i="3"/>
  <c r="G12" i="3" s="1"/>
  <c r="J9" i="3" l="1"/>
  <c r="L9" i="3"/>
  <c r="K9" i="3"/>
  <c r="J4" i="3"/>
  <c r="K4" i="3"/>
  <c r="L4" i="3"/>
  <c r="L7" i="3"/>
  <c r="R7" i="3" s="1"/>
  <c r="K7" i="3"/>
  <c r="J6" i="3"/>
  <c r="K6" i="3"/>
  <c r="J8" i="3"/>
  <c r="K8" i="3"/>
  <c r="L8" i="3"/>
  <c r="J10" i="3"/>
  <c r="L10" i="3"/>
  <c r="K10" i="3"/>
  <c r="J5" i="3"/>
  <c r="L5" i="3"/>
  <c r="K5" i="3"/>
  <c r="L16" i="3"/>
  <c r="P16" i="3"/>
  <c r="P19" i="3"/>
  <c r="H12" i="3"/>
  <c r="I12" i="3" s="1"/>
  <c r="H11" i="3"/>
  <c r="I11" i="3" s="1"/>
  <c r="B31" i="2"/>
  <c r="B28" i="2"/>
  <c r="B29" i="2"/>
  <c r="B30" i="2"/>
  <c r="B27" i="2"/>
  <c r="P30" i="2"/>
  <c r="Q30" i="2" s="1"/>
  <c r="P29" i="2"/>
  <c r="Q29" i="2" s="1"/>
  <c r="P28" i="2"/>
  <c r="G23" i="2"/>
  <c r="H23" i="2" s="1"/>
  <c r="G22" i="2"/>
  <c r="H22" i="2" s="1"/>
  <c r="G21" i="2"/>
  <c r="H21" i="2" s="1"/>
  <c r="G20" i="2"/>
  <c r="H20" i="2" s="1"/>
  <c r="G19" i="2"/>
  <c r="H19" i="2" s="1"/>
  <c r="G18" i="2"/>
  <c r="H18" i="2" s="1"/>
  <c r="G17" i="2"/>
  <c r="H17" i="2" s="1"/>
  <c r="G16" i="2"/>
  <c r="H16" i="2" s="1"/>
  <c r="G15" i="2"/>
  <c r="H15" i="2" s="1"/>
  <c r="G11" i="2"/>
  <c r="H11" i="2" s="1"/>
  <c r="G10" i="2"/>
  <c r="H10" i="2" s="1"/>
  <c r="G9" i="2"/>
  <c r="H9" i="2" s="1"/>
  <c r="G8" i="2"/>
  <c r="H8" i="2" s="1"/>
  <c r="G7" i="2"/>
  <c r="H7" i="2" s="1"/>
  <c r="G6" i="2"/>
  <c r="H6" i="2" s="1"/>
  <c r="G5" i="2"/>
  <c r="H5" i="2" s="1"/>
  <c r="G4" i="2"/>
  <c r="H4" i="2" s="1"/>
  <c r="G3" i="2"/>
  <c r="H3" i="2" s="1"/>
  <c r="R4" i="3" l="1"/>
  <c r="Q28" i="2"/>
  <c r="R28" i="2" s="1"/>
  <c r="S28" i="2" s="1"/>
  <c r="J11" i="3"/>
  <c r="K11" i="3"/>
  <c r="L11" i="3"/>
  <c r="J12" i="3"/>
  <c r="P10" i="3" s="1"/>
  <c r="K12" i="3"/>
  <c r="Q10" i="3" s="1"/>
  <c r="L12" i="3"/>
  <c r="R16" i="3"/>
  <c r="R19" i="3"/>
  <c r="R22" i="3"/>
  <c r="Q22" i="3"/>
  <c r="Q16" i="3"/>
  <c r="Q19" i="3"/>
  <c r="P22" i="3"/>
  <c r="P7" i="3"/>
  <c r="Q7" i="3"/>
  <c r="P4" i="3"/>
  <c r="Q4" i="3"/>
  <c r="I23" i="2"/>
  <c r="J23" i="2" s="1"/>
  <c r="I22" i="2"/>
  <c r="J22" i="2" s="1"/>
  <c r="I21" i="2"/>
  <c r="J21" i="2" s="1"/>
  <c r="I20" i="2"/>
  <c r="J20" i="2" s="1"/>
  <c r="I19" i="2"/>
  <c r="J19" i="2" s="1"/>
  <c r="I18" i="2"/>
  <c r="J18" i="2" s="1"/>
  <c r="I17" i="2"/>
  <c r="J17" i="2" s="1"/>
  <c r="I16" i="2"/>
  <c r="J16" i="2" s="1"/>
  <c r="I15" i="2"/>
  <c r="J15" i="2" s="1"/>
  <c r="I10" i="2"/>
  <c r="J10" i="2" s="1"/>
  <c r="I9" i="2"/>
  <c r="J9" i="2" s="1"/>
  <c r="I8" i="2"/>
  <c r="J8" i="2" s="1"/>
  <c r="I6" i="2"/>
  <c r="J6" i="2" s="1"/>
  <c r="I5" i="2"/>
  <c r="J5" i="2" s="1"/>
  <c r="I4" i="2"/>
  <c r="J4" i="2" s="1"/>
  <c r="I3" i="2"/>
  <c r="J3" i="2" s="1"/>
  <c r="R29" i="2"/>
  <c r="S29" i="2" s="1"/>
  <c r="I7" i="2"/>
  <c r="J7" i="2" s="1"/>
  <c r="I11" i="2"/>
  <c r="J11" i="2" s="1"/>
  <c r="R30" i="2"/>
  <c r="S30" i="2" s="1"/>
  <c r="L17" i="2" l="1"/>
  <c r="L16" i="2"/>
  <c r="K4" i="2"/>
  <c r="L4" i="2" s="1"/>
  <c r="N4" i="2" s="1"/>
  <c r="K5" i="2"/>
  <c r="L5" i="2" s="1"/>
  <c r="L3" i="2"/>
  <c r="O3" i="2" s="1"/>
  <c r="L9" i="2"/>
  <c r="M9" i="2" s="1"/>
  <c r="L15" i="2"/>
  <c r="L23" i="2"/>
  <c r="M23" i="2" s="1"/>
  <c r="K10" i="2"/>
  <c r="L10" i="2" s="1"/>
  <c r="K11" i="2"/>
  <c r="L11" i="2" s="1"/>
  <c r="K9" i="2"/>
  <c r="L22" i="2"/>
  <c r="N22" i="2" s="1"/>
  <c r="L21" i="2"/>
  <c r="L18" i="2"/>
  <c r="K7" i="2"/>
  <c r="L7" i="2" s="1"/>
  <c r="K6" i="2"/>
  <c r="L6" i="2" s="1"/>
  <c r="O6" i="2" s="1"/>
  <c r="L20" i="2"/>
  <c r="K8" i="2"/>
  <c r="L8" i="2" s="1"/>
  <c r="L19" i="2"/>
  <c r="M19" i="2" s="1"/>
  <c r="R10" i="3"/>
  <c r="O15" i="2" l="1"/>
  <c r="M15" i="2"/>
  <c r="N15" i="2"/>
  <c r="M3" i="2"/>
  <c r="N3" i="2"/>
  <c r="M8" i="2"/>
  <c r="N8" i="2"/>
  <c r="O8" i="2"/>
  <c r="M4" i="2"/>
  <c r="O4" i="2"/>
  <c r="M22" i="2"/>
  <c r="O22" i="2"/>
  <c r="M17" i="2"/>
  <c r="O17" i="2"/>
  <c r="N17" i="2"/>
  <c r="N11" i="2"/>
  <c r="O11" i="2"/>
  <c r="M11" i="2"/>
  <c r="N20" i="2"/>
  <c r="O20" i="2"/>
  <c r="M20" i="2"/>
  <c r="M18" i="2"/>
  <c r="N18" i="2"/>
  <c r="T18" i="2" s="1"/>
  <c r="O18" i="2"/>
  <c r="N5" i="2"/>
  <c r="O5" i="2"/>
  <c r="M5" i="2"/>
  <c r="M21" i="2"/>
  <c r="N21" i="2"/>
  <c r="O21" i="2"/>
  <c r="M16" i="2"/>
  <c r="N16" i="2"/>
  <c r="O16" i="2"/>
  <c r="O10" i="2"/>
  <c r="M10" i="2"/>
  <c r="N9" i="2"/>
  <c r="N7" i="2"/>
  <c r="O7" i="2"/>
  <c r="O9" i="2"/>
  <c r="N6" i="2"/>
  <c r="N19" i="2"/>
  <c r="O23" i="2"/>
  <c r="M6" i="2"/>
  <c r="N23" i="2"/>
  <c r="U15" i="2"/>
  <c r="M7" i="2"/>
  <c r="O19" i="2"/>
  <c r="S9" i="2" l="1"/>
  <c r="S3" i="2"/>
  <c r="U21" i="2"/>
  <c r="U9" i="2"/>
  <c r="U6" i="2"/>
  <c r="U3" i="2"/>
  <c r="U18" i="2"/>
  <c r="S15" i="2"/>
  <c r="T9" i="2"/>
  <c r="T6" i="2"/>
  <c r="T3" i="2"/>
  <c r="S6" i="2"/>
  <c r="S18" i="2"/>
  <c r="S21" i="2"/>
  <c r="T21" i="2"/>
  <c r="T15" i="2"/>
</calcChain>
</file>

<file path=xl/sharedStrings.xml><?xml version="1.0" encoding="utf-8"?>
<sst xmlns="http://schemas.openxmlformats.org/spreadsheetml/2006/main" count="231" uniqueCount="92">
  <si>
    <t>№</t>
  </si>
  <si>
    <t>Сырая масса корней</t>
  </si>
  <si>
    <t>Сухая масса корней</t>
  </si>
  <si>
    <t>Сырая масса побегов</t>
  </si>
  <si>
    <t>Сухая масса побегов</t>
  </si>
  <si>
    <t>Оводненность корней</t>
  </si>
  <si>
    <t>Сухая масса клеточной стенки</t>
  </si>
  <si>
    <t>FW корня</t>
  </si>
  <si>
    <t>DW корня</t>
  </si>
  <si>
    <t>FW побега</t>
  </si>
  <si>
    <t>DW побега</t>
  </si>
  <si>
    <r>
      <t>10</t>
    </r>
    <r>
      <rPr>
        <vertAlign val="superscript"/>
        <sz val="11"/>
        <color theme="1"/>
        <rFont val="Calibri"/>
        <family val="2"/>
        <charset val="204"/>
        <scheme val="minor"/>
      </rPr>
      <t xml:space="preserve">-5 </t>
    </r>
    <r>
      <rPr>
        <sz val="11"/>
        <color theme="1"/>
        <rFont val="Calibri"/>
        <family val="2"/>
        <charset val="204"/>
        <scheme val="minor"/>
      </rPr>
      <t>1</t>
    </r>
  </si>
  <si>
    <r>
      <t>10</t>
    </r>
    <r>
      <rPr>
        <vertAlign val="superscript"/>
        <sz val="11"/>
        <color theme="1"/>
        <rFont val="Calibri"/>
        <family val="2"/>
        <charset val="204"/>
        <scheme val="minor"/>
      </rPr>
      <t xml:space="preserve">-5 </t>
    </r>
    <r>
      <rPr>
        <sz val="11"/>
        <color theme="1"/>
        <rFont val="Calibri"/>
        <family val="2"/>
        <charset val="204"/>
        <scheme val="minor"/>
      </rPr>
      <t>2</t>
    </r>
  </si>
  <si>
    <r>
      <t>10</t>
    </r>
    <r>
      <rPr>
        <vertAlign val="superscript"/>
        <sz val="11"/>
        <color theme="1"/>
        <rFont val="Calibri"/>
        <family val="2"/>
        <charset val="204"/>
        <scheme val="minor"/>
      </rPr>
      <t xml:space="preserve">-5 </t>
    </r>
    <r>
      <rPr>
        <sz val="11"/>
        <color theme="1"/>
        <rFont val="Calibri"/>
        <family val="2"/>
        <charset val="204"/>
        <scheme val="minor"/>
      </rPr>
      <t>3</t>
    </r>
  </si>
  <si>
    <t>V общ</t>
  </si>
  <si>
    <t>Vал.</t>
  </si>
  <si>
    <t>D600 1</t>
  </si>
  <si>
    <t>D600 2</t>
  </si>
  <si>
    <t>D600 Ср</t>
  </si>
  <si>
    <t>мкг/мл</t>
  </si>
  <si>
    <t>мкмоль/мл</t>
  </si>
  <si>
    <t>мкмоль общ</t>
  </si>
  <si>
    <t>мкмоль общ. Ис. Р-ры</t>
  </si>
  <si>
    <t>Разница исх. - посл. Сорбц</t>
  </si>
  <si>
    <t>Сорбция на г сырой массы</t>
  </si>
  <si>
    <t>Сорбция на г сухой массы</t>
  </si>
  <si>
    <t>Сорбция на г сухой массы стенки</t>
  </si>
  <si>
    <t>Средняя сорбция на грамм FW</t>
  </si>
  <si>
    <t>Средняя сорбция на грамм DW</t>
  </si>
  <si>
    <t>Средняя сорбция на грамм DW кл. ст.</t>
  </si>
  <si>
    <t>pH</t>
  </si>
  <si>
    <t>Сухая масса клеточной побегов</t>
  </si>
  <si>
    <t>Оводненность побегов</t>
  </si>
  <si>
    <t>Калибровка L=10</t>
  </si>
  <si>
    <t>Десорбция на г сырой массы</t>
  </si>
  <si>
    <t>Десорбция на г сухой массы</t>
  </si>
  <si>
    <t>Десорбция на г сухой массы стенки</t>
  </si>
  <si>
    <r>
      <t xml:space="preserve">ДЕСОРБЦИЯ КС </t>
    </r>
    <r>
      <rPr>
        <b/>
        <sz val="20"/>
        <color theme="1"/>
        <rFont val="Times New Roman"/>
        <family val="1"/>
        <charset val="204"/>
      </rPr>
      <t>ПОБЕГОВ</t>
    </r>
    <r>
      <rPr>
        <sz val="20"/>
        <color theme="1"/>
        <rFont val="Times New Roman"/>
        <family val="1"/>
        <charset val="204"/>
      </rPr>
      <t xml:space="preserve"> 9 раст 10 дней</t>
    </r>
  </si>
  <si>
    <r>
      <t xml:space="preserve">ДЕСОРБЦИЯ КС </t>
    </r>
    <r>
      <rPr>
        <b/>
        <sz val="20"/>
        <color theme="1"/>
        <rFont val="Times New Roman"/>
        <family val="1"/>
        <charset val="204"/>
      </rPr>
      <t>КОРНЕЙ</t>
    </r>
    <r>
      <rPr>
        <sz val="20"/>
        <color theme="1"/>
        <rFont val="Times New Roman"/>
        <family val="1"/>
        <charset val="204"/>
      </rPr>
      <t xml:space="preserve"> 9 раст 10 дней</t>
    </r>
  </si>
  <si>
    <r>
      <t xml:space="preserve">СОРБЦИЯ КС </t>
    </r>
    <r>
      <rPr>
        <b/>
        <sz val="20"/>
        <color theme="1"/>
        <rFont val="Times New Roman"/>
        <family val="1"/>
        <charset val="204"/>
      </rPr>
      <t>КОРНЕЙ</t>
    </r>
    <r>
      <rPr>
        <sz val="20"/>
        <color theme="1"/>
        <rFont val="Times New Roman"/>
        <family val="1"/>
        <charset val="204"/>
      </rPr>
      <t xml:space="preserve"> 9 раст 10 дней</t>
    </r>
  </si>
  <si>
    <r>
      <t xml:space="preserve">СОРБЦИЯ КС </t>
    </r>
    <r>
      <rPr>
        <b/>
        <sz val="20"/>
        <color theme="1"/>
        <rFont val="Times New Roman"/>
        <family val="1"/>
        <charset val="204"/>
      </rPr>
      <t>ПОБЕГОВ 9 раст</t>
    </r>
    <r>
      <rPr>
        <sz val="20"/>
        <color theme="1"/>
        <rFont val="Times New Roman"/>
        <family val="1"/>
        <charset val="204"/>
      </rPr>
      <t xml:space="preserve"> 10 дней</t>
    </r>
  </si>
  <si>
    <t>Масса растений 9 растений 10 дней</t>
  </si>
  <si>
    <r>
      <t>Gln 5</t>
    </r>
    <r>
      <rPr>
        <vertAlign val="superscript"/>
        <sz val="11"/>
        <color theme="1"/>
        <rFont val="Calibri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  <scheme val="minor"/>
      </rPr>
      <t>1</t>
    </r>
  </si>
  <si>
    <r>
      <t>Gln 5</t>
    </r>
    <r>
      <rPr>
        <vertAlign val="superscript"/>
        <sz val="11"/>
        <color theme="1"/>
        <rFont val="Calibri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  <scheme val="minor"/>
      </rPr>
      <t>2</t>
    </r>
  </si>
  <si>
    <r>
      <t>Gln 5</t>
    </r>
    <r>
      <rPr>
        <vertAlign val="superscript"/>
        <sz val="11"/>
        <color theme="1"/>
        <rFont val="Calibri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  <scheme val="minor"/>
      </rPr>
      <t>3</t>
    </r>
  </si>
  <si>
    <t>10-5 1</t>
  </si>
  <si>
    <t>10-5 2</t>
  </si>
  <si>
    <t>10-5 3</t>
  </si>
  <si>
    <t>Gln 5 1</t>
  </si>
  <si>
    <t>Gln 5 2</t>
  </si>
  <si>
    <t>Gln 5 3</t>
  </si>
  <si>
    <t>КАЛИБРОВКА</t>
  </si>
  <si>
    <t>Gln 5</t>
  </si>
  <si>
    <t>10 мкМ</t>
  </si>
  <si>
    <t>His 1 1</t>
  </si>
  <si>
    <t>His 1 2</t>
  </si>
  <si>
    <t>His 1 3</t>
  </si>
  <si>
    <r>
      <t>His 1</t>
    </r>
    <r>
      <rPr>
        <vertAlign val="superscript"/>
        <sz val="11"/>
        <color theme="1"/>
        <rFont val="Calibri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  <scheme val="minor"/>
      </rPr>
      <t>1</t>
    </r>
  </si>
  <si>
    <r>
      <t>His 1</t>
    </r>
    <r>
      <rPr>
        <vertAlign val="superscript"/>
        <sz val="11"/>
        <color theme="1"/>
        <rFont val="Calibri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  <scheme val="minor"/>
      </rPr>
      <t>2</t>
    </r>
  </si>
  <si>
    <r>
      <t>His 1</t>
    </r>
    <r>
      <rPr>
        <vertAlign val="superscript"/>
        <sz val="11"/>
        <color theme="1"/>
        <rFont val="Calibri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  <scheme val="minor"/>
      </rPr>
      <t>3</t>
    </r>
  </si>
  <si>
    <t>His 1</t>
  </si>
  <si>
    <t>Массовая доля КС корня</t>
  </si>
  <si>
    <t>Массовая доля КС побега</t>
  </si>
  <si>
    <t>DW KC корня</t>
  </si>
  <si>
    <t>DW KC побега</t>
  </si>
  <si>
    <t>Озоление</t>
  </si>
  <si>
    <t>Оводн 1</t>
  </si>
  <si>
    <t>Оводн 2</t>
  </si>
  <si>
    <t>Оводн 3</t>
  </si>
  <si>
    <r>
      <t>10</t>
    </r>
    <r>
      <rPr>
        <vertAlign val="superscript"/>
        <sz val="11"/>
        <color theme="1"/>
        <rFont val="Calibri"/>
        <family val="2"/>
        <charset val="204"/>
        <scheme val="minor"/>
      </rPr>
      <t>-4</t>
    </r>
    <r>
      <rPr>
        <sz val="11"/>
        <color theme="1"/>
        <rFont val="Calibri"/>
        <family val="2"/>
        <scheme val="minor"/>
      </rPr>
      <t xml:space="preserve"> Gln1 1</t>
    </r>
  </si>
  <si>
    <r>
      <t>10</t>
    </r>
    <r>
      <rPr>
        <vertAlign val="superscript"/>
        <sz val="11"/>
        <color theme="1"/>
        <rFont val="Calibri"/>
        <family val="2"/>
        <charset val="204"/>
        <scheme val="minor"/>
      </rPr>
      <t>-4</t>
    </r>
    <r>
      <rPr>
        <sz val="11"/>
        <color theme="1"/>
        <rFont val="Calibri"/>
        <family val="2"/>
        <scheme val="minor"/>
      </rPr>
      <t xml:space="preserve"> Gln1 2</t>
    </r>
    <r>
      <rPr>
        <sz val="11"/>
        <color theme="1"/>
        <rFont val="Calibri"/>
        <family val="2"/>
        <charset val="204"/>
        <scheme val="minor"/>
      </rPr>
      <t/>
    </r>
  </si>
  <si>
    <r>
      <t>10</t>
    </r>
    <r>
      <rPr>
        <vertAlign val="superscript"/>
        <sz val="11"/>
        <color theme="1"/>
        <rFont val="Calibri"/>
        <family val="2"/>
        <charset val="204"/>
        <scheme val="minor"/>
      </rPr>
      <t>-4</t>
    </r>
    <r>
      <rPr>
        <sz val="11"/>
        <color theme="1"/>
        <rFont val="Calibri"/>
        <family val="2"/>
        <scheme val="minor"/>
      </rPr>
      <t xml:space="preserve"> Gln1 3</t>
    </r>
    <r>
      <rPr>
        <sz val="11"/>
        <color theme="1"/>
        <rFont val="Calibri"/>
        <family val="2"/>
        <charset val="204"/>
        <scheme val="minor"/>
      </rPr>
      <t/>
    </r>
  </si>
  <si>
    <r>
      <t>10</t>
    </r>
    <r>
      <rPr>
        <vertAlign val="superscript"/>
        <sz val="11"/>
        <color theme="1"/>
        <rFont val="Calibri"/>
        <family val="2"/>
        <charset val="204"/>
        <scheme val="minor"/>
      </rPr>
      <t>-4</t>
    </r>
    <r>
      <rPr>
        <sz val="11"/>
        <color theme="1"/>
        <rFont val="Calibri"/>
        <family val="2"/>
        <scheme val="minor"/>
      </rPr>
      <t xml:space="preserve"> Gln5 1</t>
    </r>
  </si>
  <si>
    <r>
      <t>10</t>
    </r>
    <r>
      <rPr>
        <vertAlign val="superscript"/>
        <sz val="11"/>
        <color theme="1"/>
        <rFont val="Calibri"/>
        <family val="2"/>
        <charset val="204"/>
        <scheme val="minor"/>
      </rPr>
      <t>-4</t>
    </r>
    <r>
      <rPr>
        <sz val="11"/>
        <color theme="1"/>
        <rFont val="Calibri"/>
        <family val="2"/>
        <scheme val="minor"/>
      </rPr>
      <t xml:space="preserve"> Gln5 2</t>
    </r>
    <r>
      <rPr>
        <sz val="11"/>
        <color theme="1"/>
        <rFont val="Calibri"/>
        <family val="2"/>
        <charset val="204"/>
        <scheme val="minor"/>
      </rPr>
      <t/>
    </r>
  </si>
  <si>
    <r>
      <t>10</t>
    </r>
    <r>
      <rPr>
        <vertAlign val="superscript"/>
        <sz val="11"/>
        <color theme="1"/>
        <rFont val="Calibri"/>
        <family val="2"/>
        <charset val="204"/>
        <scheme val="minor"/>
      </rPr>
      <t>-4</t>
    </r>
    <r>
      <rPr>
        <sz val="11"/>
        <color theme="1"/>
        <rFont val="Calibri"/>
        <family val="2"/>
        <scheme val="minor"/>
      </rPr>
      <t xml:space="preserve"> Gln5 3</t>
    </r>
    <r>
      <rPr>
        <sz val="11"/>
        <color theme="1"/>
        <rFont val="Calibri"/>
        <family val="2"/>
        <charset val="204"/>
        <scheme val="minor"/>
      </rPr>
      <t/>
    </r>
  </si>
  <si>
    <t>На выделение КС из опытных растений</t>
  </si>
  <si>
    <t>ИСХОДНЫЕ ДЛЯ КОРНЕЙ</t>
  </si>
  <si>
    <t>Оводн. Кор</t>
  </si>
  <si>
    <t>Эндогенная конц на г сырой массы</t>
  </si>
  <si>
    <t>Эндогенная конц на г сухой массы</t>
  </si>
  <si>
    <t>Средняя конц на грамм FW</t>
  </si>
  <si>
    <t>Средняя конц на грамм DW</t>
  </si>
  <si>
    <r>
      <t>10</t>
    </r>
    <r>
      <rPr>
        <vertAlign val="superscript"/>
        <sz val="14"/>
        <color theme="1"/>
        <rFont val="Calibri"/>
        <family val="2"/>
        <scheme val="minor"/>
      </rPr>
      <t>-4</t>
    </r>
    <r>
      <rPr>
        <sz val="14"/>
        <color theme="1"/>
        <rFont val="Calibri"/>
        <family val="2"/>
        <scheme val="minor"/>
      </rPr>
      <t xml:space="preserve"> Gln1 1</t>
    </r>
  </si>
  <si>
    <r>
      <t>10</t>
    </r>
    <r>
      <rPr>
        <vertAlign val="superscript"/>
        <sz val="14"/>
        <color theme="1"/>
        <rFont val="Calibri"/>
        <family val="2"/>
        <scheme val="minor"/>
      </rPr>
      <t>-4</t>
    </r>
    <r>
      <rPr>
        <sz val="14"/>
        <color theme="1"/>
        <rFont val="Calibri"/>
        <family val="2"/>
        <scheme val="minor"/>
      </rPr>
      <t xml:space="preserve"> Gln1 2</t>
    </r>
    <r>
      <rPr>
        <sz val="11"/>
        <color theme="1"/>
        <rFont val="Calibri"/>
        <family val="2"/>
        <charset val="204"/>
        <scheme val="minor"/>
      </rPr>
      <t/>
    </r>
  </si>
  <si>
    <r>
      <t>10</t>
    </r>
    <r>
      <rPr>
        <vertAlign val="superscript"/>
        <sz val="14"/>
        <color theme="1"/>
        <rFont val="Calibri"/>
        <family val="2"/>
        <scheme val="minor"/>
      </rPr>
      <t>-4</t>
    </r>
    <r>
      <rPr>
        <sz val="14"/>
        <color theme="1"/>
        <rFont val="Calibri"/>
        <family val="2"/>
        <scheme val="minor"/>
      </rPr>
      <t xml:space="preserve"> Gln1 3</t>
    </r>
    <r>
      <rPr>
        <sz val="11"/>
        <color theme="1"/>
        <rFont val="Calibri"/>
        <family val="2"/>
        <charset val="204"/>
        <scheme val="minor"/>
      </rPr>
      <t/>
    </r>
  </si>
  <si>
    <r>
      <t>10</t>
    </r>
    <r>
      <rPr>
        <vertAlign val="superscript"/>
        <sz val="14"/>
        <color theme="1"/>
        <rFont val="Calibri"/>
        <family val="2"/>
        <scheme val="minor"/>
      </rPr>
      <t>-4</t>
    </r>
    <r>
      <rPr>
        <sz val="14"/>
        <color theme="1"/>
        <rFont val="Calibri"/>
        <family val="2"/>
        <scheme val="minor"/>
      </rPr>
      <t xml:space="preserve"> Gln5 1</t>
    </r>
  </si>
  <si>
    <r>
      <t>10</t>
    </r>
    <r>
      <rPr>
        <vertAlign val="superscript"/>
        <sz val="14"/>
        <color theme="1"/>
        <rFont val="Calibri"/>
        <family val="2"/>
        <scheme val="minor"/>
      </rPr>
      <t>-4</t>
    </r>
    <r>
      <rPr>
        <sz val="14"/>
        <color theme="1"/>
        <rFont val="Calibri"/>
        <family val="2"/>
        <scheme val="minor"/>
      </rPr>
      <t xml:space="preserve"> Gln5 2</t>
    </r>
    <r>
      <rPr>
        <sz val="11"/>
        <color theme="1"/>
        <rFont val="Calibri"/>
        <family val="2"/>
        <charset val="204"/>
        <scheme val="minor"/>
      </rPr>
      <t/>
    </r>
  </si>
  <si>
    <r>
      <t>10</t>
    </r>
    <r>
      <rPr>
        <vertAlign val="superscript"/>
        <sz val="14"/>
        <color theme="1"/>
        <rFont val="Calibri"/>
        <family val="2"/>
        <scheme val="minor"/>
      </rPr>
      <t>-4</t>
    </r>
    <r>
      <rPr>
        <sz val="14"/>
        <color theme="1"/>
        <rFont val="Calibri"/>
        <family val="2"/>
        <scheme val="minor"/>
      </rPr>
      <t xml:space="preserve"> Gln5 3</t>
    </r>
    <r>
      <rPr>
        <sz val="11"/>
        <color theme="1"/>
        <rFont val="Calibri"/>
        <family val="2"/>
        <charset val="204"/>
        <scheme val="minor"/>
      </rPr>
      <t/>
    </r>
  </si>
  <si>
    <t>Калибровка Корня L=30</t>
  </si>
  <si>
    <r>
      <t xml:space="preserve">ОЗОЛЕНИЕ КС </t>
    </r>
    <r>
      <rPr>
        <b/>
        <sz val="20"/>
        <color theme="1"/>
        <rFont val="Times New Roman"/>
        <family val="1"/>
        <charset val="204"/>
      </rPr>
      <t>КОРНЕЙ</t>
    </r>
    <r>
      <rPr>
        <sz val="20"/>
        <color theme="1"/>
        <rFont val="Times New Roman"/>
        <family val="1"/>
        <charset val="204"/>
      </rPr>
      <t xml:space="preserve"> 9 раст 10 дней</t>
    </r>
  </si>
  <si>
    <r>
      <t xml:space="preserve">ОЗОЛЕНИЕ КС </t>
    </r>
    <r>
      <rPr>
        <b/>
        <sz val="20"/>
        <color theme="1"/>
        <rFont val="Times New Roman"/>
        <family val="1"/>
        <charset val="204"/>
      </rPr>
      <t>ПОБЕГОВ</t>
    </r>
    <r>
      <rPr>
        <sz val="20"/>
        <color theme="1"/>
        <rFont val="Times New Roman"/>
        <family val="1"/>
        <charset val="204"/>
      </rPr>
      <t xml:space="preserve"> 9 раст 10 дней</t>
    </r>
  </si>
  <si>
    <t>Калибровка побеги L=50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</si>
</sst>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6"/>
      <color theme="1"/>
      <name val="Times New Roman"/>
      <family val="1"/>
      <charset val="204"/>
    </font>
    <font>
      <vertAlign val="superscript"/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sz val="20"/>
      <color theme="1"/>
      <name val="Times New Roman"/>
      <family val="1"/>
      <charset val="204"/>
    </font>
    <font>
      <b/>
      <sz val="20"/>
      <color theme="1"/>
      <name val="Times New Roman"/>
      <family val="1"/>
      <charset val="204"/>
    </font>
    <font>
      <sz val="14"/>
      <color theme="1"/>
      <name val="Calibri"/>
      <family val="2"/>
      <scheme val="minor"/>
    </font>
    <font>
      <vertAlign val="superscript"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1" xfId="0" applyFont="1" applyBorder="1"/>
    <xf numFmtId="0" fontId="2" fillId="0" borderId="0" xfId="0" applyFont="1"/>
    <xf numFmtId="164" fontId="2" fillId="0" borderId="1" xfId="0" applyNumberFormat="1" applyFont="1" applyBorder="1" applyAlignment="1">
      <alignment wrapText="1"/>
    </xf>
    <xf numFmtId="164" fontId="2" fillId="0" borderId="2" xfId="0" applyNumberFormat="1" applyFont="1" applyBorder="1" applyAlignment="1">
      <alignment wrapText="1"/>
    </xf>
    <xf numFmtId="1" fontId="2" fillId="0" borderId="1" xfId="0" applyNumberFormat="1" applyFont="1" applyBorder="1" applyAlignment="1">
      <alignment wrapText="1"/>
    </xf>
    <xf numFmtId="165" fontId="2" fillId="0" borderId="1" xfId="0" applyNumberFormat="1" applyFont="1" applyBorder="1" applyAlignment="1">
      <alignment wrapText="1"/>
    </xf>
    <xf numFmtId="0" fontId="2" fillId="0" borderId="0" xfId="0" applyFont="1" applyFill="1" applyBorder="1"/>
    <xf numFmtId="16" fontId="2" fillId="0" borderId="0" xfId="0" applyNumberFormat="1" applyFont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7" fillId="0" borderId="0" xfId="0" applyFont="1"/>
    <xf numFmtId="2" fontId="2" fillId="0" borderId="1" xfId="0" applyNumberFormat="1" applyFont="1" applyBorder="1" applyAlignment="1">
      <alignment wrapText="1"/>
    </xf>
    <xf numFmtId="0" fontId="0" fillId="0" borderId="0" xfId="0" applyAlignment="1">
      <alignment horizontal="center"/>
    </xf>
    <xf numFmtId="164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5" fillId="0" borderId="0" xfId="0" applyFont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'Сорбция по растворам'!$A$26</c:f>
              <c:strCache>
                <c:ptCount val="1"/>
                <c:pt idx="0">
                  <c:v>КАЛИБРОВКА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1.5974955940204712E-2"/>
                  <c:y val="-0.197154907063183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'Сорбция по растворам'!$C$27:$C$31</c:f>
              <c:numCache>
                <c:formatCode>General</c:formatCode>
                <c:ptCount val="5"/>
                <c:pt idx="0">
                  <c:v>2.7E-2</c:v>
                </c:pt>
                <c:pt idx="1">
                  <c:v>0.08</c:v>
                </c:pt>
                <c:pt idx="2">
                  <c:v>0.125</c:v>
                </c:pt>
                <c:pt idx="3">
                  <c:v>0.18</c:v>
                </c:pt>
                <c:pt idx="4">
                  <c:v>0.23400000000000001</c:v>
                </c:pt>
              </c:numCache>
            </c:numRef>
          </c:xVal>
          <c:yVal>
            <c:numRef>
              <c:f>'Сорбция по растворам'!$B$27:$B$31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8B6-4547-A14E-FF40829B62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4855576"/>
        <c:axId val="214855184"/>
      </c:scatterChart>
      <c:valAx>
        <c:axId val="2148555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14855184"/>
        <c:crosses val="autoZero"/>
        <c:crossBetween val="midCat"/>
      </c:valAx>
      <c:valAx>
        <c:axId val="214855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148555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v>Десорбция корни (на DW)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Десорбция!$A$4:$A$12</c:f>
              <c:strCache>
                <c:ptCount val="9"/>
                <c:pt idx="0">
                  <c:v>10-5 1</c:v>
                </c:pt>
                <c:pt idx="1">
                  <c:v>10-5 2</c:v>
                </c:pt>
                <c:pt idx="2">
                  <c:v>10-5 3</c:v>
                </c:pt>
                <c:pt idx="3">
                  <c:v>His 1 1</c:v>
                </c:pt>
                <c:pt idx="4">
                  <c:v>His 1 2</c:v>
                </c:pt>
                <c:pt idx="5">
                  <c:v>His 1 3</c:v>
                </c:pt>
                <c:pt idx="6">
                  <c:v>Gln 5 1</c:v>
                </c:pt>
                <c:pt idx="7">
                  <c:v>Gln 5 2</c:v>
                </c:pt>
                <c:pt idx="8">
                  <c:v>Gln 5 3</c:v>
                </c:pt>
              </c:strCache>
            </c:strRef>
          </c:cat>
          <c:val>
            <c:numRef>
              <c:f>Десорбция!$K$4:$K$12</c:f>
              <c:numCache>
                <c:formatCode>0.0000</c:formatCode>
                <c:ptCount val="9"/>
                <c:pt idx="0">
                  <c:v>22.054572906665701</c:v>
                </c:pt>
                <c:pt idx="1">
                  <c:v>20.813080056405518</c:v>
                </c:pt>
                <c:pt idx="2">
                  <c:v>18.44287912917223</c:v>
                </c:pt>
                <c:pt idx="3">
                  <c:v>12.318899253338969</c:v>
                </c:pt>
                <c:pt idx="4">
                  <c:v>16.259731487916252</c:v>
                </c:pt>
                <c:pt idx="5">
                  <c:v>13.129615924875287</c:v>
                </c:pt>
                <c:pt idx="6">
                  <c:v>15.767696572551376</c:v>
                </c:pt>
                <c:pt idx="7">
                  <c:v>11.149685746168531</c:v>
                </c:pt>
                <c:pt idx="8">
                  <c:v>17.138939146002045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B5B-4A0E-9239-66F5E341CC72}"/>
            </c:ext>
          </c:extLst>
        </c:ser>
        <c:ser>
          <c:idx val="1"/>
          <c:order val="1"/>
          <c:tx>
            <c:v>Десорбция побеги (на DW)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Десорбция!$A$4:$A$12</c:f>
              <c:strCache>
                <c:ptCount val="9"/>
                <c:pt idx="0">
                  <c:v>10-5 1</c:v>
                </c:pt>
                <c:pt idx="1">
                  <c:v>10-5 2</c:v>
                </c:pt>
                <c:pt idx="2">
                  <c:v>10-5 3</c:v>
                </c:pt>
                <c:pt idx="3">
                  <c:v>His 1 1</c:v>
                </c:pt>
                <c:pt idx="4">
                  <c:v>His 1 2</c:v>
                </c:pt>
                <c:pt idx="5">
                  <c:v>His 1 3</c:v>
                </c:pt>
                <c:pt idx="6">
                  <c:v>Gln 5 1</c:v>
                </c:pt>
                <c:pt idx="7">
                  <c:v>Gln 5 2</c:v>
                </c:pt>
                <c:pt idx="8">
                  <c:v>Gln 5 3</c:v>
                </c:pt>
              </c:strCache>
            </c:strRef>
          </c:cat>
          <c:val>
            <c:numRef>
              <c:f>Десорбция!$K$16:$K$24</c:f>
              <c:numCache>
                <c:formatCode>0.0000</c:formatCode>
                <c:ptCount val="9"/>
                <c:pt idx="0">
                  <c:v>3.9014878953317251</c:v>
                </c:pt>
                <c:pt idx="1">
                  <c:v>4.9214016994744751</c:v>
                </c:pt>
                <c:pt idx="2">
                  <c:v>5.3030135628514738</c:v>
                </c:pt>
                <c:pt idx="3">
                  <c:v>3.163163789800453</c:v>
                </c:pt>
                <c:pt idx="4">
                  <c:v>3.4659219430574413</c:v>
                </c:pt>
                <c:pt idx="5">
                  <c:v>3.4437217790870962</c:v>
                </c:pt>
                <c:pt idx="6">
                  <c:v>5.0289580320002347</c:v>
                </c:pt>
                <c:pt idx="7">
                  <c:v>4.4016254673559354</c:v>
                </c:pt>
                <c:pt idx="8">
                  <c:v>4.6810403360907236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B5B-4A0E-9239-66F5E341CC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86734032"/>
        <c:axId val="286736776"/>
      </c:barChart>
      <c:catAx>
        <c:axId val="2867340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86736776"/>
        <c:crosses val="autoZero"/>
        <c:auto val="1"/>
        <c:lblAlgn val="ctr"/>
        <c:lblOffset val="100"/>
        <c:noMultiLvlLbl val="0"/>
      </c:catAx>
      <c:valAx>
        <c:axId val="286736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867340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Десорбция!$A$27</c:f>
              <c:strCache>
                <c:ptCount val="1"/>
                <c:pt idx="0">
                  <c:v>Калибровка L=10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8277821522309711"/>
                  <c:y val="-0.2203692767570720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Десорбция!$C$28:$C$32</c:f>
              <c:numCache>
                <c:formatCode>General</c:formatCode>
                <c:ptCount val="5"/>
                <c:pt idx="0">
                  <c:v>3.0000000000000001E-3</c:v>
                </c:pt>
                <c:pt idx="1">
                  <c:v>3.7999999999999999E-2</c:v>
                </c:pt>
                <c:pt idx="2">
                  <c:v>7.9000000000000001E-2</c:v>
                </c:pt>
                <c:pt idx="3">
                  <c:v>0.123</c:v>
                </c:pt>
                <c:pt idx="4">
                  <c:v>0.16400000000000001</c:v>
                </c:pt>
              </c:numCache>
            </c:numRef>
          </c:xVal>
          <c:yVal>
            <c:numRef>
              <c:f>Десорбция!$B$28:$B$32</c:f>
              <c:numCache>
                <c:formatCode>General</c:formatCode>
                <c:ptCount val="5"/>
                <c:pt idx="0">
                  <c:v>1</c:v>
                </c:pt>
                <c:pt idx="1">
                  <c:v>5</c:v>
                </c:pt>
                <c:pt idx="2">
                  <c:v>9</c:v>
                </c:pt>
                <c:pt idx="3">
                  <c:v>13</c:v>
                </c:pt>
                <c:pt idx="4">
                  <c:v>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9D1-4E0E-B2A1-6A1A01CD6B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8240184"/>
        <c:axId val="288240576"/>
      </c:scatterChart>
      <c:valAx>
        <c:axId val="2882401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88240576"/>
        <c:crosses val="autoZero"/>
        <c:crossBetween val="midCat"/>
      </c:valAx>
      <c:valAx>
        <c:axId val="288240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882401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Озоление!$A$27</c:f>
              <c:strCache>
                <c:ptCount val="1"/>
                <c:pt idx="0">
                  <c:v>Калибровка Корня L=30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51552493438320213"/>
                  <c:y val="-0.1624537037037037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Озоление!$C$28:$C$32</c:f>
              <c:numCache>
                <c:formatCode>General</c:formatCode>
                <c:ptCount val="5"/>
                <c:pt idx="0">
                  <c:v>1.4E-2</c:v>
                </c:pt>
                <c:pt idx="1">
                  <c:v>0.13900000000000001</c:v>
                </c:pt>
                <c:pt idx="2">
                  <c:v>0.25600000000000001</c:v>
                </c:pt>
                <c:pt idx="3">
                  <c:v>0.379</c:v>
                </c:pt>
                <c:pt idx="4">
                  <c:v>0.505</c:v>
                </c:pt>
              </c:numCache>
            </c:numRef>
          </c:xVal>
          <c:yVal>
            <c:numRef>
              <c:f>Озоление!$B$28:$B$32</c:f>
              <c:numCache>
                <c:formatCode>General</c:formatCode>
                <c:ptCount val="5"/>
                <c:pt idx="0">
                  <c:v>1</c:v>
                </c:pt>
                <c:pt idx="1">
                  <c:v>5</c:v>
                </c:pt>
                <c:pt idx="2">
                  <c:v>9</c:v>
                </c:pt>
                <c:pt idx="3">
                  <c:v>13</c:v>
                </c:pt>
                <c:pt idx="4">
                  <c:v>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199-4650-856A-7A7ED09870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6370328"/>
        <c:axId val="676370984"/>
      </c:scatterChart>
      <c:valAx>
        <c:axId val="6763703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76370984"/>
        <c:crosses val="autoZero"/>
        <c:crossBetween val="midCat"/>
      </c:valAx>
      <c:valAx>
        <c:axId val="676370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763703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Озоление!$A$35</c:f>
              <c:strCache>
                <c:ptCount val="1"/>
                <c:pt idx="0">
                  <c:v>Калибровка побеги L=50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57123308241726511"/>
                  <c:y val="-0.2232380437280623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Озоление!$C$36:$C$40</c:f>
              <c:numCache>
                <c:formatCode>General</c:formatCode>
                <c:ptCount val="5"/>
                <c:pt idx="0">
                  <c:v>4.8000000000000001E-2</c:v>
                </c:pt>
                <c:pt idx="1">
                  <c:v>8.7999999999999995E-2</c:v>
                </c:pt>
                <c:pt idx="2">
                  <c:v>0.13500000000000001</c:v>
                </c:pt>
                <c:pt idx="3">
                  <c:v>0.182</c:v>
                </c:pt>
                <c:pt idx="4">
                  <c:v>0.23100000000000001</c:v>
                </c:pt>
              </c:numCache>
            </c:numRef>
          </c:xVal>
          <c:yVal>
            <c:numRef>
              <c:f>Озоление!$B$36:$B$40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B46-44AC-AD10-7F68D0220B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9778184"/>
        <c:axId val="639778512"/>
      </c:scatterChart>
      <c:valAx>
        <c:axId val="6397781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39778512"/>
        <c:crosses val="autoZero"/>
        <c:crossBetween val="midCat"/>
      </c:valAx>
      <c:valAx>
        <c:axId val="639778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397781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32</xdr:row>
      <xdr:rowOff>80962</xdr:rowOff>
    </xdr:from>
    <xdr:to>
      <xdr:col>6</xdr:col>
      <xdr:colOff>57150</xdr:colOff>
      <xdr:row>42</xdr:row>
      <xdr:rowOff>252412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0713C96F-2D71-4E89-95C5-6CD4601EB7E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371475</xdr:colOff>
      <xdr:row>2</xdr:row>
      <xdr:rowOff>747712</xdr:rowOff>
    </xdr:from>
    <xdr:to>
      <xdr:col>27</xdr:col>
      <xdr:colOff>161925</xdr:colOff>
      <xdr:row>14</xdr:row>
      <xdr:rowOff>95250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3583AE69-29C8-4421-934B-498E81FA9A7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57150</xdr:colOff>
      <xdr:row>27</xdr:row>
      <xdr:rowOff>42862</xdr:rowOff>
    </xdr:from>
    <xdr:to>
      <xdr:col>10</xdr:col>
      <xdr:colOff>323850</xdr:colOff>
      <xdr:row>41</xdr:row>
      <xdr:rowOff>119062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ABA68DB0-E9BE-4F0C-8AF5-5E8DF072545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152400</xdr:colOff>
      <xdr:row>26</xdr:row>
      <xdr:rowOff>157162</xdr:rowOff>
    </xdr:from>
    <xdr:to>
      <xdr:col>8</xdr:col>
      <xdr:colOff>171450</xdr:colOff>
      <xdr:row>36</xdr:row>
      <xdr:rowOff>180975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DF1A2E98-E9B0-42DA-8998-534D60E10E4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295274</xdr:colOff>
      <xdr:row>26</xdr:row>
      <xdr:rowOff>128587</xdr:rowOff>
    </xdr:from>
    <xdr:to>
      <xdr:col>11</xdr:col>
      <xdr:colOff>561974</xdr:colOff>
      <xdr:row>38</xdr:row>
      <xdr:rowOff>9525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D5C68D8E-687E-4611-90F4-E375ABCEB03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"/>
  <sheetViews>
    <sheetView zoomScale="120" zoomScaleNormal="120" workbookViewId="0">
      <selection activeCell="E4" activeCellId="1" sqref="C4:C12 E4:E12"/>
    </sheetView>
  </sheetViews>
  <sheetFormatPr defaultRowHeight="15" x14ac:dyDescent="0.25"/>
  <cols>
    <col min="1" max="1" width="11" customWidth="1"/>
    <col min="2" max="2" width="11.7109375" customWidth="1"/>
    <col min="3" max="3" width="12.7109375" customWidth="1"/>
    <col min="4" max="4" width="13" customWidth="1"/>
    <col min="5" max="7" width="13.85546875" customWidth="1"/>
    <col min="8" max="8" width="22.28515625" customWidth="1"/>
    <col min="9" max="9" width="22.42578125" customWidth="1"/>
    <col min="10" max="10" width="20" customWidth="1"/>
    <col min="11" max="11" width="16.7109375" customWidth="1"/>
  </cols>
  <sheetData>
    <row r="1" spans="1:11" x14ac:dyDescent="0.25">
      <c r="A1" s="13" t="s">
        <v>41</v>
      </c>
      <c r="B1" s="13"/>
      <c r="C1" s="13"/>
      <c r="D1" s="13"/>
      <c r="E1" s="13"/>
      <c r="F1" s="9"/>
      <c r="G1" s="9"/>
    </row>
    <row r="2" spans="1:11" x14ac:dyDescent="0.25">
      <c r="A2" s="13" t="s">
        <v>75</v>
      </c>
      <c r="B2" s="13"/>
      <c r="C2" s="13"/>
      <c r="D2" s="13"/>
      <c r="E2" s="13"/>
      <c r="F2" s="9"/>
      <c r="G2" s="9"/>
    </row>
    <row r="3" spans="1:11" ht="30" x14ac:dyDescent="0.25">
      <c r="A3" t="s">
        <v>0</v>
      </c>
      <c r="B3" t="s">
        <v>7</v>
      </c>
      <c r="C3" t="s">
        <v>9</v>
      </c>
      <c r="D3" t="s">
        <v>8</v>
      </c>
      <c r="E3" t="s">
        <v>10</v>
      </c>
      <c r="F3" t="s">
        <v>63</v>
      </c>
      <c r="G3" t="s">
        <v>64</v>
      </c>
      <c r="H3" t="s">
        <v>5</v>
      </c>
      <c r="I3" t="s">
        <v>32</v>
      </c>
      <c r="J3" s="10" t="s">
        <v>61</v>
      </c>
      <c r="K3" s="10" t="s">
        <v>62</v>
      </c>
    </row>
    <row r="4" spans="1:11" ht="17.25" x14ac:dyDescent="0.25">
      <c r="A4" t="s">
        <v>11</v>
      </c>
      <c r="B4">
        <v>0.94610000000000005</v>
      </c>
      <c r="C4">
        <v>1.8407</v>
      </c>
      <c r="D4">
        <f>B4/(1+$H$4)</f>
        <v>5.7893840992131428E-2</v>
      </c>
      <c r="E4">
        <f>C4/(1+$I$4)</f>
        <v>0.19141864125853586</v>
      </c>
      <c r="F4">
        <v>3.5000000000000003E-2</v>
      </c>
      <c r="G4">
        <v>9.9299999999999999E-2</v>
      </c>
      <c r="H4">
        <v>15.341980144806563</v>
      </c>
      <c r="I4">
        <v>8.6160958404980761</v>
      </c>
      <c r="J4">
        <f>F4/D4</f>
        <v>0.60455480928890148</v>
      </c>
      <c r="K4">
        <f>G4/E4</f>
        <v>0.51875825336092729</v>
      </c>
    </row>
    <row r="5" spans="1:11" ht="17.25" x14ac:dyDescent="0.25">
      <c r="A5" t="s">
        <v>12</v>
      </c>
      <c r="B5">
        <v>0.99039999999999995</v>
      </c>
      <c r="C5">
        <v>1.7914000000000001</v>
      </c>
      <c r="D5">
        <f t="shared" ref="D5:D6" si="0">B5/(1+$H$4)</f>
        <v>6.0604650796540489E-2</v>
      </c>
      <c r="E5">
        <f t="shared" ref="E5:E6" si="1">C5/(1+$I$4)</f>
        <v>0.18629182047619988</v>
      </c>
      <c r="F5">
        <v>3.4700000000000002E-2</v>
      </c>
      <c r="G5">
        <v>8.6400000000000005E-2</v>
      </c>
      <c r="J5">
        <f t="shared" ref="J5:J12" si="2">F5/D5</f>
        <v>0.57256331888609435</v>
      </c>
      <c r="K5">
        <f t="shared" ref="K5:K12" si="3">G5/E5</f>
        <v>0.46378847863069877</v>
      </c>
    </row>
    <row r="6" spans="1:11" ht="17.25" x14ac:dyDescent="0.25">
      <c r="A6" t="s">
        <v>13</v>
      </c>
      <c r="B6">
        <v>1.0766</v>
      </c>
      <c r="C6">
        <v>1.9091</v>
      </c>
      <c r="D6">
        <f t="shared" si="0"/>
        <v>6.5879409377580272E-2</v>
      </c>
      <c r="E6">
        <f t="shared" si="1"/>
        <v>0.19853171512287215</v>
      </c>
      <c r="F6">
        <v>3.9100000000000003E-2</v>
      </c>
      <c r="G6">
        <v>9.5399999999999999E-2</v>
      </c>
      <c r="J6">
        <f t="shared" si="2"/>
        <v>0.59350866028416926</v>
      </c>
      <c r="K6">
        <f t="shared" si="3"/>
        <v>0.48052775820204102</v>
      </c>
    </row>
    <row r="7" spans="1:11" ht="17.25" x14ac:dyDescent="0.25">
      <c r="A7" t="s">
        <v>57</v>
      </c>
      <c r="B7">
        <v>1.2278</v>
      </c>
      <c r="C7">
        <v>2.0834999999999999</v>
      </c>
      <c r="D7">
        <f>B7/(1+$H$7)</f>
        <v>7.228419633695031E-2</v>
      </c>
      <c r="E7">
        <f>C7/(1+$I$7)</f>
        <v>0.21655519744626661</v>
      </c>
      <c r="F7">
        <v>3.6299999999999999E-2</v>
      </c>
      <c r="G7">
        <v>0.1094</v>
      </c>
      <c r="H7">
        <v>15.985732182407512</v>
      </c>
      <c r="I7">
        <v>8.6211036473367226</v>
      </c>
      <c r="J7">
        <f t="shared" si="2"/>
        <v>0.50218445856116034</v>
      </c>
      <c r="K7">
        <f t="shared" si="3"/>
        <v>0.50518298009053875</v>
      </c>
    </row>
    <row r="8" spans="1:11" ht="17.25" x14ac:dyDescent="0.25">
      <c r="A8" t="s">
        <v>58</v>
      </c>
      <c r="B8">
        <v>1.1400999999999999</v>
      </c>
      <c r="C8">
        <v>1.8586</v>
      </c>
      <c r="D8">
        <f t="shared" ref="D8" si="4">B8/(1+$H$7)</f>
        <v>6.7121039455739565E-2</v>
      </c>
      <c r="E8">
        <f t="shared" ref="E8:E9" si="5">C8/(1+$I$7)</f>
        <v>0.19317950082727678</v>
      </c>
      <c r="F8">
        <v>3.4799999999999998E-2</v>
      </c>
      <c r="G8">
        <v>9.7299999999999998E-2</v>
      </c>
      <c r="J8">
        <f t="shared" si="2"/>
        <v>0.51846634501164934</v>
      </c>
      <c r="K8">
        <f t="shared" si="3"/>
        <v>0.50367663019792486</v>
      </c>
    </row>
    <row r="9" spans="1:11" ht="17.25" x14ac:dyDescent="0.25">
      <c r="A9" t="s">
        <v>59</v>
      </c>
      <c r="B9">
        <v>1.1120000000000001</v>
      </c>
      <c r="C9">
        <v>1.9482999999999999</v>
      </c>
      <c r="D9">
        <f>B9/(1+$H$7)</f>
        <v>6.5466709827894404E-2</v>
      </c>
      <c r="E9">
        <f t="shared" si="5"/>
        <v>0.20250275554814556</v>
      </c>
      <c r="F9">
        <v>3.3700000000000001E-2</v>
      </c>
      <c r="G9">
        <v>9.3799999999999994E-2</v>
      </c>
      <c r="J9">
        <f t="shared" si="2"/>
        <v>0.51476544473663044</v>
      </c>
      <c r="K9">
        <f t="shared" si="3"/>
        <v>0.46320357343334423</v>
      </c>
    </row>
    <row r="10" spans="1:11" ht="17.25" x14ac:dyDescent="0.25">
      <c r="A10" t="s">
        <v>42</v>
      </c>
      <c r="B10">
        <v>0.94620000000000004</v>
      </c>
      <c r="C10">
        <v>1.6137999999999999</v>
      </c>
      <c r="D10">
        <f>B10/(1+$H$10)</f>
        <v>5.7453935411813567E-2</v>
      </c>
      <c r="E10">
        <f>C10/(1+$I$10)</f>
        <v>0.16817126546671349</v>
      </c>
      <c r="F10">
        <v>3.4099999999999998E-2</v>
      </c>
      <c r="G10">
        <v>8.1600000000000006E-2</v>
      </c>
      <c r="H10">
        <v>15.468845749519261</v>
      </c>
      <c r="I10">
        <v>8.5961696876177864</v>
      </c>
      <c r="J10">
        <f t="shared" si="2"/>
        <v>0.59351896011266836</v>
      </c>
      <c r="K10">
        <f t="shared" si="3"/>
        <v>0.48521963471905533</v>
      </c>
    </row>
    <row r="11" spans="1:11" ht="17.25" x14ac:dyDescent="0.25">
      <c r="A11" t="s">
        <v>43</v>
      </c>
      <c r="B11">
        <v>1.3381000000000001</v>
      </c>
      <c r="C11">
        <v>2.0527000000000002</v>
      </c>
      <c r="D11">
        <f>B11/(1+$H$10)</f>
        <v>8.1250381499204966E-2</v>
      </c>
      <c r="E11">
        <f>C11/(1+$I$10)</f>
        <v>0.21390826411173805</v>
      </c>
      <c r="F11">
        <v>4.0300000000000002E-2</v>
      </c>
      <c r="G11">
        <v>0.1082</v>
      </c>
      <c r="J11">
        <f t="shared" si="2"/>
        <v>0.49599767110501919</v>
      </c>
      <c r="K11">
        <f t="shared" si="3"/>
        <v>0.5058243095436471</v>
      </c>
    </row>
    <row r="12" spans="1:11" ht="17.25" x14ac:dyDescent="0.25">
      <c r="A12" t="s">
        <v>44</v>
      </c>
      <c r="B12">
        <v>1.0487</v>
      </c>
      <c r="C12">
        <v>1.6387</v>
      </c>
      <c r="D12">
        <f t="shared" ref="D12" si="6">B12/(1+$H$10)</f>
        <v>6.3677808144545434E-2</v>
      </c>
      <c r="E12">
        <f>C12/(1+$I$10)</f>
        <v>0.17076605076236426</v>
      </c>
      <c r="F12">
        <v>3.2199999999999999E-2</v>
      </c>
      <c r="G12">
        <v>8.5500000000000007E-2</v>
      </c>
      <c r="J12">
        <f t="shared" si="2"/>
        <v>0.50567067143560618</v>
      </c>
      <c r="K12">
        <f t="shared" si="3"/>
        <v>0.50068499926241583</v>
      </c>
    </row>
    <row r="13" spans="1:11" x14ac:dyDescent="0.25">
      <c r="A13" s="13" t="s">
        <v>65</v>
      </c>
      <c r="B13" s="13"/>
      <c r="C13" s="13"/>
      <c r="D13" s="13"/>
      <c r="E13" s="13"/>
      <c r="F13" s="9" t="s">
        <v>77</v>
      </c>
      <c r="G13" s="9"/>
    </row>
    <row r="14" spans="1:11" x14ac:dyDescent="0.25">
      <c r="A14" t="s">
        <v>66</v>
      </c>
      <c r="B14">
        <v>1.1871</v>
      </c>
      <c r="C14">
        <v>1.7428999999999999</v>
      </c>
      <c r="D14">
        <v>7.4399999999999994E-2</v>
      </c>
      <c r="E14">
        <v>0.16850000000000001</v>
      </c>
      <c r="F14">
        <f>(B14-D14)/D14</f>
        <v>14.955645161290324</v>
      </c>
      <c r="G14">
        <f>(C14-E14)/E14</f>
        <v>9.343620178041542</v>
      </c>
    </row>
    <row r="15" spans="1:11" x14ac:dyDescent="0.25">
      <c r="A15" t="s">
        <v>67</v>
      </c>
      <c r="B15">
        <v>1.3121</v>
      </c>
      <c r="C15">
        <v>1.9179999999999999</v>
      </c>
      <c r="D15">
        <v>8.0699999999999994E-2</v>
      </c>
      <c r="E15">
        <v>0.1837</v>
      </c>
      <c r="F15">
        <f t="shared" ref="F15:F22" si="7">(B15-D15)/D15</f>
        <v>15.258983890954154</v>
      </c>
      <c r="G15">
        <f t="shared" ref="G15:G22" si="8">(C15-E15)/E15</f>
        <v>9.4409363091997811</v>
      </c>
    </row>
    <row r="16" spans="1:11" x14ac:dyDescent="0.25">
      <c r="A16" t="s">
        <v>68</v>
      </c>
      <c r="B16">
        <v>1.2592000000000001</v>
      </c>
      <c r="C16">
        <v>1.8807</v>
      </c>
      <c r="D16">
        <v>7.6799999999999993E-2</v>
      </c>
      <c r="E16">
        <v>0.18579999999999999</v>
      </c>
      <c r="F16">
        <f t="shared" si="7"/>
        <v>15.395833333333336</v>
      </c>
      <c r="G16">
        <f t="shared" si="8"/>
        <v>9.122174381054899</v>
      </c>
    </row>
    <row r="17" spans="1:7" ht="17.25" x14ac:dyDescent="0.25">
      <c r="A17" t="s">
        <v>69</v>
      </c>
      <c r="B17">
        <v>0.9204</v>
      </c>
      <c r="C17">
        <v>1.8065</v>
      </c>
      <c r="D17">
        <v>6.5600000000000006E-2</v>
      </c>
      <c r="E17">
        <v>0.17610000000000001</v>
      </c>
      <c r="F17">
        <f t="shared" si="7"/>
        <v>13.030487804878048</v>
      </c>
      <c r="G17">
        <f t="shared" si="8"/>
        <v>9.2583759227711528</v>
      </c>
    </row>
    <row r="18" spans="1:7" ht="17.25" x14ac:dyDescent="0.25">
      <c r="A18" t="s">
        <v>70</v>
      </c>
      <c r="B18">
        <v>1.0515000000000001</v>
      </c>
      <c r="C18">
        <v>1.8784000000000001</v>
      </c>
      <c r="D18">
        <v>7.3899999999999993E-2</v>
      </c>
      <c r="E18">
        <v>0.18410000000000001</v>
      </c>
      <c r="F18">
        <f t="shared" si="7"/>
        <v>13.228687415426254</v>
      </c>
      <c r="G18">
        <f t="shared" si="8"/>
        <v>9.2031504617055955</v>
      </c>
    </row>
    <row r="19" spans="1:7" ht="17.25" x14ac:dyDescent="0.25">
      <c r="A19" t="s">
        <v>71</v>
      </c>
      <c r="B19">
        <v>0.99929999999999997</v>
      </c>
      <c r="C19">
        <v>1.8246</v>
      </c>
      <c r="D19">
        <v>7.1099999999999997E-2</v>
      </c>
      <c r="E19">
        <v>0.18390000000000001</v>
      </c>
      <c r="F19">
        <f t="shared" si="7"/>
        <v>13.054852320675105</v>
      </c>
      <c r="G19">
        <f t="shared" si="8"/>
        <v>8.9216965742251215</v>
      </c>
    </row>
    <row r="20" spans="1:7" ht="17.25" x14ac:dyDescent="0.25">
      <c r="A20" t="s">
        <v>72</v>
      </c>
      <c r="B20">
        <v>1.0834999999999999</v>
      </c>
      <c r="C20">
        <v>1.7878000000000001</v>
      </c>
      <c r="D20">
        <v>7.51E-2</v>
      </c>
      <c r="E20">
        <v>0.18229999999999999</v>
      </c>
      <c r="F20">
        <f t="shared" si="7"/>
        <v>13.427430093209054</v>
      </c>
      <c r="G20">
        <f t="shared" si="8"/>
        <v>8.8069116840373027</v>
      </c>
    </row>
    <row r="21" spans="1:7" ht="17.25" x14ac:dyDescent="0.25">
      <c r="A21" t="s">
        <v>73</v>
      </c>
      <c r="B21">
        <v>1.1138999999999999</v>
      </c>
      <c r="C21">
        <v>1.802</v>
      </c>
      <c r="D21">
        <v>7.5499999999999998E-2</v>
      </c>
      <c r="E21">
        <v>0.17929999999999999</v>
      </c>
      <c r="F21">
        <f t="shared" si="7"/>
        <v>13.753642384105961</v>
      </c>
      <c r="G21">
        <f t="shared" si="8"/>
        <v>9.0501952035694373</v>
      </c>
    </row>
    <row r="22" spans="1:7" ht="17.25" x14ac:dyDescent="0.25">
      <c r="A22" t="s">
        <v>74</v>
      </c>
      <c r="B22">
        <v>1.0533999999999999</v>
      </c>
      <c r="C22">
        <v>1.8056000000000001</v>
      </c>
      <c r="D22">
        <v>7.6700000000000004E-2</v>
      </c>
      <c r="E22">
        <v>0.1923</v>
      </c>
      <c r="F22">
        <f t="shared" si="7"/>
        <v>12.734028683181224</v>
      </c>
      <c r="G22">
        <f t="shared" si="8"/>
        <v>8.389495579823194</v>
      </c>
    </row>
  </sheetData>
  <mergeCells count="3">
    <mergeCell ref="A2:E2"/>
    <mergeCell ref="A13:E13"/>
    <mergeCell ref="A1:E1"/>
  </mergeCells>
  <phoneticPr fontId="4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36"/>
  <sheetViews>
    <sheetView tabSelected="1" zoomScale="85" zoomScaleNormal="85" workbookViewId="0">
      <selection activeCell="O12" sqref="O12"/>
    </sheetView>
  </sheetViews>
  <sheetFormatPr defaultRowHeight="20.25" x14ac:dyDescent="0.3"/>
  <cols>
    <col min="1" max="1" width="16.5703125" style="2" customWidth="1"/>
    <col min="2" max="2" width="10" style="2" customWidth="1"/>
    <col min="3" max="3" width="13.140625" style="2" customWidth="1"/>
    <col min="4" max="4" width="12" style="2" customWidth="1"/>
    <col min="5" max="5" width="12.7109375" style="2" customWidth="1"/>
    <col min="6" max="6" width="14.5703125" style="2" customWidth="1"/>
    <col min="7" max="7" width="9.42578125" style="2" bestFit="1" customWidth="1"/>
    <col min="8" max="8" width="12" style="2" bestFit="1" customWidth="1"/>
    <col min="9" max="10" width="10.7109375" style="2" bestFit="1" customWidth="1"/>
    <col min="11" max="11" width="20.42578125" style="2" customWidth="1"/>
    <col min="12" max="12" width="19.7109375" style="2" customWidth="1"/>
    <col min="13" max="13" width="22.7109375" style="2" customWidth="1"/>
    <col min="14" max="14" width="20.85546875" style="2" customWidth="1"/>
    <col min="15" max="15" width="27.42578125" style="2" customWidth="1"/>
    <col min="16" max="16" width="19" style="2" customWidth="1"/>
    <col min="17" max="17" width="18.7109375" style="2" customWidth="1"/>
    <col min="18" max="18" width="18.28515625" style="2" customWidth="1"/>
    <col min="19" max="19" width="19.42578125" style="2" customWidth="1"/>
    <col min="20" max="20" width="20.28515625" style="2" customWidth="1"/>
    <col min="21" max="21" width="29.28515625" style="2" customWidth="1"/>
    <col min="22" max="16384" width="9.140625" style="2"/>
  </cols>
  <sheetData>
    <row r="1" spans="1:21" ht="54.75" customHeight="1" x14ac:dyDescent="0.4">
      <c r="A1" s="16" t="s">
        <v>39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</row>
    <row r="2" spans="1:21" ht="60.75" x14ac:dyDescent="0.3">
      <c r="A2" s="3" t="s">
        <v>0</v>
      </c>
      <c r="B2" s="3" t="s">
        <v>30</v>
      </c>
      <c r="C2" s="3" t="s">
        <v>14</v>
      </c>
      <c r="D2" s="3" t="s">
        <v>15</v>
      </c>
      <c r="E2" s="3" t="s">
        <v>16</v>
      </c>
      <c r="F2" s="3" t="s">
        <v>17</v>
      </c>
      <c r="G2" s="3" t="s">
        <v>18</v>
      </c>
      <c r="H2" s="3" t="s">
        <v>19</v>
      </c>
      <c r="I2" s="3" t="s">
        <v>20</v>
      </c>
      <c r="J2" s="3" t="s">
        <v>21</v>
      </c>
      <c r="K2" s="3" t="s">
        <v>22</v>
      </c>
      <c r="L2" s="3" t="s">
        <v>23</v>
      </c>
      <c r="M2" s="3" t="s">
        <v>24</v>
      </c>
      <c r="N2" s="3" t="s">
        <v>25</v>
      </c>
      <c r="O2" s="3" t="s">
        <v>26</v>
      </c>
      <c r="P2" s="3" t="s">
        <v>1</v>
      </c>
      <c r="Q2" s="3" t="s">
        <v>2</v>
      </c>
      <c r="R2" s="3" t="s">
        <v>6</v>
      </c>
      <c r="S2" s="4" t="s">
        <v>27</v>
      </c>
      <c r="T2" s="4" t="s">
        <v>28</v>
      </c>
      <c r="U2" s="4" t="s">
        <v>29</v>
      </c>
    </row>
    <row r="3" spans="1:21" x14ac:dyDescent="0.3">
      <c r="A3" s="2" t="s">
        <v>45</v>
      </c>
      <c r="B3" s="2">
        <v>4.62</v>
      </c>
      <c r="C3" s="5">
        <v>150</v>
      </c>
      <c r="D3" s="5">
        <v>20</v>
      </c>
      <c r="E3" s="6">
        <v>1.4E-2</v>
      </c>
      <c r="F3" s="6">
        <v>1.7000000000000001E-2</v>
      </c>
      <c r="G3" s="6">
        <f>AVERAGE(E3:F3)</f>
        <v>1.55E-2</v>
      </c>
      <c r="H3" s="3">
        <f>(G3*19.435+0.489)/D3</f>
        <v>3.9512124999999995E-2</v>
      </c>
      <c r="I3" s="3">
        <f>H3/63.5</f>
        <v>6.2223818897637784E-4</v>
      </c>
      <c r="J3" s="3">
        <f>I3*C3</f>
        <v>9.3335728346456676E-2</v>
      </c>
      <c r="K3" s="3">
        <f>$S$28</f>
        <v>1.1951220472440942</v>
      </c>
      <c r="L3" s="3">
        <f>K3-J3</f>
        <v>1.1017863188976376</v>
      </c>
      <c r="M3" s="3">
        <f>L3/P3</f>
        <v>1.1645558808769025</v>
      </c>
      <c r="N3" s="3">
        <f>L3/Q3</f>
        <v>19.031149082808057</v>
      </c>
      <c r="O3" s="3">
        <f>L3/R3</f>
        <v>31.479609111361071</v>
      </c>
      <c r="P3">
        <v>0.94610000000000005</v>
      </c>
      <c r="Q3" s="3">
        <v>5.7893840992131428E-2</v>
      </c>
      <c r="R3" s="1">
        <v>3.5000000000000003E-2</v>
      </c>
      <c r="S3" s="14">
        <f>AVERAGE(M3:M5)</f>
        <v>1.1039397425982687</v>
      </c>
      <c r="T3" s="14">
        <f>AVERAGE(N3:N5)</f>
        <v>18.040561354603778</v>
      </c>
      <c r="U3" s="14">
        <f>AVERAGE(O3:O5)</f>
        <v>30.577789989492583</v>
      </c>
    </row>
    <row r="4" spans="1:21" x14ac:dyDescent="0.3">
      <c r="A4" s="2" t="s">
        <v>46</v>
      </c>
      <c r="B4" s="2">
        <v>4.5999999999999996</v>
      </c>
      <c r="C4" s="5">
        <v>150</v>
      </c>
      <c r="D4" s="5">
        <v>20</v>
      </c>
      <c r="E4" s="6">
        <v>1.0999999999999999E-2</v>
      </c>
      <c r="F4" s="6">
        <v>1.2E-2</v>
      </c>
      <c r="G4" s="6">
        <f t="shared" ref="G4:G11" si="0">AVERAGE(E4:F4)</f>
        <v>1.15E-2</v>
      </c>
      <c r="H4" s="3">
        <f t="shared" ref="H4:H11" si="1">(G4*19.435+0.489)/D4</f>
        <v>3.5625125000000001E-2</v>
      </c>
      <c r="I4" s="3">
        <f t="shared" ref="I4:I10" si="2">H4/63.5</f>
        <v>5.6102559055118113E-4</v>
      </c>
      <c r="J4" s="3">
        <f t="shared" ref="J4:J10" si="3">I4*C4</f>
        <v>8.4153838582677165E-2</v>
      </c>
      <c r="K4" s="3">
        <f t="shared" ref="K4:K5" si="4">$S$28</f>
        <v>1.1951220472440942</v>
      </c>
      <c r="L4" s="3">
        <f t="shared" ref="L4:L10" si="5">K4-J4</f>
        <v>1.110968208661417</v>
      </c>
      <c r="M4" s="3">
        <f t="shared" ref="M4:M11" si="6">L4/P4</f>
        <v>1.1217368827356795</v>
      </c>
      <c r="N4" s="3">
        <f>L4/Q4</f>
        <v>18.331401865363684</v>
      </c>
      <c r="O4" s="3">
        <f t="shared" ref="O4:O11" si="7">L4/R4</f>
        <v>32.016374889378007</v>
      </c>
      <c r="P4">
        <v>0.99039999999999995</v>
      </c>
      <c r="Q4" s="3">
        <v>6.0604650796540489E-2</v>
      </c>
      <c r="R4" s="1">
        <v>3.4700000000000002E-2</v>
      </c>
      <c r="S4" s="15"/>
      <c r="T4" s="15"/>
      <c r="U4" s="15"/>
    </row>
    <row r="5" spans="1:21" x14ac:dyDescent="0.3">
      <c r="A5" s="2" t="s">
        <v>47</v>
      </c>
      <c r="B5" s="2">
        <v>4.5999999999999996</v>
      </c>
      <c r="C5" s="5">
        <v>150</v>
      </c>
      <c r="D5" s="5">
        <v>20</v>
      </c>
      <c r="E5" s="6">
        <v>1.7000000000000001E-2</v>
      </c>
      <c r="F5" s="6">
        <v>1.2E-2</v>
      </c>
      <c r="G5" s="6">
        <f t="shared" si="0"/>
        <v>1.4500000000000001E-2</v>
      </c>
      <c r="H5" s="3">
        <f t="shared" si="1"/>
        <v>3.8540375000000002E-2</v>
      </c>
      <c r="I5" s="3">
        <f t="shared" si="2"/>
        <v>6.0693503937007877E-4</v>
      </c>
      <c r="J5" s="3">
        <f t="shared" si="3"/>
        <v>9.1040255905511819E-2</v>
      </c>
      <c r="K5" s="3">
        <f t="shared" si="4"/>
        <v>1.1951220472440942</v>
      </c>
      <c r="L5" s="3">
        <f t="shared" si="5"/>
        <v>1.1040817913385823</v>
      </c>
      <c r="M5" s="3">
        <f t="shared" si="6"/>
        <v>1.0255264641822239</v>
      </c>
      <c r="N5" s="3">
        <f t="shared" ref="N5:N10" si="8">L5/Q5</f>
        <v>16.759133115639582</v>
      </c>
      <c r="O5" s="3">
        <f t="shared" si="7"/>
        <v>28.237385967738675</v>
      </c>
      <c r="P5">
        <v>1.0766</v>
      </c>
      <c r="Q5" s="3">
        <v>6.5879409377580272E-2</v>
      </c>
      <c r="R5" s="1">
        <v>3.9100000000000003E-2</v>
      </c>
      <c r="S5" s="15"/>
      <c r="T5" s="15"/>
      <c r="U5" s="15"/>
    </row>
    <row r="6" spans="1:21" x14ac:dyDescent="0.3">
      <c r="A6" s="2" t="s">
        <v>54</v>
      </c>
      <c r="B6" s="2">
        <v>4.91</v>
      </c>
      <c r="C6" s="5">
        <v>150</v>
      </c>
      <c r="D6" s="5">
        <v>20</v>
      </c>
      <c r="E6" s="6">
        <v>0.10199999999999999</v>
      </c>
      <c r="F6" s="6">
        <v>0.104</v>
      </c>
      <c r="G6" s="6">
        <f t="shared" si="0"/>
        <v>0.10299999999999999</v>
      </c>
      <c r="H6" s="3">
        <f t="shared" si="1"/>
        <v>0.12454024999999998</v>
      </c>
      <c r="I6" s="3">
        <f t="shared" si="2"/>
        <v>1.9612637795275588E-3</v>
      </c>
      <c r="J6" s="3">
        <f t="shared" si="3"/>
        <v>0.29418956692913384</v>
      </c>
      <c r="K6" s="3">
        <f>$S$29</f>
        <v>1.3603960629921257</v>
      </c>
      <c r="L6" s="3">
        <f t="shared" si="5"/>
        <v>1.0662064960629918</v>
      </c>
      <c r="M6" s="3">
        <f t="shared" si="6"/>
        <v>0.86838776353069869</v>
      </c>
      <c r="N6" s="3">
        <f t="shared" si="8"/>
        <v>14.750201981812271</v>
      </c>
      <c r="O6" s="3">
        <f t="shared" si="7"/>
        <v>29.372079781349637</v>
      </c>
      <c r="P6">
        <v>1.2278</v>
      </c>
      <c r="Q6" s="3">
        <v>7.228419633695031E-2</v>
      </c>
      <c r="R6" s="1">
        <v>3.6299999999999999E-2</v>
      </c>
      <c r="S6" s="14">
        <f t="shared" ref="S6:U6" si="9">AVERAGE(M6:M8)</f>
        <v>0.89543169228340502</v>
      </c>
      <c r="T6" s="14">
        <f t="shared" si="9"/>
        <v>15.209562912765852</v>
      </c>
      <c r="U6" s="14">
        <f t="shared" si="9"/>
        <v>29.713320872130026</v>
      </c>
    </row>
    <row r="7" spans="1:21" x14ac:dyDescent="0.3">
      <c r="A7" s="2" t="s">
        <v>55</v>
      </c>
      <c r="B7" s="2">
        <v>4.88</v>
      </c>
      <c r="C7" s="5">
        <v>150</v>
      </c>
      <c r="D7" s="5">
        <v>20</v>
      </c>
      <c r="E7" s="6">
        <v>0.11</v>
      </c>
      <c r="F7" s="6">
        <v>0.107</v>
      </c>
      <c r="G7" s="6">
        <f t="shared" si="0"/>
        <v>0.1085</v>
      </c>
      <c r="H7" s="3">
        <f t="shared" si="1"/>
        <v>0.12988487499999998</v>
      </c>
      <c r="I7" s="3">
        <f t="shared" si="2"/>
        <v>2.0454311023622045E-3</v>
      </c>
      <c r="J7" s="3">
        <f t="shared" si="3"/>
        <v>0.30681466535433066</v>
      </c>
      <c r="K7" s="3">
        <f t="shared" ref="K7:K8" si="10">$S$29</f>
        <v>1.3603960629921257</v>
      </c>
      <c r="L7" s="3">
        <f t="shared" si="5"/>
        <v>1.053581397637795</v>
      </c>
      <c r="M7" s="3">
        <f t="shared" si="6"/>
        <v>0.92411314589754856</v>
      </c>
      <c r="N7" s="3">
        <f t="shared" si="8"/>
        <v>15.696738402457839</v>
      </c>
      <c r="O7" s="3">
        <f t="shared" si="7"/>
        <v>30.275327518327444</v>
      </c>
      <c r="P7">
        <v>1.1400999999999999</v>
      </c>
      <c r="Q7" s="3">
        <v>6.7121039455739565E-2</v>
      </c>
      <c r="R7" s="1">
        <v>3.4799999999999998E-2</v>
      </c>
      <c r="S7" s="15"/>
      <c r="T7" s="15"/>
      <c r="U7" s="15"/>
    </row>
    <row r="8" spans="1:21" x14ac:dyDescent="0.3">
      <c r="A8" s="2" t="s">
        <v>56</v>
      </c>
      <c r="B8" s="2">
        <v>4.91</v>
      </c>
      <c r="C8" s="5">
        <v>150</v>
      </c>
      <c r="D8" s="5">
        <v>20</v>
      </c>
      <c r="E8" s="6">
        <v>0.13600000000000001</v>
      </c>
      <c r="F8" s="6">
        <v>0.13300000000000001</v>
      </c>
      <c r="G8" s="6">
        <f t="shared" si="0"/>
        <v>0.13450000000000001</v>
      </c>
      <c r="H8" s="3">
        <f t="shared" si="1"/>
        <v>0.15515037500000001</v>
      </c>
      <c r="I8" s="3">
        <f t="shared" si="2"/>
        <v>2.4433129921259842E-3</v>
      </c>
      <c r="J8" s="3">
        <f t="shared" si="3"/>
        <v>0.36649694881889766</v>
      </c>
      <c r="K8" s="3">
        <f t="shared" si="10"/>
        <v>1.3603960629921257</v>
      </c>
      <c r="L8" s="3">
        <f t="shared" si="5"/>
        <v>0.99389911417322807</v>
      </c>
      <c r="M8" s="3">
        <f t="shared" si="6"/>
        <v>0.8937941674219676</v>
      </c>
      <c r="N8" s="3">
        <f t="shared" si="8"/>
        <v>15.181748354027443</v>
      </c>
      <c r="O8" s="3">
        <f t="shared" si="7"/>
        <v>29.492555316712998</v>
      </c>
      <c r="P8">
        <v>1.1120000000000001</v>
      </c>
      <c r="Q8" s="3">
        <v>6.5466709827894404E-2</v>
      </c>
      <c r="R8" s="1">
        <v>3.3700000000000001E-2</v>
      </c>
      <c r="S8" s="15"/>
      <c r="T8" s="15"/>
      <c r="U8" s="15"/>
    </row>
    <row r="9" spans="1:21" x14ac:dyDescent="0.3">
      <c r="A9" s="2" t="s">
        <v>48</v>
      </c>
      <c r="B9" s="2">
        <v>5.84</v>
      </c>
      <c r="C9" s="5">
        <v>150</v>
      </c>
      <c r="D9" s="5">
        <v>20</v>
      </c>
      <c r="E9" s="6">
        <v>0.13900000000000001</v>
      </c>
      <c r="F9" s="6">
        <v>0.14000000000000001</v>
      </c>
      <c r="G9" s="6">
        <f t="shared" si="0"/>
        <v>0.13950000000000001</v>
      </c>
      <c r="H9" s="3">
        <f t="shared" si="1"/>
        <v>0.160009125</v>
      </c>
      <c r="I9" s="3">
        <f t="shared" si="2"/>
        <v>2.5198287401574804E-3</v>
      </c>
      <c r="J9" s="3">
        <f t="shared" si="3"/>
        <v>0.37797431102362206</v>
      </c>
      <c r="K9" s="3">
        <f>$S$30</f>
        <v>1.3236685039370077</v>
      </c>
      <c r="L9" s="3">
        <f t="shared" si="5"/>
        <v>0.94569419291338574</v>
      </c>
      <c r="M9" s="3">
        <f>L9/P9</f>
        <v>0.99946543322065706</v>
      </c>
      <c r="N9" s="3">
        <f t="shared" si="8"/>
        <v>16.460042051687445</v>
      </c>
      <c r="O9" s="3">
        <f>L9/R9</f>
        <v>27.732967534116884</v>
      </c>
      <c r="P9">
        <v>0.94620000000000004</v>
      </c>
      <c r="Q9" s="3">
        <v>5.7453935411813567E-2</v>
      </c>
      <c r="R9" s="1">
        <v>3.4099999999999998E-2</v>
      </c>
      <c r="S9" s="14">
        <f>AVERAGE(M9:M11)</f>
        <v>0.83308776547287966</v>
      </c>
      <c r="T9" s="14">
        <f t="shared" ref="T9:U9" si="11">AVERAGE(N9:N11)</f>
        <v>13.719993905384532</v>
      </c>
      <c r="U9" s="14">
        <f t="shared" si="11"/>
        <v>25.648498119532395</v>
      </c>
    </row>
    <row r="10" spans="1:21" x14ac:dyDescent="0.3">
      <c r="A10" s="2" t="s">
        <v>49</v>
      </c>
      <c r="B10" s="2">
        <v>6.01</v>
      </c>
      <c r="C10" s="5">
        <v>150</v>
      </c>
      <c r="D10" s="5">
        <v>20</v>
      </c>
      <c r="E10" s="6">
        <v>0.214</v>
      </c>
      <c r="F10" s="6">
        <v>0.216</v>
      </c>
      <c r="G10" s="6">
        <f t="shared" si="0"/>
        <v>0.215</v>
      </c>
      <c r="H10" s="3">
        <f t="shared" si="1"/>
        <v>0.23337624999999998</v>
      </c>
      <c r="I10" s="3">
        <f t="shared" si="2"/>
        <v>3.6752165354330705E-3</v>
      </c>
      <c r="J10" s="3">
        <f t="shared" si="3"/>
        <v>0.55128248031496063</v>
      </c>
      <c r="K10" s="3">
        <f t="shared" ref="K10:K11" si="12">$S$30</f>
        <v>1.3236685039370077</v>
      </c>
      <c r="L10" s="3">
        <f t="shared" si="5"/>
        <v>0.77238602362204711</v>
      </c>
      <c r="M10" s="3">
        <f t="shared" si="6"/>
        <v>0.57722593499891417</v>
      </c>
      <c r="N10" s="3">
        <f>L10/Q10</f>
        <v>9.5062448861191484</v>
      </c>
      <c r="O10" s="3">
        <f t="shared" si="7"/>
        <v>19.165906293351043</v>
      </c>
      <c r="P10">
        <v>1.3381000000000001</v>
      </c>
      <c r="Q10" s="3">
        <v>8.1250381499204966E-2</v>
      </c>
      <c r="R10" s="1">
        <v>4.0300000000000002E-2</v>
      </c>
      <c r="S10" s="15"/>
      <c r="T10" s="15"/>
      <c r="U10" s="15"/>
    </row>
    <row r="11" spans="1:21" x14ac:dyDescent="0.3">
      <c r="A11" s="2" t="s">
        <v>50</v>
      </c>
      <c r="B11" s="2">
        <v>6</v>
      </c>
      <c r="C11" s="5">
        <v>150</v>
      </c>
      <c r="D11" s="5">
        <v>20</v>
      </c>
      <c r="E11" s="6">
        <v>0.129</v>
      </c>
      <c r="F11" s="6">
        <v>0.13100000000000001</v>
      </c>
      <c r="G11" s="6">
        <f t="shared" si="0"/>
        <v>0.13</v>
      </c>
      <c r="H11" s="3">
        <f t="shared" si="1"/>
        <v>0.15077749999999998</v>
      </c>
      <c r="I11" s="3">
        <f>H11/63.5</f>
        <v>2.3744488188976376E-3</v>
      </c>
      <c r="J11" s="3">
        <f>I11*C11</f>
        <v>0.35616732283464564</v>
      </c>
      <c r="K11" s="3">
        <f t="shared" si="12"/>
        <v>1.3236685039370077</v>
      </c>
      <c r="L11" s="3">
        <f>K11-J11</f>
        <v>0.96750118110236216</v>
      </c>
      <c r="M11" s="3">
        <f t="shared" si="6"/>
        <v>0.92257192819906764</v>
      </c>
      <c r="N11" s="3">
        <f>L11/Q11</f>
        <v>15.193694778347002</v>
      </c>
      <c r="O11" s="3">
        <f t="shared" si="7"/>
        <v>30.04662053112926</v>
      </c>
      <c r="P11">
        <v>1.0487</v>
      </c>
      <c r="Q11" s="3">
        <v>6.3677808144545434E-2</v>
      </c>
      <c r="R11" s="1">
        <v>3.2199999999999999E-2</v>
      </c>
      <c r="S11" s="15"/>
      <c r="T11" s="15"/>
      <c r="U11" s="15"/>
    </row>
    <row r="13" spans="1:21" ht="26.25" x14ac:dyDescent="0.4">
      <c r="A13" s="16" t="s">
        <v>40</v>
      </c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</row>
    <row r="14" spans="1:21" ht="60.75" x14ac:dyDescent="0.3">
      <c r="A14" s="3" t="s">
        <v>0</v>
      </c>
      <c r="B14" s="3" t="s">
        <v>30</v>
      </c>
      <c r="C14" s="3" t="s">
        <v>14</v>
      </c>
      <c r="D14" s="3" t="s">
        <v>15</v>
      </c>
      <c r="E14" s="3" t="s">
        <v>16</v>
      </c>
      <c r="F14" s="3" t="s">
        <v>17</v>
      </c>
      <c r="G14" s="3" t="s">
        <v>18</v>
      </c>
      <c r="H14" s="3" t="s">
        <v>19</v>
      </c>
      <c r="I14" s="3" t="s">
        <v>20</v>
      </c>
      <c r="J14" s="3" t="s">
        <v>21</v>
      </c>
      <c r="K14" s="3" t="s">
        <v>22</v>
      </c>
      <c r="L14" s="3" t="s">
        <v>23</v>
      </c>
      <c r="M14" s="3" t="s">
        <v>24</v>
      </c>
      <c r="N14" s="3" t="s">
        <v>25</v>
      </c>
      <c r="O14" s="3" t="s">
        <v>26</v>
      </c>
      <c r="P14" s="3" t="s">
        <v>3</v>
      </c>
      <c r="Q14" s="3" t="s">
        <v>4</v>
      </c>
      <c r="R14" s="3" t="s">
        <v>31</v>
      </c>
      <c r="S14" s="4" t="s">
        <v>27</v>
      </c>
      <c r="T14" s="4" t="s">
        <v>28</v>
      </c>
      <c r="U14" s="4" t="s">
        <v>29</v>
      </c>
    </row>
    <row r="15" spans="1:21" x14ac:dyDescent="0.3">
      <c r="A15" s="2" t="s">
        <v>45</v>
      </c>
      <c r="B15" s="2">
        <v>3.97</v>
      </c>
      <c r="C15" s="5">
        <v>150</v>
      </c>
      <c r="D15" s="5">
        <v>20</v>
      </c>
      <c r="E15" s="6">
        <v>0.189</v>
      </c>
      <c r="F15" s="6">
        <v>0.191</v>
      </c>
      <c r="G15" s="6">
        <f>AVERAGE(E15:F15)</f>
        <v>0.19</v>
      </c>
      <c r="H15" s="3">
        <f>(G15*19.435+0.489)/D15</f>
        <v>0.2090825</v>
      </c>
      <c r="I15" s="3">
        <f>H15/63.5</f>
        <v>3.2926377952755908E-3</v>
      </c>
      <c r="J15" s="3">
        <f>I15*C15</f>
        <v>0.4938956692913386</v>
      </c>
      <c r="K15" s="3">
        <f>$S$34</f>
        <v>1.2318496062992124</v>
      </c>
      <c r="L15" s="3">
        <f>K15-J15</f>
        <v>0.73795393700787382</v>
      </c>
      <c r="M15" s="3">
        <f>L15/P15</f>
        <v>0.40090940240553802</v>
      </c>
      <c r="N15" s="3">
        <f>L15/Q15</f>
        <v>3.8551832368884633</v>
      </c>
      <c r="O15" s="3">
        <f>L15/R15</f>
        <v>7.4315602921236037</v>
      </c>
      <c r="P15">
        <v>1.8407</v>
      </c>
      <c r="Q15" s="3">
        <v>0.19141864125853586</v>
      </c>
      <c r="R15" s="1">
        <v>9.9299999999999999E-2</v>
      </c>
      <c r="S15" s="14">
        <f>AVERAGE(M15:M17)</f>
        <v>0.49850474977852571</v>
      </c>
      <c r="T15" s="14">
        <f>AVERAGE(N15:N17)</f>
        <v>4.7936694508138151</v>
      </c>
      <c r="U15" s="14">
        <f>AVERAGE(O15:O17)</f>
        <v>9.907398609489567</v>
      </c>
    </row>
    <row r="16" spans="1:21" x14ac:dyDescent="0.3">
      <c r="A16" s="2" t="s">
        <v>46</v>
      </c>
      <c r="B16" s="2">
        <v>4.17</v>
      </c>
      <c r="C16" s="5">
        <v>150</v>
      </c>
      <c r="D16" s="5">
        <v>20</v>
      </c>
      <c r="E16" s="6">
        <v>9.6000000000000002E-2</v>
      </c>
      <c r="F16" s="6">
        <v>9.2999999999999999E-2</v>
      </c>
      <c r="G16" s="6">
        <f t="shared" ref="G16:G23" si="13">AVERAGE(E16:F16)</f>
        <v>9.4500000000000001E-2</v>
      </c>
      <c r="H16" s="3">
        <f t="shared" ref="H16:H23" si="14">(G16*19.435+0.489)/D16</f>
        <v>0.11628037499999999</v>
      </c>
      <c r="I16" s="3">
        <f t="shared" ref="I16:I22" si="15">H16/63.5</f>
        <v>1.8311870078740156E-3</v>
      </c>
      <c r="J16" s="3">
        <f t="shared" ref="J16:J22" si="16">I16*C16</f>
        <v>0.27467805118110233</v>
      </c>
      <c r="K16" s="3">
        <f t="shared" ref="K16:K17" si="17">$S$34</f>
        <v>1.2318496062992124</v>
      </c>
      <c r="L16" s="3">
        <f t="shared" ref="L16:L22" si="18">K16-J16</f>
        <v>0.95717155511811003</v>
      </c>
      <c r="M16" s="3">
        <f t="shared" ref="M16:M23" si="19">L16/P16</f>
        <v>0.53431481250313162</v>
      </c>
      <c r="N16" s="3">
        <f t="shared" ref="N16:N21" si="20">L16/Q16</f>
        <v>5.1380224460278736</v>
      </c>
      <c r="O16" s="3">
        <f t="shared" ref="O16:O20" si="21">L16/R16</f>
        <v>11.078374480533681</v>
      </c>
      <c r="P16">
        <v>1.7914000000000001</v>
      </c>
      <c r="Q16" s="3">
        <v>0.18629182047619988</v>
      </c>
      <c r="R16" s="1">
        <v>8.6400000000000005E-2</v>
      </c>
      <c r="S16" s="15"/>
      <c r="T16" s="15"/>
      <c r="U16" s="15"/>
    </row>
    <row r="17" spans="1:21" x14ac:dyDescent="0.3">
      <c r="A17" s="2" t="s">
        <v>47</v>
      </c>
      <c r="B17" s="2">
        <v>4.12</v>
      </c>
      <c r="C17" s="5">
        <v>150</v>
      </c>
      <c r="D17" s="5">
        <v>20</v>
      </c>
      <c r="E17" s="6">
        <v>4.3999999999999997E-2</v>
      </c>
      <c r="F17" s="6">
        <v>4.7E-2</v>
      </c>
      <c r="G17" s="6">
        <f t="shared" si="13"/>
        <v>4.5499999999999999E-2</v>
      </c>
      <c r="H17" s="3">
        <f t="shared" si="14"/>
        <v>6.8664624999999993E-2</v>
      </c>
      <c r="I17" s="3">
        <f t="shared" si="15"/>
        <v>1.0813326771653541E-3</v>
      </c>
      <c r="J17" s="3">
        <f t="shared" si="16"/>
        <v>0.16219990157480313</v>
      </c>
      <c r="K17" s="3">
        <f t="shared" si="17"/>
        <v>1.2318496062992124</v>
      </c>
      <c r="L17" s="3">
        <f t="shared" si="18"/>
        <v>1.0696497047244091</v>
      </c>
      <c r="M17" s="3">
        <f t="shared" si="19"/>
        <v>0.5602900344269075</v>
      </c>
      <c r="N17" s="3">
        <f t="shared" si="20"/>
        <v>5.3878026695251098</v>
      </c>
      <c r="O17" s="3">
        <f t="shared" si="21"/>
        <v>11.212261055811416</v>
      </c>
      <c r="P17">
        <v>1.9091</v>
      </c>
      <c r="Q17" s="3">
        <v>0.19853171512287215</v>
      </c>
      <c r="R17" s="1">
        <v>9.5399999999999999E-2</v>
      </c>
      <c r="S17" s="15"/>
      <c r="T17" s="15"/>
      <c r="U17" s="15"/>
    </row>
    <row r="18" spans="1:21" x14ac:dyDescent="0.3">
      <c r="A18" s="2" t="s">
        <v>54</v>
      </c>
      <c r="B18" s="2">
        <v>4.1100000000000003</v>
      </c>
      <c r="C18" s="5">
        <v>150</v>
      </c>
      <c r="D18" s="5">
        <v>20</v>
      </c>
      <c r="E18" s="6">
        <v>0.17</v>
      </c>
      <c r="F18" s="6">
        <v>0.16600000000000001</v>
      </c>
      <c r="G18" s="6">
        <f t="shared" si="13"/>
        <v>0.16800000000000001</v>
      </c>
      <c r="H18" s="3">
        <f t="shared" si="14"/>
        <v>0.18770400000000001</v>
      </c>
      <c r="I18" s="3">
        <f t="shared" si="15"/>
        <v>2.9559685039370082E-3</v>
      </c>
      <c r="J18" s="3">
        <f t="shared" si="16"/>
        <v>0.44339527559055125</v>
      </c>
      <c r="K18" s="3">
        <f>$S$35</f>
        <v>1.3144866141732281</v>
      </c>
      <c r="L18" s="3">
        <f t="shared" si="18"/>
        <v>0.87109133858267684</v>
      </c>
      <c r="M18" s="3">
        <f>L18/P18</f>
        <v>0.41809039528806186</v>
      </c>
      <c r="N18" s="3">
        <f t="shared" si="20"/>
        <v>4.0224910270224239</v>
      </c>
      <c r="O18" s="3">
        <f t="shared" si="21"/>
        <v>7.9624436799147791</v>
      </c>
      <c r="P18">
        <v>2.0834999999999999</v>
      </c>
      <c r="Q18" s="3">
        <v>0.21655519744626661</v>
      </c>
      <c r="R18" s="1">
        <v>0.1094</v>
      </c>
      <c r="S18" s="14">
        <f t="shared" ref="S18" si="22">AVERAGE(M18:M20)</f>
        <v>0.43517524633611715</v>
      </c>
      <c r="T18" s="14">
        <f t="shared" ref="T18" si="23">AVERAGE(N18:N20)</f>
        <v>4.1868661497550734</v>
      </c>
      <c r="U18" s="14">
        <f t="shared" ref="U18" si="24">AVERAGE(O18:O20)</f>
        <v>8.5527589492245557</v>
      </c>
    </row>
    <row r="19" spans="1:21" x14ac:dyDescent="0.3">
      <c r="A19" s="2" t="s">
        <v>55</v>
      </c>
      <c r="B19" s="2">
        <v>4.28</v>
      </c>
      <c r="C19" s="5">
        <v>150</v>
      </c>
      <c r="D19" s="5">
        <v>20</v>
      </c>
      <c r="E19" s="6">
        <v>0.189</v>
      </c>
      <c r="F19" s="6">
        <v>0.191</v>
      </c>
      <c r="G19" s="6">
        <f t="shared" si="13"/>
        <v>0.19</v>
      </c>
      <c r="H19" s="3">
        <f t="shared" si="14"/>
        <v>0.2090825</v>
      </c>
      <c r="I19" s="3">
        <f t="shared" si="15"/>
        <v>3.2926377952755908E-3</v>
      </c>
      <c r="J19" s="3">
        <f t="shared" si="16"/>
        <v>0.4938956692913386</v>
      </c>
      <c r="K19" s="3">
        <f t="shared" ref="K19:K20" si="25">$S$35</f>
        <v>1.3144866141732281</v>
      </c>
      <c r="L19" s="3">
        <f t="shared" si="18"/>
        <v>0.82059094488188955</v>
      </c>
      <c r="M19" s="3">
        <f t="shared" si="19"/>
        <v>0.4415102468965294</v>
      </c>
      <c r="N19" s="3">
        <f t="shared" si="20"/>
        <v>4.2478158467527356</v>
      </c>
      <c r="O19" s="3">
        <f t="shared" si="21"/>
        <v>8.4336171108107862</v>
      </c>
      <c r="P19">
        <v>1.8586</v>
      </c>
      <c r="Q19" s="3">
        <v>0.19317950082727678</v>
      </c>
      <c r="R19" s="1">
        <v>9.7299999999999998E-2</v>
      </c>
      <c r="S19" s="15"/>
      <c r="T19" s="15"/>
      <c r="U19" s="15"/>
    </row>
    <row r="20" spans="1:21" x14ac:dyDescent="0.3">
      <c r="A20" s="2" t="s">
        <v>56</v>
      </c>
      <c r="B20" s="2">
        <v>4.32</v>
      </c>
      <c r="C20" s="5">
        <v>150</v>
      </c>
      <c r="D20" s="5">
        <v>20</v>
      </c>
      <c r="E20" s="6">
        <v>0.16900000000000001</v>
      </c>
      <c r="F20" s="6">
        <v>0.16900000000000001</v>
      </c>
      <c r="G20" s="6">
        <f t="shared" si="13"/>
        <v>0.16900000000000001</v>
      </c>
      <c r="H20" s="3">
        <f t="shared" si="14"/>
        <v>0.18867574999999998</v>
      </c>
      <c r="I20" s="3">
        <f t="shared" si="15"/>
        <v>2.9712716535433069E-3</v>
      </c>
      <c r="J20" s="3">
        <f t="shared" si="16"/>
        <v>0.44569074803149605</v>
      </c>
      <c r="K20" s="3">
        <f t="shared" si="25"/>
        <v>1.3144866141732281</v>
      </c>
      <c r="L20" s="3">
        <f t="shared" si="18"/>
        <v>0.8687958661417321</v>
      </c>
      <c r="M20" s="3">
        <f t="shared" si="19"/>
        <v>0.44592509682376025</v>
      </c>
      <c r="N20" s="3">
        <f t="shared" si="20"/>
        <v>4.2902915754900608</v>
      </c>
      <c r="O20" s="3">
        <f t="shared" si="21"/>
        <v>9.2622160569481036</v>
      </c>
      <c r="P20">
        <v>1.9482999999999999</v>
      </c>
      <c r="Q20" s="3">
        <v>0.20250275554814556</v>
      </c>
      <c r="R20" s="1">
        <v>9.3799999999999994E-2</v>
      </c>
      <c r="S20" s="15"/>
      <c r="T20" s="15"/>
      <c r="U20" s="15"/>
    </row>
    <row r="21" spans="1:21" x14ac:dyDescent="0.3">
      <c r="A21" s="2" t="s">
        <v>48</v>
      </c>
      <c r="B21" s="2">
        <v>4.5199999999999996</v>
      </c>
      <c r="C21" s="5">
        <v>150</v>
      </c>
      <c r="D21" s="5">
        <v>20</v>
      </c>
      <c r="E21" s="6">
        <v>0.13400000000000001</v>
      </c>
      <c r="F21" s="6">
        <v>0.128</v>
      </c>
      <c r="G21" s="6">
        <f t="shared" si="13"/>
        <v>0.13100000000000001</v>
      </c>
      <c r="H21" s="3">
        <f t="shared" si="14"/>
        <v>0.15174925</v>
      </c>
      <c r="I21" s="3">
        <f t="shared" si="15"/>
        <v>2.3897519685039371E-3</v>
      </c>
      <c r="J21" s="3">
        <f t="shared" si="16"/>
        <v>0.35846279527559055</v>
      </c>
      <c r="K21" s="3">
        <f>$S$36</f>
        <v>1.3144866141732281</v>
      </c>
      <c r="L21" s="3">
        <f t="shared" si="18"/>
        <v>0.95602381889763755</v>
      </c>
      <c r="M21" s="3">
        <f t="shared" si="19"/>
        <v>0.59240539031951767</v>
      </c>
      <c r="N21" s="3">
        <f t="shared" si="20"/>
        <v>5.6848226493655387</v>
      </c>
      <c r="O21" s="3">
        <f>L21/R21</f>
        <v>11.715978172765166</v>
      </c>
      <c r="P21">
        <v>1.6137999999999999</v>
      </c>
      <c r="Q21" s="3">
        <v>0.16817126546671349</v>
      </c>
      <c r="R21" s="1">
        <v>8.1600000000000006E-2</v>
      </c>
      <c r="S21" s="14">
        <f t="shared" ref="S21" si="26">AVERAGE(M21:M23)</f>
        <v>0.54822068930007273</v>
      </c>
      <c r="T21" s="14">
        <f t="shared" ref="T21" si="27">AVERAGE(N21:N23)</f>
        <v>5.2608187607862869</v>
      </c>
      <c r="U21" s="14">
        <f t="shared" ref="U21" si="28">AVERAGE(O21:O23)</f>
        <v>10.594301341821451</v>
      </c>
    </row>
    <row r="22" spans="1:21" x14ac:dyDescent="0.3">
      <c r="A22" s="2" t="s">
        <v>49</v>
      </c>
      <c r="B22" s="2">
        <v>4.21</v>
      </c>
      <c r="C22" s="5">
        <v>150</v>
      </c>
      <c r="D22" s="5">
        <v>20</v>
      </c>
      <c r="E22" s="6">
        <v>8.5999999999999993E-2</v>
      </c>
      <c r="F22" s="6">
        <v>8.4000000000000005E-2</v>
      </c>
      <c r="G22" s="6">
        <f t="shared" si="13"/>
        <v>8.4999999999999992E-2</v>
      </c>
      <c r="H22" s="3">
        <f t="shared" si="14"/>
        <v>0.10704874999999998</v>
      </c>
      <c r="I22" s="3">
        <f t="shared" si="15"/>
        <v>1.685807086614173E-3</v>
      </c>
      <c r="J22" s="3">
        <f t="shared" si="16"/>
        <v>0.25287106299212597</v>
      </c>
      <c r="K22" s="3">
        <f t="shared" ref="K22:K23" si="29">$S$36</f>
        <v>1.3144866141732281</v>
      </c>
      <c r="L22" s="3">
        <f t="shared" si="18"/>
        <v>1.0616155511811021</v>
      </c>
      <c r="M22" s="3">
        <f t="shared" si="19"/>
        <v>0.51718008047016217</v>
      </c>
      <c r="N22" s="3">
        <f>L22/Q22</f>
        <v>4.9629478112474983</v>
      </c>
      <c r="O22" s="3">
        <f t="shared" ref="O22:O23" si="30">L22/R22</f>
        <v>9.8116039850379106</v>
      </c>
      <c r="P22">
        <v>2.0527000000000002</v>
      </c>
      <c r="Q22" s="3">
        <v>0.21390826411173805</v>
      </c>
      <c r="R22" s="1">
        <v>0.1082</v>
      </c>
      <c r="S22" s="15"/>
      <c r="T22" s="15"/>
      <c r="U22" s="15"/>
    </row>
    <row r="23" spans="1:21" x14ac:dyDescent="0.3">
      <c r="A23" s="2" t="s">
        <v>50</v>
      </c>
      <c r="B23" s="2">
        <v>4.21</v>
      </c>
      <c r="C23" s="5">
        <v>150</v>
      </c>
      <c r="D23" s="5">
        <v>20</v>
      </c>
      <c r="E23" s="6">
        <v>0.16400000000000001</v>
      </c>
      <c r="F23" s="6">
        <v>0.16700000000000001</v>
      </c>
      <c r="G23" s="6">
        <f t="shared" si="13"/>
        <v>0.16550000000000001</v>
      </c>
      <c r="H23" s="3">
        <f t="shared" si="14"/>
        <v>0.18527462499999997</v>
      </c>
      <c r="I23" s="3">
        <f>H23/63.5</f>
        <v>2.9177106299212593E-3</v>
      </c>
      <c r="J23" s="3">
        <f>I23*C23</f>
        <v>0.43765659448818889</v>
      </c>
      <c r="K23" s="3">
        <f t="shared" si="29"/>
        <v>1.3144866141732281</v>
      </c>
      <c r="L23" s="3">
        <f>K23-J23</f>
        <v>0.87683001968503915</v>
      </c>
      <c r="M23" s="3">
        <f t="shared" si="19"/>
        <v>0.53507659711053834</v>
      </c>
      <c r="N23" s="3">
        <f>L23/Q23</f>
        <v>5.1346858217458227</v>
      </c>
      <c r="O23" s="3">
        <f t="shared" si="30"/>
        <v>10.255321867661277</v>
      </c>
      <c r="P23">
        <v>1.6387</v>
      </c>
      <c r="Q23" s="3">
        <v>0.17076605076236426</v>
      </c>
      <c r="R23" s="1">
        <v>8.5500000000000007E-2</v>
      </c>
      <c r="S23" s="15"/>
      <c r="T23" s="15"/>
      <c r="U23" s="15"/>
    </row>
    <row r="26" spans="1:21" x14ac:dyDescent="0.3">
      <c r="A26" s="2" t="s">
        <v>51</v>
      </c>
      <c r="K26" s="2" t="s">
        <v>76</v>
      </c>
    </row>
    <row r="27" spans="1:21" x14ac:dyDescent="0.3">
      <c r="A27" s="2">
        <v>0.1</v>
      </c>
      <c r="B27" s="2">
        <f>A27*10</f>
        <v>1</v>
      </c>
      <c r="C27" s="2">
        <v>2.7E-2</v>
      </c>
      <c r="K27" s="2" t="s">
        <v>0</v>
      </c>
      <c r="L27" s="2" t="s">
        <v>14</v>
      </c>
      <c r="M27" s="2" t="s">
        <v>15</v>
      </c>
      <c r="N27" s="2" t="s">
        <v>16</v>
      </c>
      <c r="O27" s="2" t="s">
        <v>17</v>
      </c>
      <c r="P27" s="2" t="s">
        <v>18</v>
      </c>
      <c r="Q27" s="2" t="s">
        <v>19</v>
      </c>
      <c r="R27" s="2" t="s">
        <v>20</v>
      </c>
      <c r="S27" s="2" t="s">
        <v>21</v>
      </c>
    </row>
    <row r="28" spans="1:21" x14ac:dyDescent="0.3">
      <c r="A28" s="2">
        <v>0.2</v>
      </c>
      <c r="B28" s="2">
        <f t="shared" ref="B28:B31" si="31">A28*10</f>
        <v>2</v>
      </c>
      <c r="C28" s="2">
        <v>0.08</v>
      </c>
      <c r="K28" s="8" t="s">
        <v>53</v>
      </c>
      <c r="L28" s="2">
        <v>150</v>
      </c>
      <c r="M28" s="2">
        <v>5</v>
      </c>
      <c r="N28" s="2">
        <v>0.106</v>
      </c>
      <c r="O28" s="2">
        <v>0.104</v>
      </c>
      <c r="P28" s="2">
        <f>AVERAGE(N28:O28)</f>
        <v>0.105</v>
      </c>
      <c r="Q28" s="2">
        <f>(P28*19.435+0.489)/M28</f>
        <v>0.50593499999999991</v>
      </c>
      <c r="R28" s="2">
        <f>Q28/63.5</f>
        <v>7.9674803149606278E-3</v>
      </c>
      <c r="S28" s="2">
        <f>R28*L28</f>
        <v>1.1951220472440942</v>
      </c>
    </row>
    <row r="29" spans="1:21" x14ac:dyDescent="0.3">
      <c r="A29" s="2">
        <v>0.3</v>
      </c>
      <c r="B29" s="2">
        <f t="shared" si="31"/>
        <v>3</v>
      </c>
      <c r="C29" s="2">
        <v>0.125</v>
      </c>
      <c r="K29" s="2" t="s">
        <v>60</v>
      </c>
      <c r="L29" s="2">
        <v>150</v>
      </c>
      <c r="M29" s="2">
        <v>5</v>
      </c>
      <c r="N29" s="2">
        <v>0.124</v>
      </c>
      <c r="O29" s="2">
        <v>0.122</v>
      </c>
      <c r="P29" s="2">
        <f t="shared" ref="P29:P30" si="32">AVERAGE(N29:O29)</f>
        <v>0.123</v>
      </c>
      <c r="Q29" s="2">
        <f t="shared" ref="Q29:Q30" si="33">(P29*19.435+0.489)/M29</f>
        <v>0.57590099999999989</v>
      </c>
      <c r="R29" s="2">
        <f t="shared" ref="R29:R30" si="34">Q29/63.5</f>
        <v>9.0693070866141711E-3</v>
      </c>
      <c r="S29" s="2">
        <f t="shared" ref="S29:S30" si="35">R29*L29</f>
        <v>1.3603960629921257</v>
      </c>
    </row>
    <row r="30" spans="1:21" x14ac:dyDescent="0.3">
      <c r="A30" s="2">
        <v>0.4</v>
      </c>
      <c r="B30" s="2">
        <f t="shared" si="31"/>
        <v>4</v>
      </c>
      <c r="C30" s="2">
        <v>0.18</v>
      </c>
      <c r="K30" s="2" t="s">
        <v>52</v>
      </c>
      <c r="L30" s="2">
        <v>150</v>
      </c>
      <c r="M30" s="2">
        <v>5</v>
      </c>
      <c r="N30" s="2">
        <v>0.11600000000000001</v>
      </c>
      <c r="O30" s="2">
        <v>0.122</v>
      </c>
      <c r="P30" s="2">
        <f t="shared" si="32"/>
        <v>0.11899999999999999</v>
      </c>
      <c r="Q30" s="2">
        <f t="shared" si="33"/>
        <v>0.56035299999999988</v>
      </c>
      <c r="R30" s="2">
        <f t="shared" si="34"/>
        <v>8.8244566929133843E-3</v>
      </c>
      <c r="S30" s="2">
        <f t="shared" si="35"/>
        <v>1.3236685039370077</v>
      </c>
    </row>
    <row r="31" spans="1:21" x14ac:dyDescent="0.3">
      <c r="A31" s="2">
        <v>0.5</v>
      </c>
      <c r="B31" s="2">
        <f t="shared" si="31"/>
        <v>5</v>
      </c>
      <c r="C31" s="2">
        <v>0.23400000000000001</v>
      </c>
    </row>
    <row r="32" spans="1:21" x14ac:dyDescent="0.3">
      <c r="K32" s="2" t="s">
        <v>76</v>
      </c>
    </row>
    <row r="33" spans="11:19" x14ac:dyDescent="0.3">
      <c r="K33" s="2" t="s">
        <v>0</v>
      </c>
      <c r="L33" s="2" t="s">
        <v>14</v>
      </c>
      <c r="M33" s="2" t="s">
        <v>15</v>
      </c>
      <c r="N33" s="2" t="s">
        <v>16</v>
      </c>
      <c r="O33" s="2" t="s">
        <v>17</v>
      </c>
      <c r="P33" s="2" t="s">
        <v>18</v>
      </c>
      <c r="Q33" s="2" t="s">
        <v>19</v>
      </c>
      <c r="R33" s="2" t="s">
        <v>20</v>
      </c>
      <c r="S33" s="2" t="s">
        <v>21</v>
      </c>
    </row>
    <row r="34" spans="11:19" x14ac:dyDescent="0.3">
      <c r="K34" s="8" t="s">
        <v>53</v>
      </c>
      <c r="L34" s="2">
        <v>150</v>
      </c>
      <c r="M34" s="2">
        <v>5</v>
      </c>
      <c r="N34" s="2">
        <v>0.11</v>
      </c>
      <c r="O34" s="2">
        <v>0.108</v>
      </c>
      <c r="P34" s="2">
        <f>AVERAGE(N34:O34)</f>
        <v>0.109</v>
      </c>
      <c r="Q34" s="2">
        <f>(P34*19.435+0.489)/M34</f>
        <v>0.52148299999999992</v>
      </c>
      <c r="R34" s="2">
        <f>Q34/63.5</f>
        <v>8.2123307086614163E-3</v>
      </c>
      <c r="S34" s="2">
        <f>R34*L34</f>
        <v>1.2318496062992124</v>
      </c>
    </row>
    <row r="35" spans="11:19" x14ac:dyDescent="0.3">
      <c r="K35" s="2" t="s">
        <v>60</v>
      </c>
      <c r="L35" s="2">
        <v>150</v>
      </c>
      <c r="M35" s="2">
        <v>5</v>
      </c>
      <c r="N35" s="2">
        <v>0.11899999999999999</v>
      </c>
      <c r="O35" s="2">
        <v>0.11700000000000001</v>
      </c>
      <c r="P35" s="2">
        <f t="shared" ref="P35:P36" si="36">AVERAGE(N35:O35)</f>
        <v>0.11799999999999999</v>
      </c>
      <c r="Q35" s="2">
        <f t="shared" ref="Q35:Q36" si="37">(P35*19.435+0.489)/M35</f>
        <v>0.55646599999999991</v>
      </c>
      <c r="R35" s="2">
        <f t="shared" ref="R35:R36" si="38">Q35/63.5</f>
        <v>8.763244094488188E-3</v>
      </c>
      <c r="S35" s="2">
        <f t="shared" ref="S35:S36" si="39">R35*L35</f>
        <v>1.3144866141732281</v>
      </c>
    </row>
    <row r="36" spans="11:19" x14ac:dyDescent="0.3">
      <c r="K36" s="2" t="s">
        <v>52</v>
      </c>
      <c r="L36" s="2">
        <v>150</v>
      </c>
      <c r="M36" s="2">
        <v>5</v>
      </c>
      <c r="N36" s="2">
        <v>0.11700000000000001</v>
      </c>
      <c r="O36" s="2">
        <v>0.11899999999999999</v>
      </c>
      <c r="P36" s="2">
        <f t="shared" si="36"/>
        <v>0.11799999999999999</v>
      </c>
      <c r="Q36" s="2">
        <f t="shared" si="37"/>
        <v>0.55646599999999991</v>
      </c>
      <c r="R36" s="2">
        <f t="shared" si="38"/>
        <v>8.763244094488188E-3</v>
      </c>
      <c r="S36" s="2">
        <f t="shared" si="39"/>
        <v>1.3144866141732281</v>
      </c>
    </row>
  </sheetData>
  <mergeCells count="20">
    <mergeCell ref="S18:S20"/>
    <mergeCell ref="T18:T20"/>
    <mergeCell ref="U18:U20"/>
    <mergeCell ref="S21:S23"/>
    <mergeCell ref="T21:T23"/>
    <mergeCell ref="U21:U23"/>
    <mergeCell ref="S15:S17"/>
    <mergeCell ref="T15:T17"/>
    <mergeCell ref="A1:U1"/>
    <mergeCell ref="A13:U13"/>
    <mergeCell ref="U15:U17"/>
    <mergeCell ref="S9:S11"/>
    <mergeCell ref="T9:T11"/>
    <mergeCell ref="U9:U11"/>
    <mergeCell ref="S3:S5"/>
    <mergeCell ref="T3:T5"/>
    <mergeCell ref="U3:U5"/>
    <mergeCell ref="S6:S8"/>
    <mergeCell ref="T6:T8"/>
    <mergeCell ref="U6:U8"/>
  </mergeCells>
  <phoneticPr fontId="4" type="noConversion"/>
  <pageMargins left="0.7" right="0.7" top="0.75" bottom="0.75" header="0.3" footer="0.3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R32"/>
  <sheetViews>
    <sheetView zoomScaleNormal="100" workbookViewId="0">
      <selection activeCell="J10" sqref="J10:L12"/>
    </sheetView>
  </sheetViews>
  <sheetFormatPr defaultRowHeight="15" x14ac:dyDescent="0.25"/>
  <cols>
    <col min="1" max="1" width="14" customWidth="1"/>
    <col min="7" max="7" width="16.5703125" customWidth="1"/>
    <col min="8" max="8" width="15.140625" customWidth="1"/>
    <col min="9" max="9" width="14.28515625" customWidth="1"/>
    <col min="10" max="10" width="18.5703125" customWidth="1"/>
    <col min="11" max="11" width="21.5703125" customWidth="1"/>
    <col min="12" max="12" width="28.140625" customWidth="1"/>
    <col min="13" max="13" width="19.42578125" customWidth="1"/>
    <col min="14" max="14" width="20.7109375" customWidth="1"/>
    <col min="15" max="15" width="27" customWidth="1"/>
    <col min="16" max="16" width="18.42578125" customWidth="1"/>
    <col min="17" max="17" width="21.140625" customWidth="1"/>
    <col min="18" max="18" width="22.85546875" customWidth="1"/>
  </cols>
  <sheetData>
    <row r="2" spans="1:18" ht="26.25" x14ac:dyDescent="0.4">
      <c r="A2" s="16" t="s">
        <v>38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</row>
    <row r="3" spans="1:18" ht="81" x14ac:dyDescent="0.3">
      <c r="A3" s="3" t="s">
        <v>0</v>
      </c>
      <c r="B3" s="3" t="s">
        <v>14</v>
      </c>
      <c r="C3" s="3" t="s">
        <v>15</v>
      </c>
      <c r="D3" s="3" t="s">
        <v>16</v>
      </c>
      <c r="E3" s="3" t="s">
        <v>17</v>
      </c>
      <c r="F3" s="3" t="s">
        <v>18</v>
      </c>
      <c r="G3" s="3" t="s">
        <v>19</v>
      </c>
      <c r="H3" s="3" t="s">
        <v>20</v>
      </c>
      <c r="I3" s="3" t="s">
        <v>21</v>
      </c>
      <c r="J3" s="3" t="s">
        <v>34</v>
      </c>
      <c r="K3" s="3" t="s">
        <v>35</v>
      </c>
      <c r="L3" s="3" t="s">
        <v>36</v>
      </c>
      <c r="M3" s="3" t="s">
        <v>1</v>
      </c>
      <c r="N3" s="3" t="s">
        <v>2</v>
      </c>
      <c r="O3" s="3" t="s">
        <v>6</v>
      </c>
      <c r="P3" s="4" t="s">
        <v>27</v>
      </c>
      <c r="Q3" s="4" t="s">
        <v>28</v>
      </c>
      <c r="R3" s="4" t="s">
        <v>29</v>
      </c>
    </row>
    <row r="4" spans="1:18" ht="20.25" x14ac:dyDescent="0.3">
      <c r="A4" s="2" t="s">
        <v>45</v>
      </c>
      <c r="B4" s="5">
        <v>20</v>
      </c>
      <c r="C4" s="5">
        <v>1</v>
      </c>
      <c r="D4" s="6">
        <v>2.9000000000000001E-2</v>
      </c>
      <c r="E4" s="6">
        <v>3.3000000000000002E-2</v>
      </c>
      <c r="F4" s="6">
        <f>AVERAGE(D4:E4)</f>
        <v>3.1E-2</v>
      </c>
      <c r="G4" s="3">
        <f>(F4*98.136+1.0117)/C4</f>
        <v>4.0539160000000001</v>
      </c>
      <c r="H4" s="3">
        <f>G4/63.5</f>
        <v>6.3841196850393703E-2</v>
      </c>
      <c r="I4" s="3">
        <f>H4*B4</f>
        <v>1.276823937007874</v>
      </c>
      <c r="J4" s="3">
        <f>I4/M4</f>
        <v>1.3495655184524615</v>
      </c>
      <c r="K4" s="3">
        <f>I4/N4</f>
        <v>22.054572906665701</v>
      </c>
      <c r="L4" s="3">
        <f>I4/O4</f>
        <v>36.480683914510685</v>
      </c>
      <c r="M4">
        <v>0.94610000000000005</v>
      </c>
      <c r="N4" s="3">
        <v>5.7893840992131428E-2</v>
      </c>
      <c r="O4" s="1">
        <v>3.5000000000000003E-2</v>
      </c>
      <c r="P4" s="14">
        <f>AVERAGE(J4:J6)</f>
        <v>1.2505732995424419</v>
      </c>
      <c r="Q4" s="14">
        <f>AVERAGE(K4:K6)</f>
        <v>20.436844030747817</v>
      </c>
      <c r="R4" s="14">
        <f>AVERAGE(L4:L6)</f>
        <v>34.635236779766863</v>
      </c>
    </row>
    <row r="5" spans="1:18" ht="20.25" x14ac:dyDescent="0.3">
      <c r="A5" s="2" t="s">
        <v>46</v>
      </c>
      <c r="B5" s="5">
        <v>20</v>
      </c>
      <c r="C5" s="5">
        <v>1</v>
      </c>
      <c r="D5" s="6">
        <v>3.3000000000000002E-2</v>
      </c>
      <c r="E5" s="6">
        <v>2.8000000000000001E-2</v>
      </c>
      <c r="F5" s="6">
        <f t="shared" ref="F5:F12" si="0">AVERAGE(D5:E5)</f>
        <v>3.0499999999999999E-2</v>
      </c>
      <c r="G5" s="3">
        <f t="shared" ref="G5:G12" si="1">(F5*98.136+1.0117)/C5</f>
        <v>4.004848</v>
      </c>
      <c r="H5" s="3">
        <f t="shared" ref="H5:H11" si="2">G5/63.5</f>
        <v>6.3068472440944878E-2</v>
      </c>
      <c r="I5" s="3">
        <f t="shared" ref="I5:I11" si="3">H5*B5</f>
        <v>1.2613694488188976</v>
      </c>
      <c r="J5" s="3">
        <f t="shared" ref="J5:J12" si="4">I5/M5</f>
        <v>1.2735959701321664</v>
      </c>
      <c r="K5" s="3">
        <f t="shared" ref="K5:K12" si="5">I5/N5</f>
        <v>20.813080056405518</v>
      </c>
      <c r="L5" s="3">
        <f t="shared" ref="L5:L12" si="6">I5/O5</f>
        <v>36.350704576913472</v>
      </c>
      <c r="M5">
        <v>0.99039999999999995</v>
      </c>
      <c r="N5" s="3">
        <v>6.0604650796540489E-2</v>
      </c>
      <c r="O5" s="1">
        <v>3.4700000000000002E-2</v>
      </c>
      <c r="P5" s="15"/>
      <c r="Q5" s="15"/>
      <c r="R5" s="15"/>
    </row>
    <row r="6" spans="1:18" ht="20.25" x14ac:dyDescent="0.3">
      <c r="A6" s="2" t="s">
        <v>47</v>
      </c>
      <c r="B6" s="5">
        <v>20</v>
      </c>
      <c r="C6" s="5">
        <v>1</v>
      </c>
      <c r="D6" s="6">
        <v>2.7E-2</v>
      </c>
      <c r="E6" s="6">
        <v>3.1E-2</v>
      </c>
      <c r="F6" s="6">
        <f t="shared" si="0"/>
        <v>2.8999999999999998E-2</v>
      </c>
      <c r="G6" s="3">
        <f t="shared" si="1"/>
        <v>3.8576439999999996</v>
      </c>
      <c r="H6" s="3">
        <f t="shared" si="2"/>
        <v>6.0750299212598419E-2</v>
      </c>
      <c r="I6" s="3">
        <f t="shared" si="3"/>
        <v>1.2150059842519685</v>
      </c>
      <c r="J6" s="3">
        <f t="shared" si="4"/>
        <v>1.1285584100426977</v>
      </c>
      <c r="K6" s="3">
        <f t="shared" si="5"/>
        <v>18.44287912917223</v>
      </c>
      <c r="L6" s="3">
        <f>I6/O6</f>
        <v>31.07432184787643</v>
      </c>
      <c r="M6">
        <v>1.0766</v>
      </c>
      <c r="N6" s="3">
        <v>6.5879409377580272E-2</v>
      </c>
      <c r="O6" s="1">
        <v>3.9100000000000003E-2</v>
      </c>
      <c r="P6" s="15"/>
      <c r="Q6" s="15"/>
      <c r="R6" s="15"/>
    </row>
    <row r="7" spans="1:18" ht="20.25" x14ac:dyDescent="0.3">
      <c r="A7" s="2" t="s">
        <v>54</v>
      </c>
      <c r="B7" s="5">
        <v>20</v>
      </c>
      <c r="C7" s="5">
        <v>1</v>
      </c>
      <c r="D7" s="6">
        <v>1.9E-2</v>
      </c>
      <c r="E7" s="6">
        <v>1.7999999999999999E-2</v>
      </c>
      <c r="F7" s="6">
        <f t="shared" si="0"/>
        <v>1.8499999999999999E-2</v>
      </c>
      <c r="G7" s="3">
        <f t="shared" si="1"/>
        <v>2.827216</v>
      </c>
      <c r="H7" s="3">
        <f t="shared" si="2"/>
        <v>4.452308661417323E-2</v>
      </c>
      <c r="I7" s="3">
        <f t="shared" si="3"/>
        <v>0.89046173228346459</v>
      </c>
      <c r="J7" s="3">
        <f>I7/M7</f>
        <v>0.72524982267752447</v>
      </c>
      <c r="K7" s="3">
        <f t="shared" si="5"/>
        <v>12.318899253338969</v>
      </c>
      <c r="L7" s="3">
        <f>I7/O7</f>
        <v>24.530626233704261</v>
      </c>
      <c r="M7">
        <v>1.2278</v>
      </c>
      <c r="N7" s="3">
        <v>7.228419633695031E-2</v>
      </c>
      <c r="O7" s="1">
        <v>3.6299999999999999E-2</v>
      </c>
      <c r="P7" s="14">
        <f t="shared" ref="P7:R7" si="7">AVERAGE(J7:J9)</f>
        <v>0.81849570801013483</v>
      </c>
      <c r="Q7" s="14">
        <f t="shared" si="7"/>
        <v>13.902748888710169</v>
      </c>
      <c r="R7" s="14">
        <f t="shared" si="7"/>
        <v>27.13261729620557</v>
      </c>
    </row>
    <row r="8" spans="1:18" ht="20.25" x14ac:dyDescent="0.3">
      <c r="A8" s="2" t="s">
        <v>55</v>
      </c>
      <c r="B8" s="5">
        <v>20</v>
      </c>
      <c r="C8" s="5">
        <v>1</v>
      </c>
      <c r="D8" s="6">
        <v>2.4E-2</v>
      </c>
      <c r="E8" s="6">
        <v>2.5999999999999999E-2</v>
      </c>
      <c r="F8" s="6">
        <f t="shared" si="0"/>
        <v>2.5000000000000001E-2</v>
      </c>
      <c r="G8" s="3">
        <f t="shared" si="1"/>
        <v>3.4651000000000005</v>
      </c>
      <c r="H8" s="3">
        <f t="shared" si="2"/>
        <v>5.4568503937007885E-2</v>
      </c>
      <c r="I8" s="3">
        <f t="shared" si="3"/>
        <v>1.0913700787401577</v>
      </c>
      <c r="J8" s="3">
        <f t="shared" si="4"/>
        <v>0.95725820431554931</v>
      </c>
      <c r="K8" s="3">
        <f>I8/N8</f>
        <v>16.259731487916252</v>
      </c>
      <c r="L8" s="3">
        <f t="shared" si="6"/>
        <v>31.361209159199934</v>
      </c>
      <c r="M8">
        <v>1.1400999999999999</v>
      </c>
      <c r="N8" s="3">
        <v>6.7121039455739565E-2</v>
      </c>
      <c r="O8" s="1">
        <v>3.4799999999999998E-2</v>
      </c>
      <c r="P8" s="15"/>
      <c r="Q8" s="15"/>
      <c r="R8" s="15"/>
    </row>
    <row r="9" spans="1:18" ht="20.25" x14ac:dyDescent="0.3">
      <c r="A9" s="2" t="s">
        <v>56</v>
      </c>
      <c r="B9" s="5">
        <v>20</v>
      </c>
      <c r="C9" s="5">
        <v>1</v>
      </c>
      <c r="D9" s="6">
        <v>1.7000000000000001E-2</v>
      </c>
      <c r="E9" s="6">
        <v>1.7999999999999999E-2</v>
      </c>
      <c r="F9" s="6">
        <f t="shared" si="0"/>
        <v>1.7500000000000002E-2</v>
      </c>
      <c r="G9" s="3">
        <f t="shared" si="1"/>
        <v>2.7290800000000002</v>
      </c>
      <c r="H9" s="3">
        <f t="shared" si="2"/>
        <v>4.2977637795275594E-2</v>
      </c>
      <c r="I9" s="3">
        <f t="shared" si="3"/>
        <v>0.85955275590551183</v>
      </c>
      <c r="J9" s="3">
        <f t="shared" si="4"/>
        <v>0.7729790970373307</v>
      </c>
      <c r="K9" s="3">
        <f t="shared" si="5"/>
        <v>13.129615924875287</v>
      </c>
      <c r="L9" s="3">
        <f t="shared" si="6"/>
        <v>25.506016495712515</v>
      </c>
      <c r="M9">
        <v>1.1120000000000001</v>
      </c>
      <c r="N9" s="3">
        <v>6.5466709827894404E-2</v>
      </c>
      <c r="O9" s="1">
        <v>3.3700000000000001E-2</v>
      </c>
      <c r="P9" s="15"/>
      <c r="Q9" s="15"/>
      <c r="R9" s="15"/>
    </row>
    <row r="10" spans="1:18" ht="20.25" x14ac:dyDescent="0.3">
      <c r="A10" s="2" t="s">
        <v>48</v>
      </c>
      <c r="B10" s="5">
        <v>20</v>
      </c>
      <c r="C10" s="5">
        <v>1</v>
      </c>
      <c r="D10" s="6">
        <v>1.7999999999999999E-2</v>
      </c>
      <c r="E10" s="6">
        <v>0.02</v>
      </c>
      <c r="F10" s="6">
        <f t="shared" si="0"/>
        <v>1.9E-2</v>
      </c>
      <c r="G10" s="3">
        <f t="shared" si="1"/>
        <v>2.8762840000000001</v>
      </c>
      <c r="H10" s="3">
        <f t="shared" si="2"/>
        <v>4.5295811023622047E-2</v>
      </c>
      <c r="I10" s="3">
        <f t="shared" si="3"/>
        <v>0.90591622047244091</v>
      </c>
      <c r="J10" s="3">
        <f t="shared" si="4"/>
        <v>0.95742572444772867</v>
      </c>
      <c r="K10" s="3">
        <f t="shared" si="5"/>
        <v>15.767696572551376</v>
      </c>
      <c r="L10" s="3">
        <f t="shared" si="6"/>
        <v>26.566458078370701</v>
      </c>
      <c r="M10">
        <v>0.94620000000000004</v>
      </c>
      <c r="N10" s="3">
        <v>5.7453935411813567E-2</v>
      </c>
      <c r="O10" s="1">
        <v>3.4099999999999998E-2</v>
      </c>
      <c r="P10" s="14">
        <f>AVERAGE(J10:J12)</f>
        <v>0.89171036705285378</v>
      </c>
      <c r="Q10" s="14">
        <f>AVERAGE(K10:K12)</f>
        <v>14.685440488240651</v>
      </c>
      <c r="R10" s="14">
        <f t="shared" ref="R10" si="8">AVERAGE(L10:L12)</f>
        <v>27.646416488761684</v>
      </c>
    </row>
    <row r="11" spans="1:18" ht="20.25" x14ac:dyDescent="0.3">
      <c r="A11" s="2" t="s">
        <v>49</v>
      </c>
      <c r="B11" s="5">
        <v>20</v>
      </c>
      <c r="C11" s="5">
        <v>1</v>
      </c>
      <c r="D11" s="6">
        <v>1.9E-2</v>
      </c>
      <c r="E11" s="6">
        <v>1.9E-2</v>
      </c>
      <c r="F11" s="6">
        <f t="shared" si="0"/>
        <v>1.9E-2</v>
      </c>
      <c r="G11" s="3">
        <f t="shared" si="1"/>
        <v>2.8762840000000001</v>
      </c>
      <c r="H11" s="3">
        <f t="shared" si="2"/>
        <v>4.5295811023622047E-2</v>
      </c>
      <c r="I11" s="3">
        <f t="shared" si="3"/>
        <v>0.90591622047244091</v>
      </c>
      <c r="J11" s="3">
        <f t="shared" si="4"/>
        <v>0.67701683018641423</v>
      </c>
      <c r="K11" s="3">
        <f t="shared" si="5"/>
        <v>11.149685746168531</v>
      </c>
      <c r="L11" s="3">
        <f t="shared" si="6"/>
        <v>22.479310681698284</v>
      </c>
      <c r="M11">
        <v>1.3381000000000001</v>
      </c>
      <c r="N11" s="3">
        <v>8.1250381499204966E-2</v>
      </c>
      <c r="O11" s="1">
        <v>4.0300000000000002E-2</v>
      </c>
      <c r="P11" s="15"/>
      <c r="Q11" s="15"/>
      <c r="R11" s="15"/>
    </row>
    <row r="12" spans="1:18" ht="20.25" x14ac:dyDescent="0.3">
      <c r="A12" s="2" t="s">
        <v>50</v>
      </c>
      <c r="B12" s="5">
        <v>20</v>
      </c>
      <c r="C12" s="5">
        <v>1</v>
      </c>
      <c r="D12" s="6">
        <v>2.5000000000000001E-2</v>
      </c>
      <c r="E12" s="6">
        <v>2.5000000000000001E-2</v>
      </c>
      <c r="F12" s="6">
        <f t="shared" si="0"/>
        <v>2.5000000000000001E-2</v>
      </c>
      <c r="G12" s="3">
        <f t="shared" si="1"/>
        <v>3.4651000000000005</v>
      </c>
      <c r="H12" s="3">
        <f>G12/63.5</f>
        <v>5.4568503937007885E-2</v>
      </c>
      <c r="I12" s="3">
        <f>H12*B12</f>
        <v>1.0913700787401577</v>
      </c>
      <c r="J12" s="3">
        <f t="shared" si="4"/>
        <v>1.0406885465244184</v>
      </c>
      <c r="K12" s="3">
        <f t="shared" si="5"/>
        <v>17.138939146002045</v>
      </c>
      <c r="L12" s="3">
        <f t="shared" si="6"/>
        <v>33.893480706216074</v>
      </c>
      <c r="M12">
        <v>1.0487</v>
      </c>
      <c r="N12" s="3">
        <v>6.3677808144545434E-2</v>
      </c>
      <c r="O12" s="1">
        <v>3.2199999999999999E-2</v>
      </c>
      <c r="P12" s="15"/>
      <c r="Q12" s="15"/>
      <c r="R12" s="15"/>
    </row>
    <row r="13" spans="1:18" ht="20.25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 spans="1:18" ht="26.25" x14ac:dyDescent="0.4">
      <c r="A14" s="16" t="s">
        <v>37</v>
      </c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</row>
    <row r="15" spans="1:18" ht="81" x14ac:dyDescent="0.3">
      <c r="A15" s="3" t="s">
        <v>0</v>
      </c>
      <c r="B15" s="3" t="s">
        <v>14</v>
      </c>
      <c r="C15" s="3" t="s">
        <v>15</v>
      </c>
      <c r="D15" s="3" t="s">
        <v>16</v>
      </c>
      <c r="E15" s="3" t="s">
        <v>17</v>
      </c>
      <c r="F15" s="3" t="s">
        <v>18</v>
      </c>
      <c r="G15" s="3" t="s">
        <v>19</v>
      </c>
      <c r="H15" s="3" t="s">
        <v>20</v>
      </c>
      <c r="I15" s="3" t="s">
        <v>21</v>
      </c>
      <c r="J15" s="3" t="s">
        <v>34</v>
      </c>
      <c r="K15" s="3" t="s">
        <v>35</v>
      </c>
      <c r="L15" s="3" t="s">
        <v>36</v>
      </c>
      <c r="M15" s="3" t="s">
        <v>3</v>
      </c>
      <c r="N15" s="3" t="s">
        <v>4</v>
      </c>
      <c r="O15" s="3" t="s">
        <v>31</v>
      </c>
      <c r="P15" s="4" t="s">
        <v>27</v>
      </c>
      <c r="Q15" s="4" t="s">
        <v>28</v>
      </c>
      <c r="R15" s="4" t="s">
        <v>29</v>
      </c>
    </row>
    <row r="16" spans="1:18" ht="20.25" x14ac:dyDescent="0.3">
      <c r="A16" s="2" t="s">
        <v>45</v>
      </c>
      <c r="B16" s="5">
        <v>20</v>
      </c>
      <c r="C16" s="5">
        <v>5</v>
      </c>
      <c r="D16" s="6">
        <v>0.112</v>
      </c>
      <c r="E16" s="6">
        <v>0.109</v>
      </c>
      <c r="F16" s="6">
        <f>AVERAGE(D16:E16)</f>
        <v>0.1105</v>
      </c>
      <c r="G16" s="3">
        <f>(F16*98.136+1.0117)/C16</f>
        <v>2.3711455999999997</v>
      </c>
      <c r="H16" s="3">
        <f>G16/63.5</f>
        <v>3.734087559055118E-2</v>
      </c>
      <c r="I16" s="3">
        <f>H16*B16</f>
        <v>0.74681751181102363</v>
      </c>
      <c r="J16" s="3">
        <f>I16/M16</f>
        <v>0.40572473070626591</v>
      </c>
      <c r="K16" s="3">
        <f>I16/N16</f>
        <v>3.9014878953317251</v>
      </c>
      <c r="L16" s="3">
        <f>I16/O16</f>
        <v>7.5208208641593517</v>
      </c>
      <c r="M16">
        <v>1.8407</v>
      </c>
      <c r="N16" s="3">
        <v>0.19141864125853586</v>
      </c>
      <c r="O16" s="1">
        <v>9.9299999999999999E-2</v>
      </c>
      <c r="P16" s="14">
        <f>AVERAGE(J16:J18)</f>
        <v>0.48966175711930121</v>
      </c>
      <c r="Q16" s="14">
        <f>AVERAGE(K16:K18)</f>
        <v>4.7086343858858912</v>
      </c>
      <c r="R16" s="14">
        <f>AVERAGE(L16:L18)</f>
        <v>9.7226461523882097</v>
      </c>
    </row>
    <row r="17" spans="1:18" ht="20.25" x14ac:dyDescent="0.3">
      <c r="A17" s="2" t="s">
        <v>46</v>
      </c>
      <c r="B17" s="5">
        <v>20</v>
      </c>
      <c r="C17" s="5">
        <v>5</v>
      </c>
      <c r="D17" s="6">
        <v>0.13800000000000001</v>
      </c>
      <c r="E17" s="6">
        <v>0.13800000000000001</v>
      </c>
      <c r="F17" s="6">
        <f t="shared" ref="F17:F24" si="9">AVERAGE(D17:E17)</f>
        <v>0.13800000000000001</v>
      </c>
      <c r="G17" s="3">
        <f t="shared" ref="G17:G24" si="10">(F17*98.136+1.0117)/C17</f>
        <v>2.9108936000000001</v>
      </c>
      <c r="H17" s="3">
        <f t="shared" ref="H17:H24" si="11">G17/63.5</f>
        <v>4.5840844094488194E-2</v>
      </c>
      <c r="I17" s="3">
        <f t="shared" ref="I17:I24" si="12">H17*B17</f>
        <v>0.91681688188976385</v>
      </c>
      <c r="J17" s="3">
        <f t="shared" ref="J17:J24" si="13">I17/M17</f>
        <v>0.51178792111742988</v>
      </c>
      <c r="K17" s="3">
        <f t="shared" ref="K17:K24" si="14">I17/N17</f>
        <v>4.9214016994744751</v>
      </c>
      <c r="L17" s="3">
        <f t="shared" ref="L17:L24" si="15">I17/O17</f>
        <v>10.611306503353747</v>
      </c>
      <c r="M17">
        <v>1.7914000000000001</v>
      </c>
      <c r="N17" s="3">
        <v>0.18629182047619988</v>
      </c>
      <c r="O17" s="1">
        <v>8.6400000000000005E-2</v>
      </c>
      <c r="P17" s="14"/>
      <c r="Q17" s="14"/>
      <c r="R17" s="14"/>
    </row>
    <row r="18" spans="1:18" ht="20.25" x14ac:dyDescent="0.3">
      <c r="A18" s="2" t="s">
        <v>47</v>
      </c>
      <c r="B18" s="5">
        <v>20</v>
      </c>
      <c r="C18" s="5">
        <v>5</v>
      </c>
      <c r="D18" s="6">
        <v>0.16</v>
      </c>
      <c r="E18" s="6">
        <v>0.16</v>
      </c>
      <c r="F18" s="6">
        <f t="shared" si="9"/>
        <v>0.16</v>
      </c>
      <c r="G18" s="3">
        <f t="shared" si="10"/>
        <v>3.3426920000000004</v>
      </c>
      <c r="H18" s="3">
        <f t="shared" si="11"/>
        <v>5.2640818897637803E-2</v>
      </c>
      <c r="I18" s="3">
        <f t="shared" si="12"/>
        <v>1.0528163779527562</v>
      </c>
      <c r="J18" s="3">
        <f t="shared" si="13"/>
        <v>0.55147261953420779</v>
      </c>
      <c r="K18" s="3">
        <f t="shared" si="14"/>
        <v>5.3030135628514738</v>
      </c>
      <c r="L18" s="3">
        <f t="shared" si="15"/>
        <v>11.035811089651533</v>
      </c>
      <c r="M18">
        <v>1.9091</v>
      </c>
      <c r="N18" s="3">
        <v>0.19853171512287215</v>
      </c>
      <c r="O18" s="1">
        <v>9.5399999999999999E-2</v>
      </c>
      <c r="P18" s="15"/>
      <c r="Q18" s="15"/>
      <c r="R18" s="15"/>
    </row>
    <row r="19" spans="1:18" ht="20.25" x14ac:dyDescent="0.3">
      <c r="A19" s="2" t="s">
        <v>54</v>
      </c>
      <c r="B19" s="5">
        <v>20</v>
      </c>
      <c r="C19" s="5">
        <v>5</v>
      </c>
      <c r="D19" s="6">
        <v>0.10100000000000001</v>
      </c>
      <c r="E19" s="6">
        <v>0.1</v>
      </c>
      <c r="F19" s="6">
        <f t="shared" si="9"/>
        <v>0.10050000000000001</v>
      </c>
      <c r="G19" s="3">
        <f t="shared" si="10"/>
        <v>2.1748735999999997</v>
      </c>
      <c r="H19" s="3">
        <f t="shared" si="11"/>
        <v>3.4249977952755903E-2</v>
      </c>
      <c r="I19" s="3">
        <f t="shared" si="12"/>
        <v>0.68499955905511811</v>
      </c>
      <c r="J19" s="3">
        <f t="shared" si="13"/>
        <v>0.32877348646753929</v>
      </c>
      <c r="K19" s="3">
        <f t="shared" si="14"/>
        <v>3.163163789800453</v>
      </c>
      <c r="L19" s="3">
        <f t="shared" si="15"/>
        <v>6.2614219292058326</v>
      </c>
      <c r="M19">
        <v>2.0834999999999999</v>
      </c>
      <c r="N19" s="3">
        <v>0.21655519744626661</v>
      </c>
      <c r="O19" s="1">
        <v>0.1094</v>
      </c>
      <c r="P19" s="14">
        <f t="shared" ref="P19:R19" si="16">AVERAGE(J19:J21)</f>
        <v>0.3489830924865987</v>
      </c>
      <c r="Q19" s="14">
        <f t="shared" si="16"/>
        <v>3.3576025039816635</v>
      </c>
      <c r="R19" s="14">
        <f t="shared" si="16"/>
        <v>6.8590804632722842</v>
      </c>
    </row>
    <row r="20" spans="1:18" ht="20.25" x14ac:dyDescent="0.3">
      <c r="A20" s="2" t="s">
        <v>55</v>
      </c>
      <c r="B20" s="5">
        <v>20</v>
      </c>
      <c r="C20" s="5">
        <v>5</v>
      </c>
      <c r="D20" s="6">
        <v>9.7000000000000003E-2</v>
      </c>
      <c r="E20" s="6">
        <v>9.9000000000000005E-2</v>
      </c>
      <c r="F20" s="6">
        <f t="shared" si="9"/>
        <v>9.8000000000000004E-2</v>
      </c>
      <c r="G20" s="3">
        <f t="shared" si="10"/>
        <v>2.1258056000000001</v>
      </c>
      <c r="H20" s="3">
        <f t="shared" si="11"/>
        <v>3.3477253543307085E-2</v>
      </c>
      <c r="I20" s="3">
        <f t="shared" si="12"/>
        <v>0.66954507086614168</v>
      </c>
      <c r="J20" s="3">
        <f t="shared" si="13"/>
        <v>0.3602416178124081</v>
      </c>
      <c r="K20" s="3">
        <f t="shared" si="14"/>
        <v>3.4659219430574413</v>
      </c>
      <c r="L20" s="3">
        <f t="shared" si="15"/>
        <v>6.881244304893543</v>
      </c>
      <c r="M20">
        <v>1.8586</v>
      </c>
      <c r="N20" s="3">
        <v>0.19317950082727678</v>
      </c>
      <c r="O20" s="1">
        <v>9.7299999999999998E-2</v>
      </c>
      <c r="P20" s="15"/>
      <c r="Q20" s="15"/>
      <c r="R20" s="15"/>
    </row>
    <row r="21" spans="1:18" ht="20.25" x14ac:dyDescent="0.3">
      <c r="A21" s="2" t="s">
        <v>56</v>
      </c>
      <c r="B21" s="5">
        <v>20</v>
      </c>
      <c r="C21" s="5">
        <v>5</v>
      </c>
      <c r="D21" s="6">
        <v>0.10199999999999999</v>
      </c>
      <c r="E21" s="6">
        <v>0.10299999999999999</v>
      </c>
      <c r="F21" s="6">
        <f t="shared" si="9"/>
        <v>0.10249999999999999</v>
      </c>
      <c r="G21" s="3">
        <f t="shared" si="10"/>
        <v>2.2141279999999997</v>
      </c>
      <c r="H21" s="3">
        <f t="shared" si="11"/>
        <v>3.4868157480314958E-2</v>
      </c>
      <c r="I21" s="3">
        <f t="shared" si="12"/>
        <v>0.69736314960629919</v>
      </c>
      <c r="J21" s="3">
        <f t="shared" si="13"/>
        <v>0.35793417317984871</v>
      </c>
      <c r="K21" s="3">
        <f t="shared" si="14"/>
        <v>3.4437217790870962</v>
      </c>
      <c r="L21" s="3">
        <f t="shared" si="15"/>
        <v>7.434575155717476</v>
      </c>
      <c r="M21">
        <v>1.9482999999999999</v>
      </c>
      <c r="N21" s="3">
        <v>0.20250275554814556</v>
      </c>
      <c r="O21" s="1">
        <v>9.3799999999999994E-2</v>
      </c>
      <c r="P21" s="15"/>
      <c r="Q21" s="15"/>
      <c r="R21" s="15"/>
    </row>
    <row r="22" spans="1:18" ht="20.25" x14ac:dyDescent="0.3">
      <c r="A22" s="2" t="s">
        <v>48</v>
      </c>
      <c r="B22" s="5">
        <v>20</v>
      </c>
      <c r="C22" s="5">
        <v>5</v>
      </c>
      <c r="D22" s="6">
        <v>0.127</v>
      </c>
      <c r="E22" s="6">
        <v>0.126</v>
      </c>
      <c r="F22" s="6">
        <f t="shared" si="9"/>
        <v>0.1265</v>
      </c>
      <c r="G22" s="3">
        <f t="shared" si="10"/>
        <v>2.6851807999999999</v>
      </c>
      <c r="H22" s="3">
        <f t="shared" si="11"/>
        <v>4.2286311811023623E-2</v>
      </c>
      <c r="I22" s="3">
        <f t="shared" si="12"/>
        <v>0.84572623622047249</v>
      </c>
      <c r="J22" s="3">
        <f t="shared" si="13"/>
        <v>0.52405888971401193</v>
      </c>
      <c r="K22" s="3">
        <f t="shared" si="14"/>
        <v>5.0289580320002347</v>
      </c>
      <c r="L22" s="3">
        <f t="shared" si="15"/>
        <v>10.364292110545005</v>
      </c>
      <c r="M22">
        <v>1.6137999999999999</v>
      </c>
      <c r="N22" s="3">
        <v>0.16817126546671349</v>
      </c>
      <c r="O22" s="1">
        <v>8.1600000000000006E-2</v>
      </c>
      <c r="P22" s="14">
        <f t="shared" ref="P22:R22" si="17">AVERAGE(J22:J24)</f>
        <v>0.49018251708128663</v>
      </c>
      <c r="Q22" s="14">
        <f t="shared" si="17"/>
        <v>4.7038746118156318</v>
      </c>
      <c r="R22" s="14">
        <f t="shared" si="17"/>
        <v>9.471816757740628</v>
      </c>
    </row>
    <row r="23" spans="1:18" ht="20.25" x14ac:dyDescent="0.3">
      <c r="A23" s="2" t="s">
        <v>49</v>
      </c>
      <c r="B23" s="5">
        <v>20</v>
      </c>
      <c r="C23" s="5">
        <v>5</v>
      </c>
      <c r="D23" s="6">
        <v>0.14199999999999999</v>
      </c>
      <c r="E23" s="6">
        <v>0.14199999999999999</v>
      </c>
      <c r="F23" s="6">
        <f t="shared" si="9"/>
        <v>0.14199999999999999</v>
      </c>
      <c r="G23" s="3">
        <f t="shared" si="10"/>
        <v>2.9894023999999995</v>
      </c>
      <c r="H23" s="3">
        <f t="shared" si="11"/>
        <v>4.7077203149606291E-2</v>
      </c>
      <c r="I23" s="3">
        <f t="shared" si="12"/>
        <v>0.94154406299212579</v>
      </c>
      <c r="J23" s="3">
        <f t="shared" si="13"/>
        <v>0.45868566424325313</v>
      </c>
      <c r="K23" s="3">
        <f t="shared" si="14"/>
        <v>4.4016254673559354</v>
      </c>
      <c r="L23" s="3">
        <f t="shared" si="15"/>
        <v>8.7018859795945076</v>
      </c>
      <c r="M23">
        <v>2.0527000000000002</v>
      </c>
      <c r="N23" s="3">
        <v>0.21390826411173805</v>
      </c>
      <c r="O23" s="1">
        <v>0.1082</v>
      </c>
      <c r="P23" s="15"/>
      <c r="Q23" s="15"/>
      <c r="R23" s="15"/>
    </row>
    <row r="24" spans="1:18" ht="20.25" x14ac:dyDescent="0.3">
      <c r="A24" s="2" t="s">
        <v>50</v>
      </c>
      <c r="B24" s="5">
        <v>20</v>
      </c>
      <c r="C24" s="5">
        <v>5</v>
      </c>
      <c r="D24" s="6">
        <v>0.12</v>
      </c>
      <c r="E24" s="6">
        <v>0.11799999999999999</v>
      </c>
      <c r="F24" s="6">
        <f t="shared" si="9"/>
        <v>0.11899999999999999</v>
      </c>
      <c r="G24" s="3">
        <f t="shared" si="10"/>
        <v>2.5379767999999996</v>
      </c>
      <c r="H24" s="3">
        <f t="shared" si="11"/>
        <v>3.9968138582677157E-2</v>
      </c>
      <c r="I24" s="3">
        <f t="shared" si="12"/>
        <v>0.79936277165354319</v>
      </c>
      <c r="J24" s="3">
        <f t="shared" si="13"/>
        <v>0.48780299728659499</v>
      </c>
      <c r="K24" s="3">
        <f t="shared" si="14"/>
        <v>4.6810403360907236</v>
      </c>
      <c r="L24" s="3">
        <f t="shared" si="15"/>
        <v>9.3492721830823751</v>
      </c>
      <c r="M24">
        <v>1.6387</v>
      </c>
      <c r="N24" s="3">
        <v>0.17076605076236426</v>
      </c>
      <c r="O24" s="1">
        <v>8.5500000000000007E-2</v>
      </c>
      <c r="P24" s="15"/>
      <c r="Q24" s="15"/>
      <c r="R24" s="15"/>
    </row>
    <row r="27" spans="1:18" ht="20.25" x14ac:dyDescent="0.3">
      <c r="A27" s="7" t="s">
        <v>33</v>
      </c>
    </row>
    <row r="28" spans="1:18" x14ac:dyDescent="0.25">
      <c r="A28">
        <v>0.1</v>
      </c>
      <c r="B28">
        <f>A28*10</f>
        <v>1</v>
      </c>
      <c r="C28">
        <v>3.0000000000000001E-3</v>
      </c>
    </row>
    <row r="29" spans="1:18" x14ac:dyDescent="0.25">
      <c r="A29">
        <v>0.5</v>
      </c>
      <c r="B29">
        <f t="shared" ref="B29:B32" si="18">A29*10</f>
        <v>5</v>
      </c>
      <c r="C29">
        <v>3.7999999999999999E-2</v>
      </c>
    </row>
    <row r="30" spans="1:18" x14ac:dyDescent="0.25">
      <c r="A30">
        <v>0.9</v>
      </c>
      <c r="B30">
        <f t="shared" si="18"/>
        <v>9</v>
      </c>
      <c r="C30">
        <v>7.9000000000000001E-2</v>
      </c>
    </row>
    <row r="31" spans="1:18" x14ac:dyDescent="0.25">
      <c r="A31">
        <v>1.3</v>
      </c>
      <c r="B31">
        <f t="shared" si="18"/>
        <v>13</v>
      </c>
      <c r="C31">
        <v>0.123</v>
      </c>
    </row>
    <row r="32" spans="1:18" x14ac:dyDescent="0.25">
      <c r="A32">
        <v>1.7</v>
      </c>
      <c r="B32">
        <f t="shared" si="18"/>
        <v>17</v>
      </c>
      <c r="C32">
        <v>0.16400000000000001</v>
      </c>
    </row>
  </sheetData>
  <mergeCells count="20">
    <mergeCell ref="A2:R2"/>
    <mergeCell ref="P4:P6"/>
    <mergeCell ref="Q4:Q6"/>
    <mergeCell ref="R4:R6"/>
    <mergeCell ref="P7:P9"/>
    <mergeCell ref="Q7:Q9"/>
    <mergeCell ref="R7:R9"/>
    <mergeCell ref="P10:P12"/>
    <mergeCell ref="Q10:Q12"/>
    <mergeCell ref="R10:R12"/>
    <mergeCell ref="A14:R14"/>
    <mergeCell ref="P16:P18"/>
    <mergeCell ref="Q16:Q18"/>
    <mergeCell ref="R16:R18"/>
    <mergeCell ref="P19:P21"/>
    <mergeCell ref="Q19:Q21"/>
    <mergeCell ref="R19:R21"/>
    <mergeCell ref="P22:P24"/>
    <mergeCell ref="Q22:Q24"/>
    <mergeCell ref="R22:R24"/>
  </mergeCells>
  <phoneticPr fontId="4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A05BE-99D7-4357-BB29-7B174777CCDD}">
  <dimension ref="A1:O40"/>
  <sheetViews>
    <sheetView workbookViewId="0">
      <selection activeCell="J15" sqref="J15:K17"/>
    </sheetView>
  </sheetViews>
  <sheetFormatPr defaultRowHeight="15" x14ac:dyDescent="0.25"/>
  <cols>
    <col min="1" max="1" width="14" customWidth="1"/>
    <col min="7" max="7" width="16.5703125" customWidth="1"/>
    <col min="8" max="8" width="15.140625" customWidth="1"/>
    <col min="9" max="9" width="14.28515625" customWidth="1"/>
    <col min="10" max="10" width="18.5703125" customWidth="1"/>
    <col min="11" max="11" width="21.5703125" customWidth="1"/>
    <col min="12" max="12" width="19.42578125" customWidth="1"/>
    <col min="13" max="13" width="20.7109375" customWidth="1"/>
    <col min="14" max="14" width="18.42578125" customWidth="1"/>
    <col min="15" max="15" width="21.140625" customWidth="1"/>
  </cols>
  <sheetData>
    <row r="1" spans="1:15" ht="26.25" x14ac:dyDescent="0.4">
      <c r="A1" s="16" t="s">
        <v>89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</row>
    <row r="2" spans="1:15" ht="60.75" x14ac:dyDescent="0.3">
      <c r="A2" s="3" t="s">
        <v>0</v>
      </c>
      <c r="B2" s="3" t="s">
        <v>14</v>
      </c>
      <c r="C2" s="3" t="s">
        <v>15</v>
      </c>
      <c r="D2" s="3" t="s">
        <v>16</v>
      </c>
      <c r="E2" s="3" t="s">
        <v>17</v>
      </c>
      <c r="F2" s="3" t="s">
        <v>18</v>
      </c>
      <c r="G2" s="3" t="s">
        <v>19</v>
      </c>
      <c r="H2" s="3" t="s">
        <v>20</v>
      </c>
      <c r="I2" s="3" t="s">
        <v>21</v>
      </c>
      <c r="J2" s="3" t="s">
        <v>78</v>
      </c>
      <c r="K2" s="3" t="s">
        <v>79</v>
      </c>
      <c r="L2" s="3" t="s">
        <v>1</v>
      </c>
      <c r="M2" s="3" t="s">
        <v>2</v>
      </c>
      <c r="N2" s="4" t="s">
        <v>80</v>
      </c>
      <c r="O2" s="4" t="s">
        <v>81</v>
      </c>
    </row>
    <row r="3" spans="1:15" ht="20.25" x14ac:dyDescent="0.3">
      <c r="A3" s="11" t="s">
        <v>66</v>
      </c>
      <c r="B3" s="12">
        <f>25+0.3+1.4+0.016+2*0.016+0.02+0.005</f>
        <v>26.772999999999996</v>
      </c>
      <c r="C3" s="5">
        <v>12</v>
      </c>
      <c r="D3" s="6">
        <v>5.3999999999999999E-2</v>
      </c>
      <c r="E3" s="6">
        <v>4.9000000000000002E-2</v>
      </c>
      <c r="F3" s="6">
        <f>AVERAGE(D3:E3)</f>
        <v>5.1500000000000004E-2</v>
      </c>
      <c r="G3" s="3">
        <f>(F3*32.729+0.5364)/C3</f>
        <v>0.18516195833333335</v>
      </c>
      <c r="H3" s="3">
        <f>G3/63.5</f>
        <v>2.9159363517060372E-3</v>
      </c>
      <c r="I3" s="3">
        <f>H3*B3</f>
        <v>7.8068363944225727E-2</v>
      </c>
      <c r="J3" s="3">
        <f t="shared" ref="J3:J11" si="0">I3/L3</f>
        <v>6.5763932224939536E-2</v>
      </c>
      <c r="K3" s="3">
        <f t="shared" ref="K3:K11" si="1">I3/M3</f>
        <v>1.0493059669922813</v>
      </c>
      <c r="L3">
        <v>1.1871</v>
      </c>
      <c r="M3" s="3">
        <v>7.4399999999999994E-2</v>
      </c>
      <c r="N3" s="14">
        <f>AVERAGE(J3:J5)</f>
        <v>6.1479396909278582E-2</v>
      </c>
      <c r="O3" s="14">
        <f>AVERAGE(K3:K5)</f>
        <v>0.99654339963974081</v>
      </c>
    </row>
    <row r="4" spans="1:15" ht="20.25" x14ac:dyDescent="0.3">
      <c r="A4" s="11" t="s">
        <v>67</v>
      </c>
      <c r="B4" s="12">
        <f>25+1.7+0.05</f>
        <v>26.75</v>
      </c>
      <c r="C4" s="5">
        <v>12</v>
      </c>
      <c r="D4" s="6">
        <v>2.5000000000000001E-2</v>
      </c>
      <c r="E4" s="6">
        <v>3.3000000000000002E-2</v>
      </c>
      <c r="F4" s="6">
        <f t="shared" ref="F4:F11" si="2">AVERAGE(D4:E4)</f>
        <v>2.9000000000000001E-2</v>
      </c>
      <c r="G4" s="3">
        <f t="shared" ref="G4:G11" si="3">(F4*32.729+0.5364)/C4</f>
        <v>0.12379508333333333</v>
      </c>
      <c r="H4" s="3">
        <f t="shared" ref="H4:H10" si="4">G4/63.5</f>
        <v>1.9495288713910761E-3</v>
      </c>
      <c r="I4" s="3">
        <f t="shared" ref="I4:I10" si="5">H4*B4</f>
        <v>5.2149897309711285E-2</v>
      </c>
      <c r="J4" s="3">
        <f t="shared" si="0"/>
        <v>3.9745367967160494E-2</v>
      </c>
      <c r="K4" s="3">
        <f t="shared" si="1"/>
        <v>0.64621929751810769</v>
      </c>
      <c r="L4">
        <v>1.3121</v>
      </c>
      <c r="M4" s="3">
        <v>8.0699999999999994E-2</v>
      </c>
      <c r="N4" s="15"/>
      <c r="O4" s="15"/>
    </row>
    <row r="5" spans="1:15" ht="20.25" x14ac:dyDescent="0.3">
      <c r="A5" s="11" t="s">
        <v>68</v>
      </c>
      <c r="B5" s="12">
        <f>25+0.9+0.7+0.016+0.015</f>
        <v>26.630999999999997</v>
      </c>
      <c r="C5" s="5">
        <v>12</v>
      </c>
      <c r="D5" s="6">
        <v>6.9000000000000006E-2</v>
      </c>
      <c r="E5" s="6">
        <v>7.1999999999999995E-2</v>
      </c>
      <c r="F5" s="6">
        <f t="shared" si="2"/>
        <v>7.0500000000000007E-2</v>
      </c>
      <c r="G5" s="3">
        <f t="shared" si="3"/>
        <v>0.23698287500000001</v>
      </c>
      <c r="H5" s="3">
        <f t="shared" si="4"/>
        <v>3.732013779527559E-3</v>
      </c>
      <c r="I5" s="3">
        <f t="shared" si="5"/>
        <v>9.938725896259841E-2</v>
      </c>
      <c r="J5" s="3">
        <f t="shared" si="0"/>
        <v>7.8928890535735707E-2</v>
      </c>
      <c r="K5" s="3">
        <f t="shared" si="1"/>
        <v>1.2941049344088336</v>
      </c>
      <c r="L5">
        <v>1.2592000000000001</v>
      </c>
      <c r="M5" s="3">
        <v>7.6799999999999993E-2</v>
      </c>
      <c r="N5" s="15"/>
      <c r="O5" s="15"/>
    </row>
    <row r="6" spans="1:15" ht="21" x14ac:dyDescent="0.3">
      <c r="A6" s="11" t="s">
        <v>82</v>
      </c>
      <c r="B6" s="12">
        <f>25+0.5+0.03</f>
        <v>25.53</v>
      </c>
      <c r="C6" s="5">
        <v>1</v>
      </c>
      <c r="D6" s="6">
        <v>5.6000000000000001E-2</v>
      </c>
      <c r="E6" s="6">
        <v>5.0999999999999997E-2</v>
      </c>
      <c r="F6" s="6">
        <f t="shared" si="2"/>
        <v>5.3499999999999999E-2</v>
      </c>
      <c r="G6" s="3">
        <f t="shared" si="3"/>
        <v>2.2874014999999996</v>
      </c>
      <c r="H6" s="3">
        <f t="shared" si="4"/>
        <v>3.6022070866141724E-2</v>
      </c>
      <c r="I6" s="3">
        <f t="shared" si="5"/>
        <v>0.91964346921259821</v>
      </c>
      <c r="J6" s="3">
        <f t="shared" si="0"/>
        <v>0.99917804130008503</v>
      </c>
      <c r="K6" s="3">
        <f t="shared" si="1"/>
        <v>14.018955323362777</v>
      </c>
      <c r="L6">
        <v>0.9204</v>
      </c>
      <c r="M6" s="3">
        <v>6.5600000000000006E-2</v>
      </c>
      <c r="N6" s="14">
        <f>AVERAGE(J6:J8)</f>
        <v>0.90906108310544198</v>
      </c>
      <c r="O6" s="14">
        <f>AVERAGE(K6:K8)</f>
        <v>12.827993120111023</v>
      </c>
    </row>
    <row r="7" spans="1:15" ht="21" x14ac:dyDescent="0.3">
      <c r="A7" s="11" t="s">
        <v>83</v>
      </c>
      <c r="B7" s="12">
        <f>25+0.6+0.4+0.01</f>
        <v>26.01</v>
      </c>
      <c r="C7" s="5">
        <v>1</v>
      </c>
      <c r="D7" s="6">
        <v>6.5000000000000002E-2</v>
      </c>
      <c r="E7" s="6">
        <v>6.3E-2</v>
      </c>
      <c r="F7" s="6">
        <f t="shared" si="2"/>
        <v>6.4000000000000001E-2</v>
      </c>
      <c r="G7" s="3">
        <f t="shared" si="3"/>
        <v>2.6310560000000001</v>
      </c>
      <c r="H7" s="3">
        <f t="shared" si="4"/>
        <v>4.1433952755905515E-2</v>
      </c>
      <c r="I7" s="3">
        <f t="shared" si="5"/>
        <v>1.0776971111811025</v>
      </c>
      <c r="J7" s="3">
        <f t="shared" si="0"/>
        <v>1.0249140382131263</v>
      </c>
      <c r="K7" s="3">
        <f t="shared" si="1"/>
        <v>14.583181477416813</v>
      </c>
      <c r="L7">
        <v>1.0515000000000001</v>
      </c>
      <c r="M7" s="3">
        <v>7.3899999999999993E-2</v>
      </c>
      <c r="N7" s="15"/>
      <c r="O7" s="15"/>
    </row>
    <row r="8" spans="1:15" ht="21" x14ac:dyDescent="0.3">
      <c r="A8" s="11" t="s">
        <v>84</v>
      </c>
      <c r="B8" s="12">
        <f>25.1+0.9+0.005+0.015</f>
        <v>26.02</v>
      </c>
      <c r="C8" s="5">
        <v>1</v>
      </c>
      <c r="D8" s="6">
        <v>3.7999999999999999E-2</v>
      </c>
      <c r="E8" s="6">
        <v>3.4000000000000002E-2</v>
      </c>
      <c r="F8" s="6">
        <f t="shared" si="2"/>
        <v>3.6000000000000004E-2</v>
      </c>
      <c r="G8" s="3">
        <f t="shared" si="3"/>
        <v>1.7146440000000001</v>
      </c>
      <c r="H8" s="3">
        <f t="shared" si="4"/>
        <v>2.7002267716535435E-2</v>
      </c>
      <c r="I8" s="3">
        <f t="shared" si="5"/>
        <v>0.70259900598425196</v>
      </c>
      <c r="J8" s="3">
        <f t="shared" si="0"/>
        <v>0.70309116980311415</v>
      </c>
      <c r="K8" s="3">
        <f t="shared" si="1"/>
        <v>9.8818425595534745</v>
      </c>
      <c r="L8">
        <v>0.99929999999999997</v>
      </c>
      <c r="M8" s="3">
        <v>7.1099999999999997E-2</v>
      </c>
      <c r="N8" s="15"/>
      <c r="O8" s="15"/>
    </row>
    <row r="9" spans="1:15" ht="21" x14ac:dyDescent="0.3">
      <c r="A9" s="11" t="s">
        <v>85</v>
      </c>
      <c r="B9" s="12">
        <f>25+1+0.025</f>
        <v>26.024999999999999</v>
      </c>
      <c r="C9" s="5">
        <v>1</v>
      </c>
      <c r="D9" s="6">
        <v>2.1000000000000001E-2</v>
      </c>
      <c r="E9" s="6">
        <v>2.1000000000000001E-2</v>
      </c>
      <c r="F9" s="6">
        <f t="shared" si="2"/>
        <v>2.1000000000000001E-2</v>
      </c>
      <c r="G9" s="3">
        <f t="shared" si="3"/>
        <v>1.2237089999999999</v>
      </c>
      <c r="H9" s="3">
        <f t="shared" si="4"/>
        <v>1.9271007874015748E-2</v>
      </c>
      <c r="I9" s="3">
        <f t="shared" si="5"/>
        <v>0.50152797992125986</v>
      </c>
      <c r="J9" s="3">
        <f t="shared" si="0"/>
        <v>0.46287769258999528</v>
      </c>
      <c r="K9" s="3">
        <f t="shared" si="1"/>
        <v>6.6781355515480669</v>
      </c>
      <c r="L9">
        <v>1.0834999999999999</v>
      </c>
      <c r="M9" s="3">
        <v>7.51E-2</v>
      </c>
      <c r="N9" s="14">
        <f>AVERAGE(J9:J11)</f>
        <v>0.42165925752968203</v>
      </c>
      <c r="O9" s="14">
        <f>AVERAGE(K9:K11)</f>
        <v>6.0306360748184256</v>
      </c>
    </row>
    <row r="10" spans="1:15" ht="21" x14ac:dyDescent="0.3">
      <c r="A10" s="11" t="s">
        <v>86</v>
      </c>
      <c r="B10" s="12">
        <f>25+0.2+2*0.016+0.015</f>
        <v>25.247</v>
      </c>
      <c r="C10" s="5">
        <v>1</v>
      </c>
      <c r="D10" s="6">
        <v>1.7000000000000001E-2</v>
      </c>
      <c r="E10" s="6">
        <v>1.7000000000000001E-2</v>
      </c>
      <c r="F10" s="6">
        <f t="shared" si="2"/>
        <v>1.7000000000000001E-2</v>
      </c>
      <c r="G10" s="3">
        <f t="shared" si="3"/>
        <v>1.0927929999999999</v>
      </c>
      <c r="H10" s="3">
        <f t="shared" si="4"/>
        <v>1.7209338582677165E-2</v>
      </c>
      <c r="I10" s="3">
        <f t="shared" si="5"/>
        <v>0.4344841711968504</v>
      </c>
      <c r="J10" s="3">
        <f t="shared" si="0"/>
        <v>0.39005671173072126</v>
      </c>
      <c r="K10" s="3">
        <f t="shared" si="1"/>
        <v>5.7547572343953695</v>
      </c>
      <c r="L10">
        <v>1.1138999999999999</v>
      </c>
      <c r="M10" s="3">
        <v>7.5499999999999998E-2</v>
      </c>
      <c r="N10" s="15"/>
      <c r="O10" s="15"/>
    </row>
    <row r="11" spans="1:15" ht="21" x14ac:dyDescent="0.3">
      <c r="A11" s="11" t="s">
        <v>87</v>
      </c>
      <c r="B11" s="12">
        <f>25+0.6+0.005</f>
        <v>25.605</v>
      </c>
      <c r="C11" s="5">
        <v>1</v>
      </c>
      <c r="D11" s="6">
        <v>1.7999999999999999E-2</v>
      </c>
      <c r="E11" s="6">
        <v>1.4999999999999999E-2</v>
      </c>
      <c r="F11" s="6">
        <f t="shared" si="2"/>
        <v>1.6500000000000001E-2</v>
      </c>
      <c r="G11" s="3">
        <f t="shared" si="3"/>
        <v>1.0764285</v>
      </c>
      <c r="H11" s="3">
        <f>G11/63.5</f>
        <v>1.6951629921259842E-2</v>
      </c>
      <c r="I11" s="3">
        <f>H11*B11</f>
        <v>0.43404648413385827</v>
      </c>
      <c r="J11" s="3">
        <f t="shared" si="0"/>
        <v>0.41204336826832949</v>
      </c>
      <c r="K11" s="3">
        <f t="shared" si="1"/>
        <v>5.6590154385118412</v>
      </c>
      <c r="L11">
        <v>1.0533999999999999</v>
      </c>
      <c r="M11" s="3">
        <v>7.6700000000000004E-2</v>
      </c>
      <c r="N11" s="15"/>
      <c r="O11" s="15"/>
    </row>
    <row r="12" spans="1:15" ht="20.25" x14ac:dyDescent="0.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</row>
    <row r="13" spans="1:15" ht="26.25" x14ac:dyDescent="0.4">
      <c r="A13" s="16" t="s">
        <v>90</v>
      </c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</row>
    <row r="14" spans="1:15" ht="60.75" x14ac:dyDescent="0.3">
      <c r="A14" s="3" t="s">
        <v>0</v>
      </c>
      <c r="B14" s="3" t="s">
        <v>14</v>
      </c>
      <c r="C14" s="3" t="s">
        <v>15</v>
      </c>
      <c r="D14" s="3" t="s">
        <v>16</v>
      </c>
      <c r="E14" s="3" t="s">
        <v>17</v>
      </c>
      <c r="F14" s="3" t="s">
        <v>18</v>
      </c>
      <c r="G14" s="3" t="s">
        <v>19</v>
      </c>
      <c r="H14" s="3" t="s">
        <v>20</v>
      </c>
      <c r="I14" s="3" t="s">
        <v>21</v>
      </c>
      <c r="J14" s="3" t="s">
        <v>78</v>
      </c>
      <c r="K14" s="3" t="s">
        <v>79</v>
      </c>
      <c r="L14" s="3" t="s">
        <v>3</v>
      </c>
      <c r="M14" s="3" t="s">
        <v>4</v>
      </c>
      <c r="N14" s="4" t="s">
        <v>80</v>
      </c>
      <c r="O14" s="4" t="s">
        <v>81</v>
      </c>
    </row>
    <row r="15" spans="1:15" ht="20.25" x14ac:dyDescent="0.3">
      <c r="A15" s="11" t="s">
        <v>66</v>
      </c>
      <c r="B15" s="12">
        <f>25.3+0.2+2+0.2+0.014+0.25+2*0.016</f>
        <v>27.995999999999999</v>
      </c>
      <c r="C15" s="5">
        <v>12</v>
      </c>
      <c r="D15" s="6">
        <v>5.8999999999999997E-2</v>
      </c>
      <c r="E15" s="6">
        <v>7.0000000000000007E-2</v>
      </c>
      <c r="F15" s="6">
        <f>AVERAGE(D15:E15)</f>
        <v>6.4500000000000002E-2</v>
      </c>
      <c r="G15" s="3">
        <f>(F15*21.712+0.298)/C15</f>
        <v>0.14153533333333335</v>
      </c>
      <c r="H15" s="3">
        <f>G15/63.5</f>
        <v>2.2289028871391079E-3</v>
      </c>
      <c r="I15" s="3">
        <f>H15*B15</f>
        <v>6.2400365228346459E-2</v>
      </c>
      <c r="J15" s="3">
        <f>I15/L15</f>
        <v>3.390034510150837E-2</v>
      </c>
      <c r="K15" s="3">
        <f>I15/M15</f>
        <v>0.32598896752206397</v>
      </c>
      <c r="L15">
        <v>1.8407</v>
      </c>
      <c r="M15" s="3">
        <v>0.19141864125853586</v>
      </c>
      <c r="N15" s="14">
        <f>AVERAGE(J15:J17)</f>
        <v>3.3970888344282614E-2</v>
      </c>
      <c r="O15" s="14">
        <f>AVERAGE(K15:K17)</f>
        <v>0.32666731810548061</v>
      </c>
    </row>
    <row r="16" spans="1:15" ht="20.25" x14ac:dyDescent="0.3">
      <c r="A16" s="11" t="s">
        <v>67</v>
      </c>
      <c r="B16" s="12">
        <f>25.1+0.5+4*0.016+0.2+2*0.014</f>
        <v>25.891999999999999</v>
      </c>
      <c r="C16" s="5">
        <v>12</v>
      </c>
      <c r="D16" s="6">
        <v>7.5999999999999998E-2</v>
      </c>
      <c r="E16" s="6">
        <v>8.2000000000000003E-2</v>
      </c>
      <c r="F16" s="6">
        <f t="shared" ref="F16:F23" si="6">AVERAGE(D16:E16)</f>
        <v>7.9000000000000001E-2</v>
      </c>
      <c r="G16" s="3">
        <f t="shared" ref="G16:G23" si="7">(F16*21.712+0.298)/C16</f>
        <v>0.16777066666666665</v>
      </c>
      <c r="H16" s="3">
        <f t="shared" ref="H16:H23" si="8">G16/63.5</f>
        <v>2.6420577427821519E-3</v>
      </c>
      <c r="I16" s="3">
        <f t="shared" ref="I16:I23" si="9">H16*B16</f>
        <v>6.8408159076115471E-2</v>
      </c>
      <c r="J16" s="3">
        <f t="shared" ref="J16:J23" si="10">I16/L16</f>
        <v>3.8186981732787464E-2</v>
      </c>
      <c r="K16" s="3">
        <f t="shared" ref="K16:K23" si="11">I16/M16</f>
        <v>0.36720967620183359</v>
      </c>
      <c r="L16">
        <v>1.7914000000000001</v>
      </c>
      <c r="M16" s="3">
        <v>0.18629182047619988</v>
      </c>
      <c r="N16" s="14"/>
      <c r="O16" s="14"/>
    </row>
    <row r="17" spans="1:15" ht="20.25" x14ac:dyDescent="0.3">
      <c r="A17" s="11" t="s">
        <v>68</v>
      </c>
      <c r="B17" s="12">
        <f>25+0.5+0.014+2*0.016</f>
        <v>25.545999999999999</v>
      </c>
      <c r="C17" s="5">
        <v>12</v>
      </c>
      <c r="D17" s="6">
        <v>6.2E-2</v>
      </c>
      <c r="E17" s="6">
        <v>6.7000000000000004E-2</v>
      </c>
      <c r="F17" s="6">
        <f t="shared" si="6"/>
        <v>6.4500000000000002E-2</v>
      </c>
      <c r="G17" s="3">
        <f t="shared" si="7"/>
        <v>0.14153533333333335</v>
      </c>
      <c r="H17" s="3">
        <f t="shared" si="8"/>
        <v>2.2289028871391079E-3</v>
      </c>
      <c r="I17" s="3">
        <f t="shared" si="9"/>
        <v>5.6939553154855646E-2</v>
      </c>
      <c r="J17" s="3">
        <f t="shared" si="10"/>
        <v>2.9825338198552011E-2</v>
      </c>
      <c r="K17" s="3">
        <f t="shared" si="11"/>
        <v>0.28680331059254438</v>
      </c>
      <c r="L17">
        <v>1.9091</v>
      </c>
      <c r="M17" s="3">
        <v>0.19853171512287215</v>
      </c>
      <c r="N17" s="15"/>
      <c r="O17" s="15"/>
    </row>
    <row r="18" spans="1:15" ht="21" x14ac:dyDescent="0.3">
      <c r="A18" s="11" t="s">
        <v>82</v>
      </c>
      <c r="B18" s="12">
        <f>25.1+0.3+0.1+4*0.014</f>
        <v>25.556000000000004</v>
      </c>
      <c r="C18" s="5">
        <v>12</v>
      </c>
      <c r="D18" s="6">
        <v>0.13900000000000001</v>
      </c>
      <c r="E18" s="6">
        <v>0.14799999999999999</v>
      </c>
      <c r="F18" s="6">
        <f t="shared" si="6"/>
        <v>0.14350000000000002</v>
      </c>
      <c r="G18" s="3">
        <f t="shared" si="7"/>
        <v>0.28447266666666671</v>
      </c>
      <c r="H18" s="3">
        <f t="shared" si="8"/>
        <v>4.4798845144356962E-3</v>
      </c>
      <c r="I18" s="3">
        <f t="shared" si="9"/>
        <v>0.11448792865091867</v>
      </c>
      <c r="J18" s="3">
        <f t="shared" si="10"/>
        <v>5.4949809767659549E-2</v>
      </c>
      <c r="K18" s="3">
        <f t="shared" si="11"/>
        <v>0.52867781517608836</v>
      </c>
      <c r="L18">
        <v>2.0834999999999999</v>
      </c>
      <c r="M18" s="3">
        <v>0.21655519744626661</v>
      </c>
      <c r="N18" s="14">
        <f>AVERAGE(J18:J20)</f>
        <v>4.9006083403241855E-2</v>
      </c>
      <c r="O18" s="14">
        <f>AVERAGE(K18:K20)</f>
        <v>0.47149260777261776</v>
      </c>
    </row>
    <row r="19" spans="1:15" ht="21" x14ac:dyDescent="0.3">
      <c r="A19" s="11" t="s">
        <v>83</v>
      </c>
      <c r="B19" s="12">
        <f>25.1+0.2+4*0.02+0.05</f>
        <v>25.43</v>
      </c>
      <c r="C19" s="5">
        <v>12</v>
      </c>
      <c r="D19" s="6">
        <v>0.111</v>
      </c>
      <c r="E19" s="6">
        <v>0.11</v>
      </c>
      <c r="F19" s="6">
        <f t="shared" si="6"/>
        <v>0.1105</v>
      </c>
      <c r="G19" s="3">
        <f t="shared" si="7"/>
        <v>0.2247646666666667</v>
      </c>
      <c r="H19" s="3">
        <f t="shared" si="8"/>
        <v>3.539601049868767E-3</v>
      </c>
      <c r="I19" s="3">
        <f t="shared" si="9"/>
        <v>9.0012054698162744E-2</v>
      </c>
      <c r="J19" s="3">
        <f t="shared" si="10"/>
        <v>4.843003050584458E-2</v>
      </c>
      <c r="K19" s="3">
        <f t="shared" si="11"/>
        <v>0.46595034314041006</v>
      </c>
      <c r="L19">
        <v>1.8586</v>
      </c>
      <c r="M19" s="3">
        <v>0.19317950082727678</v>
      </c>
      <c r="N19" s="15"/>
      <c r="O19" s="15"/>
    </row>
    <row r="20" spans="1:15" ht="21" x14ac:dyDescent="0.3">
      <c r="A20" s="11" t="s">
        <v>84</v>
      </c>
      <c r="B20" s="12">
        <f>25.3+0.3+4*0.016+0.1+0.1+2*0.016</f>
        <v>25.896000000000004</v>
      </c>
      <c r="C20" s="5">
        <v>12</v>
      </c>
      <c r="D20" s="6">
        <v>9.6000000000000002E-2</v>
      </c>
      <c r="E20" s="6">
        <v>0.107</v>
      </c>
      <c r="F20" s="6">
        <f t="shared" si="6"/>
        <v>0.10150000000000001</v>
      </c>
      <c r="G20" s="3">
        <f t="shared" si="7"/>
        <v>0.20848066666666668</v>
      </c>
      <c r="H20" s="3">
        <f t="shared" si="8"/>
        <v>3.2831601049868766E-3</v>
      </c>
      <c r="I20" s="3">
        <f t="shared" si="9"/>
        <v>8.5020714078740178E-2</v>
      </c>
      <c r="J20" s="3">
        <f t="shared" si="10"/>
        <v>4.3638409936221416E-2</v>
      </c>
      <c r="K20" s="3">
        <f t="shared" si="11"/>
        <v>0.4198496650013549</v>
      </c>
      <c r="L20">
        <v>1.9482999999999999</v>
      </c>
      <c r="M20" s="3">
        <v>0.20250275554814556</v>
      </c>
      <c r="N20" s="15"/>
      <c r="O20" s="15"/>
    </row>
    <row r="21" spans="1:15" ht="21" x14ac:dyDescent="0.3">
      <c r="A21" s="11" t="s">
        <v>85</v>
      </c>
      <c r="B21" s="12">
        <f>25+0.3+0.1+2*0.016+5*0.014</f>
        <v>25.502000000000002</v>
      </c>
      <c r="C21" s="5">
        <v>12</v>
      </c>
      <c r="D21" s="6">
        <v>8.8999999999999996E-2</v>
      </c>
      <c r="E21" s="6">
        <v>9.0999999999999998E-2</v>
      </c>
      <c r="F21" s="6">
        <f t="shared" si="6"/>
        <v>0.09</v>
      </c>
      <c r="G21" s="3">
        <f t="shared" si="7"/>
        <v>0.18767333333333333</v>
      </c>
      <c r="H21" s="3">
        <f t="shared" si="8"/>
        <v>2.955485564304462E-3</v>
      </c>
      <c r="I21" s="3">
        <f t="shared" si="9"/>
        <v>7.5370792860892391E-2</v>
      </c>
      <c r="J21" s="3">
        <f t="shared" si="10"/>
        <v>4.6703924191902585E-2</v>
      </c>
      <c r="K21" s="3">
        <f t="shared" si="11"/>
        <v>0.44817878162313468</v>
      </c>
      <c r="L21">
        <v>1.6137999999999999</v>
      </c>
      <c r="M21" s="3">
        <v>0.16817126546671349</v>
      </c>
      <c r="N21" s="14">
        <f>AVERAGE(J21:J23)</f>
        <v>5.2111752191285644E-2</v>
      </c>
      <c r="O21" s="14">
        <f>AVERAGE(K21:K23)</f>
        <v>0.50007321674666505</v>
      </c>
    </row>
    <row r="22" spans="1:15" ht="21" x14ac:dyDescent="0.3">
      <c r="A22" s="11" t="s">
        <v>86</v>
      </c>
      <c r="B22" s="12">
        <f>25.1+0.5+3*0.02+2*0.016+0.005</f>
        <v>25.696999999999999</v>
      </c>
      <c r="C22" s="5">
        <v>12</v>
      </c>
      <c r="D22" s="6">
        <v>0.13</v>
      </c>
      <c r="E22" s="6">
        <v>0.13300000000000001</v>
      </c>
      <c r="F22" s="6">
        <f t="shared" si="6"/>
        <v>0.13150000000000001</v>
      </c>
      <c r="G22" s="3">
        <f t="shared" si="7"/>
        <v>0.2627606666666667</v>
      </c>
      <c r="H22" s="3">
        <f t="shared" si="8"/>
        <v>4.1379632545931761E-3</v>
      </c>
      <c r="I22" s="3">
        <f t="shared" si="9"/>
        <v>0.10633324175328085</v>
      </c>
      <c r="J22" s="3">
        <f t="shared" si="10"/>
        <v>5.1801647465913599E-2</v>
      </c>
      <c r="K22" s="3">
        <f t="shared" si="11"/>
        <v>0.49709739918106277</v>
      </c>
      <c r="L22">
        <v>2.0527000000000002</v>
      </c>
      <c r="M22" s="3">
        <v>0.21390826411173805</v>
      </c>
      <c r="N22" s="15"/>
      <c r="O22" s="15"/>
    </row>
    <row r="23" spans="1:15" ht="21" x14ac:dyDescent="0.3">
      <c r="A23" s="11" t="s">
        <v>87</v>
      </c>
      <c r="B23" s="12">
        <f>25.4+0.4+2*0.016+0.005</f>
        <v>25.836999999999996</v>
      </c>
      <c r="C23" s="5">
        <v>12</v>
      </c>
      <c r="D23" s="6">
        <v>0.113</v>
      </c>
      <c r="E23" s="6">
        <v>0.11700000000000001</v>
      </c>
      <c r="F23" s="6">
        <f t="shared" si="6"/>
        <v>0.115</v>
      </c>
      <c r="G23" s="3">
        <f t="shared" si="7"/>
        <v>0.23290666666666668</v>
      </c>
      <c r="H23" s="3">
        <f t="shared" si="8"/>
        <v>3.6678215223097115E-3</v>
      </c>
      <c r="I23" s="3">
        <f t="shared" si="9"/>
        <v>9.4765504671915995E-2</v>
      </c>
      <c r="J23" s="3">
        <f t="shared" si="10"/>
        <v>5.7829684916040756E-2</v>
      </c>
      <c r="K23" s="3">
        <f t="shared" si="11"/>
        <v>0.55494346943579786</v>
      </c>
      <c r="L23">
        <v>1.6387</v>
      </c>
      <c r="M23" s="3">
        <v>0.17076605076236426</v>
      </c>
      <c r="N23" s="15"/>
      <c r="O23" s="15"/>
    </row>
    <row r="27" spans="1:15" x14ac:dyDescent="0.25">
      <c r="A27" t="s">
        <v>88</v>
      </c>
    </row>
    <row r="28" spans="1:15" x14ac:dyDescent="0.25">
      <c r="A28">
        <v>0.1</v>
      </c>
      <c r="B28">
        <f>A28*10</f>
        <v>1</v>
      </c>
      <c r="C28">
        <v>1.4E-2</v>
      </c>
    </row>
    <row r="29" spans="1:15" x14ac:dyDescent="0.25">
      <c r="A29">
        <v>0.5</v>
      </c>
      <c r="B29">
        <f t="shared" ref="B29:B32" si="12">A29*10</f>
        <v>5</v>
      </c>
      <c r="C29">
        <v>0.13900000000000001</v>
      </c>
    </row>
    <row r="30" spans="1:15" x14ac:dyDescent="0.25">
      <c r="A30">
        <v>0.9</v>
      </c>
      <c r="B30">
        <f t="shared" si="12"/>
        <v>9</v>
      </c>
      <c r="C30">
        <v>0.25600000000000001</v>
      </c>
    </row>
    <row r="31" spans="1:15" x14ac:dyDescent="0.25">
      <c r="A31">
        <v>1.3</v>
      </c>
      <c r="B31">
        <f t="shared" si="12"/>
        <v>13</v>
      </c>
      <c r="C31">
        <v>0.379</v>
      </c>
    </row>
    <row r="32" spans="1:15" x14ac:dyDescent="0.25">
      <c r="A32">
        <v>1.7</v>
      </c>
      <c r="B32">
        <f t="shared" si="12"/>
        <v>17</v>
      </c>
      <c r="C32">
        <v>0.505</v>
      </c>
    </row>
    <row r="35" spans="1:3" x14ac:dyDescent="0.25">
      <c r="A35" t="s">
        <v>91</v>
      </c>
    </row>
    <row r="36" spans="1:3" x14ac:dyDescent="0.25">
      <c r="A36">
        <v>0.1</v>
      </c>
      <c r="B36">
        <f>A36*10</f>
        <v>1</v>
      </c>
      <c r="C36">
        <v>4.8000000000000001E-2</v>
      </c>
    </row>
    <row r="37" spans="1:3" x14ac:dyDescent="0.25">
      <c r="A37">
        <v>0.2</v>
      </c>
      <c r="B37">
        <f t="shared" ref="B37:B40" si="13">A37*10</f>
        <v>2</v>
      </c>
      <c r="C37">
        <v>8.7999999999999995E-2</v>
      </c>
    </row>
    <row r="38" spans="1:3" x14ac:dyDescent="0.25">
      <c r="A38">
        <v>0.3</v>
      </c>
      <c r="B38">
        <f t="shared" si="13"/>
        <v>3</v>
      </c>
      <c r="C38">
        <v>0.13500000000000001</v>
      </c>
    </row>
    <row r="39" spans="1:3" x14ac:dyDescent="0.25">
      <c r="A39">
        <v>0.4</v>
      </c>
      <c r="B39">
        <f t="shared" si="13"/>
        <v>4</v>
      </c>
      <c r="C39">
        <v>0.182</v>
      </c>
    </row>
    <row r="40" spans="1:3" x14ac:dyDescent="0.25">
      <c r="A40">
        <v>0.5</v>
      </c>
      <c r="B40">
        <f t="shared" si="13"/>
        <v>5</v>
      </c>
      <c r="C40">
        <v>0.23100000000000001</v>
      </c>
    </row>
  </sheetData>
  <mergeCells count="14">
    <mergeCell ref="A1:O1"/>
    <mergeCell ref="N3:N5"/>
    <mergeCell ref="O3:O5"/>
    <mergeCell ref="N6:N8"/>
    <mergeCell ref="O6:O8"/>
    <mergeCell ref="N18:N20"/>
    <mergeCell ref="O18:O20"/>
    <mergeCell ref="N21:N23"/>
    <mergeCell ref="O21:O23"/>
    <mergeCell ref="N9:N11"/>
    <mergeCell ref="O9:O11"/>
    <mergeCell ref="A13:O13"/>
    <mergeCell ref="N15:N17"/>
    <mergeCell ref="O15:O17"/>
  </mergeCells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Массы растений</vt:lpstr>
      <vt:lpstr>Сорбция по растворам</vt:lpstr>
      <vt:lpstr>Десорбция</vt:lpstr>
      <vt:lpstr>Озоление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Олег Никушин</dc:creator>
  <cp:lastModifiedBy>Олег Никушин</cp:lastModifiedBy>
  <dcterms:created xsi:type="dcterms:W3CDTF">2015-06-05T18:19:34Z</dcterms:created>
  <dcterms:modified xsi:type="dcterms:W3CDTF">2022-05-02T11:18:27Z</dcterms:modified>
</cp:coreProperties>
</file>