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nikus\OneDrive\Рабочий стол\Аспирантура\Диссертация\Опыты ВИКА 9 растений\"/>
    </mc:Choice>
  </mc:AlternateContent>
  <xr:revisionPtr revIDLastSave="0" documentId="13_ncr:1_{0818F0E5-CECE-4E50-911C-5DD8F6FB7483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Массы растений" sheetId="1" r:id="rId1"/>
    <sheet name="Сорбция по растворам" sheetId="2" r:id="rId2"/>
    <sheet name="Десорбция" sheetId="3" r:id="rId3"/>
    <sheet name="Озоление корней" sheetId="4" r:id="rId4"/>
    <sheet name="Озоление побегов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2" l="1"/>
  <c r="M3" i="2"/>
  <c r="L3" i="2"/>
  <c r="O4" i="2"/>
  <c r="L16" i="3"/>
  <c r="L4" i="3"/>
  <c r="K4" i="3"/>
  <c r="J4" i="3"/>
  <c r="K5" i="3"/>
  <c r="K6" i="3"/>
  <c r="K7" i="3"/>
  <c r="K8" i="3"/>
  <c r="K9" i="3"/>
  <c r="K10" i="3"/>
  <c r="K11" i="3"/>
  <c r="K12" i="3"/>
  <c r="L6" i="3"/>
  <c r="L7" i="3"/>
  <c r="L8" i="3"/>
  <c r="L9" i="3"/>
  <c r="L10" i="3"/>
  <c r="L11" i="3"/>
  <c r="L12" i="3"/>
  <c r="L5" i="3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4" i="5"/>
  <c r="B23" i="5"/>
  <c r="B22" i="5"/>
  <c r="B21" i="5"/>
  <c r="K20" i="5"/>
  <c r="B20" i="5"/>
  <c r="K19" i="5"/>
  <c r="F17" i="5"/>
  <c r="G17" i="5" s="1"/>
  <c r="H17" i="5" s="1"/>
  <c r="I17" i="5" s="1"/>
  <c r="F16" i="5"/>
  <c r="G16" i="5" s="1"/>
  <c r="F15" i="5"/>
  <c r="G15" i="5" s="1"/>
  <c r="F14" i="5"/>
  <c r="G14" i="5" s="1"/>
  <c r="H14" i="5" s="1"/>
  <c r="F13" i="5"/>
  <c r="G13" i="5" s="1"/>
  <c r="F12" i="5"/>
  <c r="G12" i="5" s="1"/>
  <c r="F11" i="5"/>
  <c r="G11" i="5" s="1"/>
  <c r="F10" i="5"/>
  <c r="G10" i="5" s="1"/>
  <c r="H10" i="5" s="1"/>
  <c r="F9" i="5"/>
  <c r="G9" i="5" s="1"/>
  <c r="F8" i="5"/>
  <c r="F7" i="5"/>
  <c r="G7" i="5" s="1"/>
  <c r="F6" i="5"/>
  <c r="G6" i="5" s="1"/>
  <c r="H6" i="5" s="1"/>
  <c r="F5" i="5"/>
  <c r="G5" i="5" s="1"/>
  <c r="H5" i="5" s="1"/>
  <c r="I5" i="5" s="1"/>
  <c r="F4" i="5"/>
  <c r="F3" i="5"/>
  <c r="G3" i="5" s="1"/>
  <c r="H3" i="5" s="1"/>
  <c r="I3" i="5" s="1"/>
  <c r="J15" i="4"/>
  <c r="K15" i="4"/>
  <c r="O15" i="4"/>
  <c r="G17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K20" i="4"/>
  <c r="K19" i="4"/>
  <c r="F15" i="4"/>
  <c r="G15" i="4" s="1"/>
  <c r="F16" i="4"/>
  <c r="G16" i="4" s="1"/>
  <c r="H16" i="4" s="1"/>
  <c r="I16" i="4" s="1"/>
  <c r="F17" i="4"/>
  <c r="H17" i="4" s="1"/>
  <c r="I17" i="4" s="1"/>
  <c r="B21" i="4"/>
  <c r="B22" i="4"/>
  <c r="B23" i="4"/>
  <c r="B24" i="4"/>
  <c r="B20" i="4"/>
  <c r="F14" i="4"/>
  <c r="G14" i="4" s="1"/>
  <c r="F13" i="4"/>
  <c r="G13" i="4" s="1"/>
  <c r="F12" i="4"/>
  <c r="G12" i="4" s="1"/>
  <c r="F11" i="4"/>
  <c r="G11" i="4" s="1"/>
  <c r="F10" i="4"/>
  <c r="G10" i="4" s="1"/>
  <c r="F9" i="4"/>
  <c r="G9" i="4" s="1"/>
  <c r="F8" i="4"/>
  <c r="F7" i="4"/>
  <c r="G7" i="4" s="1"/>
  <c r="F6" i="4"/>
  <c r="G6" i="4" s="1"/>
  <c r="F5" i="4"/>
  <c r="G5" i="4" s="1"/>
  <c r="F4" i="4"/>
  <c r="F3" i="4"/>
  <c r="G3" i="4" s="1"/>
  <c r="I14" i="5" l="1"/>
  <c r="K14" i="5" s="1"/>
  <c r="I10" i="5"/>
  <c r="K10" i="5" s="1"/>
  <c r="I6" i="5"/>
  <c r="J6" i="5" s="1"/>
  <c r="H12" i="5"/>
  <c r="I12" i="5" s="1"/>
  <c r="K12" i="5" s="1"/>
  <c r="H7" i="5"/>
  <c r="I7" i="5" s="1"/>
  <c r="J7" i="5" s="1"/>
  <c r="G8" i="5"/>
  <c r="H8" i="5" s="1"/>
  <c r="I8" i="5" s="1"/>
  <c r="G4" i="5"/>
  <c r="H4" i="5" s="1"/>
  <c r="I4" i="5" s="1"/>
  <c r="H9" i="5"/>
  <c r="I9" i="5" s="1"/>
  <c r="J9" i="5" s="1"/>
  <c r="H16" i="5"/>
  <c r="I16" i="5" s="1"/>
  <c r="K16" i="5" s="1"/>
  <c r="H13" i="5"/>
  <c r="I13" i="5" s="1"/>
  <c r="J13" i="5" s="1"/>
  <c r="H15" i="5"/>
  <c r="I15" i="5" s="1"/>
  <c r="K15" i="5" s="1"/>
  <c r="H11" i="5"/>
  <c r="I11" i="5" s="1"/>
  <c r="J11" i="5" s="1"/>
  <c r="K17" i="5"/>
  <c r="J17" i="5"/>
  <c r="K3" i="5"/>
  <c r="J3" i="5"/>
  <c r="K5" i="5"/>
  <c r="J5" i="5"/>
  <c r="H15" i="4"/>
  <c r="I15" i="4" s="1"/>
  <c r="K16" i="4"/>
  <c r="J16" i="4"/>
  <c r="J17" i="4"/>
  <c r="K17" i="4"/>
  <c r="H10" i="4"/>
  <c r="I10" i="4" s="1"/>
  <c r="J10" i="4" s="1"/>
  <c r="H3" i="4"/>
  <c r="I3" i="4" s="1"/>
  <c r="K3" i="4" s="1"/>
  <c r="G8" i="4"/>
  <c r="H8" i="4" s="1"/>
  <c r="I8" i="4" s="1"/>
  <c r="H9" i="4"/>
  <c r="I9" i="4" s="1"/>
  <c r="H6" i="4"/>
  <c r="I6" i="4" s="1"/>
  <c r="K6" i="4" s="1"/>
  <c r="H11" i="4"/>
  <c r="I11" i="4" s="1"/>
  <c r="J11" i="4" s="1"/>
  <c r="H7" i="4"/>
  <c r="I7" i="4" s="1"/>
  <c r="J7" i="4" s="1"/>
  <c r="G4" i="4"/>
  <c r="H4" i="4" s="1"/>
  <c r="I4" i="4" s="1"/>
  <c r="H12" i="4"/>
  <c r="I12" i="4" s="1"/>
  <c r="J12" i="4" s="1"/>
  <c r="H13" i="4"/>
  <c r="I13" i="4" s="1"/>
  <c r="K13" i="4" s="1"/>
  <c r="H14" i="4"/>
  <c r="I14" i="4" s="1"/>
  <c r="K14" i="4" s="1"/>
  <c r="H5" i="4"/>
  <c r="I5" i="4" s="1"/>
  <c r="K5" i="4" s="1"/>
  <c r="J14" i="5" l="1"/>
  <c r="K6" i="5"/>
  <c r="K13" i="5"/>
  <c r="J12" i="5"/>
  <c r="N12" i="5" s="1"/>
  <c r="J10" i="5"/>
  <c r="N9" i="5" s="1"/>
  <c r="K7" i="5"/>
  <c r="J4" i="5"/>
  <c r="N3" i="5" s="1"/>
  <c r="K4" i="5"/>
  <c r="O3" i="5" s="1"/>
  <c r="K8" i="5"/>
  <c r="O6" i="5" s="1"/>
  <c r="J8" i="5"/>
  <c r="N6" i="5" s="1"/>
  <c r="J15" i="5"/>
  <c r="J16" i="5"/>
  <c r="K9" i="5"/>
  <c r="O9" i="5" s="1"/>
  <c r="K11" i="5"/>
  <c r="O12" i="5"/>
  <c r="O15" i="5"/>
  <c r="N15" i="4"/>
  <c r="J3" i="4"/>
  <c r="J14" i="4"/>
  <c r="K7" i="4"/>
  <c r="J6" i="4"/>
  <c r="J5" i="4"/>
  <c r="J9" i="4"/>
  <c r="N9" i="4" s="1"/>
  <c r="K9" i="4"/>
  <c r="O9" i="4" s="1"/>
  <c r="K8" i="4"/>
  <c r="J8" i="4"/>
  <c r="K4" i="4"/>
  <c r="O3" i="4" s="1"/>
  <c r="J4" i="4"/>
  <c r="K12" i="4"/>
  <c r="O12" i="4" s="1"/>
  <c r="K11" i="4"/>
  <c r="J13" i="4"/>
  <c r="K10" i="4"/>
  <c r="N15" i="5" l="1"/>
  <c r="N12" i="4"/>
  <c r="O6" i="4"/>
  <c r="N6" i="4"/>
  <c r="N3" i="4"/>
  <c r="N5" i="1" l="1"/>
  <c r="N6" i="1"/>
  <c r="N7" i="1"/>
  <c r="N8" i="1"/>
  <c r="N9" i="1"/>
  <c r="N10" i="1"/>
  <c r="N11" i="1"/>
  <c r="N12" i="1"/>
  <c r="N4" i="1"/>
  <c r="M5" i="1"/>
  <c r="M6" i="1"/>
  <c r="M7" i="1"/>
  <c r="M8" i="1"/>
  <c r="M9" i="1"/>
  <c r="M10" i="1"/>
  <c r="M11" i="1"/>
  <c r="M12" i="1"/>
  <c r="M4" i="1"/>
  <c r="L5" i="1"/>
  <c r="L6" i="1"/>
  <c r="L7" i="1"/>
  <c r="L8" i="1"/>
  <c r="L9" i="1"/>
  <c r="L10" i="1"/>
  <c r="L11" i="1"/>
  <c r="L12" i="1"/>
  <c r="L4" i="1"/>
  <c r="K5" i="1"/>
  <c r="K6" i="1"/>
  <c r="K7" i="1"/>
  <c r="K8" i="1"/>
  <c r="K9" i="1"/>
  <c r="K10" i="1"/>
  <c r="K11" i="1"/>
  <c r="K12" i="1"/>
  <c r="K4" i="1"/>
  <c r="G21" i="1"/>
  <c r="F21" i="1"/>
  <c r="G17" i="1" l="1"/>
  <c r="G18" i="1"/>
  <c r="G16" i="1"/>
  <c r="G4" i="1"/>
  <c r="G5" i="1"/>
  <c r="G6" i="1"/>
  <c r="G7" i="1"/>
  <c r="G8" i="1"/>
  <c r="G9" i="1"/>
  <c r="G10" i="1"/>
  <c r="G11" i="1"/>
  <c r="G12" i="1"/>
  <c r="G13" i="1"/>
  <c r="G14" i="1"/>
  <c r="G15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4" i="1"/>
  <c r="B28" i="3"/>
  <c r="B29" i="3"/>
  <c r="B30" i="3"/>
  <c r="B31" i="3"/>
  <c r="B32" i="3"/>
  <c r="F24" i="3"/>
  <c r="G24" i="3" s="1"/>
  <c r="F23" i="3"/>
  <c r="G23" i="3" s="1"/>
  <c r="F22" i="3"/>
  <c r="G22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H23" i="3" l="1"/>
  <c r="I23" i="3" s="1"/>
  <c r="H22" i="3"/>
  <c r="I22" i="3" s="1"/>
  <c r="H21" i="3"/>
  <c r="I21" i="3" s="1"/>
  <c r="H19" i="3"/>
  <c r="I19" i="3" s="1"/>
  <c r="H17" i="3"/>
  <c r="I17" i="3" s="1"/>
  <c r="H10" i="3"/>
  <c r="I10" i="3" s="1"/>
  <c r="J10" i="3" s="1"/>
  <c r="H7" i="3"/>
  <c r="I7" i="3" s="1"/>
  <c r="J7" i="3" s="1"/>
  <c r="H5" i="3"/>
  <c r="I5" i="3" s="1"/>
  <c r="J5" i="3" s="1"/>
  <c r="H4" i="3"/>
  <c r="I4" i="3" s="1"/>
  <c r="H18" i="3"/>
  <c r="I18" i="3" s="1"/>
  <c r="J18" i="3" s="1"/>
  <c r="H20" i="3"/>
  <c r="I20" i="3" s="1"/>
  <c r="J20" i="3" s="1"/>
  <c r="H24" i="3"/>
  <c r="I24" i="3" s="1"/>
  <c r="H16" i="3"/>
  <c r="I16" i="3" s="1"/>
  <c r="H9" i="3"/>
  <c r="I9" i="3" s="1"/>
  <c r="J9" i="3" s="1"/>
  <c r="H6" i="3"/>
  <c r="I6" i="3" s="1"/>
  <c r="J6" i="3" s="1"/>
  <c r="H8" i="3"/>
  <c r="I8" i="3" s="1"/>
  <c r="J8" i="3" s="1"/>
  <c r="F11" i="3"/>
  <c r="G11" i="3" s="1"/>
  <c r="F12" i="3"/>
  <c r="G12" i="3" s="1"/>
  <c r="K20" i="3" l="1"/>
  <c r="L24" i="3"/>
  <c r="K24" i="3"/>
  <c r="J24" i="3"/>
  <c r="R4" i="3"/>
  <c r="J16" i="3"/>
  <c r="L23" i="3"/>
  <c r="J23" i="3"/>
  <c r="K23" i="3"/>
  <c r="K22" i="3"/>
  <c r="L22" i="3"/>
  <c r="J22" i="3"/>
  <c r="J21" i="3"/>
  <c r="L21" i="3"/>
  <c r="K21" i="3"/>
  <c r="L20" i="3"/>
  <c r="J19" i="3"/>
  <c r="K19" i="3"/>
  <c r="L19" i="3"/>
  <c r="R19" i="3" s="1"/>
  <c r="L18" i="3"/>
  <c r="K18" i="3"/>
  <c r="Q16" i="3" s="1"/>
  <c r="J17" i="3"/>
  <c r="L17" i="3"/>
  <c r="K17" i="3"/>
  <c r="H12" i="3"/>
  <c r="I12" i="3" s="1"/>
  <c r="J12" i="3" s="1"/>
  <c r="H11" i="3"/>
  <c r="I11" i="3" s="1"/>
  <c r="J11" i="3" s="1"/>
  <c r="K16" i="3"/>
  <c r="P19" i="3"/>
  <c r="R7" i="3"/>
  <c r="B31" i="2"/>
  <c r="B28" i="2"/>
  <c r="B29" i="2"/>
  <c r="B30" i="2"/>
  <c r="B27" i="2"/>
  <c r="P30" i="2"/>
  <c r="Q30" i="2" s="1"/>
  <c r="P29" i="2"/>
  <c r="Q29" i="2" s="1"/>
  <c r="P28" i="2"/>
  <c r="Q28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G5" i="2"/>
  <c r="H5" i="2" s="1"/>
  <c r="G4" i="2"/>
  <c r="H4" i="2" s="1"/>
  <c r="G3" i="2"/>
  <c r="H3" i="2" s="1"/>
  <c r="R16" i="3" l="1"/>
  <c r="R22" i="3"/>
  <c r="Q22" i="3"/>
  <c r="P16" i="3"/>
  <c r="Q19" i="3"/>
  <c r="P22" i="3"/>
  <c r="Q10" i="3"/>
  <c r="P10" i="3"/>
  <c r="P7" i="3"/>
  <c r="Q7" i="3"/>
  <c r="P4" i="3"/>
  <c r="Q4" i="3"/>
  <c r="I23" i="2"/>
  <c r="J23" i="2" s="1"/>
  <c r="I22" i="2"/>
  <c r="J22" i="2" s="1"/>
  <c r="I21" i="2"/>
  <c r="J21" i="2" s="1"/>
  <c r="I20" i="2"/>
  <c r="J20" i="2" s="1"/>
  <c r="I19" i="2"/>
  <c r="J19" i="2" s="1"/>
  <c r="I18" i="2"/>
  <c r="J18" i="2" s="1"/>
  <c r="I17" i="2"/>
  <c r="J17" i="2" s="1"/>
  <c r="I16" i="2"/>
  <c r="J16" i="2" s="1"/>
  <c r="I15" i="2"/>
  <c r="J15" i="2" s="1"/>
  <c r="I10" i="2"/>
  <c r="J10" i="2" s="1"/>
  <c r="I9" i="2"/>
  <c r="J9" i="2" s="1"/>
  <c r="I8" i="2"/>
  <c r="J8" i="2" s="1"/>
  <c r="I6" i="2"/>
  <c r="J6" i="2" s="1"/>
  <c r="I5" i="2"/>
  <c r="J5" i="2" s="1"/>
  <c r="I4" i="2"/>
  <c r="J4" i="2" s="1"/>
  <c r="I3" i="2"/>
  <c r="J3" i="2" s="1"/>
  <c r="R29" i="2"/>
  <c r="S29" i="2" s="1"/>
  <c r="I7" i="2"/>
  <c r="J7" i="2" s="1"/>
  <c r="I11" i="2"/>
  <c r="J11" i="2" s="1"/>
  <c r="R30" i="2"/>
  <c r="S30" i="2" s="1"/>
  <c r="R28" i="2"/>
  <c r="S28" i="2" s="1"/>
  <c r="K17" i="2" s="1"/>
  <c r="K15" i="2" l="1"/>
  <c r="K3" i="2"/>
  <c r="L17" i="2"/>
  <c r="K16" i="2"/>
  <c r="L16" i="2" s="1"/>
  <c r="K4" i="2"/>
  <c r="L4" i="2" s="1"/>
  <c r="K5" i="2"/>
  <c r="L5" i="2" s="1"/>
  <c r="L9" i="2"/>
  <c r="M9" i="2" s="1"/>
  <c r="L15" i="2"/>
  <c r="M15" i="2" s="1"/>
  <c r="K23" i="2"/>
  <c r="L23" i="2" s="1"/>
  <c r="M23" i="2" s="1"/>
  <c r="K10" i="2"/>
  <c r="L10" i="2" s="1"/>
  <c r="K11" i="2"/>
  <c r="L11" i="2" s="1"/>
  <c r="K9" i="2"/>
  <c r="K22" i="2"/>
  <c r="L22" i="2" s="1"/>
  <c r="N22" i="2" s="1"/>
  <c r="K21" i="2"/>
  <c r="L21" i="2" s="1"/>
  <c r="K18" i="2"/>
  <c r="L18" i="2" s="1"/>
  <c r="K7" i="2"/>
  <c r="L7" i="2" s="1"/>
  <c r="K6" i="2"/>
  <c r="L6" i="2" s="1"/>
  <c r="O6" i="2" s="1"/>
  <c r="K20" i="2"/>
  <c r="L20" i="2" s="1"/>
  <c r="K8" i="2"/>
  <c r="L8" i="2" s="1"/>
  <c r="K19" i="2"/>
  <c r="L19" i="2" s="1"/>
  <c r="M19" i="2" s="1"/>
  <c r="R10" i="3"/>
  <c r="N3" i="2" l="1"/>
  <c r="M8" i="2"/>
  <c r="N8" i="2"/>
  <c r="O8" i="2"/>
  <c r="M4" i="2"/>
  <c r="S3" i="2" s="1"/>
  <c r="N4" i="2"/>
  <c r="M22" i="2"/>
  <c r="O22" i="2"/>
  <c r="M17" i="2"/>
  <c r="O17" i="2"/>
  <c r="N17" i="2"/>
  <c r="N11" i="2"/>
  <c r="O11" i="2"/>
  <c r="M11" i="2"/>
  <c r="N20" i="2"/>
  <c r="O20" i="2"/>
  <c r="M20" i="2"/>
  <c r="M18" i="2"/>
  <c r="N18" i="2"/>
  <c r="T18" i="2" s="1"/>
  <c r="O18" i="2"/>
  <c r="N5" i="2"/>
  <c r="O5" i="2"/>
  <c r="M5" i="2"/>
  <c r="M21" i="2"/>
  <c r="N21" i="2"/>
  <c r="O21" i="2"/>
  <c r="M16" i="2"/>
  <c r="N16" i="2"/>
  <c r="O16" i="2"/>
  <c r="O10" i="2"/>
  <c r="M10" i="2"/>
  <c r="S9" i="2" s="1"/>
  <c r="N10" i="2"/>
  <c r="N9" i="2"/>
  <c r="N7" i="2"/>
  <c r="O7" i="2"/>
  <c r="O9" i="2"/>
  <c r="N6" i="2"/>
  <c r="N19" i="2"/>
  <c r="O23" i="2"/>
  <c r="M6" i="2"/>
  <c r="N23" i="2"/>
  <c r="O15" i="2"/>
  <c r="U15" i="2" s="1"/>
  <c r="U3" i="2"/>
  <c r="M7" i="2"/>
  <c r="N15" i="2"/>
  <c r="O19" i="2"/>
  <c r="U18" i="2" l="1"/>
  <c r="U21" i="2"/>
  <c r="U6" i="2"/>
  <c r="U9" i="2"/>
  <c r="S15" i="2"/>
  <c r="T9" i="2"/>
  <c r="T6" i="2"/>
  <c r="T3" i="2"/>
  <c r="S6" i="2"/>
  <c r="S18" i="2"/>
  <c r="S21" i="2"/>
  <c r="T21" i="2"/>
  <c r="T15" i="2"/>
</calcChain>
</file>

<file path=xl/sharedStrings.xml><?xml version="1.0" encoding="utf-8"?>
<sst xmlns="http://schemas.openxmlformats.org/spreadsheetml/2006/main" count="237" uniqueCount="107">
  <si>
    <t>№</t>
  </si>
  <si>
    <t>Сырая масса корней</t>
  </si>
  <si>
    <t>Сухая масса корней</t>
  </si>
  <si>
    <t>Сырая масса побегов</t>
  </si>
  <si>
    <t>Сухая масса побегов</t>
  </si>
  <si>
    <t>Оводненность корней</t>
  </si>
  <si>
    <t>Сухая масса клеточной стенки</t>
  </si>
  <si>
    <t>FW корня</t>
  </si>
  <si>
    <t>DW корня</t>
  </si>
  <si>
    <t>FW побега</t>
  </si>
  <si>
    <t>DW побега</t>
  </si>
  <si>
    <r>
      <t>10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-5 </t>
    </r>
    <r>
      <rPr>
        <sz val="11"/>
        <color theme="1"/>
        <rFont val="Calibri"/>
        <family val="2"/>
        <charset val="204"/>
        <scheme val="minor"/>
      </rPr>
      <t>1</t>
    </r>
  </si>
  <si>
    <r>
      <t>10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-5 </t>
    </r>
    <r>
      <rPr>
        <sz val="11"/>
        <color theme="1"/>
        <rFont val="Calibri"/>
        <family val="2"/>
        <charset val="204"/>
        <scheme val="minor"/>
      </rPr>
      <t>2</t>
    </r>
  </si>
  <si>
    <r>
      <t>10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-5 </t>
    </r>
    <r>
      <rPr>
        <sz val="11"/>
        <color theme="1"/>
        <rFont val="Calibri"/>
        <family val="2"/>
        <charset val="204"/>
        <scheme val="minor"/>
      </rPr>
      <t>3</t>
    </r>
  </si>
  <si>
    <t>Сорбция</t>
  </si>
  <si>
    <t>V общ</t>
  </si>
  <si>
    <t>Vал.</t>
  </si>
  <si>
    <t>D600 1</t>
  </si>
  <si>
    <t>D600 2</t>
  </si>
  <si>
    <t>D600 Ср</t>
  </si>
  <si>
    <t>мкг/мл</t>
  </si>
  <si>
    <t>мкмоль/мл</t>
  </si>
  <si>
    <t>мкмоль общ</t>
  </si>
  <si>
    <t>мкмоль общ. Ис. Р-ры</t>
  </si>
  <si>
    <t>Разница исх. - посл. Сорбц</t>
  </si>
  <si>
    <t>Сорбция на г сырой массы</t>
  </si>
  <si>
    <t>Сорбция на г сухой массы</t>
  </si>
  <si>
    <t>Сорбция на г сухой массы стенки</t>
  </si>
  <si>
    <t>Средняя сорбция на грамм FW</t>
  </si>
  <si>
    <t>Средняя сорбция на грамм DW</t>
  </si>
  <si>
    <t>Средняя сорбция на грамм DW кл. ст.</t>
  </si>
  <si>
    <t>pH</t>
  </si>
  <si>
    <t>ИСХОДНЫЕ ДЛЯ КОРНЕЙ И ПОБЕГОВ</t>
  </si>
  <si>
    <t>Сухая масса клеточной побегов</t>
  </si>
  <si>
    <t>Оводненность побегов</t>
  </si>
  <si>
    <t>Калибровка L=10</t>
  </si>
  <si>
    <t>Десорбция на г сырой массы</t>
  </si>
  <si>
    <t>Десорбция на г сухой массы</t>
  </si>
  <si>
    <t>Десорбция на г сухой массы стенки</t>
  </si>
  <si>
    <r>
      <t xml:space="preserve">ДЕСОРБЦИЯ КС </t>
    </r>
    <r>
      <rPr>
        <b/>
        <sz val="20"/>
        <color theme="1"/>
        <rFont val="Times New Roman"/>
        <family val="1"/>
        <charset val="204"/>
      </rPr>
      <t>ПОБЕГОВ</t>
    </r>
    <r>
      <rPr>
        <sz val="20"/>
        <color theme="1"/>
        <rFont val="Times New Roman"/>
        <family val="1"/>
        <charset val="204"/>
      </rPr>
      <t xml:space="preserve"> 9 раст 10 дней</t>
    </r>
  </si>
  <si>
    <r>
      <t xml:space="preserve">ДЕСОРБЦИЯ КС </t>
    </r>
    <r>
      <rPr>
        <b/>
        <sz val="20"/>
        <color theme="1"/>
        <rFont val="Times New Roman"/>
        <family val="1"/>
        <charset val="204"/>
      </rPr>
      <t>КОРНЕЙ</t>
    </r>
    <r>
      <rPr>
        <sz val="20"/>
        <color theme="1"/>
        <rFont val="Times New Roman"/>
        <family val="1"/>
        <charset val="204"/>
      </rPr>
      <t xml:space="preserve"> 9 раст 10 дней</t>
    </r>
  </si>
  <si>
    <r>
      <t xml:space="preserve">СОРБЦИЯ КС </t>
    </r>
    <r>
      <rPr>
        <b/>
        <sz val="20"/>
        <color theme="1"/>
        <rFont val="Times New Roman"/>
        <family val="1"/>
        <charset val="204"/>
      </rPr>
      <t>КОРНЕЙ</t>
    </r>
    <r>
      <rPr>
        <sz val="20"/>
        <color theme="1"/>
        <rFont val="Times New Roman"/>
        <family val="1"/>
        <charset val="204"/>
      </rPr>
      <t xml:space="preserve"> 9 раст 10 дней</t>
    </r>
  </si>
  <si>
    <r>
      <t xml:space="preserve">СОРБЦИЯ КС </t>
    </r>
    <r>
      <rPr>
        <b/>
        <sz val="20"/>
        <color theme="1"/>
        <rFont val="Times New Roman"/>
        <family val="1"/>
        <charset val="204"/>
      </rPr>
      <t>ПОБЕГОВ 9 раст</t>
    </r>
    <r>
      <rPr>
        <sz val="20"/>
        <color theme="1"/>
        <rFont val="Times New Roman"/>
        <family val="1"/>
        <charset val="204"/>
      </rPr>
      <t xml:space="preserve"> 10 дней</t>
    </r>
  </si>
  <si>
    <t>Масса растений 9 растений 10 дней</t>
  </si>
  <si>
    <r>
      <t>Gln 1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1</t>
    </r>
  </si>
  <si>
    <r>
      <t>Gln 1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2</t>
    </r>
  </si>
  <si>
    <r>
      <t>Gln 1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3</t>
    </r>
  </si>
  <si>
    <r>
      <t>Gln 5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1</t>
    </r>
  </si>
  <si>
    <r>
      <t>Gln 5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2</t>
    </r>
  </si>
  <si>
    <r>
      <t>Gln 5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3</t>
    </r>
  </si>
  <si>
    <t>10-5 1</t>
  </si>
  <si>
    <t>10-5 2</t>
  </si>
  <si>
    <t>10-5 3</t>
  </si>
  <si>
    <t>Gln 1 1</t>
  </si>
  <si>
    <t>Gln 1 2</t>
  </si>
  <si>
    <t>Gln 1 3</t>
  </si>
  <si>
    <t>Gln 5 1</t>
  </si>
  <si>
    <t>Gln 5 2</t>
  </si>
  <si>
    <t>Gln 5 3</t>
  </si>
  <si>
    <t>КАЛИБРОВКА</t>
  </si>
  <si>
    <t>Gln 1</t>
  </si>
  <si>
    <t>Gln 5</t>
  </si>
  <si>
    <t>10 мкМ</t>
  </si>
  <si>
    <t>Оводн. 2</t>
  </si>
  <si>
    <t>Оводн. 3</t>
  </si>
  <si>
    <t>Оводн. 1</t>
  </si>
  <si>
    <r>
      <t>5*10</t>
    </r>
    <r>
      <rPr>
        <vertAlign val="superscript"/>
        <sz val="11"/>
        <color theme="1"/>
        <rFont val="Calibri"/>
        <family val="2"/>
        <charset val="204"/>
        <scheme val="minor"/>
      </rPr>
      <t>-5</t>
    </r>
    <r>
      <rPr>
        <sz val="11"/>
        <color theme="1"/>
        <rFont val="Calibri"/>
        <family val="2"/>
        <scheme val="minor"/>
      </rPr>
      <t xml:space="preserve"> + Gln 5 1</t>
    </r>
  </si>
  <si>
    <r>
      <t>5*10</t>
    </r>
    <r>
      <rPr>
        <vertAlign val="superscript"/>
        <sz val="11"/>
        <color theme="1"/>
        <rFont val="Calibri"/>
        <family val="2"/>
        <charset val="204"/>
        <scheme val="minor"/>
      </rPr>
      <t>-5</t>
    </r>
    <r>
      <rPr>
        <sz val="11"/>
        <color theme="1"/>
        <rFont val="Calibri"/>
        <family val="2"/>
        <scheme val="minor"/>
      </rPr>
      <t xml:space="preserve"> + Gln 5 2</t>
    </r>
    <r>
      <rPr>
        <sz val="11"/>
        <color theme="1"/>
        <rFont val="Calibri"/>
        <family val="2"/>
        <charset val="204"/>
        <scheme val="minor"/>
      </rPr>
      <t/>
    </r>
  </si>
  <si>
    <r>
      <t>5*10</t>
    </r>
    <r>
      <rPr>
        <vertAlign val="superscript"/>
        <sz val="11"/>
        <color theme="1"/>
        <rFont val="Calibri"/>
        <family val="2"/>
        <charset val="204"/>
        <scheme val="minor"/>
      </rPr>
      <t>-5</t>
    </r>
    <r>
      <rPr>
        <sz val="11"/>
        <color theme="1"/>
        <rFont val="Calibri"/>
        <family val="2"/>
        <scheme val="minor"/>
      </rPr>
      <t xml:space="preserve"> + Gln 5 3</t>
    </r>
    <r>
      <rPr>
        <sz val="11"/>
        <color theme="1"/>
        <rFont val="Calibri"/>
        <family val="2"/>
        <charset val="204"/>
        <scheme val="minor"/>
      </rPr>
      <t/>
    </r>
  </si>
  <si>
    <t>Озоление</t>
  </si>
  <si>
    <t>Массовая доля КС кор</t>
  </si>
  <si>
    <t>Массовая доля КС поб.</t>
  </si>
  <si>
    <t>DW_KC_кор</t>
  </si>
  <si>
    <t>DW_KC_поб</t>
  </si>
  <si>
    <t>Ср. оводн. Контр. Корн.</t>
  </si>
  <si>
    <t>Ср. оводн. Контр. Поб.</t>
  </si>
  <si>
    <t>Концентрация меди на г сырой массы корня</t>
  </si>
  <si>
    <t>Концентрация меди на г сухой массы корня</t>
  </si>
  <si>
    <t>Среднее поглощение на грамм сырой массы корня</t>
  </si>
  <si>
    <t>Среднее поглощение на грамм сухой массы корня</t>
  </si>
  <si>
    <t>Контроль 1</t>
  </si>
  <si>
    <t>Контроль 2</t>
  </si>
  <si>
    <t>Контроль 3</t>
  </si>
  <si>
    <r>
      <t>CuCl</t>
    </r>
    <r>
      <rPr>
        <vertAlign val="subscript"/>
        <sz val="16"/>
        <color theme="1"/>
        <rFont val="Times New Roman"/>
        <family val="1"/>
        <charset val="204"/>
      </rPr>
      <t>2</t>
    </r>
    <r>
      <rPr>
        <sz val="16"/>
        <color theme="1"/>
        <rFont val="Times New Roman"/>
        <family val="1"/>
        <charset val="204"/>
      </rPr>
      <t xml:space="preserve"> 10 1</t>
    </r>
  </si>
  <si>
    <r>
      <t>CuCl</t>
    </r>
    <r>
      <rPr>
        <vertAlign val="subscript"/>
        <sz val="16"/>
        <color theme="1"/>
        <rFont val="Times New Roman"/>
        <family val="1"/>
        <charset val="204"/>
      </rPr>
      <t>2</t>
    </r>
    <r>
      <rPr>
        <sz val="16"/>
        <color theme="1"/>
        <rFont val="Times New Roman"/>
        <family val="1"/>
        <charset val="204"/>
      </rPr>
      <t xml:space="preserve"> 10 2</t>
    </r>
    <r>
      <rPr>
        <sz val="11"/>
        <color theme="1"/>
        <rFont val="Calibri"/>
        <family val="2"/>
        <charset val="204"/>
        <scheme val="minor"/>
      </rPr>
      <t/>
    </r>
  </si>
  <si>
    <r>
      <t>CuCl</t>
    </r>
    <r>
      <rPr>
        <vertAlign val="subscript"/>
        <sz val="16"/>
        <color theme="1"/>
        <rFont val="Times New Roman"/>
        <family val="1"/>
        <charset val="204"/>
      </rPr>
      <t>2</t>
    </r>
    <r>
      <rPr>
        <sz val="16"/>
        <color theme="1"/>
        <rFont val="Times New Roman"/>
        <family val="1"/>
        <charset val="204"/>
      </rPr>
      <t xml:space="preserve"> 10 3</t>
    </r>
    <r>
      <rPr>
        <sz val="11"/>
        <color theme="1"/>
        <rFont val="Calibri"/>
        <family val="2"/>
        <charset val="204"/>
        <scheme val="minor"/>
      </rPr>
      <t/>
    </r>
  </si>
  <si>
    <t>Глу 1 1</t>
  </si>
  <si>
    <t>Глу 1 2</t>
  </si>
  <si>
    <t>Глу 1 3</t>
  </si>
  <si>
    <t>Глу 5 1</t>
  </si>
  <si>
    <t>Глу 5 2</t>
  </si>
  <si>
    <t>Глу 5 3</t>
  </si>
  <si>
    <t>ОЗОЛЕНИЕ КОРНЕЙ</t>
  </si>
  <si>
    <t>Калибровка L=30</t>
  </si>
  <si>
    <t>50мкМ меди+ Глу 5 1</t>
  </si>
  <si>
    <t>50мкМ меди+ Глу 5 2</t>
  </si>
  <si>
    <t>50мкМ меди+ Глу 5 3</t>
  </si>
  <si>
    <t>1(6)</t>
  </si>
  <si>
    <t>1(7)</t>
  </si>
  <si>
    <t>ОЗОЛЕНИЕ побегов</t>
  </si>
  <si>
    <t>Концентрация меди на г сырой массы побега</t>
  </si>
  <si>
    <t>Концентрация меди на г сухой массы побега</t>
  </si>
  <si>
    <t>Сырая масса побега</t>
  </si>
  <si>
    <t>Сухая масса побега</t>
  </si>
  <si>
    <t>Среднее поглощение на грамм сырой массы побега</t>
  </si>
  <si>
    <t>Среднее поглощение на грамм сухой массы побега</t>
  </si>
  <si>
    <t>Калибровка L=50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</si>
</sst>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20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vertAlign val="subscript"/>
      <sz val="16"/>
      <color theme="1"/>
      <name val="Times New Roman"/>
      <family val="1"/>
      <charset val="204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/>
    <xf numFmtId="0" fontId="2" fillId="0" borderId="0" xfId="0" applyFont="1"/>
    <xf numFmtId="164" fontId="2" fillId="0" borderId="1" xfId="0" applyNumberFormat="1" applyFont="1" applyBorder="1" applyAlignment="1">
      <alignment wrapText="1"/>
    </xf>
    <xf numFmtId="164" fontId="2" fillId="0" borderId="2" xfId="0" applyNumberFormat="1" applyFont="1" applyBorder="1" applyAlignment="1">
      <alignment wrapText="1"/>
    </xf>
    <xf numFmtId="1" fontId="2" fillId="0" borderId="1" xfId="0" applyNumberFormat="1" applyFont="1" applyBorder="1" applyAlignment="1">
      <alignment wrapText="1"/>
    </xf>
    <xf numFmtId="165" fontId="2" fillId="0" borderId="1" xfId="0" applyNumberFormat="1" applyFont="1" applyBorder="1" applyAlignment="1">
      <alignment wrapText="1"/>
    </xf>
    <xf numFmtId="0" fontId="2" fillId="0" borderId="0" xfId="0" applyFont="1" applyFill="1" applyBorder="1"/>
    <xf numFmtId="16" fontId="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2" fontId="2" fillId="0" borderId="1" xfId="0" applyNumberFormat="1" applyFont="1" applyBorder="1" applyAlignment="1">
      <alignment wrapText="1"/>
    </xf>
    <xf numFmtId="0" fontId="2" fillId="0" borderId="0" xfId="0" applyFont="1" applyBorder="1"/>
    <xf numFmtId="0" fontId="2" fillId="0" borderId="1" xfId="0" applyFont="1" applyBorder="1" applyAlignment="1">
      <alignment wrapText="1"/>
    </xf>
    <xf numFmtId="165" fontId="0" fillId="0" borderId="0" xfId="0" applyNumberFormat="1"/>
    <xf numFmtId="165" fontId="2" fillId="0" borderId="0" xfId="0" applyNumberFormat="1" applyFont="1" applyFill="1" applyBorder="1" applyAlignment="1">
      <alignment wrapText="1"/>
    </xf>
    <xf numFmtId="0" fontId="0" fillId="0" borderId="0" xfId="0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4" fontId="2" fillId="0" borderId="3" xfId="0" applyNumberFormat="1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64" fontId="2" fillId="0" borderId="4" xfId="0" applyNumberFormat="1" applyFont="1" applyBorder="1" applyAlignment="1">
      <alignment horizontal="center" wrapText="1"/>
    </xf>
    <xf numFmtId="0" fontId="8" fillId="0" borderId="5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'Сорбция по растворам'!$A$26</c:f>
              <c:strCache>
                <c:ptCount val="1"/>
                <c:pt idx="0">
                  <c:v>КАЛИБРОВКА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3661113630724644E-2"/>
                  <c:y val="-0.192770089380723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'Сорбция по растворам'!$C$27:$C$31</c:f>
              <c:numCache>
                <c:formatCode>General</c:formatCode>
                <c:ptCount val="5"/>
                <c:pt idx="0">
                  <c:v>4.2999999999999997E-2</c:v>
                </c:pt>
                <c:pt idx="1">
                  <c:v>8.5000000000000006E-2</c:v>
                </c:pt>
                <c:pt idx="2">
                  <c:v>0.13800000000000001</c:v>
                </c:pt>
                <c:pt idx="3">
                  <c:v>0.183</c:v>
                </c:pt>
                <c:pt idx="4">
                  <c:v>0.23499999999999999</c:v>
                </c:pt>
              </c:numCache>
            </c:numRef>
          </c:xVal>
          <c:yVal>
            <c:numRef>
              <c:f>'Сорбция по растворам'!$B$27:$B$31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B6-4547-A14E-FF40829B6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58464"/>
        <c:axId val="247466368"/>
      </c:scatterChart>
      <c:valAx>
        <c:axId val="24745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466368"/>
        <c:crosses val="autoZero"/>
        <c:crossBetween val="midCat"/>
      </c:valAx>
      <c:valAx>
        <c:axId val="24746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4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КС корней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'Сорбция по растворам'!$A$3:$A$11</c:f>
              <c:strCache>
                <c:ptCount val="9"/>
                <c:pt idx="0">
                  <c:v>10-5 1</c:v>
                </c:pt>
                <c:pt idx="1">
                  <c:v>10-5 2</c:v>
                </c:pt>
                <c:pt idx="2">
                  <c:v>10-5 3</c:v>
                </c:pt>
                <c:pt idx="3">
                  <c:v>Gln 1 1</c:v>
                </c:pt>
                <c:pt idx="4">
                  <c:v>Gln 1 2</c:v>
                </c:pt>
                <c:pt idx="5">
                  <c:v>Gln 1 3</c:v>
                </c:pt>
                <c:pt idx="6">
                  <c:v>Gln 5 1</c:v>
                </c:pt>
                <c:pt idx="7">
                  <c:v>Gln 5 2</c:v>
                </c:pt>
                <c:pt idx="8">
                  <c:v>Gln 5 3</c:v>
                </c:pt>
              </c:strCache>
            </c:strRef>
          </c:cat>
          <c:val>
            <c:numRef>
              <c:f>'Сорбция по растворам'!$N$3:$N$11</c:f>
              <c:numCache>
                <c:formatCode>0.0000</c:formatCode>
                <c:ptCount val="9"/>
                <c:pt idx="0">
                  <c:v>15.090736211719081</c:v>
                </c:pt>
                <c:pt idx="1">
                  <c:v>14.41006241792361</c:v>
                </c:pt>
                <c:pt idx="2">
                  <c:v>12.613982082439588</c:v>
                </c:pt>
                <c:pt idx="3">
                  <c:v>14.812809627747486</c:v>
                </c:pt>
                <c:pt idx="4">
                  <c:v>15.433561596473094</c:v>
                </c:pt>
                <c:pt idx="5">
                  <c:v>15.236740726755084</c:v>
                </c:pt>
                <c:pt idx="6">
                  <c:v>15.948336336058983</c:v>
                </c:pt>
                <c:pt idx="7">
                  <c:v>16.105503940775346</c:v>
                </c:pt>
                <c:pt idx="8">
                  <c:v>15.668529903446933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D6-4C17-AAF1-60790DFAC4A3}"/>
            </c:ext>
          </c:extLst>
        </c:ser>
        <c:ser>
          <c:idx val="1"/>
          <c:order val="1"/>
          <c:tx>
            <c:v>КС побегов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'Сорбция по растворам'!$A$3:$A$11</c:f>
              <c:strCache>
                <c:ptCount val="9"/>
                <c:pt idx="0">
                  <c:v>10-5 1</c:v>
                </c:pt>
                <c:pt idx="1">
                  <c:v>10-5 2</c:v>
                </c:pt>
                <c:pt idx="2">
                  <c:v>10-5 3</c:v>
                </c:pt>
                <c:pt idx="3">
                  <c:v>Gln 1 1</c:v>
                </c:pt>
                <c:pt idx="4">
                  <c:v>Gln 1 2</c:v>
                </c:pt>
                <c:pt idx="5">
                  <c:v>Gln 1 3</c:v>
                </c:pt>
                <c:pt idx="6">
                  <c:v>Gln 5 1</c:v>
                </c:pt>
                <c:pt idx="7">
                  <c:v>Gln 5 2</c:v>
                </c:pt>
                <c:pt idx="8">
                  <c:v>Gln 5 3</c:v>
                </c:pt>
              </c:strCache>
            </c:strRef>
          </c:cat>
          <c:val>
            <c:numRef>
              <c:f>'Сорбция по растворам'!$N$15:$N$23</c:f>
              <c:numCache>
                <c:formatCode>0.0000</c:formatCode>
                <c:ptCount val="9"/>
                <c:pt idx="0">
                  <c:v>6.1807157808919273</c:v>
                </c:pt>
                <c:pt idx="1">
                  <c:v>5.8919142732516265</c:v>
                </c:pt>
                <c:pt idx="2">
                  <c:v>5.563320313530653</c:v>
                </c:pt>
                <c:pt idx="3">
                  <c:v>6.2676477307996086</c:v>
                </c:pt>
                <c:pt idx="4">
                  <c:v>6.1727074961172885</c:v>
                </c:pt>
                <c:pt idx="5">
                  <c:v>5.8151406718321859</c:v>
                </c:pt>
                <c:pt idx="6">
                  <c:v>5.8884485200147809</c:v>
                </c:pt>
                <c:pt idx="7">
                  <c:v>6.1705086753271488</c:v>
                </c:pt>
                <c:pt idx="8">
                  <c:v>5.803241329967725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D6-4C17-AAF1-60790DFAC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7946448"/>
        <c:axId val="397910256"/>
      </c:barChart>
      <c:catAx>
        <c:axId val="39794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7910256"/>
        <c:crosses val="autoZero"/>
        <c:auto val="1"/>
        <c:lblAlgn val="ctr"/>
        <c:lblOffset val="100"/>
        <c:noMultiLvlLbl val="0"/>
      </c:catAx>
      <c:valAx>
        <c:axId val="39791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794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Десорбция корни (на DW)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Десорбция!$A$4:$A$12</c:f>
              <c:strCache>
                <c:ptCount val="9"/>
                <c:pt idx="0">
                  <c:v>10-5 1</c:v>
                </c:pt>
                <c:pt idx="1">
                  <c:v>10-5 2</c:v>
                </c:pt>
                <c:pt idx="2">
                  <c:v>10-5 3</c:v>
                </c:pt>
                <c:pt idx="3">
                  <c:v>Gln 1 1</c:v>
                </c:pt>
                <c:pt idx="4">
                  <c:v>Gln 1 2</c:v>
                </c:pt>
                <c:pt idx="5">
                  <c:v>Gln 1 3</c:v>
                </c:pt>
                <c:pt idx="6">
                  <c:v>Gln 5 1</c:v>
                </c:pt>
                <c:pt idx="7">
                  <c:v>Gln 5 2</c:v>
                </c:pt>
                <c:pt idx="8">
                  <c:v>Gln 5 3</c:v>
                </c:pt>
              </c:strCache>
            </c:strRef>
          </c:cat>
          <c:val>
            <c:numRef>
              <c:f>Десорбция!$K$4:$K$12</c:f>
              <c:numCache>
                <c:formatCode>0.0000</c:formatCode>
                <c:ptCount val="9"/>
                <c:pt idx="0">
                  <c:v>14.441116670934521</c:v>
                </c:pt>
                <c:pt idx="1">
                  <c:v>14.218377540550371</c:v>
                </c:pt>
                <c:pt idx="2">
                  <c:v>11.982843405057267</c:v>
                </c:pt>
                <c:pt idx="3">
                  <c:v>13.532906929812983</c:v>
                </c:pt>
                <c:pt idx="4">
                  <c:v>14.02612606603225</c:v>
                </c:pt>
                <c:pt idx="5">
                  <c:v>13.96979458155233</c:v>
                </c:pt>
                <c:pt idx="6">
                  <c:v>13.77153390821252</c:v>
                </c:pt>
                <c:pt idx="7">
                  <c:v>14.517561587433839</c:v>
                </c:pt>
                <c:pt idx="8">
                  <c:v>13.594327993977794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B-4A0E-9239-66F5E341CC72}"/>
            </c:ext>
          </c:extLst>
        </c:ser>
        <c:ser>
          <c:idx val="1"/>
          <c:order val="1"/>
          <c:tx>
            <c:v>Десорбция побеги (на DW)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Десорбция!$A$4:$A$12</c:f>
              <c:strCache>
                <c:ptCount val="9"/>
                <c:pt idx="0">
                  <c:v>10-5 1</c:v>
                </c:pt>
                <c:pt idx="1">
                  <c:v>10-5 2</c:v>
                </c:pt>
                <c:pt idx="2">
                  <c:v>10-5 3</c:v>
                </c:pt>
                <c:pt idx="3">
                  <c:v>Gln 1 1</c:v>
                </c:pt>
                <c:pt idx="4">
                  <c:v>Gln 1 2</c:v>
                </c:pt>
                <c:pt idx="5">
                  <c:v>Gln 1 3</c:v>
                </c:pt>
                <c:pt idx="6">
                  <c:v>Gln 5 1</c:v>
                </c:pt>
                <c:pt idx="7">
                  <c:v>Gln 5 2</c:v>
                </c:pt>
                <c:pt idx="8">
                  <c:v>Gln 5 3</c:v>
                </c:pt>
              </c:strCache>
            </c:strRef>
          </c:cat>
          <c:val>
            <c:numRef>
              <c:f>Десорбция!$K$16:$K$24</c:f>
              <c:numCache>
                <c:formatCode>0.0000</c:formatCode>
                <c:ptCount val="9"/>
                <c:pt idx="0">
                  <c:v>5.320091287162148</c:v>
                </c:pt>
                <c:pt idx="1">
                  <c:v>4.9217085979293005</c:v>
                </c:pt>
                <c:pt idx="2">
                  <c:v>4.4872656742106534</c:v>
                </c:pt>
                <c:pt idx="3">
                  <c:v>4.9090093828462793</c:v>
                </c:pt>
                <c:pt idx="4">
                  <c:v>4.4606380282061702</c:v>
                </c:pt>
                <c:pt idx="5">
                  <c:v>4.3070817809098818</c:v>
                </c:pt>
                <c:pt idx="6">
                  <c:v>4.4647453666388355</c:v>
                </c:pt>
                <c:pt idx="7">
                  <c:v>4.6768448690865725</c:v>
                </c:pt>
                <c:pt idx="8">
                  <c:v>4.2887516540340638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5B-4A0E-9239-66F5E341C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1059472"/>
        <c:axId val="751059888"/>
      </c:barChart>
      <c:catAx>
        <c:axId val="75105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1059888"/>
        <c:crosses val="autoZero"/>
        <c:auto val="1"/>
        <c:lblAlgn val="ctr"/>
        <c:lblOffset val="100"/>
        <c:noMultiLvlLbl val="0"/>
      </c:catAx>
      <c:valAx>
        <c:axId val="75105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105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Десорбция!$A$27</c:f>
              <c:strCache>
                <c:ptCount val="1"/>
                <c:pt idx="0">
                  <c:v>Калибровка L=10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277821522309711"/>
                  <c:y val="-0.220369276757072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Десорбция!$C$28:$C$32</c:f>
              <c:numCache>
                <c:formatCode>General</c:formatCode>
                <c:ptCount val="5"/>
                <c:pt idx="0">
                  <c:v>0.152</c:v>
                </c:pt>
                <c:pt idx="1">
                  <c:v>0.17399999999999999</c:v>
                </c:pt>
                <c:pt idx="2">
                  <c:v>0.191</c:v>
                </c:pt>
                <c:pt idx="3">
                  <c:v>0.218</c:v>
                </c:pt>
                <c:pt idx="4">
                  <c:v>0.23</c:v>
                </c:pt>
              </c:numCache>
            </c:numRef>
          </c:xVal>
          <c:yVal>
            <c:numRef>
              <c:f>Десорбция!$B$28:$B$32</c:f>
              <c:numCache>
                <c:formatCode>General</c:formatCode>
                <c:ptCount val="5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D1-4E0E-B2A1-6A1A01CD6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004063"/>
        <c:axId val="1395984927"/>
      </c:scatterChart>
      <c:valAx>
        <c:axId val="139600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984927"/>
        <c:crosses val="autoZero"/>
        <c:crossBetween val="midCat"/>
      </c:valAx>
      <c:valAx>
        <c:axId val="139598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6004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'Озоление корней'!$A$19</c:f>
              <c:strCache>
                <c:ptCount val="1"/>
                <c:pt idx="0">
                  <c:v>Калибровка L=30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411876640419944"/>
                  <c:y val="-0.179894648585593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'Озоление корней'!$C$20:$C$24</c:f>
              <c:numCache>
                <c:formatCode>General</c:formatCode>
                <c:ptCount val="5"/>
                <c:pt idx="0">
                  <c:v>4.2999999999999997E-2</c:v>
                </c:pt>
                <c:pt idx="1">
                  <c:v>7.2999999999999995E-2</c:v>
                </c:pt>
                <c:pt idx="2">
                  <c:v>0.10100000000000001</c:v>
                </c:pt>
                <c:pt idx="3">
                  <c:v>0.13200000000000001</c:v>
                </c:pt>
                <c:pt idx="4">
                  <c:v>0.161</c:v>
                </c:pt>
              </c:numCache>
            </c:numRef>
          </c:xVal>
          <c:yVal>
            <c:numRef>
              <c:f>'Озоление корней'!$B$20:$B$24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27-4BF6-A93D-3B906F5C9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915208"/>
        <c:axId val="691915536"/>
      </c:scatterChart>
      <c:valAx>
        <c:axId val="69191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1915536"/>
        <c:crosses val="autoZero"/>
        <c:crossBetween val="midCat"/>
      </c:valAx>
      <c:valAx>
        <c:axId val="6919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1915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Калибровка </a:t>
            </a:r>
            <a:r>
              <a:rPr lang="en-US"/>
              <a:t>L=50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'Озоление побегов'!$C$20:$C$24</c:f>
              <c:strCache>
                <c:ptCount val="5"/>
                <c:pt idx="0">
                  <c:v>0,03</c:v>
                </c:pt>
                <c:pt idx="1">
                  <c:v>0,081</c:v>
                </c:pt>
                <c:pt idx="2">
                  <c:v>0,125</c:v>
                </c:pt>
                <c:pt idx="3">
                  <c:v>0,179</c:v>
                </c:pt>
                <c:pt idx="4">
                  <c:v>0,225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84729181579577"/>
                  <c:y val="-0.194047098279381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'Озоление побегов'!$C$20:$C$24</c:f>
              <c:numCache>
                <c:formatCode>General</c:formatCode>
                <c:ptCount val="5"/>
                <c:pt idx="0">
                  <c:v>0.03</c:v>
                </c:pt>
                <c:pt idx="1">
                  <c:v>8.1000000000000003E-2</c:v>
                </c:pt>
                <c:pt idx="2">
                  <c:v>0.125</c:v>
                </c:pt>
                <c:pt idx="3">
                  <c:v>0.17899999999999999</c:v>
                </c:pt>
                <c:pt idx="4">
                  <c:v>0.22500000000000001</c:v>
                </c:pt>
              </c:numCache>
            </c:numRef>
          </c:xVal>
          <c:yVal>
            <c:numRef>
              <c:f>'Озоление побегов'!$B$20:$B$24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7E-495F-AB0E-3E9FE46F7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915208"/>
        <c:axId val="691915536"/>
      </c:scatterChart>
      <c:valAx>
        <c:axId val="69191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1915536"/>
        <c:crosses val="autoZero"/>
        <c:crossBetween val="midCat"/>
      </c:valAx>
      <c:valAx>
        <c:axId val="6919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1915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32</xdr:row>
      <xdr:rowOff>80962</xdr:rowOff>
    </xdr:from>
    <xdr:to>
      <xdr:col>6</xdr:col>
      <xdr:colOff>560294</xdr:colOff>
      <xdr:row>46</xdr:row>
      <xdr:rowOff>44824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713C96F-2D71-4E89-95C5-6CD4601EB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60612</xdr:colOff>
      <xdr:row>0</xdr:row>
      <xdr:rowOff>683635</xdr:rowOff>
    </xdr:from>
    <xdr:to>
      <xdr:col>34</xdr:col>
      <xdr:colOff>399183</xdr:colOff>
      <xdr:row>13</xdr:row>
      <xdr:rowOff>426894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4214CE75-2208-4EB9-A00F-7C855EB1F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371475</xdr:colOff>
      <xdr:row>2</xdr:row>
      <xdr:rowOff>747712</xdr:rowOff>
    </xdr:from>
    <xdr:to>
      <xdr:col>27</xdr:col>
      <xdr:colOff>161925</xdr:colOff>
      <xdr:row>14</xdr:row>
      <xdr:rowOff>95250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583AE69-29C8-4421-934B-498E81FA9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27</xdr:row>
      <xdr:rowOff>42862</xdr:rowOff>
    </xdr:from>
    <xdr:to>
      <xdr:col>10</xdr:col>
      <xdr:colOff>323850</xdr:colOff>
      <xdr:row>41</xdr:row>
      <xdr:rowOff>119062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BA68DB0-E9BE-4F0C-8AF5-5E8DF0725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18</xdr:row>
      <xdr:rowOff>147637</xdr:rowOff>
    </xdr:from>
    <xdr:to>
      <xdr:col>8</xdr:col>
      <xdr:colOff>28575</xdr:colOff>
      <xdr:row>32</xdr:row>
      <xdr:rowOff>157162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78C4775-83EA-4CB7-86E0-E913FF263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18</xdr:row>
      <xdr:rowOff>147637</xdr:rowOff>
    </xdr:from>
    <xdr:to>
      <xdr:col>8</xdr:col>
      <xdr:colOff>28575</xdr:colOff>
      <xdr:row>32</xdr:row>
      <xdr:rowOff>157162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F6C6FCC-5881-447C-B552-250FE67F9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zoomScale="120" zoomScaleNormal="120" workbookViewId="0">
      <selection activeCell="E16" activeCellId="1" sqref="C16:C18 E16:E18"/>
    </sheetView>
  </sheetViews>
  <sheetFormatPr defaultRowHeight="15" x14ac:dyDescent="0.25"/>
  <cols>
    <col min="1" max="1" width="9.140625" customWidth="1"/>
    <col min="2" max="2" width="11.7109375" customWidth="1"/>
    <col min="3" max="3" width="12.7109375" customWidth="1"/>
    <col min="4" max="4" width="13" customWidth="1"/>
    <col min="5" max="5" width="13.85546875" customWidth="1"/>
    <col min="6" max="6" width="22.28515625" customWidth="1"/>
    <col min="7" max="7" width="22.42578125" customWidth="1"/>
    <col min="9" max="9" width="11.140625" customWidth="1"/>
    <col min="10" max="10" width="11" customWidth="1"/>
    <col min="11" max="11" width="11.85546875" customWidth="1"/>
    <col min="12" max="12" width="12.42578125" customWidth="1"/>
    <col min="13" max="13" width="22.7109375" customWidth="1"/>
    <col min="14" max="14" width="23.140625" customWidth="1"/>
    <col min="15" max="15" width="12.140625" customWidth="1"/>
    <col min="16" max="16" width="12.28515625" customWidth="1"/>
  </cols>
  <sheetData>
    <row r="1" spans="1:16" x14ac:dyDescent="0.25">
      <c r="A1" s="16" t="s">
        <v>43</v>
      </c>
      <c r="B1" s="16"/>
      <c r="C1" s="16"/>
      <c r="D1" s="16"/>
      <c r="E1" s="16"/>
    </row>
    <row r="2" spans="1:16" x14ac:dyDescent="0.25">
      <c r="A2" s="16" t="s">
        <v>69</v>
      </c>
      <c r="B2" s="16"/>
      <c r="C2" s="16"/>
      <c r="D2" s="16"/>
      <c r="E2" s="16"/>
      <c r="F2" s="16"/>
      <c r="G2" s="16"/>
      <c r="H2" s="16" t="s">
        <v>14</v>
      </c>
      <c r="I2" s="16"/>
      <c r="J2" s="16"/>
      <c r="K2" s="16"/>
      <c r="L2" s="16"/>
      <c r="M2" s="16"/>
      <c r="N2" s="16"/>
    </row>
    <row r="3" spans="1:16" x14ac:dyDescent="0.25">
      <c r="A3" t="s">
        <v>0</v>
      </c>
      <c r="B3" t="s">
        <v>7</v>
      </c>
      <c r="C3" t="s">
        <v>9</v>
      </c>
      <c r="D3" t="s">
        <v>8</v>
      </c>
      <c r="E3" t="s">
        <v>10</v>
      </c>
      <c r="F3" t="s">
        <v>5</v>
      </c>
      <c r="G3" t="s">
        <v>34</v>
      </c>
      <c r="H3" t="s">
        <v>0</v>
      </c>
      <c r="I3" t="s">
        <v>7</v>
      </c>
      <c r="J3" t="s">
        <v>9</v>
      </c>
      <c r="K3" t="s">
        <v>8</v>
      </c>
      <c r="L3" t="s">
        <v>10</v>
      </c>
      <c r="M3" t="s">
        <v>70</v>
      </c>
      <c r="N3" t="s">
        <v>71</v>
      </c>
      <c r="O3" t="s">
        <v>72</v>
      </c>
      <c r="P3" t="s">
        <v>73</v>
      </c>
    </row>
    <row r="4" spans="1:16" ht="17.25" x14ac:dyDescent="0.25">
      <c r="A4" t="s">
        <v>11</v>
      </c>
      <c r="B4">
        <v>0.98089999999999999</v>
      </c>
      <c r="C4">
        <v>1.9542999999999999</v>
      </c>
      <c r="D4">
        <v>6.7199999999999996E-2</v>
      </c>
      <c r="E4">
        <v>0.1933</v>
      </c>
      <c r="F4">
        <f>(B4-D4)/D4</f>
        <v>13.59672619047619</v>
      </c>
      <c r="G4">
        <f>(C4-E4)/E4</f>
        <v>9.1101914123124672</v>
      </c>
      <c r="H4">
        <v>1</v>
      </c>
      <c r="I4">
        <v>1.2943</v>
      </c>
      <c r="J4">
        <v>1.9453</v>
      </c>
      <c r="K4">
        <f>I4/(1+$F$21)</f>
        <v>8.067550702596922E-2</v>
      </c>
      <c r="L4">
        <f>J4/(1+$G$21)</f>
        <v>0.19202618813306921</v>
      </c>
      <c r="M4">
        <f>O4/K4</f>
        <v>0.41648328270418244</v>
      </c>
      <c r="N4">
        <f>P4/L4</f>
        <v>0.45410472835909571</v>
      </c>
      <c r="O4">
        <v>3.3599999999999998E-2</v>
      </c>
      <c r="P4">
        <v>8.72E-2</v>
      </c>
    </row>
    <row r="5" spans="1:16" ht="17.25" x14ac:dyDescent="0.25">
      <c r="A5" t="s">
        <v>12</v>
      </c>
      <c r="B5">
        <v>1.1829000000000001</v>
      </c>
      <c r="C5">
        <v>2.0366</v>
      </c>
      <c r="D5">
        <v>7.8899999999999998E-2</v>
      </c>
      <c r="E5">
        <v>0.20660000000000001</v>
      </c>
      <c r="F5">
        <f t="shared" ref="F5:G18" si="0">(B5-D5)/D5</f>
        <v>13.99239543726236</v>
      </c>
      <c r="G5">
        <f t="shared" si="0"/>
        <v>8.8576960309777348</v>
      </c>
      <c r="H5">
        <v>2</v>
      </c>
      <c r="I5">
        <v>1.3568</v>
      </c>
      <c r="J5">
        <v>1.9101999999999999</v>
      </c>
      <c r="K5">
        <f t="shared" ref="K5:K12" si="1">I5/(1+$F$21)</f>
        <v>8.4571218367329865E-2</v>
      </c>
      <c r="L5">
        <f t="shared" ref="L5:L12" si="2">J5/(1+$G$21)</f>
        <v>0.18856136563604009</v>
      </c>
      <c r="M5">
        <f t="shared" ref="M5:M12" si="3">O5/K5</f>
        <v>0.41385237999031377</v>
      </c>
      <c r="N5">
        <f t="shared" ref="N5:N12" si="4">P5/L5</f>
        <v>0.45502428193912531</v>
      </c>
      <c r="O5">
        <v>3.5000000000000003E-2</v>
      </c>
      <c r="P5">
        <v>8.5800000000000001E-2</v>
      </c>
    </row>
    <row r="6" spans="1:16" ht="17.25" x14ac:dyDescent="0.25">
      <c r="A6" t="s">
        <v>13</v>
      </c>
      <c r="B6">
        <v>1.0508</v>
      </c>
      <c r="C6">
        <v>1.9522999999999999</v>
      </c>
      <c r="D6">
        <v>6.9599999999999995E-2</v>
      </c>
      <c r="E6">
        <v>0.19350000000000001</v>
      </c>
      <c r="F6">
        <f t="shared" si="0"/>
        <v>14.097701149425287</v>
      </c>
      <c r="G6">
        <f t="shared" si="0"/>
        <v>9.0894056847545208</v>
      </c>
      <c r="H6">
        <v>3</v>
      </c>
      <c r="I6">
        <v>1.5640000000000001</v>
      </c>
      <c r="J6">
        <v>2.1233</v>
      </c>
      <c r="K6">
        <f t="shared" si="1"/>
        <v>9.7486280606208661E-2</v>
      </c>
      <c r="L6">
        <f t="shared" si="2"/>
        <v>0.20959708284734788</v>
      </c>
      <c r="M6">
        <f t="shared" si="3"/>
        <v>0.41544307309864331</v>
      </c>
      <c r="N6">
        <f t="shared" si="4"/>
        <v>0.46708665344976091</v>
      </c>
      <c r="O6">
        <v>4.0500000000000001E-2</v>
      </c>
      <c r="P6">
        <v>9.7900000000000001E-2</v>
      </c>
    </row>
    <row r="7" spans="1:16" ht="17.25" x14ac:dyDescent="0.25">
      <c r="A7" t="s">
        <v>44</v>
      </c>
      <c r="B7">
        <v>1.3151999999999999</v>
      </c>
      <c r="C7">
        <v>2.0775000000000001</v>
      </c>
      <c r="D7">
        <v>8.4400000000000003E-2</v>
      </c>
      <c r="E7">
        <v>0.2102</v>
      </c>
      <c r="F7">
        <f t="shared" si="0"/>
        <v>14.582938388625591</v>
      </c>
      <c r="G7">
        <f t="shared" si="0"/>
        <v>8.8834443387250239</v>
      </c>
      <c r="H7">
        <v>4</v>
      </c>
      <c r="I7">
        <v>1.4551000000000001</v>
      </c>
      <c r="J7">
        <v>2.1082000000000001</v>
      </c>
      <c r="K7">
        <f t="shared" si="1"/>
        <v>9.0698393165021887E-2</v>
      </c>
      <c r="L7">
        <f t="shared" si="2"/>
        <v>0.2081065181833838</v>
      </c>
      <c r="M7">
        <f t="shared" si="3"/>
        <v>0.42338126024055156</v>
      </c>
      <c r="N7">
        <f t="shared" si="4"/>
        <v>0.4555359477806557</v>
      </c>
      <c r="O7">
        <v>3.8399999999999997E-2</v>
      </c>
      <c r="P7">
        <v>9.4799999999999995E-2</v>
      </c>
    </row>
    <row r="8" spans="1:16" ht="17.25" x14ac:dyDescent="0.25">
      <c r="A8" t="s">
        <v>45</v>
      </c>
      <c r="B8">
        <v>1.1788000000000001</v>
      </c>
      <c r="C8">
        <v>2.0240999999999998</v>
      </c>
      <c r="D8">
        <v>7.8600000000000003E-2</v>
      </c>
      <c r="E8">
        <v>0.20230000000000001</v>
      </c>
      <c r="F8">
        <f t="shared" si="0"/>
        <v>13.997455470737913</v>
      </c>
      <c r="G8">
        <f t="shared" si="0"/>
        <v>9.0054374691052885</v>
      </c>
      <c r="H8">
        <v>5</v>
      </c>
      <c r="I8">
        <v>1.4181999999999999</v>
      </c>
      <c r="J8">
        <v>2.0863999999999998</v>
      </c>
      <c r="K8">
        <f t="shared" si="1"/>
        <v>8.8398365189082548E-2</v>
      </c>
      <c r="L8">
        <f t="shared" si="2"/>
        <v>0.2059545771453429</v>
      </c>
      <c r="M8">
        <f t="shared" si="3"/>
        <v>0.4253472326051988</v>
      </c>
      <c r="N8">
        <f t="shared" si="4"/>
        <v>0.44572935096857014</v>
      </c>
      <c r="O8">
        <v>3.7600000000000001E-2</v>
      </c>
      <c r="P8">
        <v>9.1800000000000007E-2</v>
      </c>
    </row>
    <row r="9" spans="1:16" ht="17.25" x14ac:dyDescent="0.25">
      <c r="A9" t="s">
        <v>46</v>
      </c>
      <c r="B9">
        <v>1.3704000000000001</v>
      </c>
      <c r="C9">
        <v>2.2726999999999999</v>
      </c>
      <c r="D9">
        <v>0.09</v>
      </c>
      <c r="E9">
        <v>0.23069999999999999</v>
      </c>
      <c r="F9">
        <f t="shared" si="0"/>
        <v>14.226666666666667</v>
      </c>
      <c r="G9">
        <f t="shared" si="0"/>
        <v>8.851322063285652</v>
      </c>
      <c r="H9">
        <v>6</v>
      </c>
      <c r="I9">
        <v>1.4275</v>
      </c>
      <c r="J9">
        <v>2.2488000000000001</v>
      </c>
      <c r="K9">
        <f t="shared" si="1"/>
        <v>8.8978047036677013E-2</v>
      </c>
      <c r="L9">
        <f t="shared" si="2"/>
        <v>0.2219855507498309</v>
      </c>
      <c r="M9">
        <f t="shared" si="3"/>
        <v>0.42594776197298995</v>
      </c>
      <c r="N9">
        <f t="shared" si="4"/>
        <v>0.45903888634101842</v>
      </c>
      <c r="O9">
        <v>3.7900000000000003E-2</v>
      </c>
      <c r="P9">
        <v>0.1019</v>
      </c>
    </row>
    <row r="10" spans="1:16" ht="17.25" x14ac:dyDescent="0.25">
      <c r="A10" t="s">
        <v>47</v>
      </c>
      <c r="B10">
        <v>1.5673999999999999</v>
      </c>
      <c r="C10">
        <v>2.294</v>
      </c>
      <c r="D10">
        <v>9.9900000000000003E-2</v>
      </c>
      <c r="E10">
        <v>0.2273</v>
      </c>
      <c r="F10">
        <f t="shared" si="0"/>
        <v>14.689689689689688</v>
      </c>
      <c r="G10">
        <f t="shared" si="0"/>
        <v>9.0923889133303994</v>
      </c>
      <c r="H10">
        <v>7</v>
      </c>
      <c r="I10">
        <v>1.3318000000000001</v>
      </c>
      <c r="J10">
        <v>2.0207999999999999</v>
      </c>
      <c r="K10">
        <f t="shared" si="1"/>
        <v>8.3012933830785618E-2</v>
      </c>
      <c r="L10">
        <f t="shared" si="2"/>
        <v>0.19947901145288965</v>
      </c>
      <c r="M10">
        <f t="shared" si="3"/>
        <v>0.40234694111742741</v>
      </c>
      <c r="N10">
        <f t="shared" si="4"/>
        <v>0.45318050927553089</v>
      </c>
      <c r="O10">
        <v>3.3399999999999999E-2</v>
      </c>
      <c r="P10">
        <v>9.0399999999999994E-2</v>
      </c>
    </row>
    <row r="11" spans="1:16" ht="17.25" x14ac:dyDescent="0.25">
      <c r="A11" t="s">
        <v>48</v>
      </c>
      <c r="B11">
        <v>1.325</v>
      </c>
      <c r="C11">
        <v>1.9919</v>
      </c>
      <c r="D11">
        <v>8.8599999999999998E-2</v>
      </c>
      <c r="E11">
        <v>0.1978</v>
      </c>
      <c r="F11">
        <f t="shared" si="0"/>
        <v>13.954853273137697</v>
      </c>
      <c r="G11">
        <f t="shared" si="0"/>
        <v>9.0702730030333676</v>
      </c>
      <c r="H11">
        <v>8</v>
      </c>
      <c r="I11">
        <v>1.2737000000000001</v>
      </c>
      <c r="J11">
        <v>1.9224000000000001</v>
      </c>
      <c r="K11">
        <f t="shared" si="1"/>
        <v>7.9391480567856762E-2</v>
      </c>
      <c r="L11">
        <f t="shared" si="2"/>
        <v>0.18976566291420977</v>
      </c>
      <c r="M11">
        <f t="shared" si="3"/>
        <v>0.41188298500178433</v>
      </c>
      <c r="N11">
        <f t="shared" si="4"/>
        <v>0.46689163170712683</v>
      </c>
      <c r="O11">
        <v>3.27E-2</v>
      </c>
      <c r="P11">
        <v>8.8599999999999998E-2</v>
      </c>
    </row>
    <row r="12" spans="1:16" ht="17.25" x14ac:dyDescent="0.25">
      <c r="A12" t="s">
        <v>49</v>
      </c>
      <c r="B12">
        <v>1.3488</v>
      </c>
      <c r="C12">
        <v>2.0293000000000001</v>
      </c>
      <c r="D12">
        <v>8.5599999999999996E-2</v>
      </c>
      <c r="E12">
        <v>0.20039999999999999</v>
      </c>
      <c r="F12">
        <f t="shared" si="0"/>
        <v>14.757009345794394</v>
      </c>
      <c r="G12">
        <f t="shared" si="0"/>
        <v>9.1262475049900207</v>
      </c>
      <c r="H12">
        <v>9</v>
      </c>
      <c r="I12">
        <v>1.3418000000000001</v>
      </c>
      <c r="J12">
        <v>2.0226999999999999</v>
      </c>
      <c r="K12">
        <f t="shared" si="1"/>
        <v>8.3636247645403311E-2</v>
      </c>
      <c r="L12">
        <f t="shared" si="2"/>
        <v>0.19966656594703083</v>
      </c>
      <c r="M12">
        <f t="shared" si="3"/>
        <v>0.41728318740418913</v>
      </c>
      <c r="N12">
        <f t="shared" si="4"/>
        <v>0.46677819873320631</v>
      </c>
      <c r="O12">
        <v>3.49E-2</v>
      </c>
      <c r="P12">
        <v>9.3200000000000005E-2</v>
      </c>
    </row>
    <row r="13" spans="1:16" x14ac:dyDescent="0.25">
      <c r="A13" s="9" t="s">
        <v>65</v>
      </c>
      <c r="B13" s="9">
        <v>1.4922</v>
      </c>
      <c r="C13" s="9">
        <v>2.2606000000000002</v>
      </c>
      <c r="D13" s="9">
        <v>9.0999999999999998E-2</v>
      </c>
      <c r="E13" s="9">
        <v>0.22059999999999999</v>
      </c>
      <c r="F13">
        <f t="shared" si="0"/>
        <v>15.397802197802198</v>
      </c>
      <c r="G13">
        <f t="shared" si="0"/>
        <v>9.2475067996373532</v>
      </c>
    </row>
    <row r="14" spans="1:16" x14ac:dyDescent="0.25">
      <c r="A14" s="9" t="s">
        <v>63</v>
      </c>
      <c r="B14" s="9">
        <v>1.5013000000000001</v>
      </c>
      <c r="C14" s="9">
        <v>2.2094999999999998</v>
      </c>
      <c r="D14" s="9">
        <v>9.3299999999999994E-2</v>
      </c>
      <c r="E14" s="9">
        <v>0.21929999999999999</v>
      </c>
      <c r="F14">
        <f t="shared" si="0"/>
        <v>15.09110396570204</v>
      </c>
      <c r="G14">
        <f t="shared" si="0"/>
        <v>9.0752393980848147</v>
      </c>
    </row>
    <row r="15" spans="1:16" x14ac:dyDescent="0.25">
      <c r="A15" s="9" t="s">
        <v>64</v>
      </c>
      <c r="B15" s="9">
        <v>1.4593</v>
      </c>
      <c r="C15" s="9">
        <v>2.2955999999999999</v>
      </c>
      <c r="D15" s="9">
        <v>9.3299999999999994E-2</v>
      </c>
      <c r="E15" s="9">
        <v>0.22800000000000001</v>
      </c>
      <c r="F15">
        <f t="shared" si="0"/>
        <v>14.640943193997858</v>
      </c>
      <c r="G15">
        <f t="shared" si="0"/>
        <v>9.0684210526315763</v>
      </c>
    </row>
    <row r="16" spans="1:16" ht="32.25" x14ac:dyDescent="0.25">
      <c r="A16" s="10" t="s">
        <v>66</v>
      </c>
      <c r="B16" s="9">
        <v>1.1588000000000001</v>
      </c>
      <c r="C16" s="9">
        <v>1.8352999999999999</v>
      </c>
      <c r="D16" s="9">
        <v>7.51E-2</v>
      </c>
      <c r="E16" s="9">
        <v>0.1852</v>
      </c>
      <c r="F16">
        <f t="shared" si="0"/>
        <v>14.430093209054595</v>
      </c>
      <c r="G16">
        <f>(C16-E16)/E16</f>
        <v>8.9098272138228936</v>
      </c>
    </row>
    <row r="17" spans="1:7" ht="32.25" x14ac:dyDescent="0.25">
      <c r="A17" s="10" t="s">
        <v>67</v>
      </c>
      <c r="B17" s="9">
        <v>1.3213999999999999</v>
      </c>
      <c r="C17" s="9">
        <v>2.1625000000000001</v>
      </c>
      <c r="D17" s="9">
        <v>8.43E-2</v>
      </c>
      <c r="E17" s="9">
        <v>0.21460000000000001</v>
      </c>
      <c r="F17">
        <f t="shared" si="0"/>
        <v>14.674970344009488</v>
      </c>
      <c r="G17">
        <f t="shared" ref="G17:G18" si="5">(C17-E17)/E17</f>
        <v>9.0768872320596454</v>
      </c>
    </row>
    <row r="18" spans="1:7" ht="32.25" x14ac:dyDescent="0.25">
      <c r="A18" s="10" t="s">
        <v>68</v>
      </c>
      <c r="B18" s="9">
        <v>1.4452</v>
      </c>
      <c r="C18" s="9">
        <v>2.2201</v>
      </c>
      <c r="D18" s="9">
        <v>9.5399999999999999E-2</v>
      </c>
      <c r="E18" s="9">
        <v>0.2268</v>
      </c>
      <c r="F18">
        <f t="shared" si="0"/>
        <v>14.148846960167717</v>
      </c>
      <c r="G18">
        <f t="shared" si="5"/>
        <v>8.7888007054673718</v>
      </c>
    </row>
    <row r="20" spans="1:7" x14ac:dyDescent="0.25">
      <c r="E20" s="9"/>
      <c r="F20" t="s">
        <v>74</v>
      </c>
      <c r="G20" t="s">
        <v>75</v>
      </c>
    </row>
    <row r="21" spans="1:7" x14ac:dyDescent="0.25">
      <c r="E21" s="9"/>
      <c r="F21">
        <f>AVERAGE(F13:F15)</f>
        <v>15.043283119167365</v>
      </c>
      <c r="G21">
        <f>AVERAGE(G13:G15)</f>
        <v>9.1303890834512487</v>
      </c>
    </row>
  </sheetData>
  <mergeCells count="3">
    <mergeCell ref="A1:E1"/>
    <mergeCell ref="A2:G2"/>
    <mergeCell ref="H2:N2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91806-F995-49DA-AB53-95D279BB9D7D}">
  <dimension ref="A1:U31"/>
  <sheetViews>
    <sheetView zoomScale="85" zoomScaleNormal="85" workbookViewId="0">
      <selection activeCell="M21" sqref="M21:O23"/>
    </sheetView>
  </sheetViews>
  <sheetFormatPr defaultRowHeight="20.25" x14ac:dyDescent="0.3"/>
  <cols>
    <col min="1" max="1" width="16.5703125" style="2" customWidth="1"/>
    <col min="2" max="2" width="10" style="2" customWidth="1"/>
    <col min="3" max="3" width="13.140625" style="2" customWidth="1"/>
    <col min="4" max="4" width="12" style="2" customWidth="1"/>
    <col min="5" max="5" width="12.7109375" style="2" customWidth="1"/>
    <col min="6" max="6" width="14.5703125" style="2" customWidth="1"/>
    <col min="7" max="7" width="9.42578125" style="2" bestFit="1" customWidth="1"/>
    <col min="8" max="8" width="12" style="2" bestFit="1" customWidth="1"/>
    <col min="9" max="10" width="10.7109375" style="2" bestFit="1" customWidth="1"/>
    <col min="11" max="11" width="20.42578125" style="2" customWidth="1"/>
    <col min="12" max="12" width="19.7109375" style="2" customWidth="1"/>
    <col min="13" max="13" width="22.7109375" style="2" customWidth="1"/>
    <col min="14" max="14" width="20.85546875" style="2" customWidth="1"/>
    <col min="15" max="15" width="27.42578125" style="2" customWidth="1"/>
    <col min="16" max="16" width="19" style="2" customWidth="1"/>
    <col min="17" max="17" width="18.7109375" style="2" customWidth="1"/>
    <col min="18" max="18" width="18.28515625" style="2" customWidth="1"/>
    <col min="19" max="19" width="19.42578125" style="2" customWidth="1"/>
    <col min="20" max="20" width="20.28515625" style="2" customWidth="1"/>
    <col min="21" max="21" width="29.28515625" style="2" customWidth="1"/>
    <col min="22" max="16384" width="9.140625" style="2"/>
  </cols>
  <sheetData>
    <row r="1" spans="1:21" ht="54.75" customHeight="1" x14ac:dyDescent="0.4">
      <c r="A1" s="19" t="s">
        <v>41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</row>
    <row r="2" spans="1:21" ht="60.75" x14ac:dyDescent="0.3">
      <c r="A2" s="3" t="s">
        <v>0</v>
      </c>
      <c r="B2" s="3" t="s">
        <v>31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3" t="s">
        <v>21</v>
      </c>
      <c r="J2" s="3" t="s">
        <v>22</v>
      </c>
      <c r="K2" s="3" t="s">
        <v>23</v>
      </c>
      <c r="L2" s="3" t="s">
        <v>24</v>
      </c>
      <c r="M2" s="3" t="s">
        <v>25</v>
      </c>
      <c r="N2" s="3" t="s">
        <v>26</v>
      </c>
      <c r="O2" s="3" t="s">
        <v>27</v>
      </c>
      <c r="P2" s="3" t="s">
        <v>1</v>
      </c>
      <c r="Q2" s="3" t="s">
        <v>2</v>
      </c>
      <c r="R2" s="3" t="s">
        <v>6</v>
      </c>
      <c r="S2" s="4" t="s">
        <v>28</v>
      </c>
      <c r="T2" s="4" t="s">
        <v>29</v>
      </c>
      <c r="U2" s="4" t="s">
        <v>30</v>
      </c>
    </row>
    <row r="3" spans="1:21" x14ac:dyDescent="0.3">
      <c r="A3" s="2" t="s">
        <v>50</v>
      </c>
      <c r="B3" s="2">
        <v>4.4400000000000004</v>
      </c>
      <c r="C3" s="5">
        <v>150</v>
      </c>
      <c r="D3" s="5">
        <v>20</v>
      </c>
      <c r="E3" s="6">
        <v>1.4999999999999999E-2</v>
      </c>
      <c r="F3" s="6">
        <v>0.01</v>
      </c>
      <c r="G3" s="6">
        <f>AVERAGE(E3:F3)</f>
        <v>1.2500000000000001E-2</v>
      </c>
      <c r="H3" s="3">
        <f>(G3*20.722+0.1653)/D3</f>
        <v>2.1216249999999999E-2</v>
      </c>
      <c r="I3" s="3">
        <f>H3/63.5</f>
        <v>3.3411417322834643E-4</v>
      </c>
      <c r="J3" s="3">
        <f>I3*C3</f>
        <v>5.0117125984251963E-2</v>
      </c>
      <c r="K3" s="3">
        <f>$S$28</f>
        <v>1.2675699212598428</v>
      </c>
      <c r="L3" s="3">
        <f>K3-J3</f>
        <v>1.2174527952755909</v>
      </c>
      <c r="M3" s="3">
        <f>L3/P3</f>
        <v>0.94062643535161161</v>
      </c>
      <c r="N3" s="3">
        <f>L3/Q3</f>
        <v>15.090736211719081</v>
      </c>
      <c r="O3" s="3">
        <f>L3/R3</f>
        <v>36.233714145106873</v>
      </c>
      <c r="P3">
        <v>1.2943</v>
      </c>
      <c r="Q3" s="3">
        <v>8.067550702596922E-2</v>
      </c>
      <c r="R3" s="1">
        <v>3.3599999999999998E-2</v>
      </c>
      <c r="S3" s="17">
        <f>AVERAGE(M3:M5)</f>
        <v>0.87502415391453481</v>
      </c>
      <c r="T3" s="17">
        <f>AVERAGE(N3:N5)</f>
        <v>14.03826023736076</v>
      </c>
      <c r="U3" s="17">
        <f>AVERAGE(O3:O5)</f>
        <v>33.805254879598387</v>
      </c>
    </row>
    <row r="4" spans="1:21" x14ac:dyDescent="0.3">
      <c r="A4" s="2" t="s">
        <v>51</v>
      </c>
      <c r="B4" s="2">
        <v>4.46</v>
      </c>
      <c r="C4" s="5">
        <v>150</v>
      </c>
      <c r="D4" s="5">
        <v>20</v>
      </c>
      <c r="E4" s="6">
        <v>1.0999999999999999E-2</v>
      </c>
      <c r="F4" s="6">
        <v>1.2999999999999999E-2</v>
      </c>
      <c r="G4" s="6">
        <f t="shared" ref="G4:G11" si="0">AVERAGE(E4:F4)</f>
        <v>1.2E-2</v>
      </c>
      <c r="H4" s="3">
        <f t="shared" ref="H4:H11" si="1">(G4*20.722+0.1653)/D4</f>
        <v>2.06982E-2</v>
      </c>
      <c r="I4" s="3">
        <f t="shared" ref="I4:I10" si="2">H4/63.5</f>
        <v>3.2595590551181105E-4</v>
      </c>
      <c r="J4" s="3">
        <f t="shared" ref="J4:J10" si="3">I4*C4</f>
        <v>4.8893385826771656E-2</v>
      </c>
      <c r="K4" s="3">
        <f t="shared" ref="K4:K5" si="4">$S$28</f>
        <v>1.2675699212598428</v>
      </c>
      <c r="L4" s="3">
        <f t="shared" ref="L4:L10" si="5">K4-J4</f>
        <v>1.2186765354330711</v>
      </c>
      <c r="M4" s="3">
        <f t="shared" ref="M4:M11" si="6">L4/P4</f>
        <v>0.89819909745951587</v>
      </c>
      <c r="N4" s="3">
        <f t="shared" ref="N4:N10" si="7">L4/Q4</f>
        <v>14.41006241792361</v>
      </c>
      <c r="O4" s="3">
        <f>L4/R4</f>
        <v>34.81932958380203</v>
      </c>
      <c r="P4">
        <v>1.3568</v>
      </c>
      <c r="Q4" s="3">
        <v>8.4571218367329865E-2</v>
      </c>
      <c r="R4" s="1">
        <v>3.5000000000000003E-2</v>
      </c>
      <c r="S4" s="18"/>
      <c r="T4" s="18"/>
      <c r="U4" s="18"/>
    </row>
    <row r="5" spans="1:21" x14ac:dyDescent="0.3">
      <c r="A5" s="2" t="s">
        <v>52</v>
      </c>
      <c r="B5" s="2">
        <v>4.29</v>
      </c>
      <c r="C5" s="5">
        <v>150</v>
      </c>
      <c r="D5" s="5">
        <v>20</v>
      </c>
      <c r="E5" s="6">
        <v>6.0000000000000001E-3</v>
      </c>
      <c r="F5" s="6">
        <v>8.9999999999999993E-3</v>
      </c>
      <c r="G5" s="6">
        <f t="shared" si="0"/>
        <v>7.4999999999999997E-3</v>
      </c>
      <c r="H5" s="3">
        <f t="shared" si="1"/>
        <v>1.6035749999999998E-2</v>
      </c>
      <c r="I5" s="3">
        <f t="shared" si="2"/>
        <v>2.5253149606299207E-4</v>
      </c>
      <c r="J5" s="3">
        <f t="shared" si="3"/>
        <v>3.7879724409448812E-2</v>
      </c>
      <c r="K5" s="3">
        <f t="shared" si="4"/>
        <v>1.2675699212598428</v>
      </c>
      <c r="L5" s="3">
        <f t="shared" si="5"/>
        <v>1.2296901968503939</v>
      </c>
      <c r="M5" s="3">
        <f t="shared" si="6"/>
        <v>0.78624692893247694</v>
      </c>
      <c r="N5" s="3">
        <f t="shared" si="7"/>
        <v>12.613982082439588</v>
      </c>
      <c r="O5" s="3">
        <f t="shared" ref="O5:O11" si="8">L5/R5</f>
        <v>30.362720909886271</v>
      </c>
      <c r="P5">
        <v>1.5640000000000001</v>
      </c>
      <c r="Q5" s="3">
        <v>9.7486280606208661E-2</v>
      </c>
      <c r="R5" s="1">
        <v>4.0500000000000001E-2</v>
      </c>
      <c r="S5" s="18"/>
      <c r="T5" s="18"/>
      <c r="U5" s="18"/>
    </row>
    <row r="6" spans="1:21" x14ac:dyDescent="0.3">
      <c r="A6" s="2" t="s">
        <v>53</v>
      </c>
      <c r="B6" s="2">
        <v>6.11</v>
      </c>
      <c r="C6" s="5">
        <v>150</v>
      </c>
      <c r="D6" s="5">
        <v>20</v>
      </c>
      <c r="E6" s="6">
        <v>2.7E-2</v>
      </c>
      <c r="F6" s="6">
        <v>2.7E-2</v>
      </c>
      <c r="G6" s="6">
        <f t="shared" si="0"/>
        <v>2.7E-2</v>
      </c>
      <c r="H6" s="3">
        <f t="shared" si="1"/>
        <v>3.62397E-2</v>
      </c>
      <c r="I6" s="3">
        <f t="shared" si="2"/>
        <v>5.7070393700787406E-4</v>
      </c>
      <c r="J6" s="3">
        <f t="shared" si="3"/>
        <v>8.560559055118111E-2</v>
      </c>
      <c r="K6" s="3">
        <f>$S$29</f>
        <v>1.4291036220472442</v>
      </c>
      <c r="L6" s="3">
        <f t="shared" si="5"/>
        <v>1.3434980314960629</v>
      </c>
      <c r="M6" s="3">
        <f t="shared" si="6"/>
        <v>0.92330288742771138</v>
      </c>
      <c r="N6" s="3">
        <f t="shared" si="7"/>
        <v>14.812809627747486</v>
      </c>
      <c r="O6" s="3">
        <f t="shared" si="8"/>
        <v>34.986927903543311</v>
      </c>
      <c r="P6">
        <v>1.4551000000000001</v>
      </c>
      <c r="Q6" s="3">
        <v>9.0698393165021887E-2</v>
      </c>
      <c r="R6" s="1">
        <v>3.8399999999999997E-2</v>
      </c>
      <c r="S6" s="17">
        <f t="shared" ref="S6:U6" si="9">AVERAGE(M6:M8)</f>
        <v>0.94500840036155509</v>
      </c>
      <c r="T6" s="17">
        <f t="shared" si="9"/>
        <v>15.161037316991889</v>
      </c>
      <c r="U6" s="17">
        <f t="shared" si="9"/>
        <v>35.680976253367227</v>
      </c>
    </row>
    <row r="7" spans="1:21" x14ac:dyDescent="0.3">
      <c r="A7" s="2" t="s">
        <v>54</v>
      </c>
      <c r="B7" s="2">
        <v>5.62</v>
      </c>
      <c r="C7" s="5">
        <v>150</v>
      </c>
      <c r="D7" s="5">
        <v>20</v>
      </c>
      <c r="E7" s="6">
        <v>1.6E-2</v>
      </c>
      <c r="F7" s="6">
        <v>2.1000000000000001E-2</v>
      </c>
      <c r="G7" s="6">
        <f t="shared" si="0"/>
        <v>1.8500000000000003E-2</v>
      </c>
      <c r="H7" s="3">
        <f t="shared" si="1"/>
        <v>2.7432850000000002E-2</v>
      </c>
      <c r="I7" s="3">
        <f t="shared" si="2"/>
        <v>4.3201338582677165E-4</v>
      </c>
      <c r="J7" s="3">
        <f t="shared" si="3"/>
        <v>6.4802007874015743E-2</v>
      </c>
      <c r="K7" s="3">
        <f t="shared" ref="K7:K8" si="10">$S$29</f>
        <v>1.4291036220472442</v>
      </c>
      <c r="L7" s="3">
        <f t="shared" si="5"/>
        <v>1.3643016141732285</v>
      </c>
      <c r="M7" s="3">
        <f t="shared" si="6"/>
        <v>0.96199521518349218</v>
      </c>
      <c r="N7" s="3">
        <f t="shared" si="7"/>
        <v>15.433561596473094</v>
      </c>
      <c r="O7" s="3">
        <f t="shared" si="8"/>
        <v>36.284617398224164</v>
      </c>
      <c r="P7">
        <v>1.4181999999999999</v>
      </c>
      <c r="Q7" s="3">
        <v>8.8398365189082548E-2</v>
      </c>
      <c r="R7" s="1">
        <v>3.7600000000000001E-2</v>
      </c>
      <c r="S7" s="18"/>
      <c r="T7" s="18"/>
      <c r="U7" s="18"/>
    </row>
    <row r="8" spans="1:21" x14ac:dyDescent="0.3">
      <c r="A8" s="2" t="s">
        <v>55</v>
      </c>
      <c r="B8" s="2">
        <v>5.97</v>
      </c>
      <c r="C8" s="5">
        <v>150</v>
      </c>
      <c r="D8" s="5">
        <v>20</v>
      </c>
      <c r="E8" s="6">
        <v>2.1999999999999999E-2</v>
      </c>
      <c r="F8" s="6">
        <v>2.1999999999999999E-2</v>
      </c>
      <c r="G8" s="6">
        <f t="shared" si="0"/>
        <v>2.1999999999999999E-2</v>
      </c>
      <c r="H8" s="3">
        <f t="shared" si="1"/>
        <v>3.1059199999999999E-2</v>
      </c>
      <c r="I8" s="3">
        <f t="shared" si="2"/>
        <v>4.891212598425197E-4</v>
      </c>
      <c r="J8" s="3">
        <f t="shared" si="3"/>
        <v>7.3368188976377952E-2</v>
      </c>
      <c r="K8" s="3">
        <f t="shared" si="10"/>
        <v>1.4291036220472442</v>
      </c>
      <c r="L8" s="3">
        <f t="shared" si="5"/>
        <v>1.3557354330708662</v>
      </c>
      <c r="M8" s="3">
        <f t="shared" si="6"/>
        <v>0.94972709847346148</v>
      </c>
      <c r="N8" s="3">
        <f t="shared" si="7"/>
        <v>15.236740726755084</v>
      </c>
      <c r="O8" s="3">
        <f t="shared" si="8"/>
        <v>35.771383458334199</v>
      </c>
      <c r="P8">
        <v>1.4275</v>
      </c>
      <c r="Q8" s="3">
        <v>8.8978047036677013E-2</v>
      </c>
      <c r="R8" s="1">
        <v>3.7900000000000003E-2</v>
      </c>
      <c r="S8" s="18"/>
      <c r="T8" s="18"/>
      <c r="U8" s="18"/>
    </row>
    <row r="9" spans="1:21" x14ac:dyDescent="0.3">
      <c r="A9" s="2" t="s">
        <v>56</v>
      </c>
      <c r="B9" s="2">
        <v>5.96</v>
      </c>
      <c r="C9" s="5">
        <v>150</v>
      </c>
      <c r="D9" s="5">
        <v>20</v>
      </c>
      <c r="E9" s="6">
        <v>0.04</v>
      </c>
      <c r="F9" s="6">
        <v>3.7999999999999999E-2</v>
      </c>
      <c r="G9" s="6">
        <f t="shared" si="0"/>
        <v>3.9E-2</v>
      </c>
      <c r="H9" s="3">
        <f t="shared" si="1"/>
        <v>4.8672900000000005E-2</v>
      </c>
      <c r="I9" s="3">
        <f t="shared" si="2"/>
        <v>7.6650236220472451E-4</v>
      </c>
      <c r="J9" s="3">
        <f t="shared" si="3"/>
        <v>0.11497535433070867</v>
      </c>
      <c r="K9" s="3">
        <f>$S$30</f>
        <v>1.4388935433070869</v>
      </c>
      <c r="L9" s="3">
        <f t="shared" si="5"/>
        <v>1.3239181889763783</v>
      </c>
      <c r="M9" s="3">
        <f>L9/P9</f>
        <v>0.99408183584350363</v>
      </c>
      <c r="N9" s="3">
        <f t="shared" si="7"/>
        <v>15.948336336058983</v>
      </c>
      <c r="O9" s="3">
        <f>L9/R9</f>
        <v>39.63826913102929</v>
      </c>
      <c r="P9">
        <v>1.3318000000000001</v>
      </c>
      <c r="Q9" s="3">
        <v>8.3012933830785618E-2</v>
      </c>
      <c r="R9" s="1">
        <v>3.3399999999999999E-2</v>
      </c>
      <c r="S9" s="17">
        <f>AVERAGE(M9:M11)</f>
        <v>0.99153375332230675</v>
      </c>
      <c r="T9" s="17">
        <f t="shared" ref="T9:U9" si="11">AVERAGE(N9:N11)</f>
        <v>15.907456726760421</v>
      </c>
      <c r="U9" s="17">
        <f t="shared" si="11"/>
        <v>38.763105437468852</v>
      </c>
    </row>
    <row r="10" spans="1:21" x14ac:dyDescent="0.3">
      <c r="A10" s="2" t="s">
        <v>57</v>
      </c>
      <c r="B10" s="2">
        <v>5.81</v>
      </c>
      <c r="C10" s="5">
        <v>150</v>
      </c>
      <c r="D10" s="5">
        <v>20</v>
      </c>
      <c r="E10" s="6">
        <v>5.5E-2</v>
      </c>
      <c r="F10" s="6">
        <v>0.06</v>
      </c>
      <c r="G10" s="6">
        <f t="shared" si="0"/>
        <v>5.7499999999999996E-2</v>
      </c>
      <c r="H10" s="3">
        <f t="shared" si="1"/>
        <v>6.7840749999999991E-2</v>
      </c>
      <c r="I10" s="3">
        <f t="shared" si="2"/>
        <v>1.0683582677165353E-3</v>
      </c>
      <c r="J10" s="3">
        <f t="shared" si="3"/>
        <v>0.16025374015748028</v>
      </c>
      <c r="K10" s="3">
        <f t="shared" ref="K10:K11" si="12">$S$30</f>
        <v>1.4388935433070869</v>
      </c>
      <c r="L10" s="3">
        <f t="shared" si="5"/>
        <v>1.2786398031496065</v>
      </c>
      <c r="M10" s="3">
        <f t="shared" si="6"/>
        <v>1.003878309766512</v>
      </c>
      <c r="N10" s="3">
        <f t="shared" si="7"/>
        <v>16.105503940775346</v>
      </c>
      <c r="O10" s="3">
        <f t="shared" si="8"/>
        <v>39.102134652893163</v>
      </c>
      <c r="P10">
        <v>1.2737000000000001</v>
      </c>
      <c r="Q10" s="3">
        <v>7.9391480567856762E-2</v>
      </c>
      <c r="R10" s="1">
        <v>3.27E-2</v>
      </c>
      <c r="S10" s="18"/>
      <c r="T10" s="18"/>
      <c r="U10" s="18"/>
    </row>
    <row r="11" spans="1:21" x14ac:dyDescent="0.3">
      <c r="A11" s="2" t="s">
        <v>58</v>
      </c>
      <c r="B11" s="2">
        <v>5.8</v>
      </c>
      <c r="C11" s="5">
        <v>150</v>
      </c>
      <c r="D11" s="5">
        <v>20</v>
      </c>
      <c r="E11" s="6">
        <v>4.2999999999999997E-2</v>
      </c>
      <c r="F11" s="6">
        <v>4.5999999999999999E-2</v>
      </c>
      <c r="G11" s="6">
        <f t="shared" si="0"/>
        <v>4.4499999999999998E-2</v>
      </c>
      <c r="H11" s="3">
        <f t="shared" si="1"/>
        <v>5.4371450000000002E-2</v>
      </c>
      <c r="I11" s="3">
        <f>H11/63.5</f>
        <v>8.5624330708661419E-4</v>
      </c>
      <c r="J11" s="3">
        <f>I11*C11</f>
        <v>0.12843649606299212</v>
      </c>
      <c r="K11" s="3">
        <f t="shared" si="12"/>
        <v>1.4388935433070869</v>
      </c>
      <c r="L11" s="3">
        <f>K11-J11</f>
        <v>1.3104570472440948</v>
      </c>
      <c r="M11" s="3">
        <f t="shared" si="6"/>
        <v>0.9766411143569047</v>
      </c>
      <c r="N11" s="3">
        <f>L11/Q11</f>
        <v>15.668529903446933</v>
      </c>
      <c r="O11" s="3">
        <f t="shared" si="8"/>
        <v>37.548912528484095</v>
      </c>
      <c r="P11">
        <v>1.3418000000000001</v>
      </c>
      <c r="Q11" s="3">
        <v>8.3636247645403311E-2</v>
      </c>
      <c r="R11" s="1">
        <v>3.49E-2</v>
      </c>
      <c r="S11" s="18"/>
      <c r="T11" s="18"/>
      <c r="U11" s="18"/>
    </row>
    <row r="13" spans="1:21" ht="26.25" x14ac:dyDescent="0.4">
      <c r="A13" s="19" t="s">
        <v>42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</row>
    <row r="14" spans="1:21" ht="60.75" x14ac:dyDescent="0.3">
      <c r="A14" s="3" t="s">
        <v>0</v>
      </c>
      <c r="B14" s="3" t="s">
        <v>31</v>
      </c>
      <c r="C14" s="3" t="s">
        <v>15</v>
      </c>
      <c r="D14" s="3" t="s">
        <v>16</v>
      </c>
      <c r="E14" s="3" t="s">
        <v>17</v>
      </c>
      <c r="F14" s="3" t="s">
        <v>18</v>
      </c>
      <c r="G14" s="3" t="s">
        <v>19</v>
      </c>
      <c r="H14" s="3" t="s">
        <v>20</v>
      </c>
      <c r="I14" s="3" t="s">
        <v>21</v>
      </c>
      <c r="J14" s="3" t="s">
        <v>22</v>
      </c>
      <c r="K14" s="3" t="s">
        <v>23</v>
      </c>
      <c r="L14" s="3" t="s">
        <v>24</v>
      </c>
      <c r="M14" s="3" t="s">
        <v>25</v>
      </c>
      <c r="N14" s="3" t="s">
        <v>26</v>
      </c>
      <c r="O14" s="3" t="s">
        <v>27</v>
      </c>
      <c r="P14" s="3" t="s">
        <v>3</v>
      </c>
      <c r="Q14" s="3" t="s">
        <v>4</v>
      </c>
      <c r="R14" s="3" t="s">
        <v>33</v>
      </c>
      <c r="S14" s="4" t="s">
        <v>28</v>
      </c>
      <c r="T14" s="4" t="s">
        <v>29</v>
      </c>
      <c r="U14" s="4" t="s">
        <v>30</v>
      </c>
    </row>
    <row r="15" spans="1:21" x14ac:dyDescent="0.3">
      <c r="A15" s="2" t="s">
        <v>50</v>
      </c>
      <c r="B15" s="2">
        <v>4.3899999999999997</v>
      </c>
      <c r="C15" s="5">
        <v>150</v>
      </c>
      <c r="D15" s="5">
        <v>20</v>
      </c>
      <c r="E15" s="6">
        <v>2.3E-2</v>
      </c>
      <c r="F15" s="6">
        <v>2.7E-2</v>
      </c>
      <c r="G15" s="6">
        <f>AVERAGE(E15:F15)</f>
        <v>2.5000000000000001E-2</v>
      </c>
      <c r="H15" s="3">
        <f>(G15*20.722+0.1653)/D15</f>
        <v>3.4167500000000003E-2</v>
      </c>
      <c r="I15" s="3">
        <f>H15/63.5</f>
        <v>5.3807086614173231E-4</v>
      </c>
      <c r="J15" s="3">
        <f>I15*C15</f>
        <v>8.0710629921259852E-2</v>
      </c>
      <c r="K15" s="3">
        <f>$S$28</f>
        <v>1.2675699212598428</v>
      </c>
      <c r="L15" s="3">
        <f>K15-J15</f>
        <v>1.1868592913385829</v>
      </c>
      <c r="M15" s="3">
        <f>L15/P15</f>
        <v>0.61011632721872355</v>
      </c>
      <c r="N15" s="3">
        <f>L15/Q15</f>
        <v>6.1807157808919273</v>
      </c>
      <c r="O15" s="3">
        <f>L15/R15</f>
        <v>13.610771689662648</v>
      </c>
      <c r="P15">
        <v>1.9453</v>
      </c>
      <c r="Q15" s="3">
        <v>0.19202618813306921</v>
      </c>
      <c r="R15" s="1">
        <v>8.72E-2</v>
      </c>
      <c r="S15" s="17">
        <f>AVERAGE(M15:M17)</f>
        <v>0.5802985526154455</v>
      </c>
      <c r="T15" s="17">
        <f>AVERAGE(N15:N17)</f>
        <v>5.8786501225580681</v>
      </c>
      <c r="U15" s="17">
        <f>AVERAGE(O15:O17)</f>
        <v>12.823341399838924</v>
      </c>
    </row>
    <row r="16" spans="1:21" x14ac:dyDescent="0.3">
      <c r="A16" s="2" t="s">
        <v>51</v>
      </c>
      <c r="B16" s="2">
        <v>3.92</v>
      </c>
      <c r="C16" s="5">
        <v>150</v>
      </c>
      <c r="D16" s="5">
        <v>20</v>
      </c>
      <c r="E16" s="6">
        <v>5.5E-2</v>
      </c>
      <c r="F16" s="6">
        <v>5.7000000000000002E-2</v>
      </c>
      <c r="G16" s="6">
        <f t="shared" ref="G16:G23" si="13">AVERAGE(E16:F16)</f>
        <v>5.6000000000000001E-2</v>
      </c>
      <c r="H16" s="3">
        <f t="shared" ref="H16:H23" si="14">(G16*20.722+0.1653)/D16</f>
        <v>6.6286600000000001E-2</v>
      </c>
      <c r="I16" s="3">
        <f t="shared" ref="I16:I22" si="15">H16/63.5</f>
        <v>1.0438834645669292E-3</v>
      </c>
      <c r="J16" s="3">
        <f t="shared" ref="J16:J22" si="16">I16*C16</f>
        <v>0.15658251968503939</v>
      </c>
      <c r="K16" s="3">
        <f t="shared" ref="K16" si="17">$S$28</f>
        <v>1.2675699212598428</v>
      </c>
      <c r="L16" s="3">
        <f t="shared" ref="L16:L22" si="18">K16-J16</f>
        <v>1.1109874015748034</v>
      </c>
      <c r="M16" s="3">
        <f t="shared" ref="M16:M23" si="19">L16/P16</f>
        <v>0.58160789528573098</v>
      </c>
      <c r="N16" s="3">
        <f t="shared" ref="N16:N21" si="20">L16/Q16</f>
        <v>5.8919142732516265</v>
      </c>
      <c r="O16" s="3">
        <f t="shared" ref="O16:O20" si="21">L16/R16</f>
        <v>12.948571113925446</v>
      </c>
      <c r="P16">
        <v>1.9101999999999999</v>
      </c>
      <c r="Q16" s="3">
        <v>0.18856136563604009</v>
      </c>
      <c r="R16" s="1">
        <v>8.5800000000000001E-2</v>
      </c>
      <c r="S16" s="18"/>
      <c r="T16" s="18"/>
      <c r="U16" s="18"/>
    </row>
    <row r="17" spans="1:21" x14ac:dyDescent="0.3">
      <c r="A17" s="2" t="s">
        <v>52</v>
      </c>
      <c r="B17" s="2">
        <v>4.3</v>
      </c>
      <c r="C17" s="5">
        <v>150</v>
      </c>
      <c r="D17" s="5">
        <v>20</v>
      </c>
      <c r="E17" s="6">
        <v>3.5000000000000003E-2</v>
      </c>
      <c r="F17" s="6">
        <v>3.2000000000000001E-2</v>
      </c>
      <c r="G17" s="6">
        <f t="shared" si="13"/>
        <v>3.3500000000000002E-2</v>
      </c>
      <c r="H17" s="3">
        <f t="shared" si="14"/>
        <v>4.2974350000000008E-2</v>
      </c>
      <c r="I17" s="3">
        <f t="shared" si="15"/>
        <v>6.7676141732283483E-4</v>
      </c>
      <c r="J17" s="3">
        <f t="shared" si="16"/>
        <v>0.10151421259842522</v>
      </c>
      <c r="K17" s="3">
        <f>$S$28</f>
        <v>1.2675699212598428</v>
      </c>
      <c r="L17" s="3">
        <f t="shared" si="18"/>
        <v>1.1660557086614176</v>
      </c>
      <c r="M17" s="3">
        <f t="shared" si="19"/>
        <v>0.54917143534188184</v>
      </c>
      <c r="N17" s="3">
        <f t="shared" si="20"/>
        <v>5.563320313530653</v>
      </c>
      <c r="O17" s="3">
        <f t="shared" si="21"/>
        <v>11.910681395928679</v>
      </c>
      <c r="P17">
        <v>2.1233</v>
      </c>
      <c r="Q17" s="3">
        <v>0.20959708284734788</v>
      </c>
      <c r="R17" s="1">
        <v>9.7900000000000001E-2</v>
      </c>
      <c r="S17" s="18"/>
      <c r="T17" s="18"/>
      <c r="U17" s="18"/>
    </row>
    <row r="18" spans="1:21" x14ac:dyDescent="0.3">
      <c r="A18" s="2" t="s">
        <v>53</v>
      </c>
      <c r="B18" s="2">
        <v>5.55</v>
      </c>
      <c r="C18" s="5">
        <v>150</v>
      </c>
      <c r="D18" s="5">
        <v>20</v>
      </c>
      <c r="E18" s="6">
        <v>4.2999999999999997E-2</v>
      </c>
      <c r="F18" s="6">
        <v>4.2999999999999997E-2</v>
      </c>
      <c r="G18" s="6">
        <f t="shared" si="13"/>
        <v>4.2999999999999997E-2</v>
      </c>
      <c r="H18" s="3">
        <f t="shared" si="14"/>
        <v>5.2817299999999998E-2</v>
      </c>
      <c r="I18" s="3">
        <f t="shared" si="15"/>
        <v>8.3176850393700788E-4</v>
      </c>
      <c r="J18" s="3">
        <f t="shared" si="16"/>
        <v>0.12476527559055119</v>
      </c>
      <c r="K18" s="3">
        <f>$S$29</f>
        <v>1.4291036220472442</v>
      </c>
      <c r="L18" s="3">
        <f t="shared" si="18"/>
        <v>1.3043383464566929</v>
      </c>
      <c r="M18" s="3">
        <f>L18/P18</f>
        <v>0.61869763137116629</v>
      </c>
      <c r="N18" s="3">
        <f t="shared" si="20"/>
        <v>6.2676477307996086</v>
      </c>
      <c r="O18" s="3">
        <f t="shared" si="21"/>
        <v>13.758843317053723</v>
      </c>
      <c r="P18">
        <v>2.1082000000000001</v>
      </c>
      <c r="Q18" s="3">
        <v>0.2081065181833838</v>
      </c>
      <c r="R18" s="1">
        <v>9.4799999999999995E-2</v>
      </c>
      <c r="S18" s="17">
        <f t="shared" ref="S18" si="22">AVERAGE(M18:M20)</f>
        <v>0.6006842629098621</v>
      </c>
      <c r="T18" s="17">
        <f t="shared" ref="T18" si="23">AVERAGE(N18:N20)</f>
        <v>6.0851652995830277</v>
      </c>
      <c r="U18" s="17">
        <f t="shared" ref="U18" si="24">AVERAGE(O18:O20)</f>
        <v>13.425159005200248</v>
      </c>
    </row>
    <row r="19" spans="1:21" x14ac:dyDescent="0.3">
      <c r="A19" s="2" t="s">
        <v>54</v>
      </c>
      <c r="B19" s="2">
        <v>5.15</v>
      </c>
      <c r="C19" s="5">
        <v>150</v>
      </c>
      <c r="D19" s="5">
        <v>20</v>
      </c>
      <c r="E19" s="6">
        <v>5.8000000000000003E-2</v>
      </c>
      <c r="F19" s="6">
        <v>5.5E-2</v>
      </c>
      <c r="G19" s="6">
        <f t="shared" si="13"/>
        <v>5.6500000000000002E-2</v>
      </c>
      <c r="H19" s="3">
        <f t="shared" si="14"/>
        <v>6.6804650000000007E-2</v>
      </c>
      <c r="I19" s="3">
        <f t="shared" si="15"/>
        <v>1.0520417322834646E-3</v>
      </c>
      <c r="J19" s="3">
        <f t="shared" si="16"/>
        <v>0.1578062598425197</v>
      </c>
      <c r="K19" s="3">
        <f t="shared" ref="K19:K20" si="25">$S$29</f>
        <v>1.4291036220472442</v>
      </c>
      <c r="L19" s="3">
        <f t="shared" si="18"/>
        <v>1.2712973622047246</v>
      </c>
      <c r="M19" s="3">
        <f t="shared" si="19"/>
        <v>0.60932580627143629</v>
      </c>
      <c r="N19" s="3">
        <f t="shared" si="20"/>
        <v>6.1727074961172885</v>
      </c>
      <c r="O19" s="3">
        <f t="shared" si="21"/>
        <v>13.848555143842315</v>
      </c>
      <c r="P19">
        <v>2.0863999999999998</v>
      </c>
      <c r="Q19" s="3">
        <v>0.2059545771453429</v>
      </c>
      <c r="R19" s="1">
        <v>9.1800000000000007E-2</v>
      </c>
      <c r="S19" s="18"/>
      <c r="T19" s="18"/>
      <c r="U19" s="18"/>
    </row>
    <row r="20" spans="1:21" x14ac:dyDescent="0.3">
      <c r="A20" s="2" t="s">
        <v>55</v>
      </c>
      <c r="B20" s="2">
        <v>5.45</v>
      </c>
      <c r="C20" s="5">
        <v>150</v>
      </c>
      <c r="D20" s="5">
        <v>20</v>
      </c>
      <c r="E20" s="6">
        <v>4.8000000000000001E-2</v>
      </c>
      <c r="F20" s="6">
        <v>4.9000000000000002E-2</v>
      </c>
      <c r="G20" s="6">
        <f t="shared" si="13"/>
        <v>4.8500000000000001E-2</v>
      </c>
      <c r="H20" s="3">
        <f t="shared" si="14"/>
        <v>5.8515850000000001E-2</v>
      </c>
      <c r="I20" s="3">
        <f t="shared" si="15"/>
        <v>9.2150944881889767E-4</v>
      </c>
      <c r="J20" s="3">
        <f t="shared" si="16"/>
        <v>0.13822641732283464</v>
      </c>
      <c r="K20" s="3">
        <f t="shared" si="25"/>
        <v>1.4291036220472442</v>
      </c>
      <c r="L20" s="3">
        <f t="shared" si="18"/>
        <v>1.2908772047244095</v>
      </c>
      <c r="M20" s="3">
        <f t="shared" si="19"/>
        <v>0.57402935108698394</v>
      </c>
      <c r="N20" s="3">
        <f t="shared" si="20"/>
        <v>5.8151406718321859</v>
      </c>
      <c r="O20" s="3">
        <f t="shared" si="21"/>
        <v>12.668078554704705</v>
      </c>
      <c r="P20">
        <v>2.2488000000000001</v>
      </c>
      <c r="Q20" s="3">
        <v>0.2219855507498309</v>
      </c>
      <c r="R20" s="1">
        <v>0.1019</v>
      </c>
      <c r="S20" s="18"/>
      <c r="T20" s="18"/>
      <c r="U20" s="18"/>
    </row>
    <row r="21" spans="1:21" x14ac:dyDescent="0.3">
      <c r="A21" s="2" t="s">
        <v>56</v>
      </c>
      <c r="B21" s="2">
        <v>6.19</v>
      </c>
      <c r="C21" s="5">
        <v>150</v>
      </c>
      <c r="D21" s="5">
        <v>20</v>
      </c>
      <c r="E21" s="6">
        <v>0.1</v>
      </c>
      <c r="F21" s="6">
        <v>0.1</v>
      </c>
      <c r="G21" s="6">
        <f t="shared" si="13"/>
        <v>0.1</v>
      </c>
      <c r="H21" s="3">
        <f t="shared" si="14"/>
        <v>0.11187499999999999</v>
      </c>
      <c r="I21" s="3">
        <f t="shared" si="15"/>
        <v>1.7618110236220471E-3</v>
      </c>
      <c r="J21" s="3">
        <f t="shared" si="16"/>
        <v>0.26427165354330706</v>
      </c>
      <c r="K21" s="3">
        <f>$S$30</f>
        <v>1.4388935433070869</v>
      </c>
      <c r="L21" s="3">
        <f t="shared" si="18"/>
        <v>1.1746218897637797</v>
      </c>
      <c r="M21" s="3">
        <f t="shared" si="19"/>
        <v>0.58126578076196544</v>
      </c>
      <c r="N21" s="3">
        <f t="shared" si="20"/>
        <v>5.8884485200147809</v>
      </c>
      <c r="O21" s="3">
        <f>L21/R21</f>
        <v>12.99360497526305</v>
      </c>
      <c r="P21">
        <v>2.0207999999999999</v>
      </c>
      <c r="Q21" s="3">
        <v>0.19947901145288965</v>
      </c>
      <c r="R21" s="1">
        <v>9.0399999999999994E-2</v>
      </c>
      <c r="S21" s="17">
        <f t="shared" ref="S21" si="26">AVERAGE(M21:M23)</f>
        <v>0.58774308923925067</v>
      </c>
      <c r="T21" s="17">
        <f t="shared" ref="T21" si="27">AVERAGE(N21:N23)</f>
        <v>5.9540661751032182</v>
      </c>
      <c r="U21" s="17">
        <f t="shared" ref="U21" si="28">AVERAGE(O21:O23)</f>
        <v>12.880766091714863</v>
      </c>
    </row>
    <row r="22" spans="1:21" x14ac:dyDescent="0.3">
      <c r="A22" s="2" t="s">
        <v>57</v>
      </c>
      <c r="B22" s="2">
        <v>6.31</v>
      </c>
      <c r="C22" s="5">
        <v>150</v>
      </c>
      <c r="D22" s="5">
        <v>20</v>
      </c>
      <c r="E22" s="6">
        <v>0.1</v>
      </c>
      <c r="F22" s="6">
        <v>0.10299999999999999</v>
      </c>
      <c r="G22" s="6">
        <f t="shared" si="13"/>
        <v>0.10150000000000001</v>
      </c>
      <c r="H22" s="3">
        <f t="shared" si="14"/>
        <v>0.11342915000000002</v>
      </c>
      <c r="I22" s="3">
        <f t="shared" si="15"/>
        <v>1.7862858267716538E-3</v>
      </c>
      <c r="J22" s="3">
        <f t="shared" si="16"/>
        <v>0.26794287401574807</v>
      </c>
      <c r="K22" s="3">
        <f t="shared" ref="K22:K23" si="29">$S$30</f>
        <v>1.4388935433070869</v>
      </c>
      <c r="L22" s="3">
        <f t="shared" si="18"/>
        <v>1.1709506692913387</v>
      </c>
      <c r="M22" s="3">
        <f t="shared" si="19"/>
        <v>0.60910875431301426</v>
      </c>
      <c r="N22" s="3">
        <f>L22/Q22</f>
        <v>6.1705086753271488</v>
      </c>
      <c r="O22" s="3">
        <f t="shared" ref="O22:O23" si="30">L22/R22</f>
        <v>13.216147508931588</v>
      </c>
      <c r="P22">
        <v>1.9224000000000001</v>
      </c>
      <c r="Q22" s="3">
        <v>0.18976566291420977</v>
      </c>
      <c r="R22" s="1">
        <v>8.8599999999999998E-2</v>
      </c>
      <c r="S22" s="18"/>
      <c r="T22" s="18"/>
      <c r="U22" s="18"/>
    </row>
    <row r="23" spans="1:21" x14ac:dyDescent="0.3">
      <c r="A23" s="2" t="s">
        <v>58</v>
      </c>
      <c r="B23" s="2">
        <v>6.35</v>
      </c>
      <c r="C23" s="5">
        <v>150</v>
      </c>
      <c r="D23" s="5">
        <v>20</v>
      </c>
      <c r="E23" s="6">
        <v>0.109</v>
      </c>
      <c r="F23" s="6">
        <v>0.104</v>
      </c>
      <c r="G23" s="6">
        <f t="shared" si="13"/>
        <v>0.1065</v>
      </c>
      <c r="H23" s="3">
        <f t="shared" si="14"/>
        <v>0.11860965000000001</v>
      </c>
      <c r="I23" s="3">
        <f>H23/63.5</f>
        <v>1.867868503937008E-3</v>
      </c>
      <c r="J23" s="3">
        <f>I23*C23</f>
        <v>0.2801802755905512</v>
      </c>
      <c r="K23" s="3">
        <f t="shared" si="29"/>
        <v>1.4388935433070869</v>
      </c>
      <c r="L23" s="3">
        <f>K23-J23</f>
        <v>1.1587132677165357</v>
      </c>
      <c r="M23" s="3">
        <f t="shared" si="19"/>
        <v>0.57285473264277242</v>
      </c>
      <c r="N23" s="3">
        <f>L23/Q23</f>
        <v>5.803241329967725</v>
      </c>
      <c r="O23" s="3">
        <f t="shared" si="30"/>
        <v>12.432545790949954</v>
      </c>
      <c r="P23">
        <v>2.0226999999999999</v>
      </c>
      <c r="Q23" s="3">
        <v>0.19966656594703083</v>
      </c>
      <c r="R23" s="1">
        <v>9.3200000000000005E-2</v>
      </c>
      <c r="S23" s="18"/>
      <c r="T23" s="18"/>
      <c r="U23" s="18"/>
    </row>
    <row r="26" spans="1:21" x14ac:dyDescent="0.3">
      <c r="A26" s="2" t="s">
        <v>59</v>
      </c>
      <c r="K26" s="2" t="s">
        <v>32</v>
      </c>
    </row>
    <row r="27" spans="1:21" x14ac:dyDescent="0.3">
      <c r="A27" s="2">
        <v>0.1</v>
      </c>
      <c r="B27" s="2">
        <f>A27*10</f>
        <v>1</v>
      </c>
      <c r="C27" s="2">
        <v>4.2999999999999997E-2</v>
      </c>
      <c r="K27" s="2" t="s">
        <v>0</v>
      </c>
      <c r="L27" s="2" t="s">
        <v>15</v>
      </c>
      <c r="M27" s="2" t="s">
        <v>16</v>
      </c>
      <c r="N27" s="2" t="s">
        <v>17</v>
      </c>
      <c r="O27" s="2" t="s">
        <v>18</v>
      </c>
      <c r="P27" s="2" t="s">
        <v>19</v>
      </c>
      <c r="Q27" s="2" t="s">
        <v>20</v>
      </c>
      <c r="R27" s="2" t="s">
        <v>21</v>
      </c>
      <c r="S27" s="2" t="s">
        <v>22</v>
      </c>
    </row>
    <row r="28" spans="1:21" x14ac:dyDescent="0.3">
      <c r="A28" s="2">
        <v>0.2</v>
      </c>
      <c r="B28" s="2">
        <f t="shared" ref="B28:B31" si="31">A28*10</f>
        <v>2</v>
      </c>
      <c r="C28" s="2">
        <v>8.5000000000000006E-2</v>
      </c>
      <c r="K28" s="8" t="s">
        <v>62</v>
      </c>
      <c r="L28" s="2">
        <v>150</v>
      </c>
      <c r="M28" s="2">
        <v>5</v>
      </c>
      <c r="N28" s="2">
        <v>0.123</v>
      </c>
      <c r="O28" s="2">
        <v>0.12</v>
      </c>
      <c r="P28" s="2">
        <f>AVERAGE(N28:O28)</f>
        <v>0.1215</v>
      </c>
      <c r="Q28" s="2">
        <f>(P28*20.722+0.1653)/M28</f>
        <v>0.5366046000000001</v>
      </c>
      <c r="R28" s="2">
        <f>Q28/63.5</f>
        <v>8.4504661417322859E-3</v>
      </c>
      <c r="S28" s="2">
        <f>R28*L28</f>
        <v>1.2675699212598428</v>
      </c>
    </row>
    <row r="29" spans="1:21" x14ac:dyDescent="0.3">
      <c r="A29" s="2">
        <v>0.3</v>
      </c>
      <c r="B29" s="2">
        <f t="shared" si="31"/>
        <v>3</v>
      </c>
      <c r="C29" s="2">
        <v>0.13800000000000001</v>
      </c>
      <c r="K29" s="2" t="s">
        <v>60</v>
      </c>
      <c r="L29" s="2">
        <v>150</v>
      </c>
      <c r="M29" s="2">
        <v>5</v>
      </c>
      <c r="N29" s="2">
        <v>0.13500000000000001</v>
      </c>
      <c r="O29" s="2">
        <v>0.14099999999999999</v>
      </c>
      <c r="P29" s="2">
        <f t="shared" ref="P29:P30" si="32">AVERAGE(N29:O29)</f>
        <v>0.13800000000000001</v>
      </c>
      <c r="Q29" s="2">
        <f t="shared" ref="Q29:Q30" si="33">(P29*20.722+0.1653)/M29</f>
        <v>0.60498720000000006</v>
      </c>
      <c r="R29" s="2">
        <f t="shared" ref="R29:R30" si="34">Q29/63.5</f>
        <v>9.5273574803149616E-3</v>
      </c>
      <c r="S29" s="2">
        <f t="shared" ref="S29:S30" si="35">R29*L29</f>
        <v>1.4291036220472442</v>
      </c>
    </row>
    <row r="30" spans="1:21" x14ac:dyDescent="0.3">
      <c r="A30" s="2">
        <v>0.4</v>
      </c>
      <c r="B30" s="2">
        <f t="shared" si="31"/>
        <v>4</v>
      </c>
      <c r="C30" s="2">
        <v>0.183</v>
      </c>
      <c r="K30" s="2" t="s">
        <v>61</v>
      </c>
      <c r="L30" s="2">
        <v>150</v>
      </c>
      <c r="M30" s="2">
        <v>5</v>
      </c>
      <c r="N30" s="2">
        <v>0.13600000000000001</v>
      </c>
      <c r="O30" s="2">
        <v>0.14199999999999999</v>
      </c>
      <c r="P30" s="2">
        <f t="shared" si="32"/>
        <v>0.13900000000000001</v>
      </c>
      <c r="Q30" s="2">
        <f t="shared" si="33"/>
        <v>0.60913160000000011</v>
      </c>
      <c r="R30" s="2">
        <f t="shared" si="34"/>
        <v>9.5926236220472451E-3</v>
      </c>
      <c r="S30" s="2">
        <f t="shared" si="35"/>
        <v>1.4388935433070869</v>
      </c>
    </row>
    <row r="31" spans="1:21" x14ac:dyDescent="0.3">
      <c r="A31" s="2">
        <v>0.5</v>
      </c>
      <c r="B31" s="2">
        <f t="shared" si="31"/>
        <v>5</v>
      </c>
      <c r="C31" s="2">
        <v>0.23499999999999999</v>
      </c>
    </row>
  </sheetData>
  <mergeCells count="20">
    <mergeCell ref="S18:S20"/>
    <mergeCell ref="T18:T20"/>
    <mergeCell ref="U18:U20"/>
    <mergeCell ref="S21:S23"/>
    <mergeCell ref="T21:T23"/>
    <mergeCell ref="U21:U23"/>
    <mergeCell ref="S15:S17"/>
    <mergeCell ref="T15:T17"/>
    <mergeCell ref="A1:U1"/>
    <mergeCell ref="A13:U13"/>
    <mergeCell ref="U15:U17"/>
    <mergeCell ref="S9:S11"/>
    <mergeCell ref="T9:T11"/>
    <mergeCell ref="U9:U11"/>
    <mergeCell ref="S3:S5"/>
    <mergeCell ref="T3:T5"/>
    <mergeCell ref="U3:U5"/>
    <mergeCell ref="S6:S8"/>
    <mergeCell ref="T6:T8"/>
    <mergeCell ref="U6:U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92B74-9B34-410E-ACF0-374BC7C571A1}">
  <dimension ref="A2:R32"/>
  <sheetViews>
    <sheetView topLeftCell="A7" zoomScaleNormal="100" workbookViewId="0">
      <selection activeCell="J22" sqref="J22:L24"/>
    </sheetView>
  </sheetViews>
  <sheetFormatPr defaultRowHeight="15" x14ac:dyDescent="0.25"/>
  <cols>
    <col min="1" max="1" width="14" customWidth="1"/>
    <col min="7" max="7" width="16.5703125" customWidth="1"/>
    <col min="8" max="8" width="15.140625" customWidth="1"/>
    <col min="9" max="9" width="14.28515625" customWidth="1"/>
    <col min="10" max="10" width="18.5703125" customWidth="1"/>
    <col min="11" max="11" width="21.5703125" customWidth="1"/>
    <col min="12" max="12" width="28.140625" customWidth="1"/>
    <col min="13" max="13" width="19.42578125" customWidth="1"/>
    <col min="14" max="14" width="20.7109375" customWidth="1"/>
    <col min="15" max="15" width="27" customWidth="1"/>
    <col min="16" max="16" width="18.42578125" customWidth="1"/>
    <col min="17" max="17" width="21.140625" customWidth="1"/>
    <col min="18" max="18" width="22.85546875" customWidth="1"/>
  </cols>
  <sheetData>
    <row r="2" spans="1:18" ht="26.25" x14ac:dyDescent="0.4">
      <c r="A2" s="19" t="s">
        <v>40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8" ht="81" x14ac:dyDescent="0.3">
      <c r="A3" s="3" t="s">
        <v>0</v>
      </c>
      <c r="B3" s="3" t="s">
        <v>15</v>
      </c>
      <c r="C3" s="3" t="s">
        <v>16</v>
      </c>
      <c r="D3" s="3" t="s">
        <v>17</v>
      </c>
      <c r="E3" s="3" t="s">
        <v>18</v>
      </c>
      <c r="F3" s="3" t="s">
        <v>19</v>
      </c>
      <c r="G3" s="3" t="s">
        <v>20</v>
      </c>
      <c r="H3" s="3" t="s">
        <v>21</v>
      </c>
      <c r="I3" s="3" t="s">
        <v>22</v>
      </c>
      <c r="J3" s="3" t="s">
        <v>36</v>
      </c>
      <c r="K3" s="3" t="s">
        <v>37</v>
      </c>
      <c r="L3" s="3" t="s">
        <v>38</v>
      </c>
      <c r="M3" s="3" t="s">
        <v>1</v>
      </c>
      <c r="N3" s="3" t="s">
        <v>2</v>
      </c>
      <c r="O3" s="3" t="s">
        <v>6</v>
      </c>
      <c r="P3" s="4" t="s">
        <v>28</v>
      </c>
      <c r="Q3" s="4" t="s">
        <v>29</v>
      </c>
      <c r="R3" s="4" t="s">
        <v>30</v>
      </c>
    </row>
    <row r="4" spans="1:18" ht="20.25" x14ac:dyDescent="0.3">
      <c r="A4" s="2" t="s">
        <v>50</v>
      </c>
      <c r="B4" s="5">
        <v>20</v>
      </c>
      <c r="C4" s="5">
        <v>5</v>
      </c>
      <c r="D4" s="6">
        <v>0.19900000000000001</v>
      </c>
      <c r="E4" s="6">
        <v>0.19700000000000001</v>
      </c>
      <c r="F4" s="6">
        <f>AVERAGE(D4:E4)</f>
        <v>0.19800000000000001</v>
      </c>
      <c r="G4" s="3">
        <f>(F4*99.01-1.1089)/C4</f>
        <v>3.6990160000000012</v>
      </c>
      <c r="H4" s="3">
        <f>G4/63.5</f>
        <v>5.8252220472440962E-2</v>
      </c>
      <c r="I4" s="3">
        <f>H4*B4</f>
        <v>1.1650444094488193</v>
      </c>
      <c r="J4" s="3">
        <f>I4/M4</f>
        <v>0.90013475194994919</v>
      </c>
      <c r="K4" s="3">
        <f>I4/N4</f>
        <v>14.441116670934521</v>
      </c>
      <c r="L4" s="3">
        <f>I4/O4</f>
        <v>34.67394075740534</v>
      </c>
      <c r="M4">
        <v>1.2943</v>
      </c>
      <c r="N4" s="3">
        <v>8.067550702596922E-2</v>
      </c>
      <c r="O4" s="1">
        <v>3.3599999999999998E-2</v>
      </c>
      <c r="P4" s="17">
        <f>AVERAGE(J4:J6)</f>
        <v>0.84443101649158114</v>
      </c>
      <c r="Q4" s="17">
        <f>AVERAGE(K4:K6)</f>
        <v>13.547445872180718</v>
      </c>
      <c r="R4" s="17">
        <f>AVERAGE(L4:L6)</f>
        <v>32.624541673031615</v>
      </c>
    </row>
    <row r="5" spans="1:18" ht="20.25" x14ac:dyDescent="0.3">
      <c r="A5" s="2" t="s">
        <v>51</v>
      </c>
      <c r="B5" s="5">
        <v>20</v>
      </c>
      <c r="C5" s="5">
        <v>5</v>
      </c>
      <c r="D5" s="6">
        <v>0.20499999999999999</v>
      </c>
      <c r="E5" s="6">
        <v>0.20300000000000001</v>
      </c>
      <c r="F5" s="6">
        <f t="shared" ref="F5:F12" si="0">AVERAGE(D5:E5)</f>
        <v>0.20400000000000001</v>
      </c>
      <c r="G5" s="3">
        <f t="shared" ref="G5:G12" si="1">(F5*99.01-1.1089)/C5</f>
        <v>3.8178280000000009</v>
      </c>
      <c r="H5" s="3">
        <f t="shared" ref="H5:H11" si="2">G5/63.5</f>
        <v>6.0123275590551195E-2</v>
      </c>
      <c r="I5" s="3">
        <f t="shared" ref="I5:I11" si="3">H5*B5</f>
        <v>1.2024655118110239</v>
      </c>
      <c r="J5" s="3">
        <f t="shared" ref="J5:J12" si="4">I5/M5</f>
        <v>0.88625111424751168</v>
      </c>
      <c r="K5" s="3">
        <f t="shared" ref="K5:K12" si="5">I5/N5</f>
        <v>14.218377540550371</v>
      </c>
      <c r="L5" s="3">
        <f>I5/O5</f>
        <v>34.356157480314963</v>
      </c>
      <c r="M5">
        <v>1.3568</v>
      </c>
      <c r="N5" s="3">
        <v>8.4571218367329865E-2</v>
      </c>
      <c r="O5" s="1">
        <v>3.5000000000000003E-2</v>
      </c>
      <c r="P5" s="18"/>
      <c r="Q5" s="18"/>
      <c r="R5" s="18"/>
    </row>
    <row r="6" spans="1:18" ht="20.25" x14ac:dyDescent="0.3">
      <c r="A6" s="2" t="s">
        <v>52</v>
      </c>
      <c r="B6" s="5">
        <v>20</v>
      </c>
      <c r="C6" s="5">
        <v>5</v>
      </c>
      <c r="D6" s="6">
        <v>0.19800000000000001</v>
      </c>
      <c r="E6" s="6">
        <v>0.19900000000000001</v>
      </c>
      <c r="F6" s="6">
        <f t="shared" si="0"/>
        <v>0.19850000000000001</v>
      </c>
      <c r="G6" s="3">
        <f t="shared" si="1"/>
        <v>3.7089170000000009</v>
      </c>
      <c r="H6" s="3">
        <f t="shared" si="2"/>
        <v>5.8408141732283481E-2</v>
      </c>
      <c r="I6" s="3">
        <f t="shared" si="3"/>
        <v>1.1681628346456696</v>
      </c>
      <c r="J6" s="3">
        <f t="shared" si="4"/>
        <v>0.74690718327728234</v>
      </c>
      <c r="K6" s="3">
        <f t="shared" si="5"/>
        <v>11.982843405057267</v>
      </c>
      <c r="L6" s="3">
        <f t="shared" ref="L6:L12" si="6">I6/O6</f>
        <v>28.843526781374557</v>
      </c>
      <c r="M6">
        <v>1.5640000000000001</v>
      </c>
      <c r="N6" s="3">
        <v>9.7486280606208661E-2</v>
      </c>
      <c r="O6" s="1">
        <v>4.0500000000000001E-2</v>
      </c>
      <c r="P6" s="18"/>
      <c r="Q6" s="18"/>
      <c r="R6" s="18"/>
    </row>
    <row r="7" spans="1:18" ht="20.25" x14ac:dyDescent="0.3">
      <c r="A7" s="2" t="s">
        <v>53</v>
      </c>
      <c r="B7" s="5">
        <v>20</v>
      </c>
      <c r="C7" s="5">
        <v>5</v>
      </c>
      <c r="D7" s="6">
        <v>0.20599999999999999</v>
      </c>
      <c r="E7" s="6">
        <v>0.21</v>
      </c>
      <c r="F7" s="6">
        <f t="shared" si="0"/>
        <v>0.20799999999999999</v>
      </c>
      <c r="G7" s="3">
        <f t="shared" si="1"/>
        <v>3.8970360000000008</v>
      </c>
      <c r="H7" s="3">
        <f t="shared" si="2"/>
        <v>6.1370645669291353E-2</v>
      </c>
      <c r="I7" s="3">
        <f t="shared" si="3"/>
        <v>1.2274129133858271</v>
      </c>
      <c r="J7" s="3">
        <f t="shared" si="4"/>
        <v>0.84352478412880705</v>
      </c>
      <c r="K7" s="3">
        <f t="shared" si="5"/>
        <v>13.532906929812983</v>
      </c>
      <c r="L7" s="3">
        <f t="shared" si="6"/>
        <v>31.963877952755919</v>
      </c>
      <c r="M7">
        <v>1.4551000000000001</v>
      </c>
      <c r="N7" s="3">
        <v>9.0698393165021887E-2</v>
      </c>
      <c r="O7" s="1">
        <v>3.8399999999999997E-2</v>
      </c>
      <c r="P7" s="17">
        <f t="shared" ref="P7:R7" si="7">AVERAGE(J7:J9)</f>
        <v>0.86284973112895036</v>
      </c>
      <c r="Q7" s="17">
        <f t="shared" si="7"/>
        <v>13.842942525799188</v>
      </c>
      <c r="R7" s="17">
        <f t="shared" si="7"/>
        <v>32.578850838169593</v>
      </c>
    </row>
    <row r="8" spans="1:18" ht="20.25" x14ac:dyDescent="0.3">
      <c r="A8" s="2" t="s">
        <v>54</v>
      </c>
      <c r="B8" s="5">
        <v>20</v>
      </c>
      <c r="C8" s="5">
        <v>5</v>
      </c>
      <c r="D8" s="6">
        <v>0.20799999999999999</v>
      </c>
      <c r="E8" s="6">
        <v>0.21199999999999999</v>
      </c>
      <c r="F8" s="6">
        <f t="shared" si="0"/>
        <v>0.21</v>
      </c>
      <c r="G8" s="3">
        <f t="shared" si="1"/>
        <v>3.9366400000000006</v>
      </c>
      <c r="H8" s="3">
        <f t="shared" si="2"/>
        <v>6.1994330708661428E-2</v>
      </c>
      <c r="I8" s="3">
        <f t="shared" si="3"/>
        <v>1.2398866141732285</v>
      </c>
      <c r="J8" s="3">
        <f t="shared" si="4"/>
        <v>0.87426781425273492</v>
      </c>
      <c r="K8" s="3">
        <f t="shared" si="5"/>
        <v>14.02612606603225</v>
      </c>
      <c r="L8" s="3">
        <f t="shared" si="6"/>
        <v>32.975707823756075</v>
      </c>
      <c r="M8">
        <v>1.4181999999999999</v>
      </c>
      <c r="N8" s="3">
        <v>8.8398365189082548E-2</v>
      </c>
      <c r="O8" s="1">
        <v>3.7600000000000001E-2</v>
      </c>
      <c r="P8" s="18"/>
      <c r="Q8" s="18"/>
      <c r="R8" s="18"/>
    </row>
    <row r="9" spans="1:18" ht="20.25" x14ac:dyDescent="0.3">
      <c r="A9" s="2" t="s">
        <v>55</v>
      </c>
      <c r="B9" s="5">
        <v>20</v>
      </c>
      <c r="C9" s="5">
        <v>5</v>
      </c>
      <c r="D9" s="6">
        <v>0.21099999999999999</v>
      </c>
      <c r="E9" s="6">
        <v>0.21</v>
      </c>
      <c r="F9" s="6">
        <f t="shared" si="0"/>
        <v>0.21049999999999999</v>
      </c>
      <c r="G9" s="3">
        <f t="shared" si="1"/>
        <v>3.9465410000000007</v>
      </c>
      <c r="H9" s="3">
        <f t="shared" si="2"/>
        <v>6.2150251968503947E-2</v>
      </c>
      <c r="I9" s="3">
        <f t="shared" si="3"/>
        <v>1.2430050393700789</v>
      </c>
      <c r="J9" s="3">
        <f t="shared" si="4"/>
        <v>0.87075659500530922</v>
      </c>
      <c r="K9" s="3">
        <f t="shared" si="5"/>
        <v>13.96979458155233</v>
      </c>
      <c r="L9" s="3">
        <f t="shared" si="6"/>
        <v>32.796966737996804</v>
      </c>
      <c r="M9">
        <v>1.4275</v>
      </c>
      <c r="N9" s="3">
        <v>8.8978047036677013E-2</v>
      </c>
      <c r="O9" s="1">
        <v>3.7900000000000003E-2</v>
      </c>
      <c r="P9" s="18"/>
      <c r="Q9" s="18"/>
      <c r="R9" s="18"/>
    </row>
    <row r="10" spans="1:18" ht="20.25" x14ac:dyDescent="0.3">
      <c r="A10" s="2" t="s">
        <v>56</v>
      </c>
      <c r="B10" s="5">
        <v>20</v>
      </c>
      <c r="C10" s="5">
        <v>5</v>
      </c>
      <c r="D10" s="6">
        <v>0.19500000000000001</v>
      </c>
      <c r="E10" s="6">
        <v>0.19400000000000001</v>
      </c>
      <c r="F10" s="6">
        <f t="shared" si="0"/>
        <v>0.19450000000000001</v>
      </c>
      <c r="G10" s="3">
        <f t="shared" si="1"/>
        <v>3.6297090000000005</v>
      </c>
      <c r="H10" s="3">
        <f t="shared" si="2"/>
        <v>5.7160771653543316E-2</v>
      </c>
      <c r="I10" s="3">
        <f t="shared" si="3"/>
        <v>1.1432154330708664</v>
      </c>
      <c r="J10" s="3">
        <f t="shared" si="4"/>
        <v>0.85839873334649819</v>
      </c>
      <c r="K10" s="3">
        <f t="shared" si="5"/>
        <v>13.77153390821252</v>
      </c>
      <c r="L10" s="3">
        <f t="shared" si="6"/>
        <v>34.228006978169653</v>
      </c>
      <c r="M10">
        <v>1.3318000000000001</v>
      </c>
      <c r="N10" s="3">
        <v>8.3012933830785618E-2</v>
      </c>
      <c r="O10" s="1">
        <v>3.3399999999999999E-2</v>
      </c>
      <c r="P10" s="17">
        <f>AVERAGE(J10:J12)</f>
        <v>0.87021721548554376</v>
      </c>
      <c r="Q10" s="17">
        <f>AVERAGE(K10:K12)</f>
        <v>13.961141163208049</v>
      </c>
      <c r="R10" s="17">
        <f t="shared" ref="R10" si="8">AVERAGE(L10:L12)</f>
        <v>34.017666841776951</v>
      </c>
    </row>
    <row r="11" spans="1:18" ht="20.25" x14ac:dyDescent="0.3">
      <c r="A11" s="2" t="s">
        <v>57</v>
      </c>
      <c r="B11" s="5">
        <v>20</v>
      </c>
      <c r="C11" s="5">
        <v>5</v>
      </c>
      <c r="D11" s="6">
        <v>0.19600000000000001</v>
      </c>
      <c r="E11" s="6">
        <v>0.19600000000000001</v>
      </c>
      <c r="F11" s="6">
        <f t="shared" si="0"/>
        <v>0.19600000000000001</v>
      </c>
      <c r="G11" s="3">
        <f t="shared" si="1"/>
        <v>3.6594120000000006</v>
      </c>
      <c r="H11" s="3">
        <f t="shared" si="2"/>
        <v>5.7628535433070872E-2</v>
      </c>
      <c r="I11" s="3">
        <f t="shared" si="3"/>
        <v>1.1525707086614174</v>
      </c>
      <c r="J11" s="3">
        <f t="shared" si="4"/>
        <v>0.90489966920108145</v>
      </c>
      <c r="K11" s="3">
        <f t="shared" si="5"/>
        <v>14.517561587433839</v>
      </c>
      <c r="L11" s="3">
        <f t="shared" si="6"/>
        <v>35.246810662428665</v>
      </c>
      <c r="M11">
        <v>1.2737000000000001</v>
      </c>
      <c r="N11" s="3">
        <v>7.9391480567856762E-2</v>
      </c>
      <c r="O11" s="1">
        <v>3.27E-2</v>
      </c>
      <c r="P11" s="18"/>
      <c r="Q11" s="18"/>
      <c r="R11" s="18"/>
    </row>
    <row r="12" spans="1:18" ht="20.25" x14ac:dyDescent="0.3">
      <c r="A12" s="2" t="s">
        <v>58</v>
      </c>
      <c r="B12" s="5">
        <v>20</v>
      </c>
      <c r="C12" s="5">
        <v>5</v>
      </c>
      <c r="D12" s="6">
        <v>0.19500000000000001</v>
      </c>
      <c r="E12" s="6">
        <v>0.192</v>
      </c>
      <c r="F12" s="6">
        <f t="shared" si="0"/>
        <v>0.19350000000000001</v>
      </c>
      <c r="G12" s="3">
        <f t="shared" si="1"/>
        <v>3.6099070000000006</v>
      </c>
      <c r="H12" s="3">
        <f>G12/63.5</f>
        <v>5.6848929133858278E-2</v>
      </c>
      <c r="I12" s="3">
        <f>H12*B12</f>
        <v>1.1369785826771657</v>
      </c>
      <c r="J12" s="3">
        <f t="shared" si="4"/>
        <v>0.84735324390905176</v>
      </c>
      <c r="K12" s="3">
        <f t="shared" si="5"/>
        <v>13.594327993977794</v>
      </c>
      <c r="L12" s="3">
        <f t="shared" si="6"/>
        <v>32.578182884732541</v>
      </c>
      <c r="M12">
        <v>1.3418000000000001</v>
      </c>
      <c r="N12" s="3">
        <v>8.3636247645403311E-2</v>
      </c>
      <c r="O12" s="1">
        <v>3.49E-2</v>
      </c>
      <c r="P12" s="18"/>
      <c r="Q12" s="18"/>
      <c r="R12" s="18"/>
    </row>
    <row r="13" spans="1:18" ht="20.25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26.25" x14ac:dyDescent="0.4">
      <c r="A14" s="19" t="s">
        <v>39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</row>
    <row r="15" spans="1:18" ht="81" x14ac:dyDescent="0.3">
      <c r="A15" s="3" t="s">
        <v>0</v>
      </c>
      <c r="B15" s="3" t="s">
        <v>15</v>
      </c>
      <c r="C15" s="3" t="s">
        <v>16</v>
      </c>
      <c r="D15" s="3" t="s">
        <v>17</v>
      </c>
      <c r="E15" s="3" t="s">
        <v>18</v>
      </c>
      <c r="F15" s="3" t="s">
        <v>19</v>
      </c>
      <c r="G15" s="3" t="s">
        <v>20</v>
      </c>
      <c r="H15" s="3" t="s">
        <v>21</v>
      </c>
      <c r="I15" s="3" t="s">
        <v>22</v>
      </c>
      <c r="J15" s="3" t="s">
        <v>36</v>
      </c>
      <c r="K15" s="3" t="s">
        <v>37</v>
      </c>
      <c r="L15" s="3" t="s">
        <v>38</v>
      </c>
      <c r="M15" s="3" t="s">
        <v>3</v>
      </c>
      <c r="N15" s="3" t="s">
        <v>4</v>
      </c>
      <c r="O15" s="3" t="s">
        <v>33</v>
      </c>
      <c r="P15" s="4" t="s">
        <v>28</v>
      </c>
      <c r="Q15" s="4" t="s">
        <v>29</v>
      </c>
      <c r="R15" s="4" t="s">
        <v>30</v>
      </c>
    </row>
    <row r="16" spans="1:18" ht="20.25" x14ac:dyDescent="0.3">
      <c r="A16" s="2" t="s">
        <v>50</v>
      </c>
      <c r="B16" s="5">
        <v>20</v>
      </c>
      <c r="C16" s="5">
        <v>5</v>
      </c>
      <c r="D16" s="6">
        <v>0.17499999999999999</v>
      </c>
      <c r="E16" s="6">
        <v>0.17499999999999999</v>
      </c>
      <c r="F16" s="6">
        <f>AVERAGE(D16:E16)</f>
        <v>0.17499999999999999</v>
      </c>
      <c r="G16" s="3">
        <f>(F16*99.01-1.1089)/C16</f>
        <v>3.2435700000000005</v>
      </c>
      <c r="H16" s="3">
        <f>G16/63.5</f>
        <v>5.1079842519685045E-2</v>
      </c>
      <c r="I16" s="3">
        <f>H16*B16</f>
        <v>1.021596850393701</v>
      </c>
      <c r="J16" s="3">
        <f>I16/M16</f>
        <v>0.52516159481504188</v>
      </c>
      <c r="K16" s="3">
        <f>I16/N16</f>
        <v>5.320091287162148</v>
      </c>
      <c r="L16" s="3">
        <f>I16/O16</f>
        <v>11.715560210936937</v>
      </c>
      <c r="M16">
        <v>1.9453</v>
      </c>
      <c r="N16" s="3">
        <v>0.19202618813306921</v>
      </c>
      <c r="O16" s="1">
        <v>8.72E-2</v>
      </c>
      <c r="P16" s="17">
        <f>AVERAGE(J16:J18)</f>
        <v>0.48464955090300649</v>
      </c>
      <c r="Q16" s="17">
        <f>AVERAGE(K16:K18)</f>
        <v>4.9096885197673679</v>
      </c>
      <c r="R16" s="17">
        <f>AVERAGE(L16:L18)</f>
        <v>10.712949430506514</v>
      </c>
    </row>
    <row r="17" spans="1:18" ht="20.25" x14ac:dyDescent="0.3">
      <c r="A17" s="2" t="s">
        <v>51</v>
      </c>
      <c r="B17" s="5">
        <v>20</v>
      </c>
      <c r="C17" s="5">
        <v>5</v>
      </c>
      <c r="D17" s="6">
        <v>0.161</v>
      </c>
      <c r="E17" s="6">
        <v>0.159</v>
      </c>
      <c r="F17" s="6">
        <f t="shared" ref="F17:F24" si="9">AVERAGE(D17:E17)</f>
        <v>0.16</v>
      </c>
      <c r="G17" s="3">
        <f t="shared" ref="G17:G24" si="10">(F17*99.01-1.1089)/C17</f>
        <v>2.9465400000000002</v>
      </c>
      <c r="H17" s="3">
        <f t="shared" ref="H17:H23" si="11">G17/63.5</f>
        <v>4.6402204724409452E-2</v>
      </c>
      <c r="I17" s="3">
        <f t="shared" ref="I17:I23" si="12">H17*B17</f>
        <v>0.92804409448818903</v>
      </c>
      <c r="J17" s="3">
        <f t="shared" ref="J17:J23" si="13">I17/M17</f>
        <v>0.485836087576269</v>
      </c>
      <c r="K17" s="3">
        <f t="shared" ref="K17:K23" si="14">I17/N17</f>
        <v>4.9217085979293005</v>
      </c>
      <c r="L17" s="3">
        <f t="shared" ref="L17:L24" si="15">I17/O17</f>
        <v>10.81636473762458</v>
      </c>
      <c r="M17">
        <v>1.9101999999999999</v>
      </c>
      <c r="N17" s="3">
        <v>0.18856136563604009</v>
      </c>
      <c r="O17" s="1">
        <v>8.5800000000000001E-2</v>
      </c>
      <c r="P17" s="18"/>
      <c r="Q17" s="18"/>
      <c r="R17" s="18"/>
    </row>
    <row r="18" spans="1:18" ht="20.25" x14ac:dyDescent="0.3">
      <c r="A18" s="2" t="s">
        <v>52</v>
      </c>
      <c r="B18" s="5">
        <v>20</v>
      </c>
      <c r="C18" s="5">
        <v>5</v>
      </c>
      <c r="D18" s="6">
        <v>0.16300000000000001</v>
      </c>
      <c r="E18" s="6">
        <v>0.161</v>
      </c>
      <c r="F18" s="6">
        <f t="shared" si="9"/>
        <v>0.16200000000000001</v>
      </c>
      <c r="G18" s="3">
        <f t="shared" si="10"/>
        <v>2.9861440000000004</v>
      </c>
      <c r="H18" s="3">
        <f t="shared" si="11"/>
        <v>4.7025889763779534E-2</v>
      </c>
      <c r="I18" s="3">
        <f t="shared" si="12"/>
        <v>0.94051779527559065</v>
      </c>
      <c r="J18" s="3">
        <f t="shared" si="13"/>
        <v>0.44295097031770858</v>
      </c>
      <c r="K18" s="3">
        <f t="shared" si="14"/>
        <v>4.4872656742106534</v>
      </c>
      <c r="L18" s="3">
        <f t="shared" si="15"/>
        <v>9.6069233429580247</v>
      </c>
      <c r="M18">
        <v>2.1233</v>
      </c>
      <c r="N18" s="3">
        <v>0.20959708284734788</v>
      </c>
      <c r="O18" s="1">
        <v>9.7900000000000001E-2</v>
      </c>
      <c r="P18" s="18"/>
      <c r="Q18" s="18"/>
      <c r="R18" s="18"/>
    </row>
    <row r="19" spans="1:18" ht="20.25" x14ac:dyDescent="0.3">
      <c r="A19" s="2" t="s">
        <v>53</v>
      </c>
      <c r="B19" s="5">
        <v>20</v>
      </c>
      <c r="C19" s="5">
        <v>5</v>
      </c>
      <c r="D19" s="6">
        <v>0.17599999999999999</v>
      </c>
      <c r="E19" s="6">
        <v>0.17399999999999999</v>
      </c>
      <c r="F19" s="6">
        <f t="shared" si="9"/>
        <v>0.17499999999999999</v>
      </c>
      <c r="G19" s="3">
        <f t="shared" si="10"/>
        <v>3.2435700000000005</v>
      </c>
      <c r="H19" s="3">
        <f t="shared" si="11"/>
        <v>5.1079842519685045E-2</v>
      </c>
      <c r="I19" s="3">
        <f t="shared" si="12"/>
        <v>1.021596850393701</v>
      </c>
      <c r="J19" s="3">
        <f t="shared" si="13"/>
        <v>0.48458251133369745</v>
      </c>
      <c r="K19" s="3">
        <f t="shared" si="14"/>
        <v>4.9090093828462793</v>
      </c>
      <c r="L19" s="3">
        <f t="shared" si="15"/>
        <v>10.77633808432174</v>
      </c>
      <c r="M19">
        <v>2.1082000000000001</v>
      </c>
      <c r="N19" s="3">
        <v>0.2081065181833838</v>
      </c>
      <c r="O19" s="1">
        <v>9.4799999999999995E-2</v>
      </c>
      <c r="P19" s="17">
        <f t="shared" ref="P19:R19" si="16">AVERAGE(J19:J21)</f>
        <v>0.45002316229901096</v>
      </c>
      <c r="Q19" s="17">
        <f t="shared" si="16"/>
        <v>4.5589097306541104</v>
      </c>
      <c r="R19" s="17">
        <f t="shared" si="16"/>
        <v>10.055555695242242</v>
      </c>
    </row>
    <row r="20" spans="1:18" ht="20.25" x14ac:dyDescent="0.3">
      <c r="A20" s="2" t="s">
        <v>54</v>
      </c>
      <c r="B20" s="5">
        <v>20</v>
      </c>
      <c r="C20" s="5">
        <v>5</v>
      </c>
      <c r="D20" s="6">
        <v>0.157</v>
      </c>
      <c r="E20" s="6">
        <v>0.16</v>
      </c>
      <c r="F20" s="6">
        <f t="shared" si="9"/>
        <v>0.1585</v>
      </c>
      <c r="G20" s="3">
        <f t="shared" si="10"/>
        <v>2.9168370000000001</v>
      </c>
      <c r="H20" s="3">
        <f t="shared" si="11"/>
        <v>4.5934440944881895E-2</v>
      </c>
      <c r="I20" s="3">
        <f t="shared" si="12"/>
        <v>0.91868881889763787</v>
      </c>
      <c r="J20" s="3">
        <f t="shared" si="13"/>
        <v>0.4403224783826869</v>
      </c>
      <c r="K20" s="3">
        <f t="shared" si="14"/>
        <v>4.4606380282061702</v>
      </c>
      <c r="L20" s="3">
        <f t="shared" si="15"/>
        <v>10.007503473830477</v>
      </c>
      <c r="M20">
        <v>2.0863999999999998</v>
      </c>
      <c r="N20" s="3">
        <v>0.2059545771453429</v>
      </c>
      <c r="O20" s="1">
        <v>9.1800000000000007E-2</v>
      </c>
      <c r="P20" s="18"/>
      <c r="Q20" s="18"/>
      <c r="R20" s="18"/>
    </row>
    <row r="21" spans="1:18" ht="20.25" x14ac:dyDescent="0.3">
      <c r="A21" s="2" t="s">
        <v>55</v>
      </c>
      <c r="B21" s="5">
        <v>20</v>
      </c>
      <c r="C21" s="5">
        <v>5</v>
      </c>
      <c r="D21" s="6">
        <v>0.16400000000000001</v>
      </c>
      <c r="E21" s="6">
        <v>0.16500000000000001</v>
      </c>
      <c r="F21" s="6">
        <f t="shared" si="9"/>
        <v>0.16450000000000001</v>
      </c>
      <c r="G21" s="3">
        <f t="shared" si="10"/>
        <v>3.0356490000000003</v>
      </c>
      <c r="H21" s="3">
        <f t="shared" si="11"/>
        <v>4.7805496062992128E-2</v>
      </c>
      <c r="I21" s="3">
        <f t="shared" si="12"/>
        <v>0.95610992125984251</v>
      </c>
      <c r="J21" s="3">
        <f t="shared" si="13"/>
        <v>0.42516449718064853</v>
      </c>
      <c r="K21" s="3">
        <f t="shared" si="14"/>
        <v>4.3070817809098818</v>
      </c>
      <c r="L21" s="3">
        <f t="shared" si="15"/>
        <v>9.3828255275745089</v>
      </c>
      <c r="M21">
        <v>2.2488000000000001</v>
      </c>
      <c r="N21" s="3">
        <v>0.2219855507498309</v>
      </c>
      <c r="O21" s="1">
        <v>0.1019</v>
      </c>
      <c r="P21" s="18"/>
      <c r="Q21" s="18"/>
      <c r="R21" s="18"/>
    </row>
    <row r="22" spans="1:18" ht="20.25" x14ac:dyDescent="0.3">
      <c r="A22" s="2" t="s">
        <v>56</v>
      </c>
      <c r="B22" s="5">
        <v>20</v>
      </c>
      <c r="C22" s="5">
        <v>5</v>
      </c>
      <c r="D22" s="6">
        <v>0.153</v>
      </c>
      <c r="E22" s="6">
        <v>0.155</v>
      </c>
      <c r="F22" s="6">
        <f t="shared" si="9"/>
        <v>0.154</v>
      </c>
      <c r="G22" s="3">
        <f t="shared" si="10"/>
        <v>2.827728</v>
      </c>
      <c r="H22" s="3">
        <f t="shared" si="11"/>
        <v>4.4531149606299211E-2</v>
      </c>
      <c r="I22" s="3">
        <f t="shared" si="12"/>
        <v>0.89062299212598428</v>
      </c>
      <c r="J22" s="3">
        <f t="shared" si="13"/>
        <v>0.44072792563637386</v>
      </c>
      <c r="K22" s="3">
        <f t="shared" si="14"/>
        <v>4.4647453666388355</v>
      </c>
      <c r="L22" s="3">
        <f t="shared" si="15"/>
        <v>9.8520242491812429</v>
      </c>
      <c r="M22">
        <v>2.0207999999999999</v>
      </c>
      <c r="N22" s="3">
        <v>0.19947901145288965</v>
      </c>
      <c r="O22" s="1">
        <v>9.0399999999999994E-2</v>
      </c>
      <c r="P22" s="17">
        <f t="shared" ref="P22:R22" si="17">AVERAGE(J22:J24)</f>
        <v>0.44191596127664839</v>
      </c>
      <c r="Q22" s="17">
        <f t="shared" si="17"/>
        <v>4.4767806299198236</v>
      </c>
      <c r="R22" s="17">
        <f t="shared" si="17"/>
        <v>9.6856640097513615</v>
      </c>
    </row>
    <row r="23" spans="1:18" ht="20.25" x14ac:dyDescent="0.3">
      <c r="A23" s="2" t="s">
        <v>57</v>
      </c>
      <c r="B23" s="5">
        <v>20</v>
      </c>
      <c r="C23" s="5">
        <v>5</v>
      </c>
      <c r="D23" s="6">
        <v>0.153</v>
      </c>
      <c r="E23" s="6">
        <v>0.154</v>
      </c>
      <c r="F23" s="6">
        <f t="shared" si="9"/>
        <v>0.1535</v>
      </c>
      <c r="G23" s="3">
        <f t="shared" si="10"/>
        <v>2.8178270000000003</v>
      </c>
      <c r="H23" s="3">
        <f t="shared" si="11"/>
        <v>4.4375228346456699E-2</v>
      </c>
      <c r="I23" s="3">
        <f t="shared" si="12"/>
        <v>0.88750456692913393</v>
      </c>
      <c r="J23" s="3">
        <f t="shared" si="13"/>
        <v>0.46166488084120572</v>
      </c>
      <c r="K23" s="3">
        <f t="shared" si="14"/>
        <v>4.6768448690865725</v>
      </c>
      <c r="L23" s="3">
        <f t="shared" si="15"/>
        <v>10.016981568048916</v>
      </c>
      <c r="M23">
        <v>1.9224000000000001</v>
      </c>
      <c r="N23" s="3">
        <v>0.18976566291420977</v>
      </c>
      <c r="O23" s="1">
        <v>8.8599999999999998E-2</v>
      </c>
      <c r="P23" s="18"/>
      <c r="Q23" s="18"/>
      <c r="R23" s="18"/>
    </row>
    <row r="24" spans="1:18" ht="20.25" x14ac:dyDescent="0.3">
      <c r="A24" s="2" t="s">
        <v>58</v>
      </c>
      <c r="B24" s="5">
        <v>20</v>
      </c>
      <c r="C24" s="5">
        <v>5</v>
      </c>
      <c r="D24" s="6">
        <v>0.151</v>
      </c>
      <c r="E24" s="6">
        <v>0.14599999999999999</v>
      </c>
      <c r="F24" s="6">
        <f t="shared" si="9"/>
        <v>0.14849999999999999</v>
      </c>
      <c r="G24" s="3">
        <f t="shared" si="10"/>
        <v>2.718817</v>
      </c>
      <c r="H24" s="3">
        <f>G24/63.5</f>
        <v>4.2816015748031497E-2</v>
      </c>
      <c r="I24" s="3">
        <f>H24*B24</f>
        <v>0.85632031496062999</v>
      </c>
      <c r="J24" s="3">
        <f>I24/M24</f>
        <v>0.42335507735236566</v>
      </c>
      <c r="K24" s="3">
        <f>I24/N24</f>
        <v>4.2887516540340638</v>
      </c>
      <c r="L24" s="3">
        <f t="shared" si="15"/>
        <v>9.187986212023926</v>
      </c>
      <c r="M24">
        <v>2.0226999999999999</v>
      </c>
      <c r="N24" s="3">
        <v>0.19966656594703083</v>
      </c>
      <c r="O24" s="1">
        <v>9.3200000000000005E-2</v>
      </c>
      <c r="P24" s="18"/>
      <c r="Q24" s="18"/>
      <c r="R24" s="18"/>
    </row>
    <row r="27" spans="1:18" ht="20.25" x14ac:dyDescent="0.3">
      <c r="A27" s="7" t="s">
        <v>35</v>
      </c>
    </row>
    <row r="28" spans="1:18" x14ac:dyDescent="0.25">
      <c r="A28">
        <v>1.4</v>
      </c>
      <c r="B28">
        <f>A28*10</f>
        <v>14</v>
      </c>
      <c r="C28">
        <v>0.152</v>
      </c>
    </row>
    <row r="29" spans="1:18" x14ac:dyDescent="0.25">
      <c r="A29">
        <v>1.6</v>
      </c>
      <c r="B29">
        <f t="shared" ref="B29:B32" si="18">A29*10</f>
        <v>16</v>
      </c>
      <c r="C29">
        <v>0.17399999999999999</v>
      </c>
    </row>
    <row r="30" spans="1:18" x14ac:dyDescent="0.25">
      <c r="A30">
        <v>1.8</v>
      </c>
      <c r="B30">
        <f t="shared" si="18"/>
        <v>18</v>
      </c>
      <c r="C30">
        <v>0.191</v>
      </c>
    </row>
    <row r="31" spans="1:18" x14ac:dyDescent="0.25">
      <c r="A31">
        <v>2</v>
      </c>
      <c r="B31">
        <f t="shared" si="18"/>
        <v>20</v>
      </c>
      <c r="C31">
        <v>0.218</v>
      </c>
    </row>
    <row r="32" spans="1:18" x14ac:dyDescent="0.25">
      <c r="A32">
        <v>2.2000000000000002</v>
      </c>
      <c r="B32">
        <f t="shared" si="18"/>
        <v>22</v>
      </c>
      <c r="C32">
        <v>0.23</v>
      </c>
    </row>
  </sheetData>
  <mergeCells count="20">
    <mergeCell ref="A2:R2"/>
    <mergeCell ref="P4:P6"/>
    <mergeCell ref="Q4:Q6"/>
    <mergeCell ref="R4:R6"/>
    <mergeCell ref="P7:P9"/>
    <mergeCell ref="Q7:Q9"/>
    <mergeCell ref="R7:R9"/>
    <mergeCell ref="P10:P12"/>
    <mergeCell ref="Q10:Q12"/>
    <mergeCell ref="R10:R12"/>
    <mergeCell ref="A14:R14"/>
    <mergeCell ref="P16:P18"/>
    <mergeCell ref="Q16:Q18"/>
    <mergeCell ref="R16:R18"/>
    <mergeCell ref="P19:P21"/>
    <mergeCell ref="Q19:Q21"/>
    <mergeCell ref="R19:R21"/>
    <mergeCell ref="P22:P24"/>
    <mergeCell ref="Q22:Q24"/>
    <mergeCell ref="R22:R2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08271-880B-4179-A51B-E2523A7B972A}">
  <dimension ref="A1:O24"/>
  <sheetViews>
    <sheetView workbookViewId="0">
      <selection activeCell="J15" sqref="J15:K17"/>
    </sheetView>
  </sheetViews>
  <sheetFormatPr defaultRowHeight="15" x14ac:dyDescent="0.25"/>
  <cols>
    <col min="1" max="1" width="23.28515625" customWidth="1"/>
    <col min="2" max="2" width="10.5703125" customWidth="1"/>
    <col min="3" max="3" width="12.42578125" customWidth="1"/>
    <col min="4" max="4" width="14" customWidth="1"/>
    <col min="5" max="5" width="14.85546875" customWidth="1"/>
    <col min="6" max="6" width="13" customWidth="1"/>
    <col min="7" max="7" width="12.85546875" customWidth="1"/>
    <col min="8" max="8" width="16.5703125" customWidth="1"/>
    <col min="9" max="9" width="16.28515625" customWidth="1"/>
    <col min="10" max="10" width="25.5703125" customWidth="1"/>
    <col min="11" max="11" width="23.28515625" customWidth="1"/>
    <col min="12" max="12" width="18" customWidth="1"/>
    <col min="13" max="13" width="19.42578125" customWidth="1"/>
    <col min="14" max="14" width="35.7109375" customWidth="1"/>
    <col min="15" max="15" width="35.28515625" customWidth="1"/>
  </cols>
  <sheetData>
    <row r="1" spans="1:15" ht="28.5" x14ac:dyDescent="0.45">
      <c r="A1" s="23" t="s">
        <v>92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1:15" ht="60.75" x14ac:dyDescent="0.3">
      <c r="A2" s="3" t="s">
        <v>0</v>
      </c>
      <c r="B2" s="11" t="s">
        <v>15</v>
      </c>
      <c r="C2" s="3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3" t="s">
        <v>76</v>
      </c>
      <c r="K2" s="3" t="s">
        <v>77</v>
      </c>
      <c r="L2" s="3" t="s">
        <v>1</v>
      </c>
      <c r="M2" s="3" t="s">
        <v>2</v>
      </c>
      <c r="N2" s="3" t="s">
        <v>78</v>
      </c>
      <c r="O2" s="3" t="s">
        <v>79</v>
      </c>
    </row>
    <row r="3" spans="1:15" ht="20.25" x14ac:dyDescent="0.3">
      <c r="A3" s="3" t="s">
        <v>80</v>
      </c>
      <c r="B3" s="11">
        <f>25.05+0.5+2*0.017+2*0.017+0.05+0.014+0.05+0.05+0.011</f>
        <v>25.792999999999999</v>
      </c>
      <c r="C3" s="5">
        <v>10</v>
      </c>
      <c r="D3" s="6">
        <v>7.3999999999999996E-2</v>
      </c>
      <c r="E3" s="6">
        <v>7.3999999999999996E-2</v>
      </c>
      <c r="F3" s="6">
        <f t="shared" ref="F3:F5" si="0">AVERAGE(D3:E3)</f>
        <v>7.3999999999999996E-2</v>
      </c>
      <c r="G3" s="3">
        <f>(F3*33.892+0.543)/C3</f>
        <v>0.30510080000000006</v>
      </c>
      <c r="H3" s="3">
        <f t="shared" ref="H3:H5" si="1">G3/63.5</f>
        <v>4.8047370078740164E-3</v>
      </c>
      <c r="I3" s="3">
        <f t="shared" ref="I3:I5" si="2">H3*B3</f>
        <v>0.1239285816440945</v>
      </c>
      <c r="J3" s="3">
        <f>I3/L3</f>
        <v>8.3050919209284618E-2</v>
      </c>
      <c r="K3" s="3">
        <f>I3/M3</f>
        <v>1.3618525455395001</v>
      </c>
      <c r="L3" s="3">
        <v>1.4922</v>
      </c>
      <c r="M3" s="3">
        <v>9.0999999999999998E-2</v>
      </c>
      <c r="N3" s="20">
        <f>AVERAGE(J3:J5)</f>
        <v>6.4828785573443279E-2</v>
      </c>
      <c r="O3" s="20">
        <f>AVERAGE(K3:K5)</f>
        <v>1.0438912992815796</v>
      </c>
    </row>
    <row r="4" spans="1:15" ht="20.25" x14ac:dyDescent="0.3">
      <c r="A4" s="3" t="s">
        <v>81</v>
      </c>
      <c r="B4" s="11">
        <f>25+0.6+0.05+0.1+4*0.017</f>
        <v>25.818000000000005</v>
      </c>
      <c r="C4" s="5">
        <v>10</v>
      </c>
      <c r="D4" s="6">
        <v>4.9000000000000002E-2</v>
      </c>
      <c r="E4" s="6">
        <v>4.9000000000000002E-2</v>
      </c>
      <c r="F4" s="6">
        <f t="shared" si="0"/>
        <v>4.9000000000000002E-2</v>
      </c>
      <c r="G4" s="3">
        <f t="shared" ref="G4:G14" si="3">(F4*33.892+0.543)/C4</f>
        <v>0.22037080000000003</v>
      </c>
      <c r="H4" s="3">
        <f t="shared" si="1"/>
        <v>3.4704062992125988E-3</v>
      </c>
      <c r="I4" s="3">
        <f t="shared" si="2"/>
        <v>8.9598949833070887E-2</v>
      </c>
      <c r="J4" s="3">
        <f t="shared" ref="J4:J14" si="4">I4/L4</f>
        <v>5.9680909766915931E-2</v>
      </c>
      <c r="K4" s="3">
        <f t="shared" ref="K4:K14" si="5">I4/M4</f>
        <v>0.96033172382712639</v>
      </c>
      <c r="L4" s="3">
        <v>1.5013000000000001</v>
      </c>
      <c r="M4" s="3">
        <v>9.3299999999999994E-2</v>
      </c>
      <c r="N4" s="21"/>
      <c r="O4" s="21"/>
    </row>
    <row r="5" spans="1:15" ht="20.25" x14ac:dyDescent="0.3">
      <c r="A5" s="3" t="s">
        <v>82</v>
      </c>
      <c r="B5" s="11">
        <f>25+0.5+0.05+0.1+4*0.017</f>
        <v>25.718000000000004</v>
      </c>
      <c r="C5" s="5">
        <v>10</v>
      </c>
      <c r="D5" s="6">
        <v>3.5000000000000003E-2</v>
      </c>
      <c r="E5" s="6">
        <v>4.2999999999999997E-2</v>
      </c>
      <c r="F5" s="6">
        <f t="shared" si="0"/>
        <v>3.9E-2</v>
      </c>
      <c r="G5" s="3">
        <f t="shared" si="3"/>
        <v>0.18647880000000003</v>
      </c>
      <c r="H5" s="3">
        <f t="shared" si="1"/>
        <v>2.936674015748032E-3</v>
      </c>
      <c r="I5" s="3">
        <f t="shared" si="2"/>
        <v>7.5525382337007896E-2</v>
      </c>
      <c r="J5" s="3">
        <f t="shared" si="4"/>
        <v>5.1754527744129301E-2</v>
      </c>
      <c r="K5" s="3">
        <f t="shared" si="5"/>
        <v>0.80948962847811257</v>
      </c>
      <c r="L5" s="3">
        <v>1.4593</v>
      </c>
      <c r="M5" s="3">
        <v>9.3299999999999994E-2</v>
      </c>
      <c r="N5" s="22"/>
      <c r="O5" s="22"/>
    </row>
    <row r="6" spans="1:15" ht="23.25" x14ac:dyDescent="0.4">
      <c r="A6" s="1" t="s">
        <v>83</v>
      </c>
      <c r="B6" s="11">
        <f>25.35+0.7+0.2+0.1+2*0.0125</f>
        <v>26.375</v>
      </c>
      <c r="C6" s="5">
        <v>5</v>
      </c>
      <c r="D6" s="6">
        <v>0.16500000000000001</v>
      </c>
      <c r="E6" s="6">
        <v>0.17199999999999999</v>
      </c>
      <c r="F6" s="6">
        <f>AVERAGE(D6:E6)</f>
        <v>0.16849999999999998</v>
      </c>
      <c r="G6" s="3">
        <f t="shared" si="3"/>
        <v>1.2507604000000001</v>
      </c>
      <c r="H6" s="3">
        <f>G6/63.5</f>
        <v>1.9697014173228347E-2</v>
      </c>
      <c r="I6" s="3">
        <f>H6*B6</f>
        <v>0.51950874881889764</v>
      </c>
      <c r="J6" s="3">
        <f t="shared" si="4"/>
        <v>0.52962457826373499</v>
      </c>
      <c r="K6" s="3">
        <f t="shared" si="5"/>
        <v>7.7307849526621677</v>
      </c>
      <c r="L6" s="1">
        <v>0.98089999999999999</v>
      </c>
      <c r="M6" s="1">
        <v>6.7199999999999996E-2</v>
      </c>
      <c r="N6" s="20">
        <f>AVERAGE(J6:J8)</f>
        <v>0.45118779142710363</v>
      </c>
      <c r="O6" s="20">
        <f>AVERAGE(K6:K8)</f>
        <v>6.7101272997659125</v>
      </c>
    </row>
    <row r="7" spans="1:15" ht="23.25" x14ac:dyDescent="0.4">
      <c r="A7" s="1" t="s">
        <v>84</v>
      </c>
      <c r="B7" s="11">
        <f>25+1.4+0.2+2*0.017+0.1+5*0.0125</f>
        <v>26.796499999999998</v>
      </c>
      <c r="C7" s="5">
        <v>5</v>
      </c>
      <c r="D7" s="6">
        <v>0.14199999999999999</v>
      </c>
      <c r="E7" s="6">
        <v>0.14000000000000001</v>
      </c>
      <c r="F7" s="6">
        <f t="shared" ref="F7:F14" si="6">AVERAGE(D7:E7)</f>
        <v>0.14100000000000001</v>
      </c>
      <c r="G7" s="3">
        <f t="shared" si="3"/>
        <v>1.0643544000000003</v>
      </c>
      <c r="H7" s="3">
        <f t="shared" ref="H7:H13" si="7">G7/63.5</f>
        <v>1.6761486614173232E-2</v>
      </c>
      <c r="I7" s="3">
        <f t="shared" ref="I7:I13" si="8">H7*B7</f>
        <v>0.44914917605669297</v>
      </c>
      <c r="J7" s="3">
        <f t="shared" si="4"/>
        <v>0.37970172969540361</v>
      </c>
      <c r="K7" s="3">
        <f>I7/M7</f>
        <v>5.6926384798059946</v>
      </c>
      <c r="L7" s="1">
        <v>1.1829000000000001</v>
      </c>
      <c r="M7" s="1">
        <v>7.8899999999999998E-2</v>
      </c>
      <c r="N7" s="21"/>
      <c r="O7" s="21"/>
    </row>
    <row r="8" spans="1:15" ht="23.25" x14ac:dyDescent="0.4">
      <c r="A8" s="1" t="s">
        <v>85</v>
      </c>
      <c r="B8" s="11">
        <f>25+0.2+5*0.017+0.1+0.017+0.1+4*0.017</f>
        <v>25.570000000000004</v>
      </c>
      <c r="C8" s="5">
        <v>5</v>
      </c>
      <c r="D8" s="6">
        <v>0.156</v>
      </c>
      <c r="E8" s="6">
        <v>0.154</v>
      </c>
      <c r="F8" s="6">
        <f t="shared" si="6"/>
        <v>0.155</v>
      </c>
      <c r="G8" s="3">
        <f t="shared" si="3"/>
        <v>1.1592519999999999</v>
      </c>
      <c r="H8" s="3">
        <f t="shared" si="7"/>
        <v>1.8255937007874014E-2</v>
      </c>
      <c r="I8" s="3">
        <f t="shared" si="8"/>
        <v>0.46680430929133859</v>
      </c>
      <c r="J8" s="3">
        <f t="shared" si="4"/>
        <v>0.44423706632217225</v>
      </c>
      <c r="K8" s="3">
        <f t="shared" si="5"/>
        <v>6.7069584668295779</v>
      </c>
      <c r="L8" s="1">
        <v>1.0508</v>
      </c>
      <c r="M8" s="1">
        <v>6.9599999999999995E-2</v>
      </c>
      <c r="N8" s="22"/>
      <c r="O8" s="22"/>
    </row>
    <row r="9" spans="1:15" ht="20.25" x14ac:dyDescent="0.3">
      <c r="A9" s="1" t="s">
        <v>86</v>
      </c>
      <c r="B9" s="11">
        <f>25+0.6+0.014+0.1</f>
        <v>25.714000000000002</v>
      </c>
      <c r="C9" s="5">
        <v>10</v>
      </c>
      <c r="D9" s="6">
        <v>0.19800000000000001</v>
      </c>
      <c r="E9" s="6">
        <v>0.19400000000000001</v>
      </c>
      <c r="F9" s="6">
        <f t="shared" si="6"/>
        <v>0.19600000000000001</v>
      </c>
      <c r="G9" s="3">
        <f t="shared" si="3"/>
        <v>0.71858320000000009</v>
      </c>
      <c r="H9" s="3">
        <f t="shared" si="7"/>
        <v>1.1316270866141735E-2</v>
      </c>
      <c r="I9" s="3">
        <f t="shared" si="8"/>
        <v>0.29098658905196861</v>
      </c>
      <c r="J9" s="3">
        <f t="shared" si="4"/>
        <v>0.22124892719888126</v>
      </c>
      <c r="K9" s="3">
        <f t="shared" si="5"/>
        <v>3.4477084010896752</v>
      </c>
      <c r="L9" s="1">
        <v>1.3151999999999999</v>
      </c>
      <c r="M9" s="1">
        <v>8.4400000000000003E-2</v>
      </c>
      <c r="N9" s="20">
        <f>AVERAGE(J9:J11)</f>
        <v>0.19166824141208769</v>
      </c>
      <c r="O9" s="20">
        <f t="shared" ref="O9" si="9">AVERAGE(K9:K11)</f>
        <v>2.9295803745630788</v>
      </c>
    </row>
    <row r="10" spans="1:15" ht="20.25" x14ac:dyDescent="0.3">
      <c r="A10" s="1" t="s">
        <v>87</v>
      </c>
      <c r="B10" s="11">
        <f>25+0.7+0.1+2*0.014+2*0.014</f>
        <v>25.855999999999998</v>
      </c>
      <c r="C10" s="5">
        <v>10</v>
      </c>
      <c r="D10" s="6">
        <v>0.156</v>
      </c>
      <c r="E10" s="6">
        <v>0.151</v>
      </c>
      <c r="F10" s="6">
        <f t="shared" si="6"/>
        <v>0.1535</v>
      </c>
      <c r="G10" s="3">
        <f t="shared" si="3"/>
        <v>0.5745422</v>
      </c>
      <c r="H10" s="3">
        <f t="shared" si="7"/>
        <v>9.0479086614173223E-3</v>
      </c>
      <c r="I10" s="3">
        <f t="shared" si="8"/>
        <v>0.23394272634960628</v>
      </c>
      <c r="J10" s="3">
        <f t="shared" si="4"/>
        <v>0.198458369824912</v>
      </c>
      <c r="K10" s="3">
        <f t="shared" si="5"/>
        <v>2.9763705642443545</v>
      </c>
      <c r="L10" s="1">
        <v>1.1788000000000001</v>
      </c>
      <c r="M10" s="1">
        <v>7.8600000000000003E-2</v>
      </c>
      <c r="N10" s="21"/>
      <c r="O10" s="21"/>
    </row>
    <row r="11" spans="1:15" ht="20.25" x14ac:dyDescent="0.3">
      <c r="A11" s="1" t="s">
        <v>88</v>
      </c>
      <c r="B11" s="11">
        <f>25+0.2+2*0.0125+0.05+0.1+0.1</f>
        <v>25.475000000000001</v>
      </c>
      <c r="C11" s="5">
        <v>10</v>
      </c>
      <c r="D11" s="6">
        <v>0.14000000000000001</v>
      </c>
      <c r="E11" s="6">
        <v>0.14099999999999999</v>
      </c>
      <c r="F11" s="6">
        <f t="shared" si="6"/>
        <v>0.14050000000000001</v>
      </c>
      <c r="G11" s="3">
        <f t="shared" si="3"/>
        <v>0.53048260000000014</v>
      </c>
      <c r="H11" s="3">
        <f t="shared" si="7"/>
        <v>8.3540566929133885E-3</v>
      </c>
      <c r="I11" s="3">
        <f t="shared" si="8"/>
        <v>0.21281959425196859</v>
      </c>
      <c r="J11" s="3">
        <f t="shared" si="4"/>
        <v>0.15529742721246978</v>
      </c>
      <c r="K11" s="3">
        <f t="shared" si="5"/>
        <v>2.3646621583552068</v>
      </c>
      <c r="L11" s="1">
        <v>1.3704000000000001</v>
      </c>
      <c r="M11" s="1">
        <v>0.09</v>
      </c>
      <c r="N11" s="22"/>
      <c r="O11" s="22"/>
    </row>
    <row r="12" spans="1:15" ht="20.25" x14ac:dyDescent="0.3">
      <c r="A12" s="1" t="s">
        <v>89</v>
      </c>
      <c r="B12" s="11">
        <f>25+0.3+0.05+0.05+0.05</f>
        <v>25.450000000000003</v>
      </c>
      <c r="C12" s="5">
        <v>10</v>
      </c>
      <c r="D12" s="6">
        <v>8.2000000000000003E-2</v>
      </c>
      <c r="E12" s="6">
        <v>8.3000000000000004E-2</v>
      </c>
      <c r="F12" s="6">
        <f t="shared" si="6"/>
        <v>8.2500000000000004E-2</v>
      </c>
      <c r="G12" s="3">
        <f t="shared" si="3"/>
        <v>0.33390900000000007</v>
      </c>
      <c r="H12" s="3">
        <f t="shared" si="7"/>
        <v>5.2584094488188991E-3</v>
      </c>
      <c r="I12" s="3">
        <f t="shared" si="8"/>
        <v>0.13382652047244101</v>
      </c>
      <c r="J12" s="3">
        <f t="shared" si="4"/>
        <v>8.5381217603956241E-2</v>
      </c>
      <c r="K12" s="3">
        <f t="shared" si="5"/>
        <v>1.3396048095339439</v>
      </c>
      <c r="L12" s="1">
        <v>1.5673999999999999</v>
      </c>
      <c r="M12" s="1">
        <v>9.9900000000000003E-2</v>
      </c>
      <c r="N12" s="20">
        <f>AVERAGE(J12:J14)</f>
        <v>7.7129391908756742E-2</v>
      </c>
      <c r="O12" s="20">
        <f t="shared" ref="O12" si="10">AVERAGE(K12:K14)</f>
        <v>1.192057588768892</v>
      </c>
    </row>
    <row r="13" spans="1:15" ht="20.25" x14ac:dyDescent="0.3">
      <c r="A13" s="1" t="s">
        <v>90</v>
      </c>
      <c r="B13" s="11">
        <f>25.15+0.3+3*0.014+0.05+2*0.017</f>
        <v>25.576000000000001</v>
      </c>
      <c r="C13" s="5">
        <v>10</v>
      </c>
      <c r="D13" s="6">
        <v>6.2E-2</v>
      </c>
      <c r="E13" s="6">
        <v>6.0999999999999999E-2</v>
      </c>
      <c r="F13" s="6">
        <f t="shared" si="6"/>
        <v>6.1499999999999999E-2</v>
      </c>
      <c r="G13" s="3">
        <f t="shared" si="3"/>
        <v>0.26273580000000002</v>
      </c>
      <c r="H13" s="3">
        <f t="shared" si="7"/>
        <v>4.1375716535433076E-3</v>
      </c>
      <c r="I13" s="3">
        <f t="shared" si="8"/>
        <v>0.10582253261102363</v>
      </c>
      <c r="J13" s="3">
        <f t="shared" si="4"/>
        <v>7.9866062347942371E-2</v>
      </c>
      <c r="K13" s="3">
        <f t="shared" si="5"/>
        <v>1.1943852439167453</v>
      </c>
      <c r="L13" s="1">
        <v>1.325</v>
      </c>
      <c r="M13" s="1">
        <v>8.8599999999999998E-2</v>
      </c>
      <c r="N13" s="21"/>
      <c r="O13" s="21"/>
    </row>
    <row r="14" spans="1:15" ht="20.25" x14ac:dyDescent="0.3">
      <c r="A14" s="1" t="s">
        <v>91</v>
      </c>
      <c r="B14" s="11">
        <f>25+0.3+3*0.02+0.1+0.05</f>
        <v>25.51</v>
      </c>
      <c r="C14" s="5">
        <v>10</v>
      </c>
      <c r="D14" s="6">
        <v>4.8000000000000001E-2</v>
      </c>
      <c r="E14" s="6">
        <v>5.0999999999999997E-2</v>
      </c>
      <c r="F14" s="6">
        <f t="shared" si="6"/>
        <v>4.9500000000000002E-2</v>
      </c>
      <c r="G14" s="3">
        <f t="shared" si="3"/>
        <v>0.22206540000000002</v>
      </c>
      <c r="H14" s="3">
        <f>G14/63.5</f>
        <v>3.4970929133858273E-3</v>
      </c>
      <c r="I14" s="3">
        <f>H14*B14</f>
        <v>8.9210840220472459E-2</v>
      </c>
      <c r="J14" s="3">
        <f t="shared" si="4"/>
        <v>6.6140895774371627E-2</v>
      </c>
      <c r="K14" s="3">
        <f t="shared" si="5"/>
        <v>1.0421827128559866</v>
      </c>
      <c r="L14" s="1">
        <v>1.3488</v>
      </c>
      <c r="M14" s="1">
        <v>8.5599999999999996E-2</v>
      </c>
      <c r="N14" s="22"/>
      <c r="O14" s="22"/>
    </row>
    <row r="15" spans="1:15" ht="40.5" x14ac:dyDescent="0.3">
      <c r="A15" s="13" t="s">
        <v>94</v>
      </c>
      <c r="B15" s="11">
        <f>25+0.2+0.05+0.017+0.1+0.05</f>
        <v>25.417000000000002</v>
      </c>
      <c r="C15" s="5">
        <v>5</v>
      </c>
      <c r="D15" s="6">
        <v>7.5999999999999998E-2</v>
      </c>
      <c r="E15" s="6">
        <v>7.4999999999999997E-2</v>
      </c>
      <c r="F15" s="6">
        <f t="shared" ref="F15:F17" si="11">AVERAGE(D15:E15)</f>
        <v>7.5499999999999998E-2</v>
      </c>
      <c r="G15" s="3">
        <f>(F15*33.892+0.543)/C15</f>
        <v>0.62036920000000007</v>
      </c>
      <c r="H15" s="3">
        <f t="shared" ref="H15:H16" si="12">G15/63.5</f>
        <v>9.7695937007874021E-3</v>
      </c>
      <c r="I15" s="3">
        <f t="shared" ref="I15:I16" si="13">H15*B15</f>
        <v>0.24831376309291342</v>
      </c>
      <c r="J15" s="3">
        <f>I15/L15</f>
        <v>0.21428526328349448</v>
      </c>
      <c r="K15" s="3">
        <f>I15/M15</f>
        <v>3.306441585791124</v>
      </c>
      <c r="L15" s="1">
        <v>1.1588000000000001</v>
      </c>
      <c r="M15" s="1">
        <v>7.51E-2</v>
      </c>
      <c r="N15" s="20">
        <f>AVERAGE(J15:J17)</f>
        <v>0.21449812408941163</v>
      </c>
      <c r="O15" s="20">
        <f>AVERAGE(K15:K17)</f>
        <v>3.306868276989233</v>
      </c>
    </row>
    <row r="16" spans="1:15" ht="40.5" x14ac:dyDescent="0.3">
      <c r="A16" s="13" t="s">
        <v>95</v>
      </c>
      <c r="B16" s="11">
        <f>25.25+0.2+3*0.014+2*0.017+5*0.017</f>
        <v>25.611000000000001</v>
      </c>
      <c r="C16" s="5">
        <v>5</v>
      </c>
      <c r="D16" s="6">
        <v>8.6999999999999994E-2</v>
      </c>
      <c r="E16" s="6">
        <v>8.6999999999999994E-2</v>
      </c>
      <c r="F16" s="6">
        <f t="shared" si="11"/>
        <v>8.6999999999999994E-2</v>
      </c>
      <c r="G16" s="3">
        <f t="shared" ref="G16" si="14">(F16*33.892+0.543)/C16</f>
        <v>0.69832080000000007</v>
      </c>
      <c r="H16" s="3">
        <f t="shared" si="12"/>
        <v>1.0997177952755907E-2</v>
      </c>
      <c r="I16" s="3">
        <f t="shared" si="13"/>
        <v>0.28164872454803158</v>
      </c>
      <c r="J16" s="3">
        <f t="shared" ref="J16:J17" si="15">I16/L16</f>
        <v>0.21314418385653974</v>
      </c>
      <c r="K16" s="3">
        <f t="shared" ref="K16:K17" si="16">I16/M16</f>
        <v>3.3410287609493663</v>
      </c>
      <c r="L16" s="1">
        <v>1.3213999999999999</v>
      </c>
      <c r="M16" s="1">
        <v>8.43E-2</v>
      </c>
      <c r="N16" s="21"/>
      <c r="O16" s="21"/>
    </row>
    <row r="17" spans="1:15" ht="40.5" x14ac:dyDescent="0.3">
      <c r="A17" s="13" t="s">
        <v>96</v>
      </c>
      <c r="B17" s="11">
        <f>25.1+0.2+0.1+0.2+2*0.017+0.1+2*0.017</f>
        <v>25.768000000000001</v>
      </c>
      <c r="C17" s="5">
        <v>5</v>
      </c>
      <c r="D17" s="6">
        <v>9.8000000000000004E-2</v>
      </c>
      <c r="E17" s="6">
        <v>9.7000000000000003E-2</v>
      </c>
      <c r="F17" s="6">
        <f t="shared" si="11"/>
        <v>9.7500000000000003E-2</v>
      </c>
      <c r="G17" s="3">
        <f>(F17*33.892+0.543)/C17</f>
        <v>0.76949400000000012</v>
      </c>
      <c r="H17" s="3">
        <f>G17/63.5</f>
        <v>1.2118015748031497E-2</v>
      </c>
      <c r="I17" s="3">
        <f>H17*B17</f>
        <v>0.31225702979527564</v>
      </c>
      <c r="J17" s="3">
        <f t="shared" si="15"/>
        <v>0.21606492512820069</v>
      </c>
      <c r="K17" s="3">
        <f t="shared" si="16"/>
        <v>3.2731344842272079</v>
      </c>
      <c r="L17" s="1">
        <v>1.4452</v>
      </c>
      <c r="M17" s="1">
        <v>9.5399999999999999E-2</v>
      </c>
      <c r="N17" s="22"/>
      <c r="O17" s="22"/>
    </row>
    <row r="18" spans="1:15" ht="20.25" x14ac:dyDescent="0.3">
      <c r="A18" s="12"/>
    </row>
    <row r="19" spans="1:15" ht="20.25" x14ac:dyDescent="0.3">
      <c r="A19" s="7" t="s">
        <v>93</v>
      </c>
      <c r="J19" t="s">
        <v>97</v>
      </c>
      <c r="K19" s="15">
        <f>0.1/6</f>
        <v>1.6666666666666666E-2</v>
      </c>
    </row>
    <row r="20" spans="1:15" x14ac:dyDescent="0.25">
      <c r="A20">
        <v>0.2</v>
      </c>
      <c r="B20">
        <f>A20*10</f>
        <v>2</v>
      </c>
      <c r="C20">
        <v>4.2999999999999997E-2</v>
      </c>
      <c r="J20" t="s">
        <v>98</v>
      </c>
      <c r="K20" s="14">
        <f>0.1/7</f>
        <v>1.4285714285714287E-2</v>
      </c>
    </row>
    <row r="21" spans="1:15" x14ac:dyDescent="0.25">
      <c r="A21">
        <v>0.3</v>
      </c>
      <c r="B21">
        <f t="shared" ref="B21:B24" si="17">A21*10</f>
        <v>3</v>
      </c>
      <c r="C21">
        <v>7.2999999999999995E-2</v>
      </c>
    </row>
    <row r="22" spans="1:15" x14ac:dyDescent="0.25">
      <c r="A22">
        <v>0.4</v>
      </c>
      <c r="B22">
        <f t="shared" si="17"/>
        <v>4</v>
      </c>
      <c r="C22">
        <v>0.10100000000000001</v>
      </c>
    </row>
    <row r="23" spans="1:15" x14ac:dyDescent="0.25">
      <c r="A23">
        <v>0.5</v>
      </c>
      <c r="B23">
        <f t="shared" si="17"/>
        <v>5</v>
      </c>
      <c r="C23">
        <v>0.13200000000000001</v>
      </c>
    </row>
    <row r="24" spans="1:15" x14ac:dyDescent="0.25">
      <c r="A24">
        <v>0.6</v>
      </c>
      <c r="B24">
        <f t="shared" si="17"/>
        <v>6</v>
      </c>
      <c r="C24">
        <v>0.161</v>
      </c>
    </row>
  </sheetData>
  <mergeCells count="11">
    <mergeCell ref="N12:N14"/>
    <mergeCell ref="O12:O14"/>
    <mergeCell ref="A1:O1"/>
    <mergeCell ref="N15:N17"/>
    <mergeCell ref="O15:O17"/>
    <mergeCell ref="N3:N5"/>
    <mergeCell ref="O3:O5"/>
    <mergeCell ref="N6:N8"/>
    <mergeCell ref="O6:O8"/>
    <mergeCell ref="N9:N11"/>
    <mergeCell ref="O9:O11"/>
  </mergeCells>
  <phoneticPr fontId="4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EDCA7-1936-493C-82B4-5A5DBA77AE2E}">
  <dimension ref="A1:O24"/>
  <sheetViews>
    <sheetView tabSelected="1" workbookViewId="0">
      <selection activeCell="J3" sqref="J3:K5"/>
    </sheetView>
  </sheetViews>
  <sheetFormatPr defaultRowHeight="15" x14ac:dyDescent="0.25"/>
  <cols>
    <col min="1" max="1" width="17.28515625" customWidth="1"/>
    <col min="7" max="7" width="16.85546875" customWidth="1"/>
    <col min="8" max="8" width="21.28515625" customWidth="1"/>
    <col min="9" max="9" width="20.28515625" customWidth="1"/>
    <col min="10" max="10" width="28.140625" customWidth="1"/>
    <col min="11" max="11" width="22.140625" customWidth="1"/>
    <col min="12" max="12" width="20.5703125" customWidth="1"/>
    <col min="13" max="13" width="21.42578125" customWidth="1"/>
    <col min="14" max="14" width="22.7109375" customWidth="1"/>
    <col min="15" max="15" width="26.42578125" customWidth="1"/>
  </cols>
  <sheetData>
    <row r="1" spans="1:15" ht="28.5" x14ac:dyDescent="0.45">
      <c r="A1" s="23" t="s">
        <v>99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1:15" ht="81" x14ac:dyDescent="0.3">
      <c r="A2" s="3" t="s">
        <v>0</v>
      </c>
      <c r="B2" s="11" t="s">
        <v>15</v>
      </c>
      <c r="C2" s="3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3" t="s">
        <v>100</v>
      </c>
      <c r="K2" s="3" t="s">
        <v>101</v>
      </c>
      <c r="L2" s="3" t="s">
        <v>102</v>
      </c>
      <c r="M2" s="3" t="s">
        <v>103</v>
      </c>
      <c r="N2" s="3" t="s">
        <v>104</v>
      </c>
      <c r="O2" s="3" t="s">
        <v>105</v>
      </c>
    </row>
    <row r="3" spans="1:15" ht="20.25" x14ac:dyDescent="0.3">
      <c r="A3" s="3" t="s">
        <v>80</v>
      </c>
      <c r="B3" s="11">
        <f>25.8+2.7+0.1+0.05</f>
        <v>28.650000000000002</v>
      </c>
      <c r="C3" s="5">
        <v>12</v>
      </c>
      <c r="D3" s="6">
        <v>9.5000000000000001E-2</v>
      </c>
      <c r="E3" s="6">
        <v>9.6000000000000002E-2</v>
      </c>
      <c r="F3" s="6">
        <f t="shared" ref="F3:F5" si="0">AVERAGE(D3:E3)</f>
        <v>9.5500000000000002E-2</v>
      </c>
      <c r="G3" s="3">
        <f>(F3*20.477+0.379)/C3</f>
        <v>0.19454612500000001</v>
      </c>
      <c r="H3" s="3">
        <f t="shared" ref="H3:H5" si="1">G3/63.5</f>
        <v>3.063718503937008E-3</v>
      </c>
      <c r="I3" s="3">
        <f t="shared" ref="I3:I5" si="2">H3*B3</f>
        <v>8.7775535137795291E-2</v>
      </c>
      <c r="J3" s="3">
        <f>I3/L3</f>
        <v>3.8828423930724269E-2</v>
      </c>
      <c r="K3" s="3">
        <f>I3/M3</f>
        <v>0.39789453824929871</v>
      </c>
      <c r="L3" s="3">
        <v>2.2606000000000002</v>
      </c>
      <c r="M3" s="3">
        <v>0.22059999999999999</v>
      </c>
      <c r="N3" s="20">
        <f>AVERAGE(J3:J5)</f>
        <v>3.195876599210979E-2</v>
      </c>
      <c r="O3" s="20">
        <f>AVERAGE(K3:K5)</f>
        <v>0.3241543497145849</v>
      </c>
    </row>
    <row r="4" spans="1:15" ht="20.25" x14ac:dyDescent="0.3">
      <c r="A4" s="3" t="s">
        <v>81</v>
      </c>
      <c r="B4" s="11">
        <f>25+0.9+0.4+0.05+5*0.017+0.02</f>
        <v>26.454999999999998</v>
      </c>
      <c r="C4" s="5">
        <v>12</v>
      </c>
      <c r="D4" s="6">
        <v>6.6000000000000003E-2</v>
      </c>
      <c r="E4" s="6">
        <v>6.7000000000000004E-2</v>
      </c>
      <c r="F4" s="6">
        <f t="shared" si="0"/>
        <v>6.6500000000000004E-2</v>
      </c>
      <c r="G4" s="3">
        <f t="shared" ref="G4:G17" si="3">(F4*20.477+0.379)/C4</f>
        <v>0.14506004166666667</v>
      </c>
      <c r="H4" s="3">
        <f t="shared" si="1"/>
        <v>2.2844101049868766E-3</v>
      </c>
      <c r="I4" s="3">
        <f t="shared" si="2"/>
        <v>6.0434069327427814E-2</v>
      </c>
      <c r="J4" s="3">
        <f t="shared" ref="J4:J14" si="4">I4/L4</f>
        <v>2.735192094475122E-2</v>
      </c>
      <c r="K4" s="3">
        <f t="shared" ref="K4:K14" si="5">I4/M4</f>
        <v>0.27557715151585871</v>
      </c>
      <c r="L4" s="3">
        <v>2.2094999999999998</v>
      </c>
      <c r="M4" s="3">
        <v>0.21929999999999999</v>
      </c>
      <c r="N4" s="21"/>
      <c r="O4" s="21"/>
    </row>
    <row r="5" spans="1:15" ht="20.25" x14ac:dyDescent="0.3">
      <c r="A5" s="3" t="s">
        <v>82</v>
      </c>
      <c r="B5" s="11">
        <f>25+0.9+0.3+2*0.017+0.014+3*0.0125</f>
        <v>26.285499999999999</v>
      </c>
      <c r="C5" s="5">
        <v>12</v>
      </c>
      <c r="D5" s="6">
        <v>7.8E-2</v>
      </c>
      <c r="E5" s="6">
        <v>7.8E-2</v>
      </c>
      <c r="F5" s="6">
        <f t="shared" si="0"/>
        <v>7.8E-2</v>
      </c>
      <c r="G5" s="3">
        <f t="shared" si="3"/>
        <v>0.16468383333333333</v>
      </c>
      <c r="H5" s="3">
        <f t="shared" si="1"/>
        <v>2.593446194225722E-3</v>
      </c>
      <c r="I5" s="3">
        <f t="shared" si="2"/>
        <v>6.8170029938320206E-2</v>
      </c>
      <c r="J5" s="3">
        <f t="shared" si="4"/>
        <v>2.9695953100853899E-2</v>
      </c>
      <c r="K5" s="3">
        <f t="shared" si="5"/>
        <v>0.29899135937859739</v>
      </c>
      <c r="L5" s="3">
        <v>2.2955999999999999</v>
      </c>
      <c r="M5" s="3">
        <v>0.22800000000000001</v>
      </c>
      <c r="N5" s="22"/>
      <c r="O5" s="22"/>
    </row>
    <row r="6" spans="1:15" ht="23.25" x14ac:dyDescent="0.4">
      <c r="A6" s="1" t="s">
        <v>83</v>
      </c>
      <c r="B6" s="11">
        <f>25+0.7+0.15+0.017</f>
        <v>25.866999999999997</v>
      </c>
      <c r="C6" s="5">
        <v>12</v>
      </c>
      <c r="D6" s="6">
        <v>0.08</v>
      </c>
      <c r="E6" s="6">
        <v>8.2000000000000003E-2</v>
      </c>
      <c r="F6" s="6">
        <f>AVERAGE(D6:E6)</f>
        <v>8.1000000000000003E-2</v>
      </c>
      <c r="G6" s="3">
        <f t="shared" si="3"/>
        <v>0.16980308333333335</v>
      </c>
      <c r="H6" s="3">
        <f>G6/63.5</f>
        <v>2.6740643044619425E-3</v>
      </c>
      <c r="I6" s="3">
        <f>H6*B6</f>
        <v>6.9170021363517062E-2</v>
      </c>
      <c r="J6" s="3">
        <f t="shared" si="4"/>
        <v>3.5393758053275888E-2</v>
      </c>
      <c r="K6" s="3">
        <f t="shared" si="5"/>
        <v>0.35783766871969508</v>
      </c>
      <c r="L6" s="1">
        <v>1.9542999999999999</v>
      </c>
      <c r="M6" s="1">
        <v>0.1933</v>
      </c>
      <c r="N6" s="20">
        <f>AVERAGE(J6:J8)</f>
        <v>3.7151380187873104E-2</v>
      </c>
      <c r="O6" s="20">
        <f>AVERAGE(K6:K8)</f>
        <v>0.37239729123134585</v>
      </c>
    </row>
    <row r="7" spans="1:15" ht="23.25" x14ac:dyDescent="0.4">
      <c r="A7" s="1" t="s">
        <v>84</v>
      </c>
      <c r="B7" s="11">
        <f>25+0.8+0.3+0.011+5*0.017</f>
        <v>26.196000000000002</v>
      </c>
      <c r="C7" s="5">
        <v>12</v>
      </c>
      <c r="D7" s="6">
        <v>8.1000000000000003E-2</v>
      </c>
      <c r="E7" s="6">
        <v>8.3000000000000004E-2</v>
      </c>
      <c r="F7" s="6">
        <f t="shared" ref="F7:F17" si="6">AVERAGE(D7:E7)</f>
        <v>8.2000000000000003E-2</v>
      </c>
      <c r="G7" s="3">
        <f t="shared" si="3"/>
        <v>0.17150949999999998</v>
      </c>
      <c r="H7" s="3">
        <f t="shared" ref="H7:H13" si="7">G7/63.5</f>
        <v>2.7009370078740153E-3</v>
      </c>
      <c r="I7" s="3">
        <f t="shared" ref="I7:I13" si="8">H7*B7</f>
        <v>7.0753745858267714E-2</v>
      </c>
      <c r="J7" s="3">
        <f t="shared" si="4"/>
        <v>3.4741110605061236E-2</v>
      </c>
      <c r="K7" s="3">
        <f>I7/M7</f>
        <v>0.34246730812327064</v>
      </c>
      <c r="L7" s="1">
        <v>2.0366</v>
      </c>
      <c r="M7" s="1">
        <v>0.20660000000000001</v>
      </c>
      <c r="N7" s="21"/>
      <c r="O7" s="21"/>
    </row>
    <row r="8" spans="1:15" ht="23.25" x14ac:dyDescent="0.4">
      <c r="A8" s="1" t="s">
        <v>85</v>
      </c>
      <c r="B8" s="11">
        <f>25+0.7+0.5+0.015</f>
        <v>26.215</v>
      </c>
      <c r="C8" s="5">
        <v>12</v>
      </c>
      <c r="D8" s="6">
        <v>9.8000000000000004E-2</v>
      </c>
      <c r="E8" s="6">
        <v>9.4E-2</v>
      </c>
      <c r="F8" s="6">
        <f t="shared" si="6"/>
        <v>9.6000000000000002E-2</v>
      </c>
      <c r="G8" s="3">
        <f t="shared" si="3"/>
        <v>0.19539933333333334</v>
      </c>
      <c r="H8" s="3">
        <f t="shared" si="7"/>
        <v>3.0771548556430446E-3</v>
      </c>
      <c r="I8" s="3">
        <f t="shared" si="8"/>
        <v>8.0667614540682414E-2</v>
      </c>
      <c r="J8" s="3">
        <f t="shared" si="4"/>
        <v>4.1319271905282187E-2</v>
      </c>
      <c r="K8" s="3">
        <f t="shared" si="5"/>
        <v>0.41688689685107189</v>
      </c>
      <c r="L8" s="1">
        <v>1.9522999999999999</v>
      </c>
      <c r="M8" s="1">
        <v>0.19350000000000001</v>
      </c>
      <c r="N8" s="22"/>
      <c r="O8" s="22"/>
    </row>
    <row r="9" spans="1:15" ht="20.25" x14ac:dyDescent="0.3">
      <c r="A9" s="1" t="s">
        <v>86</v>
      </c>
      <c r="B9" s="11">
        <f>25+0.4+0.3+0.05+5*0.017</f>
        <v>25.835000000000001</v>
      </c>
      <c r="C9" s="5">
        <v>16</v>
      </c>
      <c r="D9" s="6">
        <v>0.105</v>
      </c>
      <c r="E9" s="6"/>
      <c r="F9" s="6">
        <f t="shared" si="6"/>
        <v>0.105</v>
      </c>
      <c r="G9" s="3">
        <f t="shared" si="3"/>
        <v>0.15806781249999999</v>
      </c>
      <c r="H9" s="3">
        <f t="shared" si="7"/>
        <v>2.4892568897637792E-3</v>
      </c>
      <c r="I9" s="3">
        <f t="shared" si="8"/>
        <v>6.4309951747047234E-2</v>
      </c>
      <c r="J9" s="3">
        <f t="shared" si="4"/>
        <v>3.0955452104475201E-2</v>
      </c>
      <c r="K9" s="3">
        <f t="shared" si="5"/>
        <v>0.30594648785464906</v>
      </c>
      <c r="L9" s="1">
        <v>2.0775000000000001</v>
      </c>
      <c r="M9" s="1">
        <v>0.2102</v>
      </c>
      <c r="N9" s="20">
        <f>AVERAGE(J9:J11)</f>
        <v>3.6907129875332352E-2</v>
      </c>
      <c r="O9" s="20">
        <f t="shared" ref="O9" si="9">AVERAGE(K9:K11)</f>
        <v>0.36631310988525329</v>
      </c>
    </row>
    <row r="10" spans="1:15" ht="20.25" x14ac:dyDescent="0.3">
      <c r="A10" s="1" t="s">
        <v>87</v>
      </c>
      <c r="B10" s="11">
        <f>25.54+1.4+0.1</f>
        <v>27.04</v>
      </c>
      <c r="C10" s="5">
        <v>12</v>
      </c>
      <c r="D10" s="6">
        <v>0.113</v>
      </c>
      <c r="E10" s="6">
        <v>0.11</v>
      </c>
      <c r="F10" s="6">
        <f t="shared" si="6"/>
        <v>0.1115</v>
      </c>
      <c r="G10" s="3">
        <f t="shared" si="3"/>
        <v>0.22184879166666668</v>
      </c>
      <c r="H10" s="3">
        <f t="shared" si="7"/>
        <v>3.4936817585301842E-3</v>
      </c>
      <c r="I10" s="3">
        <f t="shared" si="8"/>
        <v>9.4469154750656176E-2</v>
      </c>
      <c r="J10" s="3">
        <f t="shared" si="4"/>
        <v>4.6672177634828407E-2</v>
      </c>
      <c r="K10" s="3">
        <f t="shared" si="5"/>
        <v>0.46697555487225001</v>
      </c>
      <c r="L10" s="1">
        <v>2.0240999999999998</v>
      </c>
      <c r="M10" s="1">
        <v>0.20230000000000001</v>
      </c>
      <c r="N10" s="21"/>
      <c r="O10" s="21"/>
    </row>
    <row r="11" spans="1:15" ht="20.25" x14ac:dyDescent="0.3">
      <c r="A11" s="1" t="s">
        <v>88</v>
      </c>
      <c r="B11" s="11">
        <f>26.06+4*0.017+0.1+0.05</f>
        <v>26.278000000000002</v>
      </c>
      <c r="C11" s="5">
        <v>12</v>
      </c>
      <c r="D11" s="6">
        <v>0.09</v>
      </c>
      <c r="E11" s="6">
        <v>8.5999999999999993E-2</v>
      </c>
      <c r="F11" s="6">
        <f t="shared" si="6"/>
        <v>8.7999999999999995E-2</v>
      </c>
      <c r="G11" s="3">
        <f t="shared" si="3"/>
        <v>0.18174800000000002</v>
      </c>
      <c r="H11" s="3">
        <f t="shared" si="7"/>
        <v>2.8621732283464572E-3</v>
      </c>
      <c r="I11" s="3">
        <f t="shared" si="8"/>
        <v>7.5212188094488208E-2</v>
      </c>
      <c r="J11" s="3">
        <f t="shared" si="4"/>
        <v>3.3093759886693455E-2</v>
      </c>
      <c r="K11" s="3">
        <f t="shared" si="5"/>
        <v>0.32601728692886089</v>
      </c>
      <c r="L11" s="1">
        <v>2.2726999999999999</v>
      </c>
      <c r="M11" s="1">
        <v>0.23069999999999999</v>
      </c>
      <c r="N11" s="22"/>
      <c r="O11" s="22"/>
    </row>
    <row r="12" spans="1:15" ht="20.25" x14ac:dyDescent="0.3">
      <c r="A12" s="1" t="s">
        <v>89</v>
      </c>
      <c r="B12" s="11">
        <f>25+0.4+2*0.017+0.05</f>
        <v>25.483999999999998</v>
      </c>
      <c r="C12" s="5">
        <v>12</v>
      </c>
      <c r="D12" s="6">
        <v>7.9000000000000001E-2</v>
      </c>
      <c r="E12" s="6">
        <v>8.2000000000000003E-2</v>
      </c>
      <c r="F12" s="6">
        <f t="shared" si="6"/>
        <v>8.0500000000000002E-2</v>
      </c>
      <c r="G12" s="3">
        <f t="shared" si="3"/>
        <v>0.16894987500000003</v>
      </c>
      <c r="H12" s="3">
        <f t="shared" si="7"/>
        <v>2.6606279527559059E-3</v>
      </c>
      <c r="I12" s="3">
        <f t="shared" si="8"/>
        <v>6.7803442748031503E-2</v>
      </c>
      <c r="J12" s="3">
        <f t="shared" si="4"/>
        <v>2.9556862575427858E-2</v>
      </c>
      <c r="K12" s="3">
        <f t="shared" si="5"/>
        <v>0.29829935216907832</v>
      </c>
      <c r="L12" s="1">
        <v>2.294</v>
      </c>
      <c r="M12" s="1">
        <v>0.2273</v>
      </c>
      <c r="N12" s="20">
        <f>AVERAGE(J12:J14)</f>
        <v>3.45725195340175E-2</v>
      </c>
      <c r="O12" s="20">
        <f t="shared" ref="O12" si="10">AVERAGE(K12:K14)</f>
        <v>0.3490664832652639</v>
      </c>
    </row>
    <row r="13" spans="1:15" ht="20.25" x14ac:dyDescent="0.3">
      <c r="A13" s="1" t="s">
        <v>90</v>
      </c>
      <c r="B13" s="11">
        <f>25.8+0.6+0.1+2*0.017+0.2</f>
        <v>26.734000000000002</v>
      </c>
      <c r="C13" s="5">
        <v>12</v>
      </c>
      <c r="D13" s="6">
        <v>0.08</v>
      </c>
      <c r="E13" s="6">
        <v>8.7999999999999995E-2</v>
      </c>
      <c r="F13" s="6">
        <f t="shared" si="6"/>
        <v>8.3999999999999991E-2</v>
      </c>
      <c r="G13" s="3">
        <f t="shared" si="3"/>
        <v>0.17492233333333332</v>
      </c>
      <c r="H13" s="3">
        <f t="shared" si="7"/>
        <v>2.7546824146981626E-3</v>
      </c>
      <c r="I13" s="3">
        <f t="shared" si="8"/>
        <v>7.3643679674540677E-2</v>
      </c>
      <c r="J13" s="3">
        <f t="shared" si="4"/>
        <v>3.6971574714865542E-2</v>
      </c>
      <c r="K13" s="3">
        <f t="shared" si="5"/>
        <v>0.37231385073074152</v>
      </c>
      <c r="L13" s="1">
        <v>1.9919</v>
      </c>
      <c r="M13" s="1">
        <v>0.1978</v>
      </c>
      <c r="N13" s="21"/>
      <c r="O13" s="21"/>
    </row>
    <row r="14" spans="1:15" ht="20.25" x14ac:dyDescent="0.3">
      <c r="A14" s="1" t="s">
        <v>91</v>
      </c>
      <c r="B14" s="11">
        <f>25+0.5+2*0.014+0.017+0.1</f>
        <v>25.645</v>
      </c>
      <c r="C14" s="5">
        <v>12</v>
      </c>
      <c r="D14" s="6">
        <v>9.1999999999999998E-2</v>
      </c>
      <c r="E14" s="6">
        <v>0.09</v>
      </c>
      <c r="F14" s="6">
        <f t="shared" si="6"/>
        <v>9.0999999999999998E-2</v>
      </c>
      <c r="G14" s="3">
        <f t="shared" si="3"/>
        <v>0.18686725000000001</v>
      </c>
      <c r="H14" s="3">
        <f>G14/63.5</f>
        <v>2.9427913385826772E-3</v>
      </c>
      <c r="I14" s="3">
        <f>H14*B14</f>
        <v>7.5467883877952752E-2</v>
      </c>
      <c r="J14" s="3">
        <f t="shared" si="4"/>
        <v>3.7189121311759103E-2</v>
      </c>
      <c r="K14" s="3">
        <f t="shared" si="5"/>
        <v>0.37658624689597181</v>
      </c>
      <c r="L14" s="1">
        <v>2.0293000000000001</v>
      </c>
      <c r="M14" s="1">
        <v>0.20039999999999999</v>
      </c>
      <c r="N14" s="22"/>
      <c r="O14" s="22"/>
    </row>
    <row r="15" spans="1:15" ht="60.75" x14ac:dyDescent="0.3">
      <c r="A15" s="13" t="s">
        <v>94</v>
      </c>
      <c r="B15" s="11">
        <f>25.1+0.2+3*0.025+0.1+5*0.011</f>
        <v>25.53</v>
      </c>
      <c r="C15" s="5">
        <v>12</v>
      </c>
      <c r="D15" s="6">
        <v>0.09</v>
      </c>
      <c r="E15" s="6">
        <v>9.4E-2</v>
      </c>
      <c r="F15" s="6">
        <f t="shared" si="6"/>
        <v>9.1999999999999998E-2</v>
      </c>
      <c r="G15" s="3">
        <f t="shared" si="3"/>
        <v>0.18857366666666664</v>
      </c>
      <c r="H15" s="3">
        <f t="shared" ref="H15:H16" si="11">G15/63.5</f>
        <v>2.96966404199475E-3</v>
      </c>
      <c r="I15" s="3">
        <f t="shared" ref="I15:I16" si="12">H15*B15</f>
        <v>7.5815522992125975E-2</v>
      </c>
      <c r="J15" s="3">
        <f>I15/L15</f>
        <v>4.1309607689274767E-2</v>
      </c>
      <c r="K15" s="3">
        <f>I15/M15</f>
        <v>0.40937107447152254</v>
      </c>
      <c r="L15" s="1">
        <v>1.8352999999999999</v>
      </c>
      <c r="M15" s="1">
        <v>0.1852</v>
      </c>
      <c r="N15" s="20">
        <f>AVERAGE(J15:J17)</f>
        <v>3.5101439564243934E-2</v>
      </c>
      <c r="O15" s="20">
        <f>AVERAGE(K15:K17)</f>
        <v>0.34846787932237561</v>
      </c>
    </row>
    <row r="16" spans="1:15" ht="60.75" x14ac:dyDescent="0.3">
      <c r="A16" s="13" t="s">
        <v>95</v>
      </c>
      <c r="B16" s="11">
        <f>25+0.4+2*0.014+2*0.017+0.2</f>
        <v>25.661999999999995</v>
      </c>
      <c r="C16" s="5">
        <v>12</v>
      </c>
      <c r="D16" s="6">
        <v>8.5999999999999993E-2</v>
      </c>
      <c r="E16" s="6">
        <v>8.5999999999999993E-2</v>
      </c>
      <c r="F16" s="6">
        <f t="shared" si="6"/>
        <v>8.5999999999999993E-2</v>
      </c>
      <c r="G16" s="3">
        <f t="shared" si="3"/>
        <v>0.17833516666666668</v>
      </c>
      <c r="H16" s="3">
        <f t="shared" si="11"/>
        <v>2.8084278215223099E-3</v>
      </c>
      <c r="I16" s="3">
        <f t="shared" si="12"/>
        <v>7.2069874755905497E-2</v>
      </c>
      <c r="J16" s="3">
        <f t="shared" ref="J16:J17" si="13">I16/L16</f>
        <v>3.3327109713713526E-2</v>
      </c>
      <c r="K16" s="3">
        <f t="shared" ref="K16:K17" si="14">I16/M16</f>
        <v>0.33583352635557079</v>
      </c>
      <c r="L16" s="1">
        <v>2.1625000000000001</v>
      </c>
      <c r="M16" s="1">
        <v>0.21460000000000001</v>
      </c>
      <c r="N16" s="21"/>
      <c r="O16" s="21"/>
    </row>
    <row r="17" spans="1:15" ht="60.75" x14ac:dyDescent="0.3">
      <c r="A17" s="13" t="s">
        <v>96</v>
      </c>
      <c r="B17" s="11">
        <f>25+0.3+2*0.017</f>
        <v>25.334</v>
      </c>
      <c r="C17" s="5">
        <v>12</v>
      </c>
      <c r="D17" s="6">
        <v>7.9000000000000001E-2</v>
      </c>
      <c r="E17" s="6">
        <v>8.4000000000000005E-2</v>
      </c>
      <c r="F17" s="6">
        <f t="shared" si="6"/>
        <v>8.1500000000000003E-2</v>
      </c>
      <c r="G17" s="3">
        <f t="shared" si="3"/>
        <v>0.17065629166666665</v>
      </c>
      <c r="H17" s="3">
        <f>G17/63.5</f>
        <v>2.6875006561679787E-3</v>
      </c>
      <c r="I17" s="3">
        <f>H17*B17</f>
        <v>6.8085141623359574E-2</v>
      </c>
      <c r="J17" s="3">
        <f t="shared" si="13"/>
        <v>3.0667601289743513E-2</v>
      </c>
      <c r="K17" s="3">
        <f t="shared" si="14"/>
        <v>0.30019903714003338</v>
      </c>
      <c r="L17" s="1">
        <v>2.2201</v>
      </c>
      <c r="M17" s="1">
        <v>0.2268</v>
      </c>
      <c r="N17" s="22"/>
      <c r="O17" s="22"/>
    </row>
    <row r="18" spans="1:15" ht="20.25" x14ac:dyDescent="0.3">
      <c r="A18" s="12"/>
    </row>
    <row r="19" spans="1:15" ht="20.25" x14ac:dyDescent="0.3">
      <c r="A19" s="7" t="s">
        <v>106</v>
      </c>
      <c r="J19" t="s">
        <v>97</v>
      </c>
      <c r="K19" s="15">
        <f>0.1/6</f>
        <v>1.6666666666666666E-2</v>
      </c>
    </row>
    <row r="20" spans="1:15" x14ac:dyDescent="0.25">
      <c r="A20">
        <v>0.1</v>
      </c>
      <c r="B20">
        <f>A20*10</f>
        <v>1</v>
      </c>
      <c r="C20">
        <v>0.03</v>
      </c>
      <c r="J20" t="s">
        <v>98</v>
      </c>
      <c r="K20" s="14">
        <f>0.1/7</f>
        <v>1.4285714285714287E-2</v>
      </c>
    </row>
    <row r="21" spans="1:15" x14ac:dyDescent="0.25">
      <c r="A21">
        <v>0.2</v>
      </c>
      <c r="B21">
        <f t="shared" ref="B21:B24" si="15">A21*10</f>
        <v>2</v>
      </c>
      <c r="C21">
        <v>8.1000000000000003E-2</v>
      </c>
    </row>
    <row r="22" spans="1:15" x14ac:dyDescent="0.25">
      <c r="A22">
        <v>0.3</v>
      </c>
      <c r="B22">
        <f t="shared" si="15"/>
        <v>3</v>
      </c>
      <c r="C22">
        <v>0.125</v>
      </c>
    </row>
    <row r="23" spans="1:15" x14ac:dyDescent="0.25">
      <c r="A23">
        <v>0.4</v>
      </c>
      <c r="B23">
        <f t="shared" si="15"/>
        <v>4</v>
      </c>
      <c r="C23">
        <v>0.17899999999999999</v>
      </c>
    </row>
    <row r="24" spans="1:15" x14ac:dyDescent="0.25">
      <c r="A24">
        <v>0.5</v>
      </c>
      <c r="B24">
        <f t="shared" si="15"/>
        <v>5</v>
      </c>
      <c r="C24">
        <v>0.22500000000000001</v>
      </c>
    </row>
  </sheetData>
  <mergeCells count="11">
    <mergeCell ref="N12:N14"/>
    <mergeCell ref="O12:O14"/>
    <mergeCell ref="N15:N17"/>
    <mergeCell ref="O15:O17"/>
    <mergeCell ref="A1:O1"/>
    <mergeCell ref="N3:N5"/>
    <mergeCell ref="O3:O5"/>
    <mergeCell ref="N6:N8"/>
    <mergeCell ref="O6:O8"/>
    <mergeCell ref="N9:N11"/>
    <mergeCell ref="O9:O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Массы растений</vt:lpstr>
      <vt:lpstr>Сорбция по растворам</vt:lpstr>
      <vt:lpstr>Десорбция</vt:lpstr>
      <vt:lpstr>Озоление корней</vt:lpstr>
      <vt:lpstr>Озоление побегов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Никушин</dc:creator>
  <cp:lastModifiedBy>Олег Никушин</cp:lastModifiedBy>
  <dcterms:created xsi:type="dcterms:W3CDTF">2015-06-05T18:19:34Z</dcterms:created>
  <dcterms:modified xsi:type="dcterms:W3CDTF">2022-04-16T12:04:42Z</dcterms:modified>
</cp:coreProperties>
</file>