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ikus\OneDrive\Рабочий стол\Аспирантура\Диссертация\Опыты ВИКА 9 растений\"/>
    </mc:Choice>
  </mc:AlternateContent>
  <xr:revisionPtr revIDLastSave="0" documentId="13_ncr:1_{FD9CFFE6-7B08-4A14-BF02-6D25813C1C85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Массы растений" sheetId="1" r:id="rId1"/>
    <sheet name="pH растворов" sheetId="2" r:id="rId2"/>
    <sheet name="После обработки растений" sheetId="3" r:id="rId3"/>
    <sheet name="Сорбция по растворам (КС)" sheetId="4" r:id="rId4"/>
    <sheet name="Озоление Кл СТ" sheetId="6" r:id="rId5"/>
    <sheet name="Озоление (корни)" sheetId="5" r:id="rId6"/>
    <sheet name="Озоление побеги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4" i="7"/>
  <c r="B29" i="5" l="1"/>
  <c r="B28" i="5"/>
  <c r="B27" i="5"/>
  <c r="B26" i="5"/>
  <c r="B25" i="5"/>
  <c r="B23" i="5"/>
  <c r="B22" i="5"/>
  <c r="B21" i="5"/>
  <c r="B20" i="5"/>
  <c r="B19" i="5"/>
  <c r="F14" i="5"/>
  <c r="G14" i="5" s="1"/>
  <c r="H14" i="5" s="1"/>
  <c r="I14" i="5" s="1"/>
  <c r="B14" i="5"/>
  <c r="G13" i="5"/>
  <c r="H13" i="5" s="1"/>
  <c r="I13" i="5" s="1"/>
  <c r="F13" i="5"/>
  <c r="B13" i="5"/>
  <c r="F12" i="5"/>
  <c r="G12" i="5" s="1"/>
  <c r="H12" i="5" s="1"/>
  <c r="I12" i="5" s="1"/>
  <c r="B12" i="5"/>
  <c r="G11" i="5"/>
  <c r="H11" i="5" s="1"/>
  <c r="I11" i="5" s="1"/>
  <c r="F11" i="5"/>
  <c r="B11" i="5"/>
  <c r="F10" i="5"/>
  <c r="G10" i="5" s="1"/>
  <c r="H10" i="5" s="1"/>
  <c r="I10" i="5" s="1"/>
  <c r="B10" i="5"/>
  <c r="F9" i="5"/>
  <c r="G9" i="5" s="1"/>
  <c r="H9" i="5" s="1"/>
  <c r="I9" i="5" s="1"/>
  <c r="B9" i="5"/>
  <c r="F8" i="5"/>
  <c r="G8" i="5" s="1"/>
  <c r="H8" i="5" s="1"/>
  <c r="I8" i="5" s="1"/>
  <c r="B8" i="5"/>
  <c r="L7" i="5"/>
  <c r="F7" i="5"/>
  <c r="G7" i="5" s="1"/>
  <c r="H7" i="5" s="1"/>
  <c r="I7" i="5" s="1"/>
  <c r="B7" i="5"/>
  <c r="L6" i="5"/>
  <c r="F6" i="5"/>
  <c r="G6" i="5" s="1"/>
  <c r="H6" i="5" s="1"/>
  <c r="I6" i="5" s="1"/>
  <c r="B6" i="5"/>
  <c r="G5" i="5"/>
  <c r="H5" i="5" s="1"/>
  <c r="I5" i="5" s="1"/>
  <c r="F5" i="5"/>
  <c r="B5" i="5"/>
  <c r="F4" i="5"/>
  <c r="G4" i="5" s="1"/>
  <c r="H4" i="5" s="1"/>
  <c r="I4" i="5" s="1"/>
  <c r="B4" i="5"/>
  <c r="F3" i="5"/>
  <c r="G3" i="5" s="1"/>
  <c r="H3" i="5" s="1"/>
  <c r="I3" i="5" s="1"/>
  <c r="B3" i="5"/>
  <c r="K10" i="5" l="1"/>
  <c r="J10" i="5"/>
  <c r="K4" i="5"/>
  <c r="J4" i="5"/>
  <c r="K11" i="5"/>
  <c r="J11" i="5"/>
  <c r="K5" i="5"/>
  <c r="J5" i="5"/>
  <c r="K12" i="5"/>
  <c r="J12" i="5"/>
  <c r="K14" i="5"/>
  <c r="J14" i="5"/>
  <c r="K7" i="5"/>
  <c r="J7" i="5"/>
  <c r="K3" i="5"/>
  <c r="J3" i="5"/>
  <c r="K9" i="5"/>
  <c r="O9" i="5" s="1"/>
  <c r="J9" i="5"/>
  <c r="N9" i="5" s="1"/>
  <c r="K6" i="5"/>
  <c r="J6" i="5"/>
  <c r="N6" i="5" s="1"/>
  <c r="J8" i="5"/>
  <c r="K8" i="5"/>
  <c r="K13" i="5"/>
  <c r="J13" i="5"/>
  <c r="N12" i="5" l="1"/>
  <c r="O6" i="5"/>
  <c r="O3" i="5"/>
  <c r="O12" i="5"/>
  <c r="N3" i="5"/>
  <c r="B18" i="6" l="1"/>
  <c r="B16" i="6"/>
  <c r="B15" i="6"/>
  <c r="B30" i="6"/>
  <c r="B31" i="6"/>
  <c r="B32" i="6"/>
  <c r="B33" i="6"/>
  <c r="B29" i="6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4" i="1"/>
  <c r="B15" i="7" l="1"/>
  <c r="B14" i="7"/>
  <c r="B13" i="7"/>
  <c r="B12" i="7"/>
  <c r="B10" i="7"/>
  <c r="B11" i="7"/>
  <c r="B9" i="7"/>
  <c r="B8" i="7"/>
  <c r="B7" i="7"/>
  <c r="B6" i="7"/>
  <c r="B5" i="7"/>
  <c r="B4" i="7"/>
  <c r="B21" i="7" l="1"/>
  <c r="B22" i="7"/>
  <c r="B23" i="7"/>
  <c r="B24" i="7"/>
  <c r="B20" i="7"/>
  <c r="F15" i="7"/>
  <c r="H15" i="7" s="1"/>
  <c r="I15" i="7" s="1"/>
  <c r="F14" i="7"/>
  <c r="H14" i="7" s="1"/>
  <c r="I14" i="7" s="1"/>
  <c r="F13" i="7"/>
  <c r="H13" i="7" s="1"/>
  <c r="I13" i="7" s="1"/>
  <c r="F12" i="7"/>
  <c r="H12" i="7" s="1"/>
  <c r="I12" i="7" s="1"/>
  <c r="F11" i="7"/>
  <c r="H11" i="7" s="1"/>
  <c r="I11" i="7" s="1"/>
  <c r="F10" i="7"/>
  <c r="H10" i="7" s="1"/>
  <c r="I10" i="7" s="1"/>
  <c r="F9" i="7"/>
  <c r="H9" i="7" s="1"/>
  <c r="I9" i="7" s="1"/>
  <c r="F8" i="7"/>
  <c r="H8" i="7" s="1"/>
  <c r="I8" i="7" s="1"/>
  <c r="F7" i="7"/>
  <c r="H7" i="7" s="1"/>
  <c r="I7" i="7" s="1"/>
  <c r="F6" i="7"/>
  <c r="H6" i="7" s="1"/>
  <c r="I6" i="7" s="1"/>
  <c r="K6" i="7" s="1"/>
  <c r="F5" i="7"/>
  <c r="H5" i="7" s="1"/>
  <c r="I5" i="7" s="1"/>
  <c r="F4" i="7"/>
  <c r="H4" i="7" s="1"/>
  <c r="I4" i="7" s="1"/>
  <c r="K7" i="7" l="1"/>
  <c r="J7" i="7"/>
  <c r="K4" i="7"/>
  <c r="O4" i="7" s="1"/>
  <c r="J4" i="7"/>
  <c r="N4" i="7" s="1"/>
  <c r="J14" i="7"/>
  <c r="K14" i="7"/>
  <c r="J5" i="7"/>
  <c r="K5" i="7"/>
  <c r="J8" i="7"/>
  <c r="K8" i="7"/>
  <c r="J9" i="7"/>
  <c r="K9" i="7"/>
  <c r="K10" i="7"/>
  <c r="J10" i="7"/>
  <c r="K12" i="7"/>
  <c r="J12" i="7"/>
  <c r="J6" i="7"/>
  <c r="K11" i="7"/>
  <c r="J11" i="7"/>
  <c r="J13" i="7"/>
  <c r="N13" i="7" s="1"/>
  <c r="K13" i="7"/>
  <c r="K15" i="7"/>
  <c r="J15" i="7"/>
  <c r="B24" i="6"/>
  <c r="B25" i="6"/>
  <c r="B26" i="6"/>
  <c r="B27" i="6"/>
  <c r="B23" i="6"/>
  <c r="O13" i="7" l="1"/>
  <c r="N10" i="7"/>
  <c r="O10" i="7"/>
  <c r="N7" i="7"/>
  <c r="O7" i="7"/>
  <c r="B7" i="6" l="1"/>
  <c r="B17" i="6"/>
  <c r="B14" i="6"/>
  <c r="B13" i="6"/>
  <c r="B12" i="6"/>
  <c r="B11" i="6"/>
  <c r="B10" i="6"/>
  <c r="B9" i="6"/>
  <c r="B8" i="6"/>
  <c r="B6" i="6"/>
  <c r="B5" i="6"/>
  <c r="B4" i="6"/>
  <c r="F13" i="6"/>
  <c r="G13" i="6" s="1"/>
  <c r="H13" i="6" s="1"/>
  <c r="F14" i="6"/>
  <c r="G14" i="6" s="1"/>
  <c r="H14" i="6" s="1"/>
  <c r="F15" i="6"/>
  <c r="F16" i="6"/>
  <c r="F17" i="6"/>
  <c r="G17" i="6" s="1"/>
  <c r="H17" i="6" s="1"/>
  <c r="F18" i="6"/>
  <c r="F12" i="6"/>
  <c r="G12" i="6" s="1"/>
  <c r="F11" i="6"/>
  <c r="F10" i="6"/>
  <c r="F9" i="6"/>
  <c r="G9" i="6" s="1"/>
  <c r="F8" i="6"/>
  <c r="G8" i="6" s="1"/>
  <c r="F7" i="6"/>
  <c r="F6" i="6"/>
  <c r="F5" i="6"/>
  <c r="G5" i="6" s="1"/>
  <c r="F4" i="6"/>
  <c r="G18" i="6" l="1"/>
  <c r="H18" i="6" s="1"/>
  <c r="I18" i="6" s="1"/>
  <c r="G16" i="6"/>
  <c r="H16" i="6" s="1"/>
  <c r="I16" i="6" s="1"/>
  <c r="G15" i="6"/>
  <c r="H15" i="6" s="1"/>
  <c r="I15" i="6" s="1"/>
  <c r="I14" i="6"/>
  <c r="L14" i="6" s="1"/>
  <c r="I17" i="6"/>
  <c r="K17" i="6" s="1"/>
  <c r="I13" i="6"/>
  <c r="K13" i="6" s="1"/>
  <c r="L17" i="6"/>
  <c r="L13" i="6"/>
  <c r="G4" i="6"/>
  <c r="H4" i="6" s="1"/>
  <c r="I4" i="6" s="1"/>
  <c r="L4" i="6" s="1"/>
  <c r="K14" i="6"/>
  <c r="J14" i="6"/>
  <c r="H8" i="6"/>
  <c r="I8" i="6" s="1"/>
  <c r="K8" i="6" s="1"/>
  <c r="H12" i="6"/>
  <c r="I12" i="6" s="1"/>
  <c r="G11" i="6"/>
  <c r="H11" i="6" s="1"/>
  <c r="I11" i="6" s="1"/>
  <c r="L11" i="6" s="1"/>
  <c r="G7" i="6"/>
  <c r="H7" i="6" s="1"/>
  <c r="I7" i="6" s="1"/>
  <c r="L7" i="6" s="1"/>
  <c r="G10" i="6"/>
  <c r="H10" i="6" s="1"/>
  <c r="I10" i="6" s="1"/>
  <c r="L10" i="6" s="1"/>
  <c r="G6" i="6"/>
  <c r="H6" i="6" s="1"/>
  <c r="I6" i="6" s="1"/>
  <c r="H5" i="6"/>
  <c r="I5" i="6" s="1"/>
  <c r="H9" i="6"/>
  <c r="I9" i="6" s="1"/>
  <c r="L18" i="6" l="1"/>
  <c r="K18" i="6"/>
  <c r="J18" i="6"/>
  <c r="J16" i="6"/>
  <c r="P16" i="6" s="1"/>
  <c r="K16" i="6"/>
  <c r="Q16" i="6" s="1"/>
  <c r="L16" i="6"/>
  <c r="J15" i="6"/>
  <c r="K15" i="6"/>
  <c r="L15" i="6"/>
  <c r="J13" i="6"/>
  <c r="P13" i="6" s="1"/>
  <c r="J17" i="6"/>
  <c r="Q13" i="6"/>
  <c r="K6" i="6"/>
  <c r="L6" i="6"/>
  <c r="J12" i="6"/>
  <c r="L12" i="6"/>
  <c r="K9" i="6"/>
  <c r="L9" i="6"/>
  <c r="K5" i="6"/>
  <c r="L5" i="6"/>
  <c r="J8" i="6"/>
  <c r="L8" i="6"/>
  <c r="J4" i="6"/>
  <c r="J5" i="6"/>
  <c r="K12" i="6"/>
  <c r="K7" i="6"/>
  <c r="Q7" i="6" s="1"/>
  <c r="J7" i="6"/>
  <c r="P7" i="6" s="1"/>
  <c r="J9" i="6"/>
  <c r="J11" i="6"/>
  <c r="K11" i="6"/>
  <c r="K10" i="6"/>
  <c r="Q10" i="6" s="1"/>
  <c r="J10" i="6"/>
  <c r="K4" i="6"/>
  <c r="J6" i="6"/>
  <c r="P4" i="6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4" i="1"/>
  <c r="G5" i="1"/>
  <c r="G6" i="1"/>
  <c r="G7" i="1"/>
  <c r="G8" i="1"/>
  <c r="G9" i="1"/>
  <c r="G10" i="1"/>
  <c r="G11" i="1"/>
  <c r="G12" i="1"/>
  <c r="G13" i="1"/>
  <c r="G14" i="1"/>
  <c r="G15" i="1"/>
  <c r="I13" i="1" s="1"/>
  <c r="G4" i="1"/>
  <c r="F6" i="1"/>
  <c r="F7" i="1"/>
  <c r="H7" i="1" s="1"/>
  <c r="F8" i="1"/>
  <c r="F9" i="1"/>
  <c r="F10" i="1"/>
  <c r="H10" i="1" s="1"/>
  <c r="F11" i="1"/>
  <c r="F12" i="1"/>
  <c r="F13" i="1"/>
  <c r="H13" i="1" s="1"/>
  <c r="F14" i="1"/>
  <c r="F15" i="1"/>
  <c r="I10" i="1" l="1"/>
  <c r="Q4" i="6"/>
  <c r="P10" i="6"/>
  <c r="I7" i="1"/>
  <c r="I4" i="1"/>
  <c r="M38" i="4"/>
  <c r="O38" i="4" s="1"/>
  <c r="M37" i="4"/>
  <c r="O37" i="4" s="1"/>
  <c r="M36" i="4"/>
  <c r="O36" i="4" s="1"/>
  <c r="M35" i="4"/>
  <c r="O35" i="4" s="1"/>
  <c r="M34" i="4"/>
  <c r="O34" i="4" s="1"/>
  <c r="M29" i="4"/>
  <c r="O29" i="4" s="1"/>
  <c r="M28" i="4"/>
  <c r="O28" i="4" s="1"/>
  <c r="M27" i="4"/>
  <c r="O27" i="4" s="1"/>
  <c r="M26" i="4"/>
  <c r="O26" i="4" s="1"/>
  <c r="M25" i="4"/>
  <c r="O25" i="4" s="1"/>
  <c r="F13" i="4"/>
  <c r="G13" i="4" s="1"/>
  <c r="H13" i="4" s="1"/>
  <c r="I13" i="4" s="1"/>
  <c r="K13" i="4" s="1"/>
  <c r="N13" i="4" s="1"/>
  <c r="F14" i="4"/>
  <c r="G14" i="4" s="1"/>
  <c r="H14" i="4" s="1"/>
  <c r="I14" i="4" s="1"/>
  <c r="K14" i="4" s="1"/>
  <c r="N14" i="4" s="1"/>
  <c r="F15" i="4"/>
  <c r="G15" i="4" s="1"/>
  <c r="H15" i="4" s="1"/>
  <c r="I15" i="4" s="1"/>
  <c r="K15" i="4" s="1"/>
  <c r="N15" i="4" s="1"/>
  <c r="F16" i="4"/>
  <c r="G16" i="4" s="1"/>
  <c r="H16" i="4" s="1"/>
  <c r="I16" i="4" s="1"/>
  <c r="K16" i="4" s="1"/>
  <c r="N16" i="4" s="1"/>
  <c r="F17" i="4"/>
  <c r="G17" i="4" s="1"/>
  <c r="H17" i="4" s="1"/>
  <c r="I17" i="4" s="1"/>
  <c r="K17" i="4" s="1"/>
  <c r="N17" i="4" s="1"/>
  <c r="F18" i="4"/>
  <c r="G18" i="4" s="1"/>
  <c r="H18" i="4" s="1"/>
  <c r="I18" i="4" s="1"/>
  <c r="K18" i="4" s="1"/>
  <c r="N18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26" i="4"/>
  <c r="G26" i="4" s="1"/>
  <c r="H26" i="4" s="1"/>
  <c r="I26" i="4" s="1"/>
  <c r="F25" i="4"/>
  <c r="G25" i="4" s="1"/>
  <c r="H25" i="4" s="1"/>
  <c r="I25" i="4" s="1"/>
  <c r="F24" i="4"/>
  <c r="G24" i="4" s="1"/>
  <c r="H24" i="4" s="1"/>
  <c r="I24" i="4" s="1"/>
  <c r="F23" i="4"/>
  <c r="G23" i="4" s="1"/>
  <c r="H23" i="4" s="1"/>
  <c r="I23" i="4" s="1"/>
  <c r="F22" i="4"/>
  <c r="G22" i="4" s="1"/>
  <c r="H22" i="4" s="1"/>
  <c r="I22" i="4" s="1"/>
  <c r="Q17" i="3"/>
  <c r="R17" i="3" s="1"/>
  <c r="S17" i="3" s="1"/>
  <c r="T17" i="3" s="1"/>
  <c r="Q18" i="3"/>
  <c r="R18" i="3" s="1"/>
  <c r="S18" i="3" s="1"/>
  <c r="T18" i="3" s="1"/>
  <c r="Q19" i="3"/>
  <c r="R19" i="3" s="1"/>
  <c r="S19" i="3" s="1"/>
  <c r="T19" i="3" s="1"/>
  <c r="Q20" i="3"/>
  <c r="R20" i="3" s="1"/>
  <c r="S20" i="3" s="1"/>
  <c r="T20" i="3" s="1"/>
  <c r="M28" i="3"/>
  <c r="O28" i="3" s="1"/>
  <c r="M27" i="3"/>
  <c r="O27" i="3" s="1"/>
  <c r="M26" i="3"/>
  <c r="O26" i="3" s="1"/>
  <c r="M25" i="3"/>
  <c r="O25" i="3" s="1"/>
  <c r="M24" i="3"/>
  <c r="O24" i="3" s="1"/>
  <c r="Q16" i="3"/>
  <c r="R16" i="3" s="1"/>
  <c r="T16" i="4" l="1"/>
  <c r="T13" i="4"/>
  <c r="H11" i="4"/>
  <c r="I11" i="4" s="1"/>
  <c r="K11" i="4" s="1"/>
  <c r="L11" i="4" s="1"/>
  <c r="H10" i="4"/>
  <c r="I10" i="4" s="1"/>
  <c r="K10" i="4" s="1"/>
  <c r="N10" i="4" s="1"/>
  <c r="H9" i="4"/>
  <c r="I9" i="4" s="1"/>
  <c r="K9" i="4" s="1"/>
  <c r="M9" i="4" s="1"/>
  <c r="H8" i="4"/>
  <c r="I8" i="4" s="1"/>
  <c r="K8" i="4" s="1"/>
  <c r="M8" i="4" s="1"/>
  <c r="H6" i="4"/>
  <c r="I6" i="4" s="1"/>
  <c r="K6" i="4" s="1"/>
  <c r="L6" i="4" s="1"/>
  <c r="H5" i="4"/>
  <c r="I5" i="4" s="1"/>
  <c r="K5" i="4" s="1"/>
  <c r="L5" i="4" s="1"/>
  <c r="H12" i="4"/>
  <c r="I12" i="4" s="1"/>
  <c r="K12" i="4" s="1"/>
  <c r="M12" i="4" s="1"/>
  <c r="H7" i="4"/>
  <c r="I7" i="4" s="1"/>
  <c r="K7" i="4" s="1"/>
  <c r="N7" i="4" s="1"/>
  <c r="H4" i="4"/>
  <c r="I4" i="4" s="1"/>
  <c r="K4" i="4" s="1"/>
  <c r="N4" i="4" s="1"/>
  <c r="L18" i="4"/>
  <c r="M18" i="4"/>
  <c r="L17" i="4"/>
  <c r="M17" i="4"/>
  <c r="L16" i="4"/>
  <c r="M16" i="4"/>
  <c r="M15" i="4"/>
  <c r="L15" i="4"/>
  <c r="M14" i="4"/>
  <c r="L14" i="4"/>
  <c r="M13" i="4"/>
  <c r="L13" i="4"/>
  <c r="S16" i="3"/>
  <c r="T16" i="3" s="1"/>
  <c r="R13" i="4" l="1"/>
  <c r="S13" i="4"/>
  <c r="S16" i="4"/>
  <c r="R16" i="4"/>
  <c r="L9" i="4"/>
  <c r="M6" i="4"/>
  <c r="N6" i="4"/>
  <c r="N5" i="4"/>
  <c r="T4" i="4" s="1"/>
  <c r="M5" i="4"/>
  <c r="N12" i="4"/>
  <c r="N11" i="4"/>
  <c r="M11" i="4"/>
  <c r="N9" i="4"/>
  <c r="L8" i="4"/>
  <c r="N8" i="4"/>
  <c r="L12" i="4"/>
  <c r="M10" i="4"/>
  <c r="L10" i="4"/>
  <c r="L7" i="4"/>
  <c r="M7" i="4"/>
  <c r="S7" i="4" s="1"/>
  <c r="M4" i="4"/>
  <c r="L4" i="4"/>
  <c r="R4" i="4" s="1"/>
  <c r="S4" i="4" l="1"/>
  <c r="T7" i="4"/>
  <c r="S10" i="4"/>
  <c r="R10" i="4"/>
  <c r="R7" i="4"/>
  <c r="T10" i="4"/>
  <c r="N5" i="3" l="1"/>
  <c r="N4" i="3"/>
  <c r="B20" i="3"/>
  <c r="D20" i="3" s="1"/>
  <c r="B19" i="3"/>
  <c r="D19" i="3" s="1"/>
  <c r="B18" i="3"/>
  <c r="D18" i="3" s="1"/>
  <c r="B17" i="3"/>
  <c r="D17" i="3" s="1"/>
  <c r="B16" i="3"/>
  <c r="D16" i="3" s="1"/>
  <c r="F12" i="3" l="1"/>
  <c r="F11" i="3"/>
  <c r="F10" i="3"/>
  <c r="F9" i="3"/>
  <c r="F8" i="3"/>
  <c r="F7" i="3"/>
  <c r="F6" i="3"/>
  <c r="F5" i="3"/>
  <c r="F4" i="3"/>
  <c r="G12" i="3" l="1"/>
  <c r="H12" i="3" s="1"/>
  <c r="I12" i="3" s="1"/>
  <c r="K12" i="3" s="1"/>
  <c r="G11" i="3"/>
  <c r="H11" i="3" s="1"/>
  <c r="I11" i="3" s="1"/>
  <c r="K11" i="3" s="1"/>
  <c r="G10" i="3"/>
  <c r="H10" i="3" s="1"/>
  <c r="I10" i="3" s="1"/>
  <c r="K10" i="3" s="1"/>
  <c r="G9" i="3"/>
  <c r="H9" i="3" s="1"/>
  <c r="I9" i="3" s="1"/>
  <c r="K9" i="3" s="1"/>
  <c r="G8" i="3"/>
  <c r="H8" i="3" s="1"/>
  <c r="I8" i="3" s="1"/>
  <c r="K8" i="3" s="1"/>
  <c r="G7" i="3"/>
  <c r="H7" i="3" s="1"/>
  <c r="I7" i="3" s="1"/>
  <c r="K7" i="3" s="1"/>
  <c r="G6" i="3"/>
  <c r="H6" i="3" s="1"/>
  <c r="I6" i="3" s="1"/>
  <c r="K6" i="3" s="1"/>
  <c r="G5" i="3"/>
  <c r="H5" i="3" s="1"/>
  <c r="I5" i="3" s="1"/>
  <c r="K5" i="3" s="1"/>
  <c r="G4" i="3"/>
  <c r="H4" i="3" s="1"/>
  <c r="I4" i="3" s="1"/>
  <c r="K4" i="3" s="1"/>
  <c r="M4" i="3" s="1"/>
  <c r="M12" i="3" l="1"/>
  <c r="L12" i="3"/>
  <c r="M11" i="3"/>
  <c r="L11" i="3"/>
  <c r="M10" i="3"/>
  <c r="L10" i="3"/>
  <c r="M9" i="3"/>
  <c r="L9" i="3"/>
  <c r="M8" i="3"/>
  <c r="L8" i="3"/>
  <c r="M7" i="3"/>
  <c r="Q7" i="3" s="1"/>
  <c r="L7" i="3"/>
  <c r="M6" i="3"/>
  <c r="L6" i="3"/>
  <c r="M5" i="3"/>
  <c r="Q4" i="3" s="1"/>
  <c r="L5" i="3"/>
  <c r="L4" i="3"/>
  <c r="P10" i="3" l="1"/>
  <c r="P4" i="3"/>
  <c r="Q10" i="3"/>
  <c r="P7" i="3"/>
  <c r="B5" i="1"/>
  <c r="F5" i="1" s="1"/>
  <c r="B4" i="1"/>
  <c r="F4" i="1" s="1"/>
  <c r="H4" i="1" s="1"/>
</calcChain>
</file>

<file path=xl/sharedStrings.xml><?xml version="1.0" encoding="utf-8"?>
<sst xmlns="http://schemas.openxmlformats.org/spreadsheetml/2006/main" count="289" uniqueCount="141">
  <si>
    <t>№</t>
  </si>
  <si>
    <t>Сырая масса побегов</t>
  </si>
  <si>
    <t>Сухая масса побегов</t>
  </si>
  <si>
    <t>Сухая масса корней</t>
  </si>
  <si>
    <t>Сырая масса корней</t>
  </si>
  <si>
    <t>Контроль 1</t>
  </si>
  <si>
    <t>Контроль 2</t>
  </si>
  <si>
    <t>Контроль 3</t>
  </si>
  <si>
    <r>
      <t>CuCl</t>
    </r>
    <r>
      <rPr>
        <vertAlign val="sub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 xml:space="preserve"> 1</t>
    </r>
  </si>
  <si>
    <r>
      <t>CuCl</t>
    </r>
    <r>
      <rPr>
        <vertAlign val="sub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 xml:space="preserve"> 2</t>
    </r>
    <r>
      <rPr>
        <sz val="11"/>
        <color theme="1"/>
        <rFont val="Calibri"/>
        <family val="2"/>
        <charset val="204"/>
        <scheme val="minor"/>
      </rPr>
      <t/>
    </r>
  </si>
  <si>
    <r>
      <t>CuCl</t>
    </r>
    <r>
      <rPr>
        <vertAlign val="sub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 xml:space="preserve"> 3</t>
    </r>
    <r>
      <rPr>
        <sz val="11"/>
        <color theme="1"/>
        <rFont val="Calibri"/>
        <family val="2"/>
        <charset val="204"/>
        <scheme val="minor"/>
      </rPr>
      <t/>
    </r>
  </si>
  <si>
    <r>
      <t xml:space="preserve">Глутамин </t>
    </r>
    <r>
      <rPr>
        <b/>
        <vertAlign val="subscript"/>
        <sz val="16"/>
        <color theme="1"/>
        <rFont val="Times New Roman"/>
        <family val="1"/>
        <charset val="204"/>
      </rPr>
      <t>1</t>
    </r>
    <r>
      <rPr>
        <sz val="16"/>
        <color theme="1"/>
        <rFont val="Times New Roman"/>
        <family val="1"/>
        <charset val="204"/>
      </rPr>
      <t xml:space="preserve"> 1</t>
    </r>
  </si>
  <si>
    <r>
      <t xml:space="preserve">Глутамин </t>
    </r>
    <r>
      <rPr>
        <b/>
        <vertAlign val="subscript"/>
        <sz val="16"/>
        <color theme="1"/>
        <rFont val="Times New Roman"/>
        <family val="1"/>
        <charset val="204"/>
      </rPr>
      <t>1</t>
    </r>
    <r>
      <rPr>
        <sz val="16"/>
        <color theme="1"/>
        <rFont val="Times New Roman"/>
        <family val="1"/>
        <charset val="204"/>
      </rPr>
      <t xml:space="preserve"> 2</t>
    </r>
  </si>
  <si>
    <r>
      <t xml:space="preserve">Глутамин </t>
    </r>
    <r>
      <rPr>
        <b/>
        <vertAlign val="subscript"/>
        <sz val="16"/>
        <color theme="1"/>
        <rFont val="Times New Roman"/>
        <family val="1"/>
        <charset val="204"/>
      </rPr>
      <t>1</t>
    </r>
    <r>
      <rPr>
        <sz val="16"/>
        <color theme="1"/>
        <rFont val="Times New Roman"/>
        <family val="1"/>
        <charset val="204"/>
      </rPr>
      <t xml:space="preserve"> 3</t>
    </r>
  </si>
  <si>
    <r>
      <t xml:space="preserve">Глутамин </t>
    </r>
    <r>
      <rPr>
        <b/>
        <vertAlign val="subscript"/>
        <sz val="16"/>
        <color theme="1"/>
        <rFont val="Times New Roman"/>
        <family val="1"/>
        <charset val="204"/>
      </rPr>
      <t>5</t>
    </r>
    <r>
      <rPr>
        <sz val="16"/>
        <color theme="1"/>
        <rFont val="Times New Roman"/>
        <family val="1"/>
        <charset val="204"/>
      </rPr>
      <t xml:space="preserve"> 1</t>
    </r>
  </si>
  <si>
    <r>
      <t xml:space="preserve">Глутамин </t>
    </r>
    <r>
      <rPr>
        <b/>
        <vertAlign val="subscript"/>
        <sz val="16"/>
        <color theme="1"/>
        <rFont val="Times New Roman"/>
        <family val="1"/>
        <charset val="204"/>
      </rPr>
      <t>5</t>
    </r>
    <r>
      <rPr>
        <sz val="16"/>
        <color theme="1"/>
        <rFont val="Times New Roman"/>
        <family val="1"/>
        <charset val="204"/>
      </rPr>
      <t xml:space="preserve"> 2</t>
    </r>
  </si>
  <si>
    <r>
      <t xml:space="preserve">Глутамин </t>
    </r>
    <r>
      <rPr>
        <b/>
        <vertAlign val="subscript"/>
        <sz val="16"/>
        <color theme="1"/>
        <rFont val="Times New Roman"/>
        <family val="1"/>
        <charset val="204"/>
      </rPr>
      <t>5</t>
    </r>
    <r>
      <rPr>
        <sz val="16"/>
        <color theme="1"/>
        <rFont val="Times New Roman"/>
        <family val="1"/>
        <charset val="204"/>
      </rPr>
      <t xml:space="preserve"> 3</t>
    </r>
  </si>
  <si>
    <t>Сухая масса корней (расчитанная)</t>
  </si>
  <si>
    <t>Сухая масса клеточной стенки</t>
  </si>
  <si>
    <r>
      <t>1 (CuCl</t>
    </r>
    <r>
      <rPr>
        <vertAlign val="sub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>)</t>
    </r>
  </si>
  <si>
    <r>
      <t>2 (CuCl</t>
    </r>
    <r>
      <rPr>
        <vertAlign val="sub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>)</t>
    </r>
  </si>
  <si>
    <r>
      <t>3 (CuCl</t>
    </r>
    <r>
      <rPr>
        <vertAlign val="sub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>)</t>
    </r>
  </si>
  <si>
    <t>4 (Глу 1)</t>
  </si>
  <si>
    <t>5 (Глу 1)</t>
  </si>
  <si>
    <t>6 (Глу 1)</t>
  </si>
  <si>
    <t>7 (Глу 5)</t>
  </si>
  <si>
    <t>8 (Глу 5)</t>
  </si>
  <si>
    <t>9 (Глу 5)</t>
  </si>
  <si>
    <t>10 (Цит 0,5)</t>
  </si>
  <si>
    <t>11 (Цит 0,5)</t>
  </si>
  <si>
    <t>12 (Цит 0,5)</t>
  </si>
  <si>
    <t>13 (Цит 1)</t>
  </si>
  <si>
    <t>14 (Цит 1)</t>
  </si>
  <si>
    <t>15 (Цит 1)</t>
  </si>
  <si>
    <t>Массы растений (9 растений)</t>
  </si>
  <si>
    <t>Оводненность/озоление</t>
  </si>
  <si>
    <t>Выделение клеточной стенки</t>
  </si>
  <si>
    <t>pH</t>
  </si>
  <si>
    <t>CuCl2</t>
  </si>
  <si>
    <t>Глу 1</t>
  </si>
  <si>
    <t>Глу 5</t>
  </si>
  <si>
    <t>Цит 0,5</t>
  </si>
  <si>
    <t>Цит 1</t>
  </si>
  <si>
    <t>CuCL2 1</t>
  </si>
  <si>
    <t>CuCL2 2</t>
  </si>
  <si>
    <t>CuCL2 3</t>
  </si>
  <si>
    <t>Глу 1 1</t>
  </si>
  <si>
    <t>Глу 1 2</t>
  </si>
  <si>
    <t>Глу 1 3</t>
  </si>
  <si>
    <t>Глу 5 1</t>
  </si>
  <si>
    <t>Глу 5 2</t>
  </si>
  <si>
    <t>Глу 5 3</t>
  </si>
  <si>
    <t>Растворы после обработки</t>
  </si>
  <si>
    <t>Исходные растворы доводили до 5 перед обработкой и сорбцией</t>
  </si>
  <si>
    <t>V общ</t>
  </si>
  <si>
    <t>Vал.</t>
  </si>
  <si>
    <t>D600 1</t>
  </si>
  <si>
    <t>D600 2</t>
  </si>
  <si>
    <t>D600 Ср</t>
  </si>
  <si>
    <t>мкг/мл</t>
  </si>
  <si>
    <t>мкмоль/мл</t>
  </si>
  <si>
    <t>мкмоль общ</t>
  </si>
  <si>
    <t>мкмоль общ. Ис. Р-ры</t>
  </si>
  <si>
    <t>Разница исх. - посл. Сорбц</t>
  </si>
  <si>
    <t>Поглощение на г сырой массы</t>
  </si>
  <si>
    <t>Поглощение на г сухой массы</t>
  </si>
  <si>
    <t>Среднее поглощение на грамм сырой массы корня</t>
  </si>
  <si>
    <t>Среднее поглощение на грамм сухой массы корня</t>
  </si>
  <si>
    <r>
      <t>CuCl</t>
    </r>
    <r>
      <rPr>
        <vertAlign val="sub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 xml:space="preserve"> 10 1</t>
    </r>
  </si>
  <si>
    <r>
      <t>CuCl</t>
    </r>
    <r>
      <rPr>
        <vertAlign val="sub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 xml:space="preserve"> 10 2</t>
    </r>
    <r>
      <rPr>
        <sz val="11"/>
        <color theme="1"/>
        <rFont val="Calibri"/>
        <family val="2"/>
        <charset val="204"/>
        <scheme val="minor"/>
      </rPr>
      <t/>
    </r>
  </si>
  <si>
    <r>
      <t>CuCl</t>
    </r>
    <r>
      <rPr>
        <vertAlign val="sub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 xml:space="preserve"> 10 3</t>
    </r>
    <r>
      <rPr>
        <sz val="11"/>
        <color theme="1"/>
        <rFont val="Calibri"/>
        <family val="2"/>
        <charset val="204"/>
        <scheme val="minor"/>
      </rPr>
      <t/>
    </r>
  </si>
  <si>
    <t>Vал</t>
  </si>
  <si>
    <t>мкм/мл</t>
  </si>
  <si>
    <t>D 600</t>
  </si>
  <si>
    <t>L=50</t>
  </si>
  <si>
    <t>pH растворов</t>
  </si>
  <si>
    <t>CuCl 10 1</t>
  </si>
  <si>
    <t>Глу 1mM</t>
  </si>
  <si>
    <t>Глу 5 mM</t>
  </si>
  <si>
    <t>Калибровка для исходных растворов</t>
  </si>
  <si>
    <t>Цит 0,5 mM</t>
  </si>
  <si>
    <t>Цит 1mM</t>
  </si>
  <si>
    <t>Сорбция на г сырой массы</t>
  </si>
  <si>
    <t>Сорбция на г сухой массы</t>
  </si>
  <si>
    <t>Сорбция на г сухой массы стенки</t>
  </si>
  <si>
    <t>Средняя сорбция на грамм FW</t>
  </si>
  <si>
    <t>Средняя сорбция на грамм DW</t>
  </si>
  <si>
    <t>Средняя сорбция на грамм DW кл. ст.</t>
  </si>
  <si>
    <t>CuCl 10 2</t>
  </si>
  <si>
    <t>CuCl 10 3</t>
  </si>
  <si>
    <t>Глу 1 mM 1</t>
  </si>
  <si>
    <t>Глу 1 mM 2</t>
  </si>
  <si>
    <t>Глу 1 mM 3</t>
  </si>
  <si>
    <t>Глу 5 mM 1</t>
  </si>
  <si>
    <t>Глу 5 mM 2</t>
  </si>
  <si>
    <t>Глу 5 mM 3</t>
  </si>
  <si>
    <t>Цит 0,5 mM 1</t>
  </si>
  <si>
    <t>Цит 0,5 mM 2</t>
  </si>
  <si>
    <t>Цит 0,5 mM 3</t>
  </si>
  <si>
    <t>Цит 1 mM 1</t>
  </si>
  <si>
    <t>Цит 1 mM 2</t>
  </si>
  <si>
    <t>Цит 1 mM 3</t>
  </si>
  <si>
    <t>Исходные растворы</t>
  </si>
  <si>
    <t xml:space="preserve">Калибровки </t>
  </si>
  <si>
    <t>Для CuCl2 - Глу 5 mM 2</t>
  </si>
  <si>
    <t>Для Глу 5 mM 3 - Цит</t>
  </si>
  <si>
    <t>Концентрация меди в растворах после сорбции клеточной стенкой (9 Растений)</t>
  </si>
  <si>
    <t>Концентрация меди в растворах после обработки растений(9 Растений)</t>
  </si>
  <si>
    <t>Растворы после сорбции</t>
  </si>
  <si>
    <t>Цит 0,5 1</t>
  </si>
  <si>
    <t>Цит 0,5 2</t>
  </si>
  <si>
    <t>Цит 0,5 3</t>
  </si>
  <si>
    <t>Цит 1 1</t>
  </si>
  <si>
    <t>Цит 1 2</t>
  </si>
  <si>
    <t>Цит 1 3</t>
  </si>
  <si>
    <t>Оводненность корней</t>
  </si>
  <si>
    <t>Оводненность побеговой системы</t>
  </si>
  <si>
    <t>Оводненность корней и побегов</t>
  </si>
  <si>
    <t>Средняя оводненность корней</t>
  </si>
  <si>
    <t>Средняя оводненность побегов</t>
  </si>
  <si>
    <t>Концентрация меди на г сырой массы корня</t>
  </si>
  <si>
    <t>Концентрация меди на г сухой массы корня</t>
  </si>
  <si>
    <t>Калибровка</t>
  </si>
  <si>
    <t>Озоление клеточной стенки</t>
  </si>
  <si>
    <t>Концентрация меди на г DW кл ст</t>
  </si>
  <si>
    <t>DW кл ст</t>
  </si>
  <si>
    <t>Ср концентрация меди на грам DW стенки</t>
  </si>
  <si>
    <t>Ср концентрация меди на грамм сырой массы корня</t>
  </si>
  <si>
    <t>Средняя концентрация меди на грамм сухой массы корня</t>
  </si>
  <si>
    <t>L=10</t>
  </si>
  <si>
    <t>L=30</t>
  </si>
  <si>
    <t>Концентрация меди на г сырой массы побега</t>
  </si>
  <si>
    <t>Концентрация меди на г сухой массы побега</t>
  </si>
  <si>
    <t>Сырая масса побега</t>
  </si>
  <si>
    <t>Сухая масса побега</t>
  </si>
  <si>
    <t>Среняя концентрация на грамм сырой массы побега</t>
  </si>
  <si>
    <t>Средняя концентрация на грамм сухой массы корня</t>
  </si>
  <si>
    <t xml:space="preserve">Калибровка </t>
  </si>
  <si>
    <t>V</t>
  </si>
  <si>
    <t>мкг CU в пробе</t>
  </si>
  <si>
    <t>Массовая доля кл 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</si>
</sst>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6"/>
      <color theme="1"/>
      <name val="Times New Roman"/>
      <family val="1"/>
      <charset val="204"/>
    </font>
    <font>
      <vertAlign val="subscript"/>
      <sz val="16"/>
      <color theme="1"/>
      <name val="Times New Roman"/>
      <family val="1"/>
      <charset val="204"/>
    </font>
    <font>
      <b/>
      <vertAlign val="subscript"/>
      <sz val="16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26"/>
      <color theme="1"/>
      <name val="Calibri"/>
      <family val="2"/>
      <scheme val="minor"/>
    </font>
    <font>
      <sz val="16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0" fontId="6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2" xfId="0" applyFont="1" applyBorder="1"/>
    <xf numFmtId="0" fontId="3" fillId="0" borderId="1" xfId="0" applyFont="1" applyBorder="1" applyAlignment="1"/>
    <xf numFmtId="0" fontId="3" fillId="0" borderId="0" xfId="0" applyFont="1" applyBorder="1"/>
    <xf numFmtId="164" fontId="3" fillId="0" borderId="1" xfId="0" applyNumberFormat="1" applyFont="1" applyBorder="1" applyAlignment="1">
      <alignment wrapText="1"/>
    </xf>
    <xf numFmtId="1" fontId="3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164" fontId="8" fillId="0" borderId="1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0" fontId="3" fillId="0" borderId="4" xfId="0" applyFont="1" applyFill="1" applyBorder="1"/>
    <xf numFmtId="0" fontId="3" fillId="0" borderId="0" xfId="0" applyFont="1" applyFill="1" applyBorder="1"/>
    <xf numFmtId="0" fontId="3" fillId="2" borderId="1" xfId="0" applyFont="1" applyFill="1" applyBorder="1"/>
    <xf numFmtId="0" fontId="3" fillId="0" borderId="0" xfId="0" applyFont="1" applyAlignment="1">
      <alignment wrapText="1"/>
    </xf>
    <xf numFmtId="164" fontId="3" fillId="0" borderId="1" xfId="0" applyNumberFormat="1" applyFont="1" applyBorder="1"/>
    <xf numFmtId="2" fontId="3" fillId="0" borderId="1" xfId="0" applyNumberFormat="1" applyFont="1" applyBorder="1" applyAlignment="1">
      <alignment wrapText="1"/>
    </xf>
    <xf numFmtId="2" fontId="0" fillId="0" borderId="0" xfId="0" applyNumberFormat="1"/>
    <xf numFmtId="164" fontId="3" fillId="0" borderId="4" xfId="0" applyNumberFormat="1" applyFont="1" applyFill="1" applyBorder="1" applyAlignment="1">
      <alignment wrapText="1"/>
    </xf>
    <xf numFmtId="0" fontId="9" fillId="0" borderId="0" xfId="0" applyFont="1"/>
    <xf numFmtId="164" fontId="10" fillId="0" borderId="1" xfId="0" applyNumberFormat="1" applyFont="1" applyBorder="1" applyAlignment="1">
      <alignment wrapText="1"/>
    </xf>
    <xf numFmtId="2" fontId="10" fillId="0" borderId="1" xfId="0" applyNumberFormat="1" applyFont="1" applyBorder="1" applyAlignment="1">
      <alignment wrapText="1"/>
    </xf>
    <xf numFmtId="1" fontId="10" fillId="0" borderId="1" xfId="0" applyNumberFormat="1" applyFont="1" applyBorder="1" applyAlignment="1">
      <alignment wrapText="1"/>
    </xf>
    <xf numFmtId="165" fontId="10" fillId="0" borderId="1" xfId="0" applyNumberFormat="1" applyFont="1" applyBorder="1" applyAlignment="1">
      <alignment wrapText="1"/>
    </xf>
    <xf numFmtId="0" fontId="10" fillId="0" borderId="1" xfId="0" applyFont="1" applyBorder="1"/>
    <xf numFmtId="0" fontId="3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3" xfId="0" applyNumberFormat="1" applyFont="1" applyBorder="1" applyAlignment="1">
      <alignment horizontal="center" wrapText="1"/>
    </xf>
    <xf numFmtId="164" fontId="3" fillId="0" borderId="4" xfId="0" applyNumberFormat="1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Калибровка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730183727034124"/>
                  <c:y val="-0.18930701370662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'После обработки растений'!$C$16:$C$20</c:f>
              <c:numCache>
                <c:formatCode>General</c:formatCode>
                <c:ptCount val="5"/>
                <c:pt idx="0">
                  <c:v>0.04</c:v>
                </c:pt>
                <c:pt idx="1">
                  <c:v>8.6999999999999994E-2</c:v>
                </c:pt>
                <c:pt idx="2">
                  <c:v>0.13200000000000001</c:v>
                </c:pt>
                <c:pt idx="3">
                  <c:v>0.18</c:v>
                </c:pt>
                <c:pt idx="4">
                  <c:v>0.23100000000000001</c:v>
                </c:pt>
              </c:numCache>
            </c:numRef>
          </c:xVal>
          <c:yVal>
            <c:numRef>
              <c:f>'После обработки растений'!$D$16:$D$20</c:f>
              <c:numCache>
                <c:formatCode>General</c:formatCode>
                <c:ptCount val="5"/>
                <c:pt idx="0">
                  <c:v>0.99695000000000011</c:v>
                </c:pt>
                <c:pt idx="1">
                  <c:v>1.9939000000000002</c:v>
                </c:pt>
                <c:pt idx="2">
                  <c:v>2.9908499999999996</c:v>
                </c:pt>
                <c:pt idx="3">
                  <c:v>3.9878000000000005</c:v>
                </c:pt>
                <c:pt idx="4">
                  <c:v>4.98475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F-44F6-A77F-74E53CFF7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066784"/>
        <c:axId val="1988475856"/>
      </c:scatterChart>
      <c:valAx>
        <c:axId val="194106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8475856"/>
        <c:crosses val="autoZero"/>
        <c:crossBetween val="midCat"/>
      </c:valAx>
      <c:valAx>
        <c:axId val="19884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106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'После обработки растений'!$L$22</c:f>
              <c:strCache>
                <c:ptCount val="1"/>
                <c:pt idx="0">
                  <c:v>Калибровка для исходных растворов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954624671916016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'После обработки растений'!$N$24:$N$28</c:f>
              <c:numCache>
                <c:formatCode>General</c:formatCode>
                <c:ptCount val="5"/>
                <c:pt idx="0">
                  <c:v>3.6999999999999998E-2</c:v>
                </c:pt>
                <c:pt idx="1">
                  <c:v>8.1000000000000003E-2</c:v>
                </c:pt>
                <c:pt idx="2">
                  <c:v>0.16600000000000001</c:v>
                </c:pt>
                <c:pt idx="3">
                  <c:v>0.254</c:v>
                </c:pt>
                <c:pt idx="4">
                  <c:v>0.33500000000000002</c:v>
                </c:pt>
              </c:numCache>
            </c:numRef>
          </c:xVal>
          <c:yVal>
            <c:numRef>
              <c:f>'После обработки растений'!$O$24:$O$28</c:f>
              <c:numCache>
                <c:formatCode>General</c:formatCode>
                <c:ptCount val="5"/>
                <c:pt idx="0">
                  <c:v>0.99695000000000011</c:v>
                </c:pt>
                <c:pt idx="1">
                  <c:v>1.9939000000000002</c:v>
                </c:pt>
                <c:pt idx="2">
                  <c:v>3.9878000000000005</c:v>
                </c:pt>
                <c:pt idx="3">
                  <c:v>5.9816999999999991</c:v>
                </c:pt>
                <c:pt idx="4">
                  <c:v>7.9756000000000009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5F-4193-9B8E-4AD61955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64896"/>
        <c:axId val="257826368"/>
      </c:scatterChart>
      <c:valAx>
        <c:axId val="2605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826368"/>
        <c:crosses val="autoZero"/>
        <c:crossBetween val="midCat"/>
      </c:valAx>
      <c:valAx>
        <c:axId val="2578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5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'Сорбция по растворам (КС)'!$L$22</c:f>
              <c:strCache>
                <c:ptCount val="1"/>
                <c:pt idx="0">
                  <c:v>Для CuCl2 - Глу 5 mM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365923009623794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'Сорбция по растворам (КС)'!$N$25:$N$29</c:f>
              <c:numCache>
                <c:formatCode>General</c:formatCode>
                <c:ptCount val="5"/>
                <c:pt idx="0">
                  <c:v>3.6999999999999998E-2</c:v>
                </c:pt>
                <c:pt idx="1">
                  <c:v>8.1000000000000003E-2</c:v>
                </c:pt>
                <c:pt idx="2">
                  <c:v>0.16600000000000001</c:v>
                </c:pt>
                <c:pt idx="3">
                  <c:v>0.254</c:v>
                </c:pt>
                <c:pt idx="4">
                  <c:v>0.33500000000000002</c:v>
                </c:pt>
              </c:numCache>
            </c:numRef>
          </c:xVal>
          <c:yVal>
            <c:numRef>
              <c:f>'Сорбция по растворам (КС)'!$O$25:$O$29</c:f>
              <c:numCache>
                <c:formatCode>General</c:formatCode>
                <c:ptCount val="5"/>
                <c:pt idx="0">
                  <c:v>0.99695000000000011</c:v>
                </c:pt>
                <c:pt idx="1">
                  <c:v>1.9939000000000002</c:v>
                </c:pt>
                <c:pt idx="2">
                  <c:v>3.9878000000000005</c:v>
                </c:pt>
                <c:pt idx="3">
                  <c:v>5.9816999999999991</c:v>
                </c:pt>
                <c:pt idx="4">
                  <c:v>7.9756000000000009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F-4CD7-9D79-344C58A60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87584"/>
        <c:axId val="257814720"/>
      </c:scatterChart>
      <c:valAx>
        <c:axId val="2640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814720"/>
        <c:crosses val="autoZero"/>
        <c:crossBetween val="midCat"/>
      </c:valAx>
      <c:valAx>
        <c:axId val="2578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0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'Сорбция по растворам (КС)'!$L$31</c:f>
              <c:strCache>
                <c:ptCount val="1"/>
                <c:pt idx="0">
                  <c:v>Для Глу 5 mM 3 - Цит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665594925634299"/>
                  <c:y val="-0.203938830562846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'Сорбция по растворам (КС)'!$N$34:$N$38</c:f>
              <c:numCache>
                <c:formatCode>General</c:formatCode>
                <c:ptCount val="5"/>
                <c:pt idx="0">
                  <c:v>3.7999999999999999E-2</c:v>
                </c:pt>
                <c:pt idx="1">
                  <c:v>8.5999999999999993E-2</c:v>
                </c:pt>
                <c:pt idx="2">
                  <c:v>0.13800000000000001</c:v>
                </c:pt>
                <c:pt idx="3">
                  <c:v>0.17599999999999999</c:v>
                </c:pt>
                <c:pt idx="4">
                  <c:v>0.22600000000000001</c:v>
                </c:pt>
              </c:numCache>
            </c:numRef>
          </c:xVal>
          <c:yVal>
            <c:numRef>
              <c:f>'Сорбция по растворам (КС)'!$O$34:$O$38</c:f>
              <c:numCache>
                <c:formatCode>General</c:formatCode>
                <c:ptCount val="5"/>
                <c:pt idx="0">
                  <c:v>0.99695000000000011</c:v>
                </c:pt>
                <c:pt idx="1">
                  <c:v>1.9939000000000002</c:v>
                </c:pt>
                <c:pt idx="2">
                  <c:v>2.9908499999999996</c:v>
                </c:pt>
                <c:pt idx="3">
                  <c:v>3.9878000000000005</c:v>
                </c:pt>
                <c:pt idx="4">
                  <c:v>4.98475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3-4D69-81AB-553200827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92832"/>
        <c:axId val="257797664"/>
      </c:scatterChart>
      <c:valAx>
        <c:axId val="2669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797664"/>
        <c:crosses val="autoZero"/>
        <c:crossBetween val="midCat"/>
      </c:valAx>
      <c:valAx>
        <c:axId val="2577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9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'Озоление Кл СТ'!$A$21</c:f>
              <c:strCache>
                <c:ptCount val="1"/>
                <c:pt idx="0">
                  <c:v>Калибровка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561081891790554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'Озоление Кл СТ'!$C$23:$C$27</c:f>
              <c:numCache>
                <c:formatCode>General</c:formatCode>
                <c:ptCount val="5"/>
                <c:pt idx="0">
                  <c:v>0.02</c:v>
                </c:pt>
                <c:pt idx="1">
                  <c:v>5.5E-2</c:v>
                </c:pt>
                <c:pt idx="2">
                  <c:v>9.5000000000000001E-2</c:v>
                </c:pt>
                <c:pt idx="3">
                  <c:v>0.13200000000000001</c:v>
                </c:pt>
                <c:pt idx="4">
                  <c:v>0.17199999999999999</c:v>
                </c:pt>
              </c:numCache>
            </c:numRef>
          </c:xVal>
          <c:yVal>
            <c:numRef>
              <c:f>'Озоление Кл СТ'!$B$23:$B$27</c:f>
              <c:numCache>
                <c:formatCode>0.00</c:formatCode>
                <c:ptCount val="5"/>
                <c:pt idx="0">
                  <c:v>15.249000000000001</c:v>
                </c:pt>
                <c:pt idx="1">
                  <c:v>20.332000000000001</c:v>
                </c:pt>
                <c:pt idx="2">
                  <c:v>25.414999999999999</c:v>
                </c:pt>
                <c:pt idx="3">
                  <c:v>30.498000000000001</c:v>
                </c:pt>
                <c:pt idx="4">
                  <c:v>35.581000000000003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51-4B24-85AE-0636751DE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88056"/>
        <c:axId val="176540160"/>
      </c:scatterChart>
      <c:valAx>
        <c:axId val="17618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40160"/>
        <c:crosses val="autoZero"/>
        <c:crossBetween val="midCat"/>
      </c:valAx>
      <c:valAx>
        <c:axId val="1765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8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6631233595800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'Озоление Кл СТ'!$C$29:$C$33</c:f>
              <c:numCache>
                <c:formatCode>General</c:formatCode>
                <c:ptCount val="5"/>
                <c:pt idx="0">
                  <c:v>0.10100000000000001</c:v>
                </c:pt>
                <c:pt idx="1">
                  <c:v>0.106</c:v>
                </c:pt>
                <c:pt idx="2">
                  <c:v>0.126</c:v>
                </c:pt>
                <c:pt idx="3">
                  <c:v>0.14899999999999999</c:v>
                </c:pt>
                <c:pt idx="4">
                  <c:v>0.17100000000000001</c:v>
                </c:pt>
              </c:numCache>
            </c:numRef>
          </c:xVal>
          <c:yVal>
            <c:numRef>
              <c:f>'Озоление Кл СТ'!$B$29:$B$33</c:f>
              <c:numCache>
                <c:formatCode>0.00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3-4FB9-8A24-1BA6C0356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90111"/>
        <c:axId val="1414719279"/>
      </c:scatterChart>
      <c:valAx>
        <c:axId val="151219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4719279"/>
        <c:crosses val="autoZero"/>
        <c:crossBetween val="midCat"/>
      </c:valAx>
      <c:valAx>
        <c:axId val="141471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19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789916885389331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'[1]Озоление (корни)'!$C$19:$C$23</c:f>
              <c:numCache>
                <c:formatCode>General</c:formatCode>
                <c:ptCount val="5"/>
                <c:pt idx="0">
                  <c:v>0.02</c:v>
                </c:pt>
                <c:pt idx="1">
                  <c:v>5.5E-2</c:v>
                </c:pt>
                <c:pt idx="2">
                  <c:v>9.5000000000000001E-2</c:v>
                </c:pt>
                <c:pt idx="3">
                  <c:v>0.13200000000000001</c:v>
                </c:pt>
                <c:pt idx="4">
                  <c:v>0.17199999999999999</c:v>
                </c:pt>
              </c:numCache>
            </c:numRef>
          </c:xVal>
          <c:yVal>
            <c:numRef>
              <c:f>'[1]Озоление (корни)'!$B$19:$B$23</c:f>
              <c:numCache>
                <c:formatCode>General</c:formatCode>
                <c:ptCount val="5"/>
                <c:pt idx="0">
                  <c:v>1.0166000000000002</c:v>
                </c:pt>
                <c:pt idx="1">
                  <c:v>3.0497999999999998</c:v>
                </c:pt>
                <c:pt idx="2">
                  <c:v>5.0830000000000002</c:v>
                </c:pt>
                <c:pt idx="3">
                  <c:v>7.1162000000000001</c:v>
                </c:pt>
                <c:pt idx="4">
                  <c:v>9.1494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5D-4A00-97E3-04D0A5DF7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88056"/>
        <c:axId val="176540160"/>
      </c:scatterChart>
      <c:valAx>
        <c:axId val="17618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40160"/>
        <c:crosses val="autoZero"/>
        <c:crossBetween val="midCat"/>
      </c:valAx>
      <c:valAx>
        <c:axId val="1765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8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569313210848648"/>
                  <c:y val="-0.18624198016914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'[1]Озоление (корни)'!$C$25:$C$29</c:f>
              <c:numCache>
                <c:formatCode>General</c:formatCode>
                <c:ptCount val="5"/>
                <c:pt idx="0">
                  <c:v>2.1000000000000001E-2</c:v>
                </c:pt>
                <c:pt idx="1">
                  <c:v>0.05</c:v>
                </c:pt>
                <c:pt idx="2">
                  <c:v>0.08</c:v>
                </c:pt>
                <c:pt idx="3">
                  <c:v>0.11</c:v>
                </c:pt>
                <c:pt idx="4">
                  <c:v>0.14000000000000001</c:v>
                </c:pt>
              </c:numCache>
            </c:numRef>
          </c:xVal>
          <c:yVal>
            <c:numRef>
              <c:f>'[1]Озоление (корни)'!$B$25:$B$29</c:f>
              <c:numCache>
                <c:formatCode>General</c:formatCode>
                <c:ptCount val="5"/>
                <c:pt idx="0">
                  <c:v>1.0166000000000002</c:v>
                </c:pt>
                <c:pt idx="1">
                  <c:v>2.0332000000000003</c:v>
                </c:pt>
                <c:pt idx="2">
                  <c:v>3.0497999999999998</c:v>
                </c:pt>
                <c:pt idx="3">
                  <c:v>4.0664000000000007</c:v>
                </c:pt>
                <c:pt idx="4">
                  <c:v>5.0830000000000002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B-4B35-9BDC-1914A8D5F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666480"/>
        <c:axId val="1363400352"/>
      </c:scatterChart>
      <c:valAx>
        <c:axId val="147066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400352"/>
        <c:crosses val="autoZero"/>
        <c:crossBetween val="midCat"/>
      </c:valAx>
      <c:valAx>
        <c:axId val="13634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66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45990813648294"/>
                  <c:y val="-0.19292869641294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'Озоление побеги'!$C$20:$C$24</c:f>
              <c:numCache>
                <c:formatCode>General</c:formatCode>
                <c:ptCount val="5"/>
                <c:pt idx="0">
                  <c:v>0.04</c:v>
                </c:pt>
                <c:pt idx="1">
                  <c:v>8.6999999999999994E-2</c:v>
                </c:pt>
                <c:pt idx="2">
                  <c:v>0.13600000000000001</c:v>
                </c:pt>
                <c:pt idx="3">
                  <c:v>0.186</c:v>
                </c:pt>
                <c:pt idx="4">
                  <c:v>0.22900000000000001</c:v>
                </c:pt>
              </c:numCache>
            </c:numRef>
          </c:xVal>
          <c:yVal>
            <c:numRef>
              <c:f>'Озоление побеги'!$B$20:$B$24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A-4A46-BC0E-DDB893A6F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549487"/>
        <c:axId val="1519851855"/>
      </c:scatterChart>
      <c:valAx>
        <c:axId val="13965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9851855"/>
        <c:crosses val="autoZero"/>
        <c:crossBetween val="midCat"/>
      </c:valAx>
      <c:valAx>
        <c:axId val="151985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5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13</xdr:row>
      <xdr:rowOff>252412</xdr:rowOff>
    </xdr:from>
    <xdr:to>
      <xdr:col>10</xdr:col>
      <xdr:colOff>952500</xdr:colOff>
      <xdr:row>24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93CD305-66CF-43D6-AF09-C7AA9617D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428625</xdr:colOff>
      <xdr:row>19</xdr:row>
      <xdr:rowOff>214312</xdr:rowOff>
    </xdr:from>
    <xdr:to>
      <xdr:col>18</xdr:col>
      <xdr:colOff>228600</xdr:colOff>
      <xdr:row>30</xdr:row>
      <xdr:rowOff>128587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BEA46CA-3343-4D75-9C7C-0E5231CC0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447675</xdr:colOff>
      <xdr:row>20</xdr:row>
      <xdr:rowOff>42862</xdr:rowOff>
    </xdr:from>
    <xdr:to>
      <xdr:col>19</xdr:col>
      <xdr:colOff>1047750</xdr:colOff>
      <xdr:row>30</xdr:row>
      <xdr:rowOff>214312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0AC576-12AB-48A0-B1D0-CA2B293DC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361950</xdr:colOff>
      <xdr:row>32</xdr:row>
      <xdr:rowOff>4762</xdr:rowOff>
    </xdr:from>
    <xdr:to>
      <xdr:col>19</xdr:col>
      <xdr:colOff>962025</xdr:colOff>
      <xdr:row>42</xdr:row>
      <xdr:rowOff>176212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53C7F05-A1F5-4ED0-93F8-0FA6DD804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20</xdr:row>
      <xdr:rowOff>0</xdr:rowOff>
    </xdr:from>
    <xdr:to>
      <xdr:col>9</xdr:col>
      <xdr:colOff>628650</xdr:colOff>
      <xdr:row>34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B072110-E57B-420D-8EB0-61C68C937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1123950</xdr:colOff>
      <xdr:row>19</xdr:row>
      <xdr:rowOff>128587</xdr:rowOff>
    </xdr:from>
    <xdr:to>
      <xdr:col>13</xdr:col>
      <xdr:colOff>819150</xdr:colOff>
      <xdr:row>33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02CD3D-4B12-4917-BE8D-E069A2D1E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521129</xdr:colOff>
      <xdr:row>15</xdr:row>
      <xdr:rowOff>97224</xdr:rowOff>
    </xdr:from>
    <xdr:to>
      <xdr:col>9</xdr:col>
      <xdr:colOff>902129</xdr:colOff>
      <xdr:row>29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DA83504-0383-45C4-99AC-5C7720F78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18020</xdr:colOff>
      <xdr:row>30</xdr:row>
      <xdr:rowOff>9955</xdr:rowOff>
    </xdr:from>
    <xdr:to>
      <xdr:col>9</xdr:col>
      <xdr:colOff>711371</xdr:colOff>
      <xdr:row>44</xdr:row>
      <xdr:rowOff>110182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6B7E13C-A3DF-4504-82F0-11E6E49A4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18</xdr:row>
      <xdr:rowOff>495300</xdr:rowOff>
    </xdr:from>
    <xdr:to>
      <xdr:col>9</xdr:col>
      <xdr:colOff>1228725</xdr:colOff>
      <xdr:row>29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F31E32-6124-4FC2-A35E-93B7B7733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iCloudDrive\&#1040;&#1089;&#1087;&#1080;&#1088;&#1072;&#1085;&#1090;&#1091;&#1088;&#1072;\&#1044;&#1080;&#1089;&#1089;&#1077;&#1088;&#1090;&#1072;&#1094;&#1080;&#1103;\&#1054;&#1087;&#1099;&#1090;%20(&#1076;&#1080;&#1089;&#1089;&#1077;&#1088;&#1090;&#1072;&#1094;&#1080;&#1103;)\&#1054;&#1087;&#1099;&#1090;%202%20(&#1043;&#1083;&#1091;&#1090;&#1072;&#1084;&#1080;&#1085;%20&#1080;%20&#1062;&#1080;&#1090;&#1088;&#1072;&#1090;)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ссы растений"/>
      <sheetName val="pH растворов"/>
      <sheetName val="После обработки растений"/>
      <sheetName val="Сорбция по растворам (КС)"/>
      <sheetName val="Озоление Кл СТ"/>
      <sheetName val="Озоление (корни)"/>
      <sheetName val="Озоление побеги"/>
    </sheetNames>
    <sheetDataSet>
      <sheetData sheetId="0"/>
      <sheetData sheetId="1"/>
      <sheetData sheetId="2"/>
      <sheetData sheetId="3"/>
      <sheetData sheetId="4"/>
      <sheetData sheetId="5">
        <row r="19">
          <cell r="B19">
            <v>1.0166000000000002</v>
          </cell>
          <cell r="C19">
            <v>0.02</v>
          </cell>
        </row>
        <row r="20">
          <cell r="B20">
            <v>3.0497999999999998</v>
          </cell>
          <cell r="C20">
            <v>5.5E-2</v>
          </cell>
        </row>
        <row r="21">
          <cell r="B21">
            <v>5.0830000000000002</v>
          </cell>
          <cell r="C21">
            <v>9.5000000000000001E-2</v>
          </cell>
        </row>
        <row r="22">
          <cell r="B22">
            <v>7.1162000000000001</v>
          </cell>
          <cell r="C22">
            <v>0.13200000000000001</v>
          </cell>
        </row>
        <row r="23">
          <cell r="B23">
            <v>9.1494</v>
          </cell>
          <cell r="C23">
            <v>0.17199999999999999</v>
          </cell>
        </row>
        <row r="25">
          <cell r="B25">
            <v>1.0166000000000002</v>
          </cell>
          <cell r="C25">
            <v>2.1000000000000001E-2</v>
          </cell>
        </row>
        <row r="26">
          <cell r="B26">
            <v>2.0332000000000003</v>
          </cell>
          <cell r="C26">
            <v>0.05</v>
          </cell>
        </row>
        <row r="27">
          <cell r="B27">
            <v>3.0497999999999998</v>
          </cell>
          <cell r="C27">
            <v>0.08</v>
          </cell>
        </row>
        <row r="28">
          <cell r="B28">
            <v>4.0664000000000007</v>
          </cell>
          <cell r="C28">
            <v>0.11</v>
          </cell>
        </row>
        <row r="29">
          <cell r="B29">
            <v>5.0830000000000002</v>
          </cell>
          <cell r="C29">
            <v>0.14000000000000001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opLeftCell="A7" workbookViewId="0">
      <selection activeCell="B10" sqref="B10:E12"/>
    </sheetView>
  </sheetViews>
  <sheetFormatPr defaultRowHeight="20.25" x14ac:dyDescent="0.3"/>
  <cols>
    <col min="1" max="1" width="18.28515625" style="1" customWidth="1"/>
    <col min="2" max="2" width="12" style="1" customWidth="1"/>
    <col min="3" max="3" width="11.7109375" style="1" customWidth="1"/>
    <col min="4" max="4" width="13.42578125" style="1" customWidth="1"/>
    <col min="5" max="5" width="11.5703125" style="1" customWidth="1"/>
    <col min="6" max="6" width="21.42578125" style="1" customWidth="1"/>
    <col min="7" max="11" width="21.7109375" style="1" customWidth="1"/>
    <col min="12" max="12" width="17.140625" style="1" customWidth="1"/>
    <col min="13" max="13" width="16.42578125" style="1" customWidth="1"/>
    <col min="14" max="14" width="20" style="1" customWidth="1"/>
    <col min="15" max="15" width="18.85546875" style="1" customWidth="1"/>
    <col min="16" max="16" width="15.5703125" style="1" customWidth="1"/>
    <col min="17" max="16384" width="9.140625" style="1"/>
  </cols>
  <sheetData>
    <row r="1" spans="1:16" ht="33" x14ac:dyDescent="0.45">
      <c r="A1" s="28" t="s">
        <v>34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6" ht="27.75" x14ac:dyDescent="0.4">
      <c r="A2" s="29" t="s">
        <v>35</v>
      </c>
      <c r="B2" s="29"/>
      <c r="C2" s="29"/>
      <c r="D2" s="29"/>
      <c r="E2" s="29"/>
      <c r="F2" s="31" t="s">
        <v>117</v>
      </c>
      <c r="G2" s="30"/>
      <c r="H2" s="30"/>
      <c r="I2" s="30"/>
      <c r="J2" s="2"/>
      <c r="K2" s="2"/>
      <c r="L2" s="30" t="s">
        <v>36</v>
      </c>
      <c r="M2" s="30"/>
      <c r="N2" s="30"/>
      <c r="O2" s="30"/>
    </row>
    <row r="3" spans="1:16" ht="60.75" x14ac:dyDescent="0.3">
      <c r="A3" s="3" t="s">
        <v>0</v>
      </c>
      <c r="B3" s="4" t="s">
        <v>4</v>
      </c>
      <c r="C3" s="4" t="s">
        <v>3</v>
      </c>
      <c r="D3" s="4" t="s">
        <v>1</v>
      </c>
      <c r="E3" s="4" t="s">
        <v>2</v>
      </c>
      <c r="F3" s="16" t="s">
        <v>115</v>
      </c>
      <c r="G3" s="16" t="s">
        <v>116</v>
      </c>
      <c r="H3" s="16" t="s">
        <v>118</v>
      </c>
      <c r="I3" s="16" t="s">
        <v>119</v>
      </c>
      <c r="J3" s="16"/>
      <c r="K3" s="16"/>
      <c r="L3" s="3" t="s">
        <v>0</v>
      </c>
      <c r="M3" s="4" t="s">
        <v>4</v>
      </c>
      <c r="N3" s="4" t="s">
        <v>17</v>
      </c>
      <c r="O3" s="4" t="s">
        <v>18</v>
      </c>
      <c r="P3" s="27" t="s">
        <v>140</v>
      </c>
    </row>
    <row r="4" spans="1:16" ht="37.5" customHeight="1" x14ac:dyDescent="0.4">
      <c r="A4" s="4" t="s">
        <v>8</v>
      </c>
      <c r="B4" s="3">
        <f>1.3065+0.0035</f>
        <v>1.31</v>
      </c>
      <c r="C4" s="3">
        <v>7.9699999999999993E-2</v>
      </c>
      <c r="D4" s="3">
        <v>2.411</v>
      </c>
      <c r="E4" s="3">
        <v>0.24629999999999999</v>
      </c>
      <c r="F4" s="1">
        <f>(B4-C4)/C4</f>
        <v>15.436637390213303</v>
      </c>
      <c r="G4" s="1">
        <f>(D4-E4)/E4</f>
        <v>8.7888753552578152</v>
      </c>
      <c r="H4" s="32">
        <f>AVERAGE(F4:F6)</f>
        <v>15.483667340648561</v>
      </c>
      <c r="I4" s="32">
        <f>AVERAGE(G4:G6)</f>
        <v>8.6882415611115675</v>
      </c>
      <c r="L4" s="3" t="s">
        <v>19</v>
      </c>
      <c r="M4" s="3">
        <v>1.4051</v>
      </c>
      <c r="N4" s="17">
        <f>M4/(1+17.0643)</f>
        <v>7.7783252049622734E-2</v>
      </c>
      <c r="O4" s="3">
        <v>3.9300000000000002E-2</v>
      </c>
      <c r="P4" s="1">
        <f>O4/N4</f>
        <v>0.50525015301402043</v>
      </c>
    </row>
    <row r="5" spans="1:16" ht="33.75" customHeight="1" x14ac:dyDescent="0.4">
      <c r="A5" s="3" t="s">
        <v>9</v>
      </c>
      <c r="B5" s="3">
        <f>1.0647+0.1205</f>
        <v>1.1852</v>
      </c>
      <c r="C5" s="3">
        <v>7.2300000000000003E-2</v>
      </c>
      <c r="D5" s="3">
        <v>2.1429999999999998</v>
      </c>
      <c r="E5" s="3">
        <v>0.22420000000000001</v>
      </c>
      <c r="F5" s="1">
        <f t="shared" ref="F5:F15" si="0">(B5-C5)/C5</f>
        <v>15.39280774550484</v>
      </c>
      <c r="G5" s="1">
        <f t="shared" ref="G5:G15" si="1">(D5-E5)/E5</f>
        <v>8.5584299732381783</v>
      </c>
      <c r="H5" s="32"/>
      <c r="I5" s="32"/>
      <c r="L5" s="3" t="s">
        <v>20</v>
      </c>
      <c r="M5" s="3">
        <v>1.5481</v>
      </c>
      <c r="N5" s="17">
        <f t="shared" ref="N5:N18" si="2">M5/(1+17.0643)</f>
        <v>8.5699418189467635E-2</v>
      </c>
      <c r="O5" s="3">
        <v>4.4499999999999998E-2</v>
      </c>
      <c r="P5" s="1">
        <f t="shared" ref="P5:P18" si="3">O5/N5</f>
        <v>0.51925673406110706</v>
      </c>
    </row>
    <row r="6" spans="1:16" ht="35.25" customHeight="1" x14ac:dyDescent="0.4">
      <c r="A6" s="3" t="s">
        <v>10</v>
      </c>
      <c r="B6" s="3">
        <v>1.3878999999999999</v>
      </c>
      <c r="C6" s="3">
        <v>8.3500000000000005E-2</v>
      </c>
      <c r="D6" s="3">
        <v>2.2593000000000001</v>
      </c>
      <c r="E6" s="3">
        <v>0.23250000000000001</v>
      </c>
      <c r="F6" s="1">
        <f t="shared" si="0"/>
        <v>15.621556886227545</v>
      </c>
      <c r="G6" s="1">
        <f t="shared" si="1"/>
        <v>8.7174193548387091</v>
      </c>
      <c r="H6" s="32"/>
      <c r="I6" s="32"/>
      <c r="L6" s="3" t="s">
        <v>21</v>
      </c>
      <c r="M6" s="3">
        <v>1.5144</v>
      </c>
      <c r="N6" s="17">
        <f t="shared" si="2"/>
        <v>8.3833860155112572E-2</v>
      </c>
      <c r="O6" s="3">
        <v>4.2700000000000002E-2</v>
      </c>
      <c r="P6" s="1">
        <f t="shared" si="3"/>
        <v>0.50934073560486004</v>
      </c>
    </row>
    <row r="7" spans="1:16" ht="23.25" x14ac:dyDescent="0.4">
      <c r="A7" s="4" t="s">
        <v>11</v>
      </c>
      <c r="B7" s="3">
        <v>1.546</v>
      </c>
      <c r="C7" s="3">
        <v>9.2200000000000004E-2</v>
      </c>
      <c r="D7" s="3">
        <v>2.3681000000000001</v>
      </c>
      <c r="E7" s="3">
        <v>0.24859999999999999</v>
      </c>
      <c r="F7" s="1">
        <f t="shared" si="0"/>
        <v>15.767895878524945</v>
      </c>
      <c r="G7" s="1">
        <f t="shared" si="1"/>
        <v>8.5257441673370877</v>
      </c>
      <c r="H7" s="32">
        <f t="shared" ref="H7:I7" si="4">AVERAGE(F7:F9)</f>
        <v>15.824108408717438</v>
      </c>
      <c r="I7" s="32">
        <f t="shared" si="4"/>
        <v>8.7044529382496858</v>
      </c>
      <c r="L7" s="3" t="s">
        <v>22</v>
      </c>
      <c r="M7" s="3">
        <v>1.2686999999999999</v>
      </c>
      <c r="N7" s="17">
        <f t="shared" si="2"/>
        <v>7.0232447423924538E-2</v>
      </c>
      <c r="O7" s="3">
        <v>3.5099999999999999E-2</v>
      </c>
      <c r="P7" s="1">
        <f t="shared" si="3"/>
        <v>0.49976899976353745</v>
      </c>
    </row>
    <row r="8" spans="1:16" ht="23.25" x14ac:dyDescent="0.4">
      <c r="A8" s="4" t="s">
        <v>12</v>
      </c>
      <c r="B8" s="3">
        <v>1.3058000000000001</v>
      </c>
      <c r="C8" s="3">
        <v>7.85E-2</v>
      </c>
      <c r="D8" s="3">
        <v>2.1076999999999999</v>
      </c>
      <c r="E8" s="3">
        <v>0.21440000000000001</v>
      </c>
      <c r="F8" s="1">
        <f t="shared" si="0"/>
        <v>15.634394904458599</v>
      </c>
      <c r="G8" s="1">
        <f t="shared" si="1"/>
        <v>8.8306902985074629</v>
      </c>
      <c r="H8" s="32"/>
      <c r="I8" s="32"/>
      <c r="L8" s="3" t="s">
        <v>23</v>
      </c>
      <c r="M8" s="3">
        <v>1.5148999999999999</v>
      </c>
      <c r="N8" s="17">
        <f t="shared" si="2"/>
        <v>8.3861539057699441E-2</v>
      </c>
      <c r="O8" s="3">
        <v>4.0500000000000001E-2</v>
      </c>
      <c r="P8" s="1">
        <f t="shared" si="3"/>
        <v>0.48293890685853852</v>
      </c>
    </row>
    <row r="9" spans="1:16" ht="23.25" x14ac:dyDescent="0.4">
      <c r="A9" s="4" t="s">
        <v>13</v>
      </c>
      <c r="B9" s="3">
        <v>1.4867999999999999</v>
      </c>
      <c r="C9" s="3">
        <v>8.7099999999999997E-2</v>
      </c>
      <c r="D9" s="3">
        <v>2.3601999999999999</v>
      </c>
      <c r="E9" s="3">
        <v>0.2419</v>
      </c>
      <c r="F9" s="1">
        <f t="shared" si="0"/>
        <v>16.070034443168772</v>
      </c>
      <c r="G9" s="1">
        <f t="shared" si="1"/>
        <v>8.756924348904505</v>
      </c>
      <c r="H9" s="32"/>
      <c r="I9" s="32"/>
      <c r="L9" s="3" t="s">
        <v>24</v>
      </c>
      <c r="M9" s="3">
        <v>1.4116</v>
      </c>
      <c r="N9" s="17">
        <f t="shared" si="2"/>
        <v>7.8143077783252052E-2</v>
      </c>
      <c r="O9" s="3">
        <v>3.8899999999999997E-2</v>
      </c>
      <c r="P9" s="1">
        <f t="shared" si="3"/>
        <v>0.49780481014451683</v>
      </c>
    </row>
    <row r="10" spans="1:16" ht="23.25" x14ac:dyDescent="0.4">
      <c r="A10" s="4" t="s">
        <v>14</v>
      </c>
      <c r="B10" s="3">
        <v>1.5389999999999999</v>
      </c>
      <c r="C10" s="3">
        <v>9.3299999999999994E-2</v>
      </c>
      <c r="D10" s="3">
        <v>2.4407000000000001</v>
      </c>
      <c r="E10" s="3">
        <v>0.25929999999999997</v>
      </c>
      <c r="F10" s="1">
        <f t="shared" si="0"/>
        <v>15.4951768488746</v>
      </c>
      <c r="G10" s="1">
        <f t="shared" si="1"/>
        <v>8.412649440802161</v>
      </c>
      <c r="H10" s="32">
        <f t="shared" ref="H10:I10" si="5">AVERAGE(F10:F12)</f>
        <v>16.010780945205354</v>
      </c>
      <c r="I10" s="32">
        <f t="shared" si="5"/>
        <v>8.52458193483948</v>
      </c>
      <c r="L10" s="3" t="s">
        <v>25</v>
      </c>
      <c r="M10" s="3">
        <v>1.306</v>
      </c>
      <c r="N10" s="17">
        <f t="shared" si="2"/>
        <v>7.2297293556905062E-2</v>
      </c>
      <c r="O10" s="3">
        <v>3.6900000000000002E-2</v>
      </c>
      <c r="P10" s="1">
        <f t="shared" si="3"/>
        <v>0.51039254977029092</v>
      </c>
    </row>
    <row r="11" spans="1:16" ht="23.25" x14ac:dyDescent="0.4">
      <c r="A11" s="4" t="s">
        <v>15</v>
      </c>
      <c r="B11" s="3">
        <v>1.4701</v>
      </c>
      <c r="C11" s="3">
        <v>8.48E-2</v>
      </c>
      <c r="D11" s="3">
        <v>2.1187</v>
      </c>
      <c r="E11" s="3">
        <v>0.21759999999999999</v>
      </c>
      <c r="F11" s="1">
        <f t="shared" si="0"/>
        <v>16.336084905660378</v>
      </c>
      <c r="G11" s="1">
        <f t="shared" si="1"/>
        <v>8.7366727941176467</v>
      </c>
      <c r="H11" s="32"/>
      <c r="I11" s="32"/>
      <c r="L11" s="3" t="s">
        <v>26</v>
      </c>
      <c r="M11" s="3">
        <v>1.423</v>
      </c>
      <c r="N11" s="17">
        <f t="shared" si="2"/>
        <v>7.8774156762232692E-2</v>
      </c>
      <c r="O11" s="3">
        <v>4.1000000000000002E-2</v>
      </c>
      <c r="P11" s="1">
        <f t="shared" si="3"/>
        <v>0.5204752635277583</v>
      </c>
    </row>
    <row r="12" spans="1:16" ht="23.25" x14ac:dyDescent="0.4">
      <c r="A12" s="4" t="s">
        <v>16</v>
      </c>
      <c r="B12" s="3">
        <v>1.5911</v>
      </c>
      <c r="C12" s="3">
        <v>9.2499999999999999E-2</v>
      </c>
      <c r="D12" s="3">
        <v>2.2071999999999998</v>
      </c>
      <c r="E12" s="3">
        <v>0.23419999999999999</v>
      </c>
      <c r="F12" s="1">
        <f t="shared" si="0"/>
        <v>16.201081081081082</v>
      </c>
      <c r="G12" s="1">
        <f t="shared" si="1"/>
        <v>8.424423569598634</v>
      </c>
      <c r="H12" s="32"/>
      <c r="I12" s="32"/>
      <c r="L12" s="3" t="s">
        <v>27</v>
      </c>
      <c r="M12" s="3">
        <v>1.4446000000000001</v>
      </c>
      <c r="N12" s="17">
        <f t="shared" si="2"/>
        <v>7.9969885353985498E-2</v>
      </c>
      <c r="O12" s="3">
        <v>4.0099999999999997E-2</v>
      </c>
      <c r="P12" s="1">
        <f t="shared" si="3"/>
        <v>0.50143875813373928</v>
      </c>
    </row>
    <row r="13" spans="1:16" x14ac:dyDescent="0.3">
      <c r="A13" s="4" t="s">
        <v>5</v>
      </c>
      <c r="B13" s="3">
        <v>1.4663999999999999</v>
      </c>
      <c r="C13" s="3">
        <v>7.8700000000000006E-2</v>
      </c>
      <c r="D13" s="3">
        <v>2.2075999999999998</v>
      </c>
      <c r="E13" s="3">
        <v>0.224</v>
      </c>
      <c r="F13" s="1">
        <f t="shared" si="0"/>
        <v>17.632782719186782</v>
      </c>
      <c r="G13" s="1">
        <f t="shared" si="1"/>
        <v>8.8553571428571409</v>
      </c>
      <c r="H13" s="32">
        <f t="shared" ref="H13:I13" si="6">AVERAGE(F13:F15)</f>
        <v>17.06426417691473</v>
      </c>
      <c r="I13" s="32">
        <f t="shared" si="6"/>
        <v>8.6856919099482397</v>
      </c>
      <c r="L13" s="3" t="s">
        <v>28</v>
      </c>
      <c r="M13" s="3">
        <v>1.3845000000000001</v>
      </c>
      <c r="N13" s="17">
        <f t="shared" si="2"/>
        <v>7.6642881263043694E-2</v>
      </c>
      <c r="O13" s="3">
        <v>3.6299999999999999E-2</v>
      </c>
      <c r="P13" s="1">
        <f t="shared" si="3"/>
        <v>0.47362520043336936</v>
      </c>
    </row>
    <row r="14" spans="1:16" x14ac:dyDescent="0.3">
      <c r="A14" s="4" t="s">
        <v>6</v>
      </c>
      <c r="B14" s="3">
        <v>1.5469999999999999</v>
      </c>
      <c r="C14" s="3">
        <v>8.72E-2</v>
      </c>
      <c r="D14" s="3">
        <v>2.3283</v>
      </c>
      <c r="E14" s="3">
        <v>0.24399999999999999</v>
      </c>
      <c r="F14" s="1">
        <f t="shared" si="0"/>
        <v>16.740825688073393</v>
      </c>
      <c r="G14" s="1">
        <f t="shared" si="1"/>
        <v>8.5422131147540981</v>
      </c>
      <c r="H14" s="32"/>
      <c r="I14" s="32"/>
      <c r="L14" s="3" t="s">
        <v>29</v>
      </c>
      <c r="M14" s="3">
        <v>1.4101999999999999</v>
      </c>
      <c r="N14" s="17">
        <f t="shared" si="2"/>
        <v>7.8065576856008817E-2</v>
      </c>
      <c r="O14" s="3">
        <v>3.73E-2</v>
      </c>
      <c r="P14" s="1">
        <f t="shared" si="3"/>
        <v>0.47780342504609274</v>
      </c>
    </row>
    <row r="15" spans="1:16" x14ac:dyDescent="0.3">
      <c r="A15" s="4" t="s">
        <v>7</v>
      </c>
      <c r="B15" s="3">
        <v>1.6162000000000001</v>
      </c>
      <c r="C15" s="3">
        <v>9.0700000000000003E-2</v>
      </c>
      <c r="D15" s="3">
        <v>2.383</v>
      </c>
      <c r="E15" s="3">
        <v>0.2467</v>
      </c>
      <c r="F15" s="1">
        <f t="shared" si="0"/>
        <v>16.819184123484014</v>
      </c>
      <c r="G15" s="1">
        <f t="shared" si="1"/>
        <v>8.6595054722334819</v>
      </c>
      <c r="H15" s="32"/>
      <c r="I15" s="32"/>
      <c r="L15" s="3" t="s">
        <v>30</v>
      </c>
      <c r="M15" s="3">
        <v>1.3869</v>
      </c>
      <c r="N15" s="17">
        <f t="shared" si="2"/>
        <v>7.6775739995460668E-2</v>
      </c>
      <c r="O15" s="3">
        <v>3.7999999999999999E-2</v>
      </c>
      <c r="P15" s="1">
        <f t="shared" si="3"/>
        <v>0.49494801355541129</v>
      </c>
    </row>
    <row r="16" spans="1:16" ht="39.75" customHeight="1" x14ac:dyDescent="0.3">
      <c r="B16" s="16"/>
      <c r="C16" s="16"/>
      <c r="L16" s="3" t="s">
        <v>31</v>
      </c>
      <c r="M16" s="3">
        <v>1.468</v>
      </c>
      <c r="N16" s="17">
        <f t="shared" si="2"/>
        <v>8.1265257995051007E-2</v>
      </c>
      <c r="O16" s="3">
        <v>3.9100000000000003E-2</v>
      </c>
      <c r="P16" s="1">
        <f t="shared" si="3"/>
        <v>0.48114041553133519</v>
      </c>
    </row>
    <row r="17" spans="1:16" ht="39.75" customHeight="1" x14ac:dyDescent="0.3">
      <c r="A17" s="3"/>
      <c r="B17" s="3"/>
      <c r="D17" s="3"/>
      <c r="L17" s="3" t="s">
        <v>32</v>
      </c>
      <c r="M17" s="3">
        <v>1.4115</v>
      </c>
      <c r="N17" s="17">
        <f t="shared" si="2"/>
        <v>7.8137542002734678E-2</v>
      </c>
      <c r="O17" s="3">
        <v>3.9600000000000003E-2</v>
      </c>
      <c r="P17" s="1">
        <f t="shared" si="3"/>
        <v>0.50679863974495221</v>
      </c>
    </row>
    <row r="18" spans="1:16" ht="41.25" customHeight="1" x14ac:dyDescent="0.3">
      <c r="A18" s="3"/>
      <c r="B18" s="3"/>
      <c r="D18" s="3"/>
      <c r="L18" s="3" t="s">
        <v>33</v>
      </c>
      <c r="M18" s="3">
        <v>1.38</v>
      </c>
      <c r="N18" s="17">
        <f t="shared" si="2"/>
        <v>7.6393771139761854E-2</v>
      </c>
      <c r="O18" s="3">
        <v>3.8600000000000002E-2</v>
      </c>
      <c r="P18" s="1">
        <f t="shared" si="3"/>
        <v>0.50527679710144924</v>
      </c>
    </row>
    <row r="19" spans="1:16" x14ac:dyDescent="0.3">
      <c r="A19" s="3"/>
      <c r="B19" s="3"/>
      <c r="D19" s="3"/>
    </row>
    <row r="20" spans="1:16" x14ac:dyDescent="0.3">
      <c r="A20" s="3"/>
      <c r="B20" s="3"/>
      <c r="D20" s="3"/>
    </row>
    <row r="21" spans="1:16" x14ac:dyDescent="0.3">
      <c r="A21" s="3"/>
      <c r="B21" s="3"/>
      <c r="D21" s="3"/>
    </row>
    <row r="22" spans="1:16" x14ac:dyDescent="0.3">
      <c r="A22" s="3"/>
      <c r="B22" s="3"/>
      <c r="D22" s="3"/>
    </row>
    <row r="23" spans="1:16" x14ac:dyDescent="0.3">
      <c r="A23" s="3"/>
      <c r="B23" s="3"/>
      <c r="D23" s="3"/>
    </row>
    <row r="24" spans="1:16" x14ac:dyDescent="0.3">
      <c r="A24" s="3"/>
      <c r="B24" s="3"/>
      <c r="D24" s="3"/>
    </row>
    <row r="25" spans="1:16" x14ac:dyDescent="0.3">
      <c r="A25" s="3"/>
      <c r="B25" s="3"/>
      <c r="D25" s="3"/>
    </row>
    <row r="26" spans="1:16" x14ac:dyDescent="0.3">
      <c r="A26" s="13"/>
      <c r="B26" s="3"/>
      <c r="D26" s="3"/>
    </row>
    <row r="27" spans="1:16" x14ac:dyDescent="0.3">
      <c r="A27" s="13"/>
      <c r="B27" s="3"/>
      <c r="D27" s="3"/>
    </row>
    <row r="28" spans="1:16" x14ac:dyDescent="0.3">
      <c r="A28" s="13"/>
      <c r="B28" s="3"/>
      <c r="D28" s="3"/>
    </row>
    <row r="29" spans="1:16" x14ac:dyDescent="0.3">
      <c r="A29" s="13"/>
      <c r="B29" s="3"/>
      <c r="D29" s="3"/>
    </row>
    <row r="30" spans="1:16" x14ac:dyDescent="0.3">
      <c r="A30" s="13"/>
      <c r="B30" s="3"/>
      <c r="D30" s="3"/>
    </row>
    <row r="31" spans="1:16" x14ac:dyDescent="0.3">
      <c r="A31" s="13"/>
      <c r="B31" s="3"/>
      <c r="D31" s="3"/>
    </row>
  </sheetData>
  <mergeCells count="12">
    <mergeCell ref="H10:H12"/>
    <mergeCell ref="H13:H15"/>
    <mergeCell ref="I4:I6"/>
    <mergeCell ref="I7:I9"/>
    <mergeCell ref="I10:I12"/>
    <mergeCell ref="I13:I15"/>
    <mergeCell ref="H7:H9"/>
    <mergeCell ref="A1:O1"/>
    <mergeCell ref="A2:E2"/>
    <mergeCell ref="L2:O2"/>
    <mergeCell ref="F2:I2"/>
    <mergeCell ref="H4:H6"/>
  </mergeCells>
  <phoneticPr fontId="2" type="noConversion"/>
  <pageMargins left="0.7" right="0.7" top="0.75" bottom="0.75" header="0.3" footer="0.3"/>
  <pageSetup paperSize="9" orientation="portrait" verticalDpi="0" r:id="rId1"/>
  <rowBreaks count="1" manualBreakCount="1">
    <brk id="15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BE63-10DA-4298-9257-DD94CC129493}">
  <dimension ref="A1:H25"/>
  <sheetViews>
    <sheetView tabSelected="1" topLeftCell="A7" workbookViewId="0">
      <selection activeCell="P23" sqref="P23"/>
    </sheetView>
  </sheetViews>
  <sheetFormatPr defaultRowHeight="15" x14ac:dyDescent="0.25"/>
  <cols>
    <col min="1" max="1" width="12.42578125" customWidth="1"/>
    <col min="7" max="7" width="13.140625" customWidth="1"/>
  </cols>
  <sheetData>
    <row r="1" spans="1:8" ht="33" x14ac:dyDescent="0.45">
      <c r="A1" s="28" t="s">
        <v>75</v>
      </c>
      <c r="B1" s="28"/>
      <c r="C1" s="28"/>
      <c r="D1" s="28"/>
      <c r="E1" s="28"/>
      <c r="F1" s="28"/>
    </row>
    <row r="2" spans="1:8" ht="80.25" customHeight="1" x14ac:dyDescent="0.3">
      <c r="A2" s="33" t="s">
        <v>53</v>
      </c>
      <c r="B2" s="33"/>
      <c r="C2" s="33"/>
    </row>
    <row r="3" spans="1:8" ht="20.25" x14ac:dyDescent="0.3">
      <c r="A3" s="3" t="s">
        <v>0</v>
      </c>
      <c r="B3" s="3" t="s">
        <v>37</v>
      </c>
    </row>
    <row r="4" spans="1:8" ht="20.25" x14ac:dyDescent="0.3">
      <c r="A4" s="3" t="s">
        <v>38</v>
      </c>
      <c r="B4" s="3">
        <v>5.33</v>
      </c>
    </row>
    <row r="5" spans="1:8" ht="20.25" x14ac:dyDescent="0.3">
      <c r="A5" s="3" t="s">
        <v>39</v>
      </c>
      <c r="B5" s="3">
        <v>5.31</v>
      </c>
    </row>
    <row r="6" spans="1:8" ht="20.25" x14ac:dyDescent="0.3">
      <c r="A6" s="3" t="s">
        <v>40</v>
      </c>
      <c r="B6" s="3">
        <v>5.21</v>
      </c>
    </row>
    <row r="7" spans="1:8" ht="20.25" x14ac:dyDescent="0.3">
      <c r="A7" s="3" t="s">
        <v>41</v>
      </c>
      <c r="B7" s="15"/>
    </row>
    <row r="8" spans="1:8" ht="20.25" x14ac:dyDescent="0.3">
      <c r="A8" s="3" t="s">
        <v>42</v>
      </c>
      <c r="B8" s="15"/>
    </row>
    <row r="9" spans="1:8" ht="20.25" x14ac:dyDescent="0.3">
      <c r="A9" s="7"/>
      <c r="B9" s="7"/>
    </row>
    <row r="10" spans="1:8" ht="20.25" x14ac:dyDescent="0.3">
      <c r="A10" s="6" t="s">
        <v>52</v>
      </c>
      <c r="B10" s="6"/>
      <c r="C10" s="6"/>
      <c r="D10" s="6"/>
      <c r="G10" s="1" t="s">
        <v>108</v>
      </c>
    </row>
    <row r="11" spans="1:8" ht="20.25" x14ac:dyDescent="0.3">
      <c r="A11" s="5" t="s">
        <v>43</v>
      </c>
      <c r="B11" s="5">
        <v>6.25</v>
      </c>
      <c r="G11" s="5" t="s">
        <v>43</v>
      </c>
      <c r="H11" s="5">
        <v>5.32</v>
      </c>
    </row>
    <row r="12" spans="1:8" ht="20.25" x14ac:dyDescent="0.3">
      <c r="A12" s="3" t="s">
        <v>44</v>
      </c>
      <c r="B12" s="3">
        <v>6.33</v>
      </c>
      <c r="G12" s="3" t="s">
        <v>44</v>
      </c>
      <c r="H12" s="3">
        <v>4.63</v>
      </c>
    </row>
    <row r="13" spans="1:8" ht="20.25" x14ac:dyDescent="0.3">
      <c r="A13" s="3" t="s">
        <v>45</v>
      </c>
      <c r="B13" s="3">
        <v>6.33</v>
      </c>
      <c r="G13" s="3" t="s">
        <v>45</v>
      </c>
      <c r="H13" s="3">
        <v>4.6500000000000004</v>
      </c>
    </row>
    <row r="14" spans="1:8" ht="20.25" x14ac:dyDescent="0.3">
      <c r="A14" s="3" t="s">
        <v>46</v>
      </c>
      <c r="B14" s="3">
        <v>6.09</v>
      </c>
      <c r="G14" s="3" t="s">
        <v>46</v>
      </c>
      <c r="H14" s="3">
        <v>4.99</v>
      </c>
    </row>
    <row r="15" spans="1:8" ht="20.25" x14ac:dyDescent="0.3">
      <c r="A15" s="3" t="s">
        <v>47</v>
      </c>
      <c r="B15" s="3">
        <v>5.86</v>
      </c>
      <c r="G15" s="3" t="s">
        <v>47</v>
      </c>
      <c r="H15" s="3">
        <v>4.88</v>
      </c>
    </row>
    <row r="16" spans="1:8" ht="20.25" x14ac:dyDescent="0.3">
      <c r="A16" s="3" t="s">
        <v>48</v>
      </c>
      <c r="B16" s="3">
        <v>5.96</v>
      </c>
      <c r="G16" s="3" t="s">
        <v>48</v>
      </c>
      <c r="H16" s="3">
        <v>4.9400000000000004</v>
      </c>
    </row>
    <row r="17" spans="1:8" ht="20.25" x14ac:dyDescent="0.3">
      <c r="A17" s="3" t="s">
        <v>49</v>
      </c>
      <c r="B17" s="3">
        <v>6.4</v>
      </c>
      <c r="G17" s="3" t="s">
        <v>49</v>
      </c>
      <c r="H17" s="3">
        <v>4.91</v>
      </c>
    </row>
    <row r="18" spans="1:8" ht="20.25" x14ac:dyDescent="0.3">
      <c r="A18" s="3" t="s">
        <v>50</v>
      </c>
      <c r="B18" s="3">
        <v>6.49</v>
      </c>
      <c r="G18" s="3" t="s">
        <v>50</v>
      </c>
      <c r="H18" s="3">
        <v>4.8899999999999997</v>
      </c>
    </row>
    <row r="19" spans="1:8" ht="20.25" x14ac:dyDescent="0.3">
      <c r="A19" s="3" t="s">
        <v>51</v>
      </c>
      <c r="B19" s="3">
        <v>6.26</v>
      </c>
      <c r="G19" s="3" t="s">
        <v>51</v>
      </c>
      <c r="H19" s="3">
        <v>4.8899999999999997</v>
      </c>
    </row>
    <row r="20" spans="1:8" ht="20.25" x14ac:dyDescent="0.3">
      <c r="G20" s="13" t="s">
        <v>109</v>
      </c>
      <c r="H20" s="13">
        <v>5.04</v>
      </c>
    </row>
    <row r="21" spans="1:8" ht="20.25" x14ac:dyDescent="0.3">
      <c r="G21" s="13" t="s">
        <v>110</v>
      </c>
      <c r="H21" s="13">
        <v>5.03</v>
      </c>
    </row>
    <row r="22" spans="1:8" ht="20.25" x14ac:dyDescent="0.3">
      <c r="G22" s="13" t="s">
        <v>111</v>
      </c>
      <c r="H22" s="13">
        <v>5.04</v>
      </c>
    </row>
    <row r="23" spans="1:8" ht="20.25" x14ac:dyDescent="0.3">
      <c r="G23" s="13" t="s">
        <v>112</v>
      </c>
      <c r="H23" s="13">
        <v>4.92</v>
      </c>
    </row>
    <row r="24" spans="1:8" ht="20.25" x14ac:dyDescent="0.3">
      <c r="G24" s="13" t="s">
        <v>113</v>
      </c>
      <c r="H24" s="13">
        <v>4.9400000000000004</v>
      </c>
    </row>
    <row r="25" spans="1:8" ht="20.25" x14ac:dyDescent="0.3">
      <c r="G25" s="13" t="s">
        <v>114</v>
      </c>
      <c r="H25" s="13">
        <v>4.93</v>
      </c>
    </row>
  </sheetData>
  <mergeCells count="2">
    <mergeCell ref="A2:C2"/>
    <mergeCell ref="A1:F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7FA7-2220-4C60-A3C6-C1209C712323}">
  <dimension ref="A1:T28"/>
  <sheetViews>
    <sheetView workbookViewId="0">
      <selection activeCell="L10" sqref="L10:M12"/>
    </sheetView>
  </sheetViews>
  <sheetFormatPr defaultRowHeight="20.25" x14ac:dyDescent="0.3"/>
  <cols>
    <col min="1" max="1" width="21.28515625" style="1" customWidth="1"/>
    <col min="2" max="2" width="12.42578125" style="1" customWidth="1"/>
    <col min="3" max="5" width="9.28515625" style="1" bestFit="1" customWidth="1"/>
    <col min="6" max="6" width="11.42578125" style="1" customWidth="1"/>
    <col min="7" max="7" width="12" style="1" bestFit="1" customWidth="1"/>
    <col min="8" max="9" width="9.85546875" style="1" bestFit="1" customWidth="1"/>
    <col min="10" max="10" width="15.5703125" style="1" customWidth="1"/>
    <col min="11" max="11" width="15.28515625" style="1" customWidth="1"/>
    <col min="12" max="12" width="19.7109375" style="1" customWidth="1"/>
    <col min="13" max="13" width="17.5703125" style="1" customWidth="1"/>
    <col min="14" max="14" width="18.28515625" style="1" customWidth="1"/>
    <col min="15" max="15" width="17.28515625" style="1" customWidth="1"/>
    <col min="16" max="16" width="30.5703125" style="1" customWidth="1"/>
    <col min="17" max="17" width="31.85546875" style="1" customWidth="1"/>
    <col min="18" max="18" width="12" style="1" bestFit="1" customWidth="1"/>
    <col min="19" max="16384" width="9.140625" style="1"/>
  </cols>
  <sheetData>
    <row r="1" spans="1:20" ht="33" x14ac:dyDescent="0.45">
      <c r="A1" s="28" t="s">
        <v>107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3" spans="1:20" ht="81" customHeight="1" x14ac:dyDescent="0.3">
      <c r="A3" s="8" t="s">
        <v>0</v>
      </c>
      <c r="B3" s="8" t="s">
        <v>54</v>
      </c>
      <c r="C3" s="8" t="s">
        <v>55</v>
      </c>
      <c r="D3" s="8" t="s">
        <v>56</v>
      </c>
      <c r="E3" s="8" t="s">
        <v>57</v>
      </c>
      <c r="F3" s="8" t="s">
        <v>58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63</v>
      </c>
      <c r="L3" s="8" t="s">
        <v>64</v>
      </c>
      <c r="M3" s="8" t="s">
        <v>65</v>
      </c>
      <c r="N3" s="8" t="s">
        <v>4</v>
      </c>
      <c r="O3" s="8" t="s">
        <v>3</v>
      </c>
      <c r="P3" s="8" t="s">
        <v>66</v>
      </c>
      <c r="Q3" s="8" t="s">
        <v>67</v>
      </c>
    </row>
    <row r="4" spans="1:20" ht="23.25" x14ac:dyDescent="0.4">
      <c r="A4" s="3" t="s">
        <v>68</v>
      </c>
      <c r="B4" s="9">
        <v>150</v>
      </c>
      <c r="C4" s="9">
        <v>20</v>
      </c>
      <c r="D4" s="10">
        <v>2.1999999999999999E-2</v>
      </c>
      <c r="E4" s="10">
        <v>1.9E-2</v>
      </c>
      <c r="F4" s="10">
        <f>AVERAGE(D4:E4)</f>
        <v>2.0499999999999997E-2</v>
      </c>
      <c r="G4" s="8">
        <f>(F4*20.978+0.1798)/C4</f>
        <v>3.0492449999999997E-2</v>
      </c>
      <c r="H4" s="8">
        <f>G4/63.5</f>
        <v>4.8019606299212596E-4</v>
      </c>
      <c r="I4" s="8">
        <f>H4*B4</f>
        <v>7.2029409448818887E-2</v>
      </c>
      <c r="J4" s="8">
        <v>1.2366961417322837</v>
      </c>
      <c r="K4" s="8">
        <f>J4-I4</f>
        <v>1.1646667322834647</v>
      </c>
      <c r="L4" s="8">
        <f t="shared" ref="L4:L12" si="0">K4/N4</f>
        <v>0.88905857426218682</v>
      </c>
      <c r="M4" s="8">
        <f>K4/O4</f>
        <v>14.61313340380759</v>
      </c>
      <c r="N4" s="3">
        <f>1.3065+0.0035</f>
        <v>1.31</v>
      </c>
      <c r="O4" s="3">
        <v>7.9699999999999993E-2</v>
      </c>
      <c r="P4" s="34">
        <f>AVERAGE(L4:L6)</f>
        <v>0.8919444662389292</v>
      </c>
      <c r="Q4" s="34">
        <f>AVERAGE(M4:M6)</f>
        <v>14.697768101076027</v>
      </c>
    </row>
    <row r="5" spans="1:20" ht="23.25" x14ac:dyDescent="0.4">
      <c r="A5" s="3" t="s">
        <v>69</v>
      </c>
      <c r="B5" s="9">
        <v>150</v>
      </c>
      <c r="C5" s="9">
        <v>20</v>
      </c>
      <c r="D5" s="10">
        <v>3.3000000000000002E-2</v>
      </c>
      <c r="E5" s="10">
        <v>3.3000000000000002E-2</v>
      </c>
      <c r="F5" s="10">
        <f t="shared" ref="F5:F12" si="1">AVERAGE(D5:E5)</f>
        <v>3.3000000000000002E-2</v>
      </c>
      <c r="G5" s="8">
        <f t="shared" ref="G5:G12" si="2">(F5*20.978+0.1798)/C5</f>
        <v>4.3603700000000002E-2</v>
      </c>
      <c r="H5" s="8">
        <f t="shared" ref="H5:H11" si="3">G5/63.5</f>
        <v>6.8667244094488189E-4</v>
      </c>
      <c r="I5" s="8">
        <f t="shared" ref="I5:I11" si="4">H5*B5</f>
        <v>0.10300086614173229</v>
      </c>
      <c r="J5" s="8">
        <v>1.2366961417322837</v>
      </c>
      <c r="K5" s="8">
        <f t="shared" ref="K5:K11" si="5">J5-I5</f>
        <v>1.1336952755905514</v>
      </c>
      <c r="L5" s="8">
        <f t="shared" si="0"/>
        <v>0.95654343198662783</v>
      </c>
      <c r="M5" s="8">
        <f t="shared" ref="M5:M12" si="6">K5/O5</f>
        <v>15.680432580782176</v>
      </c>
      <c r="N5" s="3">
        <f>1.0647+0.1205</f>
        <v>1.1852</v>
      </c>
      <c r="O5" s="3">
        <v>7.2300000000000003E-2</v>
      </c>
      <c r="P5" s="35"/>
      <c r="Q5" s="35"/>
    </row>
    <row r="6" spans="1:20" ht="23.25" x14ac:dyDescent="0.4">
      <c r="A6" s="3" t="s">
        <v>70</v>
      </c>
      <c r="B6" s="9">
        <v>150</v>
      </c>
      <c r="C6" s="9">
        <v>20</v>
      </c>
      <c r="D6" s="10">
        <v>2.5000000000000001E-2</v>
      </c>
      <c r="E6" s="10">
        <v>2.5999999999999999E-2</v>
      </c>
      <c r="F6" s="10">
        <f t="shared" si="1"/>
        <v>2.5500000000000002E-2</v>
      </c>
      <c r="G6" s="8">
        <f t="shared" si="2"/>
        <v>3.5736950000000003E-2</v>
      </c>
      <c r="H6" s="8">
        <f t="shared" si="3"/>
        <v>5.6278661417322835E-4</v>
      </c>
      <c r="I6" s="8">
        <f t="shared" si="4"/>
        <v>8.4417992125984248E-2</v>
      </c>
      <c r="J6" s="8">
        <v>1.2366961417322837</v>
      </c>
      <c r="K6" s="8">
        <f t="shared" si="5"/>
        <v>1.1522781496062995</v>
      </c>
      <c r="L6" s="8">
        <f t="shared" si="0"/>
        <v>0.83023139246797284</v>
      </c>
      <c r="M6" s="8">
        <f t="shared" si="6"/>
        <v>13.799738318638317</v>
      </c>
      <c r="N6" s="3">
        <v>1.3878999999999999</v>
      </c>
      <c r="O6" s="3">
        <v>8.3500000000000005E-2</v>
      </c>
      <c r="P6" s="36"/>
      <c r="Q6" s="36"/>
    </row>
    <row r="7" spans="1:20" x14ac:dyDescent="0.3">
      <c r="A7" s="3" t="s">
        <v>46</v>
      </c>
      <c r="B7" s="9">
        <v>150</v>
      </c>
      <c r="C7" s="9">
        <v>20</v>
      </c>
      <c r="D7" s="10">
        <v>0.187</v>
      </c>
      <c r="E7" s="10">
        <v>0.187</v>
      </c>
      <c r="F7" s="10">
        <f t="shared" si="1"/>
        <v>0.187</v>
      </c>
      <c r="G7" s="8">
        <f t="shared" si="2"/>
        <v>0.20513430000000002</v>
      </c>
      <c r="H7" s="8">
        <f t="shared" si="3"/>
        <v>3.2304614173228352E-3</v>
      </c>
      <c r="I7" s="8">
        <f t="shared" si="4"/>
        <v>0.48456921259842528</v>
      </c>
      <c r="J7" s="8">
        <v>1.4600456692913388</v>
      </c>
      <c r="K7" s="8">
        <f t="shared" si="5"/>
        <v>0.9754764566929135</v>
      </c>
      <c r="L7" s="8">
        <f t="shared" si="0"/>
        <v>0.63096795387639937</v>
      </c>
      <c r="M7" s="8">
        <f t="shared" si="6"/>
        <v>10.580004953285396</v>
      </c>
      <c r="N7" s="3">
        <v>1.546</v>
      </c>
      <c r="O7" s="3">
        <v>9.2200000000000004E-2</v>
      </c>
      <c r="P7" s="34">
        <f>AVERAGE(L7:L9)</f>
        <v>0.68582980831128548</v>
      </c>
      <c r="Q7" s="34">
        <f t="shared" ref="Q7" si="7">AVERAGE(M7:M9)</f>
        <v>11.533046211209376</v>
      </c>
    </row>
    <row r="8" spans="1:20" x14ac:dyDescent="0.3">
      <c r="A8" s="3" t="s">
        <v>47</v>
      </c>
      <c r="B8" s="9">
        <v>150</v>
      </c>
      <c r="C8" s="9">
        <v>20</v>
      </c>
      <c r="D8" s="10">
        <v>0.18</v>
      </c>
      <c r="E8" s="10">
        <v>0.17899999999999999</v>
      </c>
      <c r="F8" s="10">
        <f t="shared" si="1"/>
        <v>0.17949999999999999</v>
      </c>
      <c r="G8" s="8">
        <f t="shared" si="2"/>
        <v>0.19726755000000001</v>
      </c>
      <c r="H8" s="8">
        <f t="shared" si="3"/>
        <v>3.1065755905511812E-3</v>
      </c>
      <c r="I8" s="8">
        <f t="shared" si="4"/>
        <v>0.46598633858267718</v>
      </c>
      <c r="J8" s="8">
        <v>1.4600456692913388</v>
      </c>
      <c r="K8" s="8">
        <f t="shared" si="5"/>
        <v>0.99405933070866159</v>
      </c>
      <c r="L8" s="8">
        <f t="shared" si="0"/>
        <v>0.76126461227497433</v>
      </c>
      <c r="M8" s="8">
        <f t="shared" si="6"/>
        <v>12.663176187371485</v>
      </c>
      <c r="N8" s="3">
        <v>1.3058000000000001</v>
      </c>
      <c r="O8" s="3">
        <v>7.85E-2</v>
      </c>
      <c r="P8" s="35"/>
      <c r="Q8" s="35"/>
    </row>
    <row r="9" spans="1:20" x14ac:dyDescent="0.3">
      <c r="A9" s="3" t="s">
        <v>48</v>
      </c>
      <c r="B9" s="9">
        <v>150</v>
      </c>
      <c r="C9" s="9">
        <v>20</v>
      </c>
      <c r="D9" s="10">
        <v>0.182</v>
      </c>
      <c r="E9" s="10">
        <v>0.18099999999999999</v>
      </c>
      <c r="F9" s="10">
        <f t="shared" si="1"/>
        <v>0.18149999999999999</v>
      </c>
      <c r="G9" s="8">
        <f t="shared" si="2"/>
        <v>0.19936535000000002</v>
      </c>
      <c r="H9" s="8">
        <f t="shared" si="3"/>
        <v>3.1396118110236224E-3</v>
      </c>
      <c r="I9" s="8">
        <f t="shared" si="4"/>
        <v>0.47094177165354334</v>
      </c>
      <c r="J9" s="8">
        <v>1.4600456692913388</v>
      </c>
      <c r="K9" s="8">
        <f t="shared" si="5"/>
        <v>0.98910389763779549</v>
      </c>
      <c r="L9" s="8">
        <f t="shared" si="0"/>
        <v>0.66525685878248286</v>
      </c>
      <c r="M9" s="8">
        <f t="shared" si="6"/>
        <v>11.355957492971246</v>
      </c>
      <c r="N9" s="3">
        <v>1.4867999999999999</v>
      </c>
      <c r="O9" s="3">
        <v>8.7099999999999997E-2</v>
      </c>
      <c r="P9" s="36"/>
      <c r="Q9" s="36"/>
    </row>
    <row r="10" spans="1:20" x14ac:dyDescent="0.3">
      <c r="A10" s="3" t="s">
        <v>49</v>
      </c>
      <c r="B10" s="9">
        <v>150</v>
      </c>
      <c r="C10" s="9">
        <v>10</v>
      </c>
      <c r="D10" s="10">
        <v>0.191</v>
      </c>
      <c r="E10" s="10">
        <v>0.189</v>
      </c>
      <c r="F10" s="10">
        <f t="shared" si="1"/>
        <v>0.19</v>
      </c>
      <c r="G10" s="8">
        <f t="shared" si="2"/>
        <v>0.41656200000000004</v>
      </c>
      <c r="H10" s="8">
        <f t="shared" si="3"/>
        <v>6.5600314960629928E-3</v>
      </c>
      <c r="I10" s="8">
        <f t="shared" si="4"/>
        <v>0.98400472440944897</v>
      </c>
      <c r="J10" s="8">
        <v>1.5124362992125988</v>
      </c>
      <c r="K10" s="11">
        <f t="shared" si="5"/>
        <v>0.52843157480314984</v>
      </c>
      <c r="L10" s="8">
        <f t="shared" si="0"/>
        <v>0.34336034750042227</v>
      </c>
      <c r="M10" s="8">
        <f t="shared" si="6"/>
        <v>5.6637896549105022</v>
      </c>
      <c r="N10" s="3">
        <v>1.5389999999999999</v>
      </c>
      <c r="O10" s="3">
        <v>9.3299999999999994E-2</v>
      </c>
      <c r="P10" s="34">
        <f>AVERAGE(L10:L12)</f>
        <v>0.29746713334511626</v>
      </c>
      <c r="Q10" s="34">
        <f t="shared" ref="Q10" si="8">AVERAGE(M10:M12)</f>
        <v>5.0479674401304395</v>
      </c>
    </row>
    <row r="11" spans="1:20" x14ac:dyDescent="0.3">
      <c r="A11" s="3" t="s">
        <v>50</v>
      </c>
      <c r="B11" s="9">
        <v>150</v>
      </c>
      <c r="C11" s="9">
        <v>10</v>
      </c>
      <c r="D11" s="10">
        <v>0.217</v>
      </c>
      <c r="E11" s="10">
        <v>0.218</v>
      </c>
      <c r="F11" s="10">
        <f t="shared" si="1"/>
        <v>0.2175</v>
      </c>
      <c r="G11" s="8">
        <f t="shared" si="2"/>
        <v>0.4742515000000001</v>
      </c>
      <c r="H11" s="8">
        <f t="shared" si="3"/>
        <v>7.4685275590551199E-3</v>
      </c>
      <c r="I11" s="8">
        <f t="shared" si="4"/>
        <v>1.1202791338582681</v>
      </c>
      <c r="J11" s="8">
        <v>1.5124362992125988</v>
      </c>
      <c r="K11" s="8">
        <f t="shared" si="5"/>
        <v>0.39215716535433076</v>
      </c>
      <c r="L11" s="8">
        <f t="shared" si="0"/>
        <v>0.26675543524544643</v>
      </c>
      <c r="M11" s="8">
        <f t="shared" si="6"/>
        <v>4.6244948744614476</v>
      </c>
      <c r="N11" s="3">
        <v>1.4701</v>
      </c>
      <c r="O11" s="3">
        <v>8.48E-2</v>
      </c>
      <c r="P11" s="35"/>
      <c r="Q11" s="35"/>
    </row>
    <row r="12" spans="1:20" x14ac:dyDescent="0.3">
      <c r="A12" s="3" t="s">
        <v>51</v>
      </c>
      <c r="B12" s="9">
        <v>150</v>
      </c>
      <c r="C12" s="9">
        <v>10</v>
      </c>
      <c r="D12" s="10">
        <v>0.20599999999999999</v>
      </c>
      <c r="E12" s="10">
        <v>0.20599999999999999</v>
      </c>
      <c r="F12" s="10">
        <f t="shared" si="1"/>
        <v>0.20599999999999999</v>
      </c>
      <c r="G12" s="8">
        <f t="shared" si="2"/>
        <v>0.45012680000000005</v>
      </c>
      <c r="H12" s="8">
        <f>G12/63.5</f>
        <v>7.0886110236220478E-3</v>
      </c>
      <c r="I12" s="8">
        <f>H12*B12</f>
        <v>1.0632916535433072</v>
      </c>
      <c r="J12" s="8">
        <v>1.5124362992125988</v>
      </c>
      <c r="K12" s="8">
        <f>J12-I12</f>
        <v>0.44914464566929158</v>
      </c>
      <c r="L12" s="8">
        <f t="shared" si="0"/>
        <v>0.28228561728947998</v>
      </c>
      <c r="M12" s="8">
        <f t="shared" si="6"/>
        <v>4.8556177910193687</v>
      </c>
      <c r="N12" s="3">
        <v>1.5911</v>
      </c>
      <c r="O12" s="3">
        <v>9.2499999999999999E-2</v>
      </c>
      <c r="P12" s="36"/>
      <c r="Q12" s="36"/>
    </row>
    <row r="14" spans="1:20" x14ac:dyDescent="0.3">
      <c r="A14" s="1" t="s">
        <v>74</v>
      </c>
    </row>
    <row r="15" spans="1:20" x14ac:dyDescent="0.3">
      <c r="A15" s="1" t="s">
        <v>71</v>
      </c>
      <c r="B15" s="1" t="s">
        <v>72</v>
      </c>
      <c r="C15" s="1" t="s">
        <v>73</v>
      </c>
      <c r="D15" s="1" t="s">
        <v>59</v>
      </c>
      <c r="L15" s="1" t="s">
        <v>0</v>
      </c>
      <c r="M15" s="1" t="s">
        <v>54</v>
      </c>
      <c r="N15" s="1" t="s">
        <v>55</v>
      </c>
      <c r="O15" s="1" t="s">
        <v>56</v>
      </c>
      <c r="P15" s="1" t="s">
        <v>57</v>
      </c>
      <c r="Q15" s="1" t="s">
        <v>58</v>
      </c>
      <c r="R15" s="1" t="s">
        <v>59</v>
      </c>
      <c r="S15" s="1" t="s">
        <v>60</v>
      </c>
      <c r="T15" s="1" t="s">
        <v>61</v>
      </c>
    </row>
    <row r="16" spans="1:20" x14ac:dyDescent="0.3">
      <c r="A16" s="1">
        <v>0.1</v>
      </c>
      <c r="B16" s="1">
        <f>A16*0.157</f>
        <v>1.5700000000000002E-2</v>
      </c>
      <c r="C16" s="1">
        <v>0.04</v>
      </c>
      <c r="D16" s="1">
        <f>B16*63.5</f>
        <v>0.99695000000000011</v>
      </c>
      <c r="L16" s="1" t="s">
        <v>76</v>
      </c>
      <c r="M16" s="1">
        <v>150</v>
      </c>
      <c r="N16" s="1">
        <v>10</v>
      </c>
      <c r="O16" s="1">
        <v>0.219</v>
      </c>
      <c r="P16" s="1">
        <v>0.22</v>
      </c>
      <c r="Q16" s="1">
        <f>AVERAGE(O16:P16)</f>
        <v>0.2195</v>
      </c>
      <c r="R16" s="1">
        <f>(Q16*23.346+0.1109)/N16</f>
        <v>0.52353470000000002</v>
      </c>
      <c r="S16" s="1">
        <f>R16/63.5</f>
        <v>8.2446409448818907E-3</v>
      </c>
      <c r="T16" s="1">
        <f>S16*M16</f>
        <v>1.2366961417322837</v>
      </c>
    </row>
    <row r="17" spans="1:20" x14ac:dyDescent="0.3">
      <c r="A17" s="1">
        <v>0.2</v>
      </c>
      <c r="B17" s="1">
        <f t="shared" ref="B17:B20" si="9">A17*0.157</f>
        <v>3.1400000000000004E-2</v>
      </c>
      <c r="C17" s="1">
        <v>8.6999999999999994E-2</v>
      </c>
      <c r="D17" s="1">
        <f t="shared" ref="D17:D20" si="10">B17*63.5</f>
        <v>1.9939000000000002</v>
      </c>
      <c r="L17" s="1" t="s">
        <v>77</v>
      </c>
      <c r="M17" s="1">
        <v>150</v>
      </c>
      <c r="N17" s="1">
        <v>10</v>
      </c>
      <c r="O17" s="1">
        <v>0.26100000000000001</v>
      </c>
      <c r="P17" s="1">
        <v>0.25900000000000001</v>
      </c>
      <c r="Q17" s="1">
        <f t="shared" ref="Q17:Q20" si="11">AVERAGE(O17:P17)</f>
        <v>0.26</v>
      </c>
      <c r="R17" s="1">
        <f t="shared" ref="R17:R20" si="12">(Q17*23.346+0.1109)/N17</f>
        <v>0.61808600000000002</v>
      </c>
      <c r="S17" s="1">
        <f t="shared" ref="S17:S20" si="13">R17/63.5</f>
        <v>9.7336377952755918E-3</v>
      </c>
      <c r="T17" s="1">
        <f t="shared" ref="T17:T20" si="14">S17*M17</f>
        <v>1.4600456692913388</v>
      </c>
    </row>
    <row r="18" spans="1:20" x14ac:dyDescent="0.3">
      <c r="A18" s="1">
        <v>0.3</v>
      </c>
      <c r="B18" s="1">
        <f t="shared" si="9"/>
        <v>4.7099999999999996E-2</v>
      </c>
      <c r="C18" s="1">
        <v>0.13200000000000001</v>
      </c>
      <c r="D18" s="1">
        <f t="shared" si="10"/>
        <v>2.9908499999999996</v>
      </c>
      <c r="L18" s="1" t="s">
        <v>78</v>
      </c>
      <c r="M18" s="1">
        <v>150</v>
      </c>
      <c r="N18" s="1">
        <v>10</v>
      </c>
      <c r="O18" s="1">
        <v>0.26900000000000002</v>
      </c>
      <c r="P18" s="1">
        <v>0.27</v>
      </c>
      <c r="Q18" s="1">
        <f t="shared" si="11"/>
        <v>0.26950000000000002</v>
      </c>
      <c r="R18" s="1">
        <f t="shared" si="12"/>
        <v>0.64026470000000013</v>
      </c>
      <c r="S18" s="1">
        <f t="shared" si="13"/>
        <v>1.0082908661417325E-2</v>
      </c>
      <c r="T18" s="1">
        <f t="shared" si="14"/>
        <v>1.5124362992125988</v>
      </c>
    </row>
    <row r="19" spans="1:20" x14ac:dyDescent="0.3">
      <c r="A19" s="1">
        <v>0.4</v>
      </c>
      <c r="B19" s="1">
        <f t="shared" si="9"/>
        <v>6.2800000000000009E-2</v>
      </c>
      <c r="C19" s="1">
        <v>0.18</v>
      </c>
      <c r="D19" s="1">
        <f t="shared" si="10"/>
        <v>3.9878000000000005</v>
      </c>
      <c r="L19" s="1" t="s">
        <v>80</v>
      </c>
      <c r="M19" s="1">
        <v>150</v>
      </c>
      <c r="N19" s="1">
        <v>10</v>
      </c>
      <c r="O19" s="1">
        <v>0.28100000000000003</v>
      </c>
      <c r="P19" s="1">
        <v>0.27700000000000002</v>
      </c>
      <c r="Q19" s="1">
        <f t="shared" si="11"/>
        <v>0.27900000000000003</v>
      </c>
      <c r="R19" s="1">
        <f t="shared" si="12"/>
        <v>0.66244340000000013</v>
      </c>
      <c r="S19" s="1">
        <f t="shared" si="13"/>
        <v>1.0432179527559057E-2</v>
      </c>
      <c r="T19" s="1">
        <f t="shared" si="14"/>
        <v>1.5648269291338586</v>
      </c>
    </row>
    <row r="20" spans="1:20" x14ac:dyDescent="0.3">
      <c r="A20" s="1">
        <v>0.5</v>
      </c>
      <c r="B20" s="1">
        <f t="shared" si="9"/>
        <v>7.85E-2</v>
      </c>
      <c r="C20" s="1">
        <v>0.23100000000000001</v>
      </c>
      <c r="D20" s="1">
        <f t="shared" si="10"/>
        <v>4.98475</v>
      </c>
      <c r="L20" s="1" t="s">
        <v>81</v>
      </c>
      <c r="M20" s="1">
        <v>150</v>
      </c>
      <c r="N20" s="1">
        <v>10</v>
      </c>
      <c r="O20" s="1">
        <v>0.27600000000000002</v>
      </c>
      <c r="P20" s="1">
        <v>0.27700000000000002</v>
      </c>
      <c r="Q20" s="1">
        <f t="shared" si="11"/>
        <v>0.27650000000000002</v>
      </c>
      <c r="R20" s="1">
        <f t="shared" si="12"/>
        <v>0.6566069000000001</v>
      </c>
      <c r="S20" s="1">
        <f t="shared" si="13"/>
        <v>1.0340266141732285E-2</v>
      </c>
      <c r="T20" s="1">
        <f t="shared" si="14"/>
        <v>1.5510399212598427</v>
      </c>
    </row>
    <row r="22" spans="1:20" x14ac:dyDescent="0.3">
      <c r="L22" s="1" t="s">
        <v>79</v>
      </c>
    </row>
    <row r="23" spans="1:20" x14ac:dyDescent="0.3">
      <c r="L23" s="1" t="s">
        <v>71</v>
      </c>
      <c r="M23" s="1" t="s">
        <v>72</v>
      </c>
      <c r="N23" s="1" t="s">
        <v>73</v>
      </c>
      <c r="O23" s="1" t="s">
        <v>59</v>
      </c>
    </row>
    <row r="24" spans="1:20" x14ac:dyDescent="0.3">
      <c r="L24" s="1">
        <v>0.1</v>
      </c>
      <c r="M24" s="1">
        <f>L24*0.157</f>
        <v>1.5700000000000002E-2</v>
      </c>
      <c r="N24" s="1">
        <v>3.6999999999999998E-2</v>
      </c>
      <c r="O24" s="1">
        <f>M24*63.5</f>
        <v>0.99695000000000011</v>
      </c>
    </row>
    <row r="25" spans="1:20" x14ac:dyDescent="0.3">
      <c r="L25" s="1">
        <v>0.2</v>
      </c>
      <c r="M25" s="1">
        <f t="shared" ref="M25:M28" si="15">L25*0.157</f>
        <v>3.1400000000000004E-2</v>
      </c>
      <c r="N25" s="1">
        <v>8.1000000000000003E-2</v>
      </c>
      <c r="O25" s="1">
        <f t="shared" ref="O25:O28" si="16">M25*63.5</f>
        <v>1.9939000000000002</v>
      </c>
    </row>
    <row r="26" spans="1:20" x14ac:dyDescent="0.3">
      <c r="L26" s="1">
        <v>0.4</v>
      </c>
      <c r="M26" s="1">
        <f t="shared" si="15"/>
        <v>6.2800000000000009E-2</v>
      </c>
      <c r="N26" s="1">
        <v>0.16600000000000001</v>
      </c>
      <c r="O26" s="1">
        <f t="shared" si="16"/>
        <v>3.9878000000000005</v>
      </c>
    </row>
    <row r="27" spans="1:20" x14ac:dyDescent="0.3">
      <c r="L27" s="1">
        <v>0.6</v>
      </c>
      <c r="M27" s="1">
        <f t="shared" si="15"/>
        <v>9.4199999999999992E-2</v>
      </c>
      <c r="N27" s="1">
        <v>0.254</v>
      </c>
      <c r="O27" s="1">
        <f t="shared" si="16"/>
        <v>5.9816999999999991</v>
      </c>
    </row>
    <row r="28" spans="1:20" x14ac:dyDescent="0.3">
      <c r="L28" s="1">
        <v>0.8</v>
      </c>
      <c r="M28" s="1">
        <f t="shared" si="15"/>
        <v>0.12560000000000002</v>
      </c>
      <c r="N28" s="1">
        <v>0.33500000000000002</v>
      </c>
      <c r="O28" s="1">
        <f t="shared" si="16"/>
        <v>7.9756000000000009</v>
      </c>
    </row>
  </sheetData>
  <mergeCells count="7">
    <mergeCell ref="P10:P12"/>
    <mergeCell ref="Q10:Q12"/>
    <mergeCell ref="A1:Q1"/>
    <mergeCell ref="P4:P6"/>
    <mergeCell ref="Q4:Q6"/>
    <mergeCell ref="P7:P9"/>
    <mergeCell ref="Q7:Q9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55576-63C7-436F-B38C-6270FAA9EC90}">
  <dimension ref="A1:T38"/>
  <sheetViews>
    <sheetView topLeftCell="A4" zoomScaleNormal="100" workbookViewId="0">
      <selection activeCell="L10" sqref="L10:N12"/>
    </sheetView>
  </sheetViews>
  <sheetFormatPr defaultRowHeight="20.25" x14ac:dyDescent="0.3"/>
  <cols>
    <col min="1" max="1" width="18.28515625" style="1" customWidth="1"/>
    <col min="2" max="6" width="9.28515625" style="1" bestFit="1" customWidth="1"/>
    <col min="7" max="7" width="12" style="1" bestFit="1" customWidth="1"/>
    <col min="8" max="9" width="9.85546875" style="1" bestFit="1" customWidth="1"/>
    <col min="10" max="10" width="13.7109375" style="1" customWidth="1"/>
    <col min="11" max="11" width="17.42578125" style="1" customWidth="1"/>
    <col min="12" max="12" width="15.7109375" style="1" customWidth="1"/>
    <col min="13" max="13" width="14.7109375" style="1" customWidth="1"/>
    <col min="14" max="14" width="18.140625" style="1" customWidth="1"/>
    <col min="15" max="15" width="12.28515625" style="1" customWidth="1"/>
    <col min="16" max="16" width="12.42578125" style="1" customWidth="1"/>
    <col min="17" max="17" width="17.140625" style="1" customWidth="1"/>
    <col min="18" max="18" width="14.28515625" style="1" customWidth="1"/>
    <col min="19" max="19" width="15.7109375" style="1" customWidth="1"/>
    <col min="20" max="20" width="22.5703125" style="1" customWidth="1"/>
    <col min="21" max="16384" width="9.140625" style="1"/>
  </cols>
  <sheetData>
    <row r="1" spans="1:20" ht="33" x14ac:dyDescent="0.45">
      <c r="A1" s="28" t="s">
        <v>106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3" spans="1:20" ht="72.75" customHeight="1" x14ac:dyDescent="0.3">
      <c r="A3" s="8" t="s">
        <v>0</v>
      </c>
      <c r="B3" s="8" t="s">
        <v>54</v>
      </c>
      <c r="C3" s="8" t="s">
        <v>55</v>
      </c>
      <c r="D3" s="8" t="s">
        <v>56</v>
      </c>
      <c r="E3" s="8" t="s">
        <v>57</v>
      </c>
      <c r="F3" s="8" t="s">
        <v>58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63</v>
      </c>
      <c r="L3" s="8" t="s">
        <v>82</v>
      </c>
      <c r="M3" s="8" t="s">
        <v>83</v>
      </c>
      <c r="N3" s="8" t="s">
        <v>84</v>
      </c>
      <c r="O3" s="8" t="s">
        <v>4</v>
      </c>
      <c r="P3" s="8" t="s">
        <v>3</v>
      </c>
      <c r="Q3" s="8" t="s">
        <v>18</v>
      </c>
      <c r="R3" s="12" t="s">
        <v>85</v>
      </c>
      <c r="S3" s="12" t="s">
        <v>86</v>
      </c>
      <c r="T3" s="12" t="s">
        <v>87</v>
      </c>
    </row>
    <row r="4" spans="1:20" x14ac:dyDescent="0.3">
      <c r="A4" s="3" t="s">
        <v>76</v>
      </c>
      <c r="B4" s="9">
        <v>150</v>
      </c>
      <c r="C4" s="9">
        <v>20</v>
      </c>
      <c r="D4" s="10">
        <v>5.0000000000000001E-3</v>
      </c>
      <c r="E4" s="10">
        <v>4.0000000000000001E-3</v>
      </c>
      <c r="F4" s="10">
        <f>AVERAGE(D4:E4)</f>
        <v>4.5000000000000005E-3</v>
      </c>
      <c r="G4" s="8">
        <f>(F4*23.346+0.1109)/C4</f>
        <v>1.0797850000000001E-2</v>
      </c>
      <c r="H4" s="8">
        <f>G4/63.5</f>
        <v>1.700448818897638E-4</v>
      </c>
      <c r="I4" s="8">
        <f>H4*B4</f>
        <v>2.5506732283464569E-2</v>
      </c>
      <c r="J4" s="8">
        <v>1.2366961417322837</v>
      </c>
      <c r="K4" s="8">
        <f>J4-I4</f>
        <v>1.2111894094488191</v>
      </c>
      <c r="L4" s="8">
        <f>K4/O4</f>
        <v>0.86199516721145764</v>
      </c>
      <c r="M4" s="8">
        <f>K4/P4</f>
        <v>15.571339299057936</v>
      </c>
      <c r="N4" s="8">
        <f>K4/Q4</f>
        <v>30.819068942718044</v>
      </c>
      <c r="O4" s="3">
        <v>1.4051</v>
      </c>
      <c r="P4" s="8">
        <v>7.7783252049622734E-2</v>
      </c>
      <c r="Q4" s="3">
        <v>3.9300000000000002E-2</v>
      </c>
      <c r="R4" s="37">
        <f>AVERAGE(L4:L6)</f>
        <v>0.81684700134966126</v>
      </c>
      <c r="S4" s="37">
        <f>AVERAGE(M4:M6)</f>
        <v>14.755769286480685</v>
      </c>
      <c r="T4" s="37">
        <f>AVERAGE(N4:N6)</f>
        <v>28.876407531359039</v>
      </c>
    </row>
    <row r="5" spans="1:20" x14ac:dyDescent="0.3">
      <c r="A5" s="3" t="s">
        <v>88</v>
      </c>
      <c r="B5" s="9">
        <v>150</v>
      </c>
      <c r="C5" s="9">
        <v>20</v>
      </c>
      <c r="D5" s="10">
        <v>5.0000000000000001E-3</v>
      </c>
      <c r="E5" s="10">
        <v>5.0000000000000001E-3</v>
      </c>
      <c r="F5" s="10">
        <f t="shared" ref="F5:F18" si="0">AVERAGE(D5:E5)</f>
        <v>5.0000000000000001E-3</v>
      </c>
      <c r="G5" s="8">
        <f t="shared" ref="G5:G11" si="1">(F5*23.346+0.1109)/C5</f>
        <v>1.1381499999999999E-2</v>
      </c>
      <c r="H5" s="8">
        <f t="shared" ref="H5:H11" si="2">G5/63.5</f>
        <v>1.7923622047244094E-4</v>
      </c>
      <c r="I5" s="8">
        <f t="shared" ref="I5:I11" si="3">H5*B5</f>
        <v>2.688543307086614E-2</v>
      </c>
      <c r="J5" s="8">
        <v>1.2366961417322837</v>
      </c>
      <c r="K5" s="8">
        <f t="shared" ref="K5:K11" si="4">J5-I5</f>
        <v>1.2098107086614176</v>
      </c>
      <c r="L5" s="8">
        <f t="shared" ref="L5:L18" si="5">K5/O5</f>
        <v>0.78148098227596252</v>
      </c>
      <c r="M5" s="8">
        <f t="shared" ref="M5:M11" si="6">K5/P5</f>
        <v>14.116906908127667</v>
      </c>
      <c r="N5" s="8">
        <f t="shared" ref="N5:N18" si="7">K5/Q5</f>
        <v>27.186757498009385</v>
      </c>
      <c r="O5" s="3">
        <v>1.5481</v>
      </c>
      <c r="P5" s="8">
        <v>8.5699418189467635E-2</v>
      </c>
      <c r="Q5" s="3">
        <v>4.4499999999999998E-2</v>
      </c>
      <c r="R5" s="38"/>
      <c r="S5" s="38"/>
      <c r="T5" s="38"/>
    </row>
    <row r="6" spans="1:20" x14ac:dyDescent="0.3">
      <c r="A6" s="3" t="s">
        <v>89</v>
      </c>
      <c r="B6" s="9">
        <v>150</v>
      </c>
      <c r="C6" s="9">
        <v>20</v>
      </c>
      <c r="D6" s="10">
        <v>1E-3</v>
      </c>
      <c r="E6" s="10">
        <v>0</v>
      </c>
      <c r="F6" s="10">
        <f t="shared" si="0"/>
        <v>5.0000000000000001E-4</v>
      </c>
      <c r="G6" s="8">
        <f t="shared" si="1"/>
        <v>6.1286500000000002E-3</v>
      </c>
      <c r="H6" s="8">
        <f t="shared" si="2"/>
        <v>9.6514173228346467E-5</v>
      </c>
      <c r="I6" s="8">
        <f t="shared" si="3"/>
        <v>1.447712598425197E-2</v>
      </c>
      <c r="J6" s="8">
        <v>1.2366961417322837</v>
      </c>
      <c r="K6" s="8">
        <f t="shared" si="4"/>
        <v>1.2222190157480317</v>
      </c>
      <c r="L6" s="8">
        <f t="shared" si="5"/>
        <v>0.80706485456156352</v>
      </c>
      <c r="M6" s="8">
        <f t="shared" si="6"/>
        <v>14.579061652256451</v>
      </c>
      <c r="N6" s="8">
        <f t="shared" si="7"/>
        <v>28.623396153349688</v>
      </c>
      <c r="O6" s="3">
        <v>1.5144</v>
      </c>
      <c r="P6" s="8">
        <v>8.3833860155112572E-2</v>
      </c>
      <c r="Q6" s="3">
        <v>4.2700000000000002E-2</v>
      </c>
      <c r="R6" s="38"/>
      <c r="S6" s="38"/>
      <c r="T6" s="38"/>
    </row>
    <row r="7" spans="1:20" x14ac:dyDescent="0.3">
      <c r="A7" s="3" t="s">
        <v>90</v>
      </c>
      <c r="B7" s="9">
        <v>150</v>
      </c>
      <c r="C7" s="9">
        <v>20</v>
      </c>
      <c r="D7" s="10">
        <v>5.0000000000000001E-3</v>
      </c>
      <c r="E7" s="10">
        <v>6.0000000000000001E-3</v>
      </c>
      <c r="F7" s="10">
        <f t="shared" si="0"/>
        <v>5.4999999999999997E-3</v>
      </c>
      <c r="G7" s="8">
        <f t="shared" si="1"/>
        <v>1.1965149999999999E-2</v>
      </c>
      <c r="H7" s="8">
        <f t="shared" si="2"/>
        <v>1.8842755905511811E-4</v>
      </c>
      <c r="I7" s="8">
        <f t="shared" si="3"/>
        <v>2.8264133858267718E-2</v>
      </c>
      <c r="J7" s="8">
        <v>1.4600456692913388</v>
      </c>
      <c r="K7" s="8">
        <f t="shared" si="4"/>
        <v>1.4317815354330712</v>
      </c>
      <c r="L7" s="8">
        <f t="shared" si="5"/>
        <v>1.1285422364885878</v>
      </c>
      <c r="M7" s="8">
        <f t="shared" si="6"/>
        <v>20.386325522600792</v>
      </c>
      <c r="N7" s="8">
        <f t="shared" si="7"/>
        <v>40.791496735984936</v>
      </c>
      <c r="O7" s="3">
        <v>1.2686999999999999</v>
      </c>
      <c r="P7" s="8">
        <v>7.0232447423924538E-2</v>
      </c>
      <c r="Q7" s="3">
        <v>3.5099999999999999E-2</v>
      </c>
      <c r="R7" s="37">
        <f t="shared" ref="R7:T7" si="8">AVERAGE(L7:L9)</f>
        <v>1.0324686001596663</v>
      </c>
      <c r="S7" s="37">
        <f t="shared" si="8"/>
        <v>18.650822533864257</v>
      </c>
      <c r="T7" s="37">
        <f t="shared" si="8"/>
        <v>37.766090462765504</v>
      </c>
    </row>
    <row r="8" spans="1:20" x14ac:dyDescent="0.3">
      <c r="A8" s="3" t="s">
        <v>91</v>
      </c>
      <c r="B8" s="9">
        <v>150</v>
      </c>
      <c r="C8" s="9">
        <v>20</v>
      </c>
      <c r="D8" s="10">
        <v>3.0000000000000001E-3</v>
      </c>
      <c r="E8" s="10">
        <v>3.0000000000000001E-3</v>
      </c>
      <c r="F8" s="10">
        <f t="shared" si="0"/>
        <v>3.0000000000000001E-3</v>
      </c>
      <c r="G8" s="8">
        <f t="shared" si="1"/>
        <v>9.0469000000000001E-3</v>
      </c>
      <c r="H8" s="8">
        <f t="shared" si="2"/>
        <v>1.4247086614173229E-4</v>
      </c>
      <c r="I8" s="8">
        <f t="shared" si="3"/>
        <v>2.1370629921259845E-2</v>
      </c>
      <c r="J8" s="8">
        <v>1.4600456692913388</v>
      </c>
      <c r="K8" s="8">
        <f t="shared" si="4"/>
        <v>1.4386750393700789</v>
      </c>
      <c r="L8" s="8">
        <f t="shared" si="5"/>
        <v>0.94968317339103503</v>
      </c>
      <c r="M8" s="8">
        <f t="shared" si="6"/>
        <v>17.155361749087675</v>
      </c>
      <c r="N8" s="8">
        <f t="shared" si="7"/>
        <v>35.522840478273551</v>
      </c>
      <c r="O8" s="3">
        <v>1.5148999999999999</v>
      </c>
      <c r="P8" s="8">
        <v>8.3861539057699441E-2</v>
      </c>
      <c r="Q8" s="3">
        <v>4.0500000000000001E-2</v>
      </c>
      <c r="R8" s="38"/>
      <c r="S8" s="38"/>
      <c r="T8" s="38"/>
    </row>
    <row r="9" spans="1:20" x14ac:dyDescent="0.3">
      <c r="A9" s="3" t="s">
        <v>92</v>
      </c>
      <c r="B9" s="9">
        <v>150</v>
      </c>
      <c r="C9" s="9">
        <v>20</v>
      </c>
      <c r="D9" s="10">
        <v>3.0000000000000001E-3</v>
      </c>
      <c r="E9" s="10">
        <v>3.0000000000000001E-3</v>
      </c>
      <c r="F9" s="10">
        <f t="shared" si="0"/>
        <v>3.0000000000000001E-3</v>
      </c>
      <c r="G9" s="8">
        <f t="shared" si="1"/>
        <v>9.0469000000000001E-3</v>
      </c>
      <c r="H9" s="8">
        <f t="shared" si="2"/>
        <v>1.4247086614173229E-4</v>
      </c>
      <c r="I9" s="8">
        <f t="shared" si="3"/>
        <v>2.1370629921259845E-2</v>
      </c>
      <c r="J9" s="8">
        <v>1.4600456692913388</v>
      </c>
      <c r="K9" s="8">
        <f t="shared" si="4"/>
        <v>1.4386750393700789</v>
      </c>
      <c r="L9" s="8">
        <f t="shared" si="5"/>
        <v>1.0191803905993759</v>
      </c>
      <c r="M9" s="8">
        <f t="shared" si="6"/>
        <v>18.410780329904306</v>
      </c>
      <c r="N9" s="8">
        <f t="shared" si="7"/>
        <v>36.983934174038019</v>
      </c>
      <c r="O9" s="3">
        <v>1.4116</v>
      </c>
      <c r="P9" s="8">
        <v>7.8143077783252052E-2</v>
      </c>
      <c r="Q9" s="3">
        <v>3.8899999999999997E-2</v>
      </c>
      <c r="R9" s="38"/>
      <c r="S9" s="38"/>
      <c r="T9" s="38"/>
    </row>
    <row r="10" spans="1:20" x14ac:dyDescent="0.3">
      <c r="A10" s="3" t="s">
        <v>93</v>
      </c>
      <c r="B10" s="9">
        <v>150</v>
      </c>
      <c r="C10" s="9">
        <v>20</v>
      </c>
      <c r="D10" s="10">
        <v>1.6E-2</v>
      </c>
      <c r="E10" s="10">
        <v>1.6E-2</v>
      </c>
      <c r="F10" s="10">
        <f t="shared" si="0"/>
        <v>1.6E-2</v>
      </c>
      <c r="G10" s="8">
        <f t="shared" si="1"/>
        <v>2.4221800000000002E-2</v>
      </c>
      <c r="H10" s="8">
        <f t="shared" si="2"/>
        <v>3.8144566929133861E-4</v>
      </c>
      <c r="I10" s="8">
        <f t="shared" si="3"/>
        <v>5.7216850393700794E-2</v>
      </c>
      <c r="J10" s="8">
        <v>1.5124362992125988</v>
      </c>
      <c r="K10" s="8">
        <f t="shared" si="4"/>
        <v>1.4552194488188981</v>
      </c>
      <c r="L10" s="8">
        <f t="shared" si="5"/>
        <v>1.1142568520818514</v>
      </c>
      <c r="M10" s="8">
        <f t="shared" si="6"/>
        <v>20.128270053062188</v>
      </c>
      <c r="N10" s="8">
        <f>K10/Q10</f>
        <v>39.436841431406449</v>
      </c>
      <c r="O10" s="3">
        <v>1.306</v>
      </c>
      <c r="P10" s="8">
        <v>7.2297293556905062E-2</v>
      </c>
      <c r="Q10" s="3">
        <v>3.6900000000000002E-2</v>
      </c>
      <c r="R10" s="37">
        <f t="shared" ref="R10:T10" si="9">AVERAGE(L10:L12)</f>
        <v>1.0456758969594349</v>
      </c>
      <c r="S10" s="37">
        <f t="shared" si="9"/>
        <v>18.88940310544432</v>
      </c>
      <c r="T10" s="37">
        <f t="shared" si="9"/>
        <v>36.98312264544878</v>
      </c>
    </row>
    <row r="11" spans="1:20" x14ac:dyDescent="0.3">
      <c r="A11" s="3" t="s">
        <v>94</v>
      </c>
      <c r="B11" s="9">
        <v>150</v>
      </c>
      <c r="C11" s="9">
        <v>20</v>
      </c>
      <c r="D11" s="10">
        <v>1.2E-2</v>
      </c>
      <c r="E11" s="10">
        <v>1.2E-2</v>
      </c>
      <c r="F11" s="10">
        <f t="shared" si="0"/>
        <v>1.2E-2</v>
      </c>
      <c r="G11" s="8">
        <f t="shared" si="1"/>
        <v>1.95526E-2</v>
      </c>
      <c r="H11" s="8">
        <f t="shared" si="2"/>
        <v>3.0791496062992127E-4</v>
      </c>
      <c r="I11" s="8">
        <f t="shared" si="3"/>
        <v>4.618724409448819E-2</v>
      </c>
      <c r="J11" s="8">
        <v>1.5124362992125988</v>
      </c>
      <c r="K11" s="8">
        <f t="shared" si="4"/>
        <v>1.4662490551181107</v>
      </c>
      <c r="L11" s="8">
        <f t="shared" si="5"/>
        <v>1.0303928707787144</v>
      </c>
      <c r="M11" s="8">
        <f t="shared" si="6"/>
        <v>18.613325935607932</v>
      </c>
      <c r="N11" s="8">
        <f t="shared" si="7"/>
        <v>35.762172076051478</v>
      </c>
      <c r="O11" s="3">
        <v>1.423</v>
      </c>
      <c r="P11" s="8">
        <v>7.8774156762232692E-2</v>
      </c>
      <c r="Q11" s="3">
        <v>4.1000000000000002E-2</v>
      </c>
      <c r="R11" s="38"/>
      <c r="S11" s="38"/>
      <c r="T11" s="38"/>
    </row>
    <row r="12" spans="1:20" x14ac:dyDescent="0.3">
      <c r="A12" s="3" t="s">
        <v>95</v>
      </c>
      <c r="B12" s="9">
        <v>150</v>
      </c>
      <c r="C12" s="9">
        <v>20</v>
      </c>
      <c r="D12" s="10">
        <v>2.4E-2</v>
      </c>
      <c r="E12" s="10">
        <v>2.4E-2</v>
      </c>
      <c r="F12" s="10">
        <f t="shared" si="0"/>
        <v>2.4E-2</v>
      </c>
      <c r="G12" s="8">
        <f>(F12*21.353+0.1551)/C12</f>
        <v>3.3378600000000001E-2</v>
      </c>
      <c r="H12" s="8">
        <f>G12/63.5</f>
        <v>5.2564724409448818E-4</v>
      </c>
      <c r="I12" s="8">
        <f>H12*B12</f>
        <v>7.8847086614173223E-2</v>
      </c>
      <c r="J12" s="8">
        <v>1.5124362992125988</v>
      </c>
      <c r="K12" s="8">
        <f>J12-I12</f>
        <v>1.4335892125984255</v>
      </c>
      <c r="L12" s="8">
        <f t="shared" si="5"/>
        <v>0.99237796801773881</v>
      </c>
      <c r="M12" s="8">
        <f>K12/P12</f>
        <v>17.926613327662835</v>
      </c>
      <c r="N12" s="8">
        <f t="shared" si="7"/>
        <v>35.750354428888421</v>
      </c>
      <c r="O12" s="3">
        <v>1.4446000000000001</v>
      </c>
      <c r="P12" s="8">
        <v>7.9969885353985498E-2</v>
      </c>
      <c r="Q12" s="3">
        <v>4.0099999999999997E-2</v>
      </c>
      <c r="R12" s="38"/>
      <c r="S12" s="38"/>
      <c r="T12" s="38"/>
    </row>
    <row r="13" spans="1:20" x14ac:dyDescent="0.3">
      <c r="A13" s="13" t="s">
        <v>96</v>
      </c>
      <c r="B13" s="9">
        <v>150</v>
      </c>
      <c r="C13" s="1">
        <v>20</v>
      </c>
      <c r="D13" s="1">
        <v>6.0999999999999999E-2</v>
      </c>
      <c r="E13" s="1">
        <v>5.8999999999999997E-2</v>
      </c>
      <c r="F13" s="10">
        <f t="shared" si="0"/>
        <v>0.06</v>
      </c>
      <c r="G13" s="8">
        <f t="shared" ref="G13:G18" si="10">(F13*21.353+0.1551)/C13</f>
        <v>7.1814000000000003E-2</v>
      </c>
      <c r="H13" s="8">
        <f t="shared" ref="H13:H18" si="11">G13/63.5</f>
        <v>1.1309291338582677E-3</v>
      </c>
      <c r="I13" s="8">
        <f t="shared" ref="I13:I18" si="12">H13*B13</f>
        <v>0.16963937007874016</v>
      </c>
      <c r="J13" s="8">
        <v>1.5648269291338586</v>
      </c>
      <c r="K13" s="8">
        <f t="shared" ref="K13:K18" si="13">J13-I13</f>
        <v>1.3951875590551184</v>
      </c>
      <c r="L13" s="8">
        <f t="shared" si="5"/>
        <v>1.0077194359372468</v>
      </c>
      <c r="M13" s="8">
        <f t="shared" ref="M13:M18" si="14">K13/P13</f>
        <v>18.203746206601206</v>
      </c>
      <c r="N13" s="8">
        <f t="shared" si="7"/>
        <v>38.43491898223467</v>
      </c>
      <c r="O13" s="3">
        <v>1.3845000000000001</v>
      </c>
      <c r="P13" s="8">
        <v>7.6642881263043694E-2</v>
      </c>
      <c r="Q13" s="3">
        <v>3.6299999999999999E-2</v>
      </c>
      <c r="R13" s="37">
        <f t="shared" ref="R13:T16" si="15">AVERAGE(L13:L15)</f>
        <v>1.013988606943631</v>
      </c>
      <c r="S13" s="37">
        <f t="shared" si="15"/>
        <v>18.316994392411836</v>
      </c>
      <c r="T13" s="37">
        <f t="shared" si="15"/>
        <v>37.996423971099112</v>
      </c>
    </row>
    <row r="14" spans="1:20" x14ac:dyDescent="0.3">
      <c r="A14" s="13" t="s">
        <v>97</v>
      </c>
      <c r="B14" s="9">
        <v>150</v>
      </c>
      <c r="C14" s="1">
        <v>20</v>
      </c>
      <c r="D14" s="1">
        <v>5.3999999999999999E-2</v>
      </c>
      <c r="E14" s="1">
        <v>5.3999999999999999E-2</v>
      </c>
      <c r="F14" s="10">
        <f t="shared" si="0"/>
        <v>5.3999999999999999E-2</v>
      </c>
      <c r="G14" s="8">
        <f t="shared" si="10"/>
        <v>6.5408099999999997E-2</v>
      </c>
      <c r="H14" s="8">
        <f t="shared" si="11"/>
        <v>1.0300488188976378E-3</v>
      </c>
      <c r="I14" s="8">
        <f t="shared" si="12"/>
        <v>0.15450732283464569</v>
      </c>
      <c r="J14" s="8">
        <v>1.5648269291338586</v>
      </c>
      <c r="K14" s="8">
        <f t="shared" si="13"/>
        <v>1.4103196062992129</v>
      </c>
      <c r="L14" s="8">
        <f t="shared" si="5"/>
        <v>1.0000848151320472</v>
      </c>
      <c r="M14" s="8">
        <f t="shared" si="14"/>
        <v>18.065832125989839</v>
      </c>
      <c r="N14" s="8">
        <f t="shared" si="7"/>
        <v>37.810177112579439</v>
      </c>
      <c r="O14" s="3">
        <v>1.4101999999999999</v>
      </c>
      <c r="P14" s="8">
        <v>7.8065576856008817E-2</v>
      </c>
      <c r="Q14" s="3">
        <v>3.73E-2</v>
      </c>
      <c r="R14" s="38"/>
      <c r="S14" s="38"/>
      <c r="T14" s="38"/>
    </row>
    <row r="15" spans="1:20" x14ac:dyDescent="0.3">
      <c r="A15" s="13" t="s">
        <v>98</v>
      </c>
      <c r="B15" s="9">
        <v>150</v>
      </c>
      <c r="C15" s="1">
        <v>20</v>
      </c>
      <c r="D15" s="1">
        <v>4.4999999999999998E-2</v>
      </c>
      <c r="E15" s="1">
        <v>4.3999999999999997E-2</v>
      </c>
      <c r="F15" s="10">
        <f t="shared" si="0"/>
        <v>4.4499999999999998E-2</v>
      </c>
      <c r="G15" s="8">
        <f t="shared" si="10"/>
        <v>5.5265425E-2</v>
      </c>
      <c r="H15" s="8">
        <f t="shared" si="11"/>
        <v>8.7032165354330711E-4</v>
      </c>
      <c r="I15" s="8">
        <f t="shared" si="12"/>
        <v>0.13054824803149606</v>
      </c>
      <c r="J15" s="8">
        <v>1.5648269291338586</v>
      </c>
      <c r="K15" s="8">
        <f t="shared" si="13"/>
        <v>1.4342786811023625</v>
      </c>
      <c r="L15" s="8">
        <f t="shared" si="5"/>
        <v>1.0341615697615996</v>
      </c>
      <c r="M15" s="8">
        <f t="shared" si="14"/>
        <v>18.681404844644462</v>
      </c>
      <c r="N15" s="8">
        <f t="shared" si="7"/>
        <v>37.744175818483221</v>
      </c>
      <c r="O15" s="3">
        <v>1.3869</v>
      </c>
      <c r="P15" s="8">
        <v>7.6775739995460668E-2</v>
      </c>
      <c r="Q15" s="3">
        <v>3.7999999999999999E-2</v>
      </c>
      <c r="R15" s="38"/>
      <c r="S15" s="38"/>
      <c r="T15" s="38"/>
    </row>
    <row r="16" spans="1:20" x14ac:dyDescent="0.3">
      <c r="A16" s="13" t="s">
        <v>99</v>
      </c>
      <c r="B16" s="9">
        <v>150</v>
      </c>
      <c r="C16" s="1">
        <v>20</v>
      </c>
      <c r="D16" s="1">
        <v>8.2000000000000003E-2</v>
      </c>
      <c r="E16" s="1">
        <v>8.2000000000000003E-2</v>
      </c>
      <c r="F16" s="10">
        <f t="shared" si="0"/>
        <v>8.2000000000000003E-2</v>
      </c>
      <c r="G16" s="8">
        <f t="shared" si="10"/>
        <v>9.5302300000000006E-2</v>
      </c>
      <c r="H16" s="8">
        <f t="shared" si="11"/>
        <v>1.5008236220472441E-3</v>
      </c>
      <c r="I16" s="8">
        <f t="shared" si="12"/>
        <v>0.22512354330708662</v>
      </c>
      <c r="J16" s="8">
        <v>1.5510399212598427</v>
      </c>
      <c r="K16" s="8">
        <f t="shared" si="13"/>
        <v>1.3259163779527561</v>
      </c>
      <c r="L16" s="8">
        <f t="shared" si="5"/>
        <v>0.90321279152095102</v>
      </c>
      <c r="M16" s="8">
        <f t="shared" si="14"/>
        <v>16.315906829871917</v>
      </c>
      <c r="N16" s="8">
        <f t="shared" si="7"/>
        <v>33.910904806975857</v>
      </c>
      <c r="O16" s="3">
        <v>1.468</v>
      </c>
      <c r="P16" s="8">
        <v>8.1265257995051007E-2</v>
      </c>
      <c r="Q16" s="3">
        <v>3.9100000000000003E-2</v>
      </c>
      <c r="R16" s="37">
        <f t="shared" si="15"/>
        <v>0.91363777764637266</v>
      </c>
      <c r="S16" s="37">
        <f t="shared" si="15"/>
        <v>16.504226906737372</v>
      </c>
      <c r="T16" s="37">
        <f t="shared" si="15"/>
        <v>33.172411459515772</v>
      </c>
    </row>
    <row r="17" spans="1:20" x14ac:dyDescent="0.3">
      <c r="A17" s="13" t="s">
        <v>100</v>
      </c>
      <c r="B17" s="9">
        <v>150</v>
      </c>
      <c r="C17" s="1">
        <v>20</v>
      </c>
      <c r="D17" s="1">
        <v>0.11899999999999999</v>
      </c>
      <c r="E17" s="1">
        <v>0.11799999999999999</v>
      </c>
      <c r="F17" s="10">
        <f t="shared" si="0"/>
        <v>0.11849999999999999</v>
      </c>
      <c r="G17" s="8">
        <f t="shared" si="10"/>
        <v>0.134271525</v>
      </c>
      <c r="H17" s="8">
        <f t="shared" si="11"/>
        <v>2.1145122047244095E-3</v>
      </c>
      <c r="I17" s="8">
        <f t="shared" si="12"/>
        <v>0.31717683070866143</v>
      </c>
      <c r="J17" s="8">
        <v>1.5510399212598427</v>
      </c>
      <c r="K17" s="8">
        <f t="shared" si="13"/>
        <v>1.2338630905511812</v>
      </c>
      <c r="L17" s="8">
        <f t="shared" si="5"/>
        <v>0.87415025898064558</v>
      </c>
      <c r="M17" s="8">
        <f t="shared" si="14"/>
        <v>15.790912523304074</v>
      </c>
      <c r="N17" s="8">
        <f t="shared" si="7"/>
        <v>31.158158852302552</v>
      </c>
      <c r="O17" s="3">
        <v>1.4115</v>
      </c>
      <c r="P17" s="8">
        <v>7.8137542002734678E-2</v>
      </c>
      <c r="Q17" s="3">
        <v>3.9600000000000003E-2</v>
      </c>
      <c r="R17" s="38"/>
      <c r="S17" s="38"/>
      <c r="T17" s="38"/>
    </row>
    <row r="18" spans="1:20" x14ac:dyDescent="0.3">
      <c r="A18" s="13" t="s">
        <v>101</v>
      </c>
      <c r="B18" s="9">
        <v>150</v>
      </c>
      <c r="C18" s="1">
        <v>20</v>
      </c>
      <c r="D18" s="1">
        <v>8.1000000000000003E-2</v>
      </c>
      <c r="E18" s="1">
        <v>0.08</v>
      </c>
      <c r="F18" s="10">
        <f t="shared" si="0"/>
        <v>8.0500000000000002E-2</v>
      </c>
      <c r="G18" s="8">
        <f t="shared" si="10"/>
        <v>9.3700825000000015E-2</v>
      </c>
      <c r="H18" s="8">
        <f t="shared" si="11"/>
        <v>1.4756035433070868E-3</v>
      </c>
      <c r="I18" s="8">
        <f t="shared" si="12"/>
        <v>0.22134053149606303</v>
      </c>
      <c r="J18" s="8">
        <v>1.5510399212598427</v>
      </c>
      <c r="K18" s="8">
        <f t="shared" si="13"/>
        <v>1.3296993897637797</v>
      </c>
      <c r="L18" s="8">
        <f t="shared" si="5"/>
        <v>0.96355028243752161</v>
      </c>
      <c r="M18" s="8">
        <f t="shared" si="14"/>
        <v>17.40586136703612</v>
      </c>
      <c r="N18" s="8">
        <f t="shared" si="7"/>
        <v>34.448170719268902</v>
      </c>
      <c r="O18" s="3">
        <v>1.38</v>
      </c>
      <c r="P18" s="8">
        <v>7.6393771139761854E-2</v>
      </c>
      <c r="Q18" s="3">
        <v>3.8600000000000002E-2</v>
      </c>
      <c r="R18" s="38"/>
      <c r="S18" s="38"/>
      <c r="T18" s="38"/>
    </row>
    <row r="19" spans="1:20" x14ac:dyDescent="0.3">
      <c r="A19" s="14"/>
    </row>
    <row r="20" spans="1:20" x14ac:dyDescent="0.3">
      <c r="A20" s="39" t="s">
        <v>102</v>
      </c>
      <c r="B20" s="39"/>
      <c r="C20" s="39"/>
      <c r="D20" s="39"/>
      <c r="E20" s="39"/>
      <c r="F20" s="39"/>
      <c r="G20" s="39"/>
      <c r="H20" s="39"/>
      <c r="I20" s="39"/>
    </row>
    <row r="21" spans="1:20" x14ac:dyDescent="0.3">
      <c r="A21" s="1" t="s">
        <v>0</v>
      </c>
      <c r="B21" s="1" t="s">
        <v>54</v>
      </c>
      <c r="C21" s="1" t="s">
        <v>55</v>
      </c>
      <c r="D21" s="1" t="s">
        <v>56</v>
      </c>
      <c r="E21" s="1" t="s">
        <v>57</v>
      </c>
      <c r="F21" s="1" t="s">
        <v>58</v>
      </c>
      <c r="G21" s="1" t="s">
        <v>59</v>
      </c>
      <c r="H21" s="1" t="s">
        <v>60</v>
      </c>
      <c r="I21" s="1" t="s">
        <v>61</v>
      </c>
      <c r="L21" s="1" t="s">
        <v>103</v>
      </c>
    </row>
    <row r="22" spans="1:20" x14ac:dyDescent="0.3">
      <c r="A22" s="1" t="s">
        <v>76</v>
      </c>
      <c r="B22" s="1">
        <v>150</v>
      </c>
      <c r="C22" s="1">
        <v>10</v>
      </c>
      <c r="D22" s="1">
        <v>0.219</v>
      </c>
      <c r="E22" s="1">
        <v>0.22</v>
      </c>
      <c r="F22" s="1">
        <f>AVERAGE(D22:E22)</f>
        <v>0.2195</v>
      </c>
      <c r="G22" s="1">
        <f>(F22*23.346+0.1109)/C22</f>
        <v>0.52353470000000002</v>
      </c>
      <c r="H22" s="1">
        <f>G22/63.5</f>
        <v>8.2446409448818907E-3</v>
      </c>
      <c r="I22" s="1">
        <f>H22*B22</f>
        <v>1.2366961417322837</v>
      </c>
      <c r="L22" s="1" t="s">
        <v>104</v>
      </c>
    </row>
    <row r="23" spans="1:20" x14ac:dyDescent="0.3">
      <c r="A23" s="1" t="s">
        <v>77</v>
      </c>
      <c r="B23" s="1">
        <v>150</v>
      </c>
      <c r="C23" s="1">
        <v>10</v>
      </c>
      <c r="D23" s="1">
        <v>0.26100000000000001</v>
      </c>
      <c r="E23" s="1">
        <v>0.25900000000000001</v>
      </c>
      <c r="F23" s="1">
        <f t="shared" ref="F23:F26" si="16">AVERAGE(D23:E23)</f>
        <v>0.26</v>
      </c>
      <c r="G23" s="1">
        <f t="shared" ref="G23:G26" si="17">(F23*23.346+0.1109)/C23</f>
        <v>0.61808600000000002</v>
      </c>
      <c r="H23" s="1">
        <f t="shared" ref="H23:H26" si="18">G23/63.5</f>
        <v>9.7336377952755918E-3</v>
      </c>
      <c r="I23" s="1">
        <f t="shared" ref="I23:I26" si="19">H23*B23</f>
        <v>1.4600456692913388</v>
      </c>
    </row>
    <row r="24" spans="1:20" x14ac:dyDescent="0.3">
      <c r="A24" s="1" t="s">
        <v>78</v>
      </c>
      <c r="B24" s="1">
        <v>150</v>
      </c>
      <c r="C24" s="1">
        <v>10</v>
      </c>
      <c r="D24" s="1">
        <v>0.26900000000000002</v>
      </c>
      <c r="E24" s="1">
        <v>0.27</v>
      </c>
      <c r="F24" s="1">
        <f t="shared" si="16"/>
        <v>0.26950000000000002</v>
      </c>
      <c r="G24" s="1">
        <f t="shared" si="17"/>
        <v>0.64026470000000013</v>
      </c>
      <c r="H24" s="1">
        <f t="shared" si="18"/>
        <v>1.0082908661417325E-2</v>
      </c>
      <c r="I24" s="1">
        <f t="shared" si="19"/>
        <v>1.5124362992125988</v>
      </c>
      <c r="L24" s="1" t="s">
        <v>71</v>
      </c>
      <c r="M24" s="1" t="s">
        <v>72</v>
      </c>
      <c r="N24" s="1" t="s">
        <v>73</v>
      </c>
      <c r="O24" s="1" t="s">
        <v>59</v>
      </c>
    </row>
    <row r="25" spans="1:20" x14ac:dyDescent="0.3">
      <c r="A25" s="1" t="s">
        <v>80</v>
      </c>
      <c r="B25" s="1">
        <v>150</v>
      </c>
      <c r="C25" s="1">
        <v>10</v>
      </c>
      <c r="D25" s="1">
        <v>0.28100000000000003</v>
      </c>
      <c r="E25" s="1">
        <v>0.27700000000000002</v>
      </c>
      <c r="F25" s="1">
        <f t="shared" si="16"/>
        <v>0.27900000000000003</v>
      </c>
      <c r="G25" s="1">
        <f t="shared" si="17"/>
        <v>0.66244340000000013</v>
      </c>
      <c r="H25" s="1">
        <f t="shared" si="18"/>
        <v>1.0432179527559057E-2</v>
      </c>
      <c r="I25" s="1">
        <f t="shared" si="19"/>
        <v>1.5648269291338586</v>
      </c>
      <c r="L25" s="1">
        <v>0.1</v>
      </c>
      <c r="M25" s="1">
        <f>L25*0.157</f>
        <v>1.5700000000000002E-2</v>
      </c>
      <c r="N25" s="1">
        <v>3.6999999999999998E-2</v>
      </c>
      <c r="O25" s="1">
        <f>M25*63.5</f>
        <v>0.99695000000000011</v>
      </c>
    </row>
    <row r="26" spans="1:20" x14ac:dyDescent="0.3">
      <c r="A26" s="1" t="s">
        <v>81</v>
      </c>
      <c r="B26" s="1">
        <v>150</v>
      </c>
      <c r="C26" s="1">
        <v>10</v>
      </c>
      <c r="D26" s="1">
        <v>0.27600000000000002</v>
      </c>
      <c r="E26" s="1">
        <v>0.27700000000000002</v>
      </c>
      <c r="F26" s="1">
        <f t="shared" si="16"/>
        <v>0.27650000000000002</v>
      </c>
      <c r="G26" s="1">
        <f t="shared" si="17"/>
        <v>0.6566069000000001</v>
      </c>
      <c r="H26" s="1">
        <f t="shared" si="18"/>
        <v>1.0340266141732285E-2</v>
      </c>
      <c r="I26" s="1">
        <f t="shared" si="19"/>
        <v>1.5510399212598427</v>
      </c>
      <c r="L26" s="1">
        <v>0.2</v>
      </c>
      <c r="M26" s="1">
        <f t="shared" ref="M26:M29" si="20">L26*0.157</f>
        <v>3.1400000000000004E-2</v>
      </c>
      <c r="N26" s="1">
        <v>8.1000000000000003E-2</v>
      </c>
      <c r="O26" s="1">
        <f t="shared" ref="O26:O29" si="21">M26*63.5</f>
        <v>1.9939000000000002</v>
      </c>
    </row>
    <row r="27" spans="1:20" x14ac:dyDescent="0.3">
      <c r="L27" s="1">
        <v>0.4</v>
      </c>
      <c r="M27" s="1">
        <f t="shared" si="20"/>
        <v>6.2800000000000009E-2</v>
      </c>
      <c r="N27" s="1">
        <v>0.16600000000000001</v>
      </c>
      <c r="O27" s="1">
        <f t="shared" si="21"/>
        <v>3.9878000000000005</v>
      </c>
    </row>
    <row r="28" spans="1:20" x14ac:dyDescent="0.3">
      <c r="L28" s="1">
        <v>0.6</v>
      </c>
      <c r="M28" s="1">
        <f t="shared" si="20"/>
        <v>9.4199999999999992E-2</v>
      </c>
      <c r="N28" s="1">
        <v>0.254</v>
      </c>
      <c r="O28" s="1">
        <f t="shared" si="21"/>
        <v>5.9816999999999991</v>
      </c>
    </row>
    <row r="29" spans="1:20" x14ac:dyDescent="0.3">
      <c r="L29" s="1">
        <v>0.8</v>
      </c>
      <c r="M29" s="1">
        <f t="shared" si="20"/>
        <v>0.12560000000000002</v>
      </c>
      <c r="N29" s="1">
        <v>0.33500000000000002</v>
      </c>
      <c r="O29" s="1">
        <f t="shared" si="21"/>
        <v>7.9756000000000009</v>
      </c>
    </row>
    <row r="31" spans="1:20" x14ac:dyDescent="0.3">
      <c r="L31" s="1" t="s">
        <v>105</v>
      </c>
    </row>
    <row r="33" spans="12:15" x14ac:dyDescent="0.3">
      <c r="L33" s="1" t="s">
        <v>71</v>
      </c>
      <c r="M33" s="1" t="s">
        <v>72</v>
      </c>
      <c r="N33" s="1" t="s">
        <v>73</v>
      </c>
      <c r="O33" s="1" t="s">
        <v>59</v>
      </c>
    </row>
    <row r="34" spans="12:15" x14ac:dyDescent="0.3">
      <c r="L34" s="1">
        <v>0.1</v>
      </c>
      <c r="M34" s="1">
        <f>L34*0.157</f>
        <v>1.5700000000000002E-2</v>
      </c>
      <c r="N34" s="1">
        <v>3.7999999999999999E-2</v>
      </c>
      <c r="O34" s="1">
        <f>M34*63.5</f>
        <v>0.99695000000000011</v>
      </c>
    </row>
    <row r="35" spans="12:15" x14ac:dyDescent="0.3">
      <c r="L35" s="1">
        <v>0.2</v>
      </c>
      <c r="M35" s="1">
        <f t="shared" ref="M35:M38" si="22">L35*0.157</f>
        <v>3.1400000000000004E-2</v>
      </c>
      <c r="N35" s="1">
        <v>8.5999999999999993E-2</v>
      </c>
      <c r="O35" s="1">
        <f t="shared" ref="O35:O38" si="23">M35*63.5</f>
        <v>1.9939000000000002</v>
      </c>
    </row>
    <row r="36" spans="12:15" x14ac:dyDescent="0.3">
      <c r="L36" s="1">
        <v>0.3</v>
      </c>
      <c r="M36" s="1">
        <f t="shared" si="22"/>
        <v>4.7099999999999996E-2</v>
      </c>
      <c r="N36" s="1">
        <v>0.13800000000000001</v>
      </c>
      <c r="O36" s="1">
        <f t="shared" si="23"/>
        <v>2.9908499999999996</v>
      </c>
    </row>
    <row r="37" spans="12:15" x14ac:dyDescent="0.3">
      <c r="L37" s="1">
        <v>0.4</v>
      </c>
      <c r="M37" s="1">
        <f t="shared" si="22"/>
        <v>6.2800000000000009E-2</v>
      </c>
      <c r="N37" s="1">
        <v>0.17599999999999999</v>
      </c>
      <c r="O37" s="1">
        <f t="shared" si="23"/>
        <v>3.9878000000000005</v>
      </c>
    </row>
    <row r="38" spans="12:15" x14ac:dyDescent="0.3">
      <c r="L38" s="1">
        <v>0.5</v>
      </c>
      <c r="M38" s="1">
        <f t="shared" si="22"/>
        <v>7.85E-2</v>
      </c>
      <c r="N38" s="1">
        <v>0.22600000000000001</v>
      </c>
      <c r="O38" s="1">
        <f t="shared" si="23"/>
        <v>4.98475</v>
      </c>
    </row>
  </sheetData>
  <mergeCells count="17">
    <mergeCell ref="T7:T9"/>
    <mergeCell ref="A1:Q1"/>
    <mergeCell ref="R10:R12"/>
    <mergeCell ref="S10:S12"/>
    <mergeCell ref="T10:T12"/>
    <mergeCell ref="A20:I20"/>
    <mergeCell ref="R13:R15"/>
    <mergeCell ref="R16:R18"/>
    <mergeCell ref="S13:S15"/>
    <mergeCell ref="S16:S18"/>
    <mergeCell ref="T13:T15"/>
    <mergeCell ref="T16:T18"/>
    <mergeCell ref="R4:R6"/>
    <mergeCell ref="S4:S6"/>
    <mergeCell ref="T4:T6"/>
    <mergeCell ref="R7:R9"/>
    <mergeCell ref="S7:S9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6C1F9-AE8B-466A-B2E8-20C47FCCEEC0}">
  <dimension ref="A1:R37"/>
  <sheetViews>
    <sheetView workbookViewId="0">
      <selection activeCell="J10" sqref="J10:L12"/>
    </sheetView>
  </sheetViews>
  <sheetFormatPr defaultRowHeight="15" x14ac:dyDescent="0.25"/>
  <cols>
    <col min="1" max="1" width="21.28515625" customWidth="1"/>
    <col min="2" max="2" width="12.42578125" customWidth="1"/>
    <col min="3" max="3" width="11.5703125" bestFit="1" customWidth="1"/>
    <col min="4" max="5" width="10" bestFit="1" customWidth="1"/>
    <col min="6" max="6" width="11.42578125" customWidth="1"/>
    <col min="7" max="9" width="12.28515625" bestFit="1" customWidth="1"/>
    <col min="10" max="10" width="19.7109375" customWidth="1"/>
    <col min="11" max="12" width="17.5703125" customWidth="1"/>
    <col min="13" max="13" width="18.28515625" customWidth="1"/>
    <col min="14" max="15" width="17.28515625" customWidth="1"/>
    <col min="16" max="16" width="30.5703125" customWidth="1"/>
    <col min="17" max="17" width="31.85546875" customWidth="1"/>
    <col min="18" max="18" width="26.140625" customWidth="1"/>
  </cols>
  <sheetData>
    <row r="1" spans="1:18" ht="33.75" x14ac:dyDescent="0.5">
      <c r="A1" s="21" t="s">
        <v>123</v>
      </c>
    </row>
    <row r="3" spans="1:18" ht="81" x14ac:dyDescent="0.3">
      <c r="A3" s="8" t="s">
        <v>0</v>
      </c>
      <c r="B3" s="18" t="s">
        <v>54</v>
      </c>
      <c r="C3" s="8" t="s">
        <v>55</v>
      </c>
      <c r="D3" s="8" t="s">
        <v>56</v>
      </c>
      <c r="E3" s="8" t="s">
        <v>57</v>
      </c>
      <c r="F3" s="8" t="s">
        <v>58</v>
      </c>
      <c r="G3" s="8" t="s">
        <v>59</v>
      </c>
      <c r="H3" s="8" t="s">
        <v>60</v>
      </c>
      <c r="I3" s="8" t="s">
        <v>61</v>
      </c>
      <c r="J3" s="8" t="s">
        <v>120</v>
      </c>
      <c r="K3" s="8" t="s">
        <v>121</v>
      </c>
      <c r="L3" s="8" t="s">
        <v>124</v>
      </c>
      <c r="M3" s="8" t="s">
        <v>4</v>
      </c>
      <c r="N3" s="8" t="s">
        <v>3</v>
      </c>
      <c r="O3" s="8" t="s">
        <v>125</v>
      </c>
      <c r="P3" s="8" t="s">
        <v>127</v>
      </c>
      <c r="Q3" s="8" t="s">
        <v>128</v>
      </c>
      <c r="R3" s="20" t="s">
        <v>126</v>
      </c>
    </row>
    <row r="4" spans="1:18" ht="23.25" x14ac:dyDescent="0.4">
      <c r="A4" s="3" t="s">
        <v>68</v>
      </c>
      <c r="B4" s="18">
        <f>25+2.4+0.0714+0.014</f>
        <v>27.485399999999998</v>
      </c>
      <c r="C4" s="9">
        <v>5</v>
      </c>
      <c r="D4" s="10">
        <v>0.152</v>
      </c>
      <c r="E4" s="10">
        <v>0.153</v>
      </c>
      <c r="F4" s="10">
        <f>AVERAGE(D4:E4)</f>
        <v>0.1525</v>
      </c>
      <c r="G4" s="8">
        <f t="shared" ref="G4:G17" si="0">(F4*133.22+12.761)/C4</f>
        <v>6.6154099999999998</v>
      </c>
      <c r="H4" s="8">
        <f>G4/63.5</f>
        <v>0.10417968503937007</v>
      </c>
      <c r="I4" s="8">
        <f>H4*B4</f>
        <v>2.8634203151811022</v>
      </c>
      <c r="J4" s="8">
        <f t="shared" ref="J4:J12" si="1">I4/M4</f>
        <v>2.0378765320483256</v>
      </c>
      <c r="K4" s="8">
        <f t="shared" ref="K4:K12" si="2">I4/N4</f>
        <v>36.812813037880566</v>
      </c>
      <c r="L4" s="8">
        <f>I4/O4</f>
        <v>72.860567816313036</v>
      </c>
      <c r="M4" s="3">
        <v>1.4051</v>
      </c>
      <c r="N4" s="8">
        <v>7.7783252049622734E-2</v>
      </c>
      <c r="O4" s="3">
        <v>3.9300000000000002E-2</v>
      </c>
      <c r="P4" s="34">
        <f>AVERAGE(J4:J6)</f>
        <v>1.9150995671867028</v>
      </c>
      <c r="Q4" s="34">
        <f>AVERAGE(K4:K6)</f>
        <v>34.594933111530757</v>
      </c>
      <c r="R4" s="40"/>
    </row>
    <row r="5" spans="1:18" ht="23.25" x14ac:dyDescent="0.4">
      <c r="A5" s="3" t="s">
        <v>69</v>
      </c>
      <c r="B5" s="18">
        <f>25+1.5+0.2+0.1+0.014+0.029</f>
        <v>26.843</v>
      </c>
      <c r="C5" s="9">
        <v>5</v>
      </c>
      <c r="D5" s="10">
        <v>0.16</v>
      </c>
      <c r="E5" s="10">
        <v>0.16</v>
      </c>
      <c r="F5" s="10">
        <f t="shared" ref="F5:F18" si="3">AVERAGE(D5:E5)</f>
        <v>0.16</v>
      </c>
      <c r="G5" s="8">
        <f t="shared" si="0"/>
        <v>6.8152400000000002</v>
      </c>
      <c r="H5" s="8">
        <f t="shared" ref="H5:H11" si="4">G5/63.5</f>
        <v>0.10732661417322835</v>
      </c>
      <c r="I5" s="8">
        <f t="shared" ref="I5:I11" si="5">H5*B5</f>
        <v>2.8809683042519687</v>
      </c>
      <c r="J5" s="8">
        <f t="shared" si="1"/>
        <v>1.860970418094418</v>
      </c>
      <c r="K5" s="8">
        <f t="shared" si="2"/>
        <v>33.617127923582991</v>
      </c>
      <c r="L5" s="8">
        <f t="shared" ref="L5:L18" si="6">I5/O5</f>
        <v>64.740860769707169</v>
      </c>
      <c r="M5" s="3">
        <v>1.5481</v>
      </c>
      <c r="N5" s="8">
        <v>8.5699418189467635E-2</v>
      </c>
      <c r="O5" s="3">
        <v>4.4499999999999998E-2</v>
      </c>
      <c r="P5" s="35"/>
      <c r="Q5" s="35"/>
      <c r="R5" s="40"/>
    </row>
    <row r="6" spans="1:18" ht="23.25" x14ac:dyDescent="0.4">
      <c r="A6" s="3" t="s">
        <v>70</v>
      </c>
      <c r="B6" s="18">
        <f>25+1+0.2+0.029+0.02+0.1+0.014</f>
        <v>26.363</v>
      </c>
      <c r="C6" s="9">
        <v>5</v>
      </c>
      <c r="D6" s="10">
        <v>0.157</v>
      </c>
      <c r="E6" s="10">
        <v>0.157</v>
      </c>
      <c r="F6" s="10">
        <f t="shared" si="3"/>
        <v>0.157</v>
      </c>
      <c r="G6" s="8">
        <f t="shared" si="0"/>
        <v>6.7353080000000007</v>
      </c>
      <c r="H6" s="8">
        <f t="shared" si="4"/>
        <v>0.10606784251968505</v>
      </c>
      <c r="I6" s="8">
        <f t="shared" si="5"/>
        <v>2.7962665323464568</v>
      </c>
      <c r="J6" s="8">
        <f t="shared" si="1"/>
        <v>1.8464517514173646</v>
      </c>
      <c r="K6" s="8">
        <f t="shared" si="2"/>
        <v>33.3548583731287</v>
      </c>
      <c r="L6" s="8">
        <f t="shared" si="6"/>
        <v>65.486335652141847</v>
      </c>
      <c r="M6" s="3">
        <v>1.5144</v>
      </c>
      <c r="N6" s="8">
        <v>8.3833860155112572E-2</v>
      </c>
      <c r="O6" s="3">
        <v>4.2700000000000002E-2</v>
      </c>
      <c r="P6" s="36"/>
      <c r="Q6" s="36"/>
      <c r="R6" s="40"/>
    </row>
    <row r="7" spans="1:18" ht="20.25" x14ac:dyDescent="0.3">
      <c r="A7" s="3" t="s">
        <v>46</v>
      </c>
      <c r="B7" s="18">
        <f>25+2.5+0.1+0.0857</f>
        <v>27.685700000000001</v>
      </c>
      <c r="C7" s="9">
        <v>5</v>
      </c>
      <c r="D7" s="10">
        <v>0.155</v>
      </c>
      <c r="E7" s="10">
        <v>0.154</v>
      </c>
      <c r="F7" s="10">
        <f t="shared" si="3"/>
        <v>0.1545</v>
      </c>
      <c r="G7" s="8">
        <f t="shared" si="0"/>
        <v>6.6686980000000009</v>
      </c>
      <c r="H7" s="8">
        <f t="shared" si="4"/>
        <v>0.10501886614173229</v>
      </c>
      <c r="I7" s="8">
        <f t="shared" si="5"/>
        <v>2.9075208223401581</v>
      </c>
      <c r="J7" s="8">
        <f t="shared" si="1"/>
        <v>2.2917323420352789</v>
      </c>
      <c r="K7" s="8">
        <f t="shared" si="2"/>
        <v>41.398540546227885</v>
      </c>
      <c r="L7" s="8">
        <f t="shared" si="6"/>
        <v>82.835351063822174</v>
      </c>
      <c r="M7" s="3">
        <v>1.2686999999999999</v>
      </c>
      <c r="N7" s="8">
        <v>7.0232447423924538E-2</v>
      </c>
      <c r="O7" s="3">
        <v>3.5099999999999999E-2</v>
      </c>
      <c r="P7" s="34">
        <f>AVERAGE(J7:J9)</f>
        <v>2.0489549503504412</v>
      </c>
      <c r="Q7" s="34">
        <f t="shared" ref="Q7" si="7">AVERAGE(K7:K9)</f>
        <v>37.012936909615469</v>
      </c>
      <c r="R7" s="40"/>
    </row>
    <row r="8" spans="1:18" ht="20.25" x14ac:dyDescent="0.3">
      <c r="A8" s="3" t="s">
        <v>47</v>
      </c>
      <c r="B8" s="18">
        <f>25+3+0.6+0.0857+0.0125</f>
        <v>28.6982</v>
      </c>
      <c r="C8" s="9">
        <v>5</v>
      </c>
      <c r="D8" s="10">
        <v>0.14799999999999999</v>
      </c>
      <c r="E8" s="10">
        <v>0.14799999999999999</v>
      </c>
      <c r="F8" s="10">
        <f t="shared" si="3"/>
        <v>0.14799999999999999</v>
      </c>
      <c r="G8" s="8">
        <f t="shared" si="0"/>
        <v>6.4955119999999997</v>
      </c>
      <c r="H8" s="8">
        <f t="shared" si="4"/>
        <v>0.10229152755905511</v>
      </c>
      <c r="I8" s="8">
        <f t="shared" si="5"/>
        <v>2.9355827161952757</v>
      </c>
      <c r="J8" s="8">
        <f t="shared" si="1"/>
        <v>1.9378062685294579</v>
      </c>
      <c r="K8" s="8">
        <f t="shared" si="2"/>
        <v>35.005113776596687</v>
      </c>
      <c r="L8" s="8">
        <f t="shared" si="6"/>
        <v>72.483523856673472</v>
      </c>
      <c r="M8" s="3">
        <v>1.5148999999999999</v>
      </c>
      <c r="N8" s="8">
        <v>8.3861539057699441E-2</v>
      </c>
      <c r="O8" s="3">
        <v>4.0500000000000001E-2</v>
      </c>
      <c r="P8" s="35"/>
      <c r="Q8" s="35"/>
      <c r="R8" s="40"/>
    </row>
    <row r="9" spans="1:18" ht="20.25" x14ac:dyDescent="0.3">
      <c r="A9" s="3" t="s">
        <v>48</v>
      </c>
      <c r="B9" s="18">
        <f>25+3+0.4+0.042</f>
        <v>28.442</v>
      </c>
      <c r="C9" s="9">
        <v>5</v>
      </c>
      <c r="D9" s="10">
        <v>0.13100000000000001</v>
      </c>
      <c r="E9" s="10">
        <v>0.13100000000000001</v>
      </c>
      <c r="F9" s="10">
        <f t="shared" si="3"/>
        <v>0.13100000000000001</v>
      </c>
      <c r="G9" s="8">
        <f t="shared" si="0"/>
        <v>6.0425640000000005</v>
      </c>
      <c r="H9" s="8">
        <f t="shared" si="4"/>
        <v>9.5158488188976389E-2</v>
      </c>
      <c r="I9" s="8">
        <f t="shared" si="5"/>
        <v>2.7064977210708663</v>
      </c>
      <c r="J9" s="8">
        <f t="shared" si="1"/>
        <v>1.9173262404865872</v>
      </c>
      <c r="K9" s="8">
        <f t="shared" si="2"/>
        <v>34.635156406021856</v>
      </c>
      <c r="L9" s="8">
        <f t="shared" si="6"/>
        <v>69.575776891281919</v>
      </c>
      <c r="M9" s="3">
        <v>1.4116</v>
      </c>
      <c r="N9" s="8">
        <v>7.8143077783252052E-2</v>
      </c>
      <c r="O9" s="3">
        <v>3.8899999999999997E-2</v>
      </c>
      <c r="P9" s="36"/>
      <c r="Q9" s="36"/>
      <c r="R9" s="40"/>
    </row>
    <row r="10" spans="1:18" ht="20.25" x14ac:dyDescent="0.3">
      <c r="A10" s="3" t="s">
        <v>49</v>
      </c>
      <c r="B10" s="18">
        <f>25+1+0.2+0.05+0.0857</f>
        <v>26.335699999999999</v>
      </c>
      <c r="C10" s="9">
        <v>5</v>
      </c>
      <c r="D10" s="10">
        <v>9.5000000000000001E-2</v>
      </c>
      <c r="E10" s="10">
        <v>9.6000000000000002E-2</v>
      </c>
      <c r="F10" s="10">
        <f t="shared" si="3"/>
        <v>9.5500000000000002E-2</v>
      </c>
      <c r="G10" s="8">
        <f t="shared" si="0"/>
        <v>5.0967019999999996</v>
      </c>
      <c r="H10" s="8">
        <f t="shared" si="4"/>
        <v>8.0263023622047236E-2</v>
      </c>
      <c r="I10" s="8">
        <f t="shared" si="5"/>
        <v>2.1137829112031494</v>
      </c>
      <c r="J10" s="8">
        <f t="shared" si="1"/>
        <v>1.6185167773377866</v>
      </c>
      <c r="K10" s="8">
        <f t="shared" si="2"/>
        <v>29.237372620862978</v>
      </c>
      <c r="L10" s="8">
        <f t="shared" si="6"/>
        <v>57.284089734502693</v>
      </c>
      <c r="M10" s="3">
        <v>1.306</v>
      </c>
      <c r="N10" s="8">
        <v>7.2297293556905062E-2</v>
      </c>
      <c r="O10" s="3">
        <v>3.6900000000000002E-2</v>
      </c>
      <c r="P10" s="34">
        <f>AVERAGE(J10:J12)</f>
        <v>1.7987393042692246</v>
      </c>
      <c r="Q10" s="34">
        <f t="shared" ref="Q10" si="8">AVERAGE(K10:K12)</f>
        <v>32.492966414110555</v>
      </c>
      <c r="R10" s="40"/>
    </row>
    <row r="11" spans="1:18" ht="20.25" x14ac:dyDescent="0.3">
      <c r="A11" s="3" t="s">
        <v>50</v>
      </c>
      <c r="B11" s="18">
        <f>25+1.5+0.3+0.1+0.05</f>
        <v>26.950000000000003</v>
      </c>
      <c r="C11" s="9">
        <v>5</v>
      </c>
      <c r="D11" s="10">
        <v>0.13800000000000001</v>
      </c>
      <c r="E11" s="10">
        <v>0.13500000000000001</v>
      </c>
      <c r="F11" s="10">
        <f t="shared" si="3"/>
        <v>0.13650000000000001</v>
      </c>
      <c r="G11" s="8">
        <f t="shared" si="0"/>
        <v>6.1891060000000007</v>
      </c>
      <c r="H11" s="8">
        <f t="shared" si="4"/>
        <v>9.7466236220472457E-2</v>
      </c>
      <c r="I11" s="8">
        <f t="shared" si="5"/>
        <v>2.6267150661417329</v>
      </c>
      <c r="J11" s="8">
        <f t="shared" si="1"/>
        <v>1.8458995545620047</v>
      </c>
      <c r="K11" s="8">
        <f t="shared" si="2"/>
        <v>33.344883323474427</v>
      </c>
      <c r="L11" s="8">
        <f t="shared" si="6"/>
        <v>64.06622112540812</v>
      </c>
      <c r="M11" s="3">
        <v>1.423</v>
      </c>
      <c r="N11" s="8">
        <v>7.8774156762232692E-2</v>
      </c>
      <c r="O11" s="3">
        <v>4.1000000000000002E-2</v>
      </c>
      <c r="P11" s="35"/>
      <c r="Q11" s="35"/>
      <c r="R11" s="40"/>
    </row>
    <row r="12" spans="1:18" ht="20.25" x14ac:dyDescent="0.3">
      <c r="A12" s="3" t="s">
        <v>51</v>
      </c>
      <c r="B12" s="18">
        <f>25+1.5+0.3+0.1+0.05</f>
        <v>26.950000000000003</v>
      </c>
      <c r="C12" s="9">
        <v>5</v>
      </c>
      <c r="D12" s="10">
        <v>0.151</v>
      </c>
      <c r="E12" s="10">
        <v>0.151</v>
      </c>
      <c r="F12" s="10">
        <f t="shared" si="3"/>
        <v>0.151</v>
      </c>
      <c r="G12" s="8">
        <f t="shared" si="0"/>
        <v>6.5754439999999992</v>
      </c>
      <c r="H12" s="8">
        <f>G12/63.5</f>
        <v>0.10355029921259841</v>
      </c>
      <c r="I12" s="8">
        <f>H12*B12</f>
        <v>2.7906805637795276</v>
      </c>
      <c r="J12" s="8">
        <f t="shared" si="1"/>
        <v>1.9318015809078828</v>
      </c>
      <c r="K12" s="8">
        <f t="shared" si="2"/>
        <v>34.89664329799426</v>
      </c>
      <c r="L12" s="8">
        <f t="shared" si="6"/>
        <v>69.593031515698954</v>
      </c>
      <c r="M12" s="3">
        <v>1.4446000000000001</v>
      </c>
      <c r="N12" s="8">
        <v>7.9969885353985498E-2</v>
      </c>
      <c r="O12" s="3">
        <v>4.0099999999999997E-2</v>
      </c>
      <c r="P12" s="36"/>
      <c r="Q12" s="36"/>
      <c r="R12" s="40"/>
    </row>
    <row r="13" spans="1:18" ht="20.25" x14ac:dyDescent="0.3">
      <c r="A13" s="7" t="s">
        <v>109</v>
      </c>
      <c r="B13" s="18">
        <f>25+1+0.05+0.1+0.057</f>
        <v>26.207000000000001</v>
      </c>
      <c r="C13" s="9">
        <v>5</v>
      </c>
      <c r="D13" s="10">
        <v>0.14599999999999999</v>
      </c>
      <c r="E13" s="10">
        <v>0.14899999999999999</v>
      </c>
      <c r="F13" s="10">
        <f t="shared" si="3"/>
        <v>0.14749999999999999</v>
      </c>
      <c r="G13" s="8">
        <f t="shared" si="0"/>
        <v>6.4821900000000001</v>
      </c>
      <c r="H13" s="8">
        <f t="shared" ref="H13:H18" si="9">G13/63.5</f>
        <v>0.10208173228346457</v>
      </c>
      <c r="I13" s="8">
        <f t="shared" ref="I13:I18" si="10">H13*B13</f>
        <v>2.6752559579527562</v>
      </c>
      <c r="J13" s="8">
        <f t="shared" ref="J13:J18" si="11">I13/M13</f>
        <v>1.9322903271598093</v>
      </c>
      <c r="K13" s="8">
        <f t="shared" ref="K13:K18" si="12">I13/N13</f>
        <v>34.905472156912943</v>
      </c>
      <c r="L13" s="8">
        <f t="shared" si="6"/>
        <v>73.698511238367942</v>
      </c>
      <c r="M13" s="3">
        <v>1.3845000000000001</v>
      </c>
      <c r="N13" s="8">
        <v>7.6642881263043694E-2</v>
      </c>
      <c r="O13" s="3">
        <v>3.6299999999999999E-2</v>
      </c>
      <c r="P13" s="34">
        <f t="shared" ref="P13:Q16" si="13">AVERAGE(J13:J15)</f>
        <v>1.5990298516888346</v>
      </c>
      <c r="Q13" s="34">
        <f t="shared" si="13"/>
        <v>28.885354949862613</v>
      </c>
      <c r="R13" s="40"/>
    </row>
    <row r="14" spans="1:18" ht="20.25" x14ac:dyDescent="0.3">
      <c r="A14" s="7" t="s">
        <v>110</v>
      </c>
      <c r="B14" s="18">
        <f>25+1.5+0.3+0.1+0.1+0.1+0.0167</f>
        <v>27.116700000000005</v>
      </c>
      <c r="C14" s="9">
        <v>5</v>
      </c>
      <c r="D14" s="10">
        <v>0.15</v>
      </c>
      <c r="E14" s="10">
        <v>0.151</v>
      </c>
      <c r="F14" s="10">
        <f t="shared" si="3"/>
        <v>0.15049999999999999</v>
      </c>
      <c r="G14" s="8">
        <f t="shared" si="0"/>
        <v>6.5621219999999996</v>
      </c>
      <c r="H14" s="8">
        <f t="shared" si="9"/>
        <v>0.10334050393700786</v>
      </c>
      <c r="I14" s="8">
        <f t="shared" si="10"/>
        <v>2.8022534431086616</v>
      </c>
      <c r="J14" s="8">
        <f t="shared" si="11"/>
        <v>1.9871319267541212</v>
      </c>
      <c r="K14" s="8">
        <f t="shared" si="12"/>
        <v>35.896147264464467</v>
      </c>
      <c r="L14" s="8">
        <f t="shared" si="6"/>
        <v>75.127438153047223</v>
      </c>
      <c r="M14" s="3">
        <v>1.4101999999999999</v>
      </c>
      <c r="N14" s="8">
        <v>7.8065576856008817E-2</v>
      </c>
      <c r="O14" s="3">
        <v>3.73E-2</v>
      </c>
      <c r="P14" s="35"/>
      <c r="Q14" s="35"/>
      <c r="R14" s="40"/>
    </row>
    <row r="15" spans="1:18" ht="20.25" x14ac:dyDescent="0.3">
      <c r="A15" s="7" t="s">
        <v>111</v>
      </c>
      <c r="B15" s="18">
        <f>25+1.9+0.04+0.02+0.1+0.05</f>
        <v>27.11</v>
      </c>
      <c r="C15" s="9">
        <v>5</v>
      </c>
      <c r="D15" s="10">
        <v>0.14099999999999999</v>
      </c>
      <c r="E15" s="10">
        <v>0.14199999999999999</v>
      </c>
      <c r="F15" s="10">
        <f t="shared" si="3"/>
        <v>0.14149999999999999</v>
      </c>
      <c r="G15" s="8">
        <f>(F15*96.856+0.5506)/C15</f>
        <v>2.8511447999999993</v>
      </c>
      <c r="H15" s="8">
        <f t="shared" si="9"/>
        <v>4.4899918110236206E-2</v>
      </c>
      <c r="I15" s="8">
        <f t="shared" si="10"/>
        <v>1.2172367799685035</v>
      </c>
      <c r="J15" s="8">
        <f t="shared" si="11"/>
        <v>0.87766730115257308</v>
      </c>
      <c r="K15" s="8">
        <f t="shared" si="12"/>
        <v>15.854445428210424</v>
      </c>
      <c r="L15" s="8">
        <f t="shared" si="6"/>
        <v>32.032546841276407</v>
      </c>
      <c r="M15" s="3">
        <v>1.3869</v>
      </c>
      <c r="N15" s="8">
        <v>7.6775739995460668E-2</v>
      </c>
      <c r="O15" s="3">
        <v>3.7999999999999999E-2</v>
      </c>
      <c r="P15" s="36"/>
      <c r="Q15" s="36"/>
      <c r="R15" s="40"/>
    </row>
    <row r="16" spans="1:18" ht="20.25" x14ac:dyDescent="0.3">
      <c r="A16" s="7" t="s">
        <v>112</v>
      </c>
      <c r="B16" s="18">
        <f>25+0.7+0.3+0.02+0.2</f>
        <v>26.22</v>
      </c>
      <c r="C16" s="9">
        <v>5</v>
      </c>
      <c r="D16" s="10">
        <v>0.13100000000000001</v>
      </c>
      <c r="E16" s="10">
        <v>0.13100000000000001</v>
      </c>
      <c r="F16" s="10">
        <f t="shared" si="3"/>
        <v>0.13100000000000001</v>
      </c>
      <c r="G16" s="8">
        <f>(F16*96.856+0.5506)/C16</f>
        <v>2.6477472</v>
      </c>
      <c r="H16" s="8">
        <f t="shared" si="9"/>
        <v>4.1696806299212595E-2</v>
      </c>
      <c r="I16" s="8">
        <f t="shared" si="10"/>
        <v>1.0932902611653541</v>
      </c>
      <c r="J16" s="8">
        <f t="shared" si="11"/>
        <v>0.74474813430882436</v>
      </c>
      <c r="K16" s="8">
        <f t="shared" si="12"/>
        <v>13.453353722594896</v>
      </c>
      <c r="L16" s="8">
        <f t="shared" si="6"/>
        <v>27.961387753589616</v>
      </c>
      <c r="M16" s="3">
        <v>1.468</v>
      </c>
      <c r="N16" s="8">
        <v>8.1265257995051007E-2</v>
      </c>
      <c r="O16" s="3">
        <v>3.9100000000000003E-2</v>
      </c>
      <c r="P16" s="34">
        <f t="shared" ref="P16" si="14">AVERAGE(J16:J18)</f>
        <v>1.1125588550097198</v>
      </c>
      <c r="Q16" s="34">
        <f t="shared" si="13"/>
        <v>20.097596924552082</v>
      </c>
      <c r="R16" s="40"/>
    </row>
    <row r="17" spans="1:18" ht="20.25" x14ac:dyDescent="0.3">
      <c r="A17" s="7" t="s">
        <v>113</v>
      </c>
      <c r="B17" s="18">
        <f>25+2+1+0.033+0.05714</f>
        <v>28.090140000000002</v>
      </c>
      <c r="C17" s="9">
        <v>5</v>
      </c>
      <c r="D17" s="10">
        <v>0.12</v>
      </c>
      <c r="E17" s="10">
        <v>0.121</v>
      </c>
      <c r="F17" s="10">
        <f t="shared" si="3"/>
        <v>0.1205</v>
      </c>
      <c r="G17" s="8">
        <f t="shared" si="0"/>
        <v>5.7628019999999998</v>
      </c>
      <c r="H17" s="8">
        <f t="shared" si="9"/>
        <v>9.0752787401574803E-2</v>
      </c>
      <c r="I17" s="8">
        <f t="shared" si="10"/>
        <v>2.5492585035004725</v>
      </c>
      <c r="J17" s="8">
        <f t="shared" si="11"/>
        <v>1.8060634102022477</v>
      </c>
      <c r="K17" s="8">
        <f t="shared" si="12"/>
        <v>32.625271260916463</v>
      </c>
      <c r="L17" s="8">
        <f t="shared" si="6"/>
        <v>64.375214734860407</v>
      </c>
      <c r="M17" s="3">
        <v>1.4115</v>
      </c>
      <c r="N17" s="8">
        <v>7.8137542002734678E-2</v>
      </c>
      <c r="O17" s="3">
        <v>3.9600000000000003E-2</v>
      </c>
      <c r="P17" s="35"/>
      <c r="Q17" s="35"/>
      <c r="R17" s="40"/>
    </row>
    <row r="18" spans="1:18" ht="20.25" x14ac:dyDescent="0.3">
      <c r="A18" s="7" t="s">
        <v>114</v>
      </c>
      <c r="B18" s="18">
        <f>25+2.2+0.06+0.04+0.02+0.1+0.1+0.029+0.02+0.2</f>
        <v>27.768999999999998</v>
      </c>
      <c r="C18" s="9">
        <v>5</v>
      </c>
      <c r="D18" s="10">
        <v>0.123</v>
      </c>
      <c r="E18" s="10">
        <v>0.122</v>
      </c>
      <c r="F18" s="10">
        <f t="shared" si="3"/>
        <v>0.1225</v>
      </c>
      <c r="G18" s="8">
        <f>(F18*96.856+0.5506)/C18</f>
        <v>2.4830919999999996</v>
      </c>
      <c r="H18" s="8">
        <f t="shared" si="9"/>
        <v>3.9103811023622044E-2</v>
      </c>
      <c r="I18" s="8">
        <f t="shared" si="10"/>
        <v>1.0858737283149604</v>
      </c>
      <c r="J18" s="8">
        <f t="shared" si="11"/>
        <v>0.78686502051808738</v>
      </c>
      <c r="K18" s="8">
        <f t="shared" si="12"/>
        <v>14.214165790144882</v>
      </c>
      <c r="L18" s="8">
        <f t="shared" si="6"/>
        <v>28.131443738729544</v>
      </c>
      <c r="M18" s="3">
        <v>1.38</v>
      </c>
      <c r="N18" s="8">
        <v>7.6393771139761854E-2</v>
      </c>
      <c r="O18" s="3">
        <v>3.8600000000000002E-2</v>
      </c>
      <c r="P18" s="36"/>
      <c r="Q18" s="36"/>
      <c r="R18" s="40"/>
    </row>
    <row r="19" spans="1:18" x14ac:dyDescent="0.25">
      <c r="B19" s="19"/>
    </row>
    <row r="20" spans="1:18" x14ac:dyDescent="0.25">
      <c r="B20" s="19"/>
    </row>
    <row r="21" spans="1:18" ht="20.25" x14ac:dyDescent="0.3">
      <c r="A21" s="14" t="s">
        <v>122</v>
      </c>
      <c r="B21" s="19" t="s">
        <v>129</v>
      </c>
    </row>
    <row r="22" spans="1:18" x14ac:dyDescent="0.25">
      <c r="B22" s="19"/>
    </row>
    <row r="23" spans="1:18" x14ac:dyDescent="0.25">
      <c r="A23">
        <v>1.5</v>
      </c>
      <c r="B23" s="19">
        <f>A23*10.166</f>
        <v>15.249000000000001</v>
      </c>
      <c r="C23">
        <v>0.02</v>
      </c>
    </row>
    <row r="24" spans="1:18" x14ac:dyDescent="0.25">
      <c r="A24">
        <v>2</v>
      </c>
      <c r="B24" s="19">
        <f t="shared" ref="B24:B27" si="15">A24*10.166</f>
        <v>20.332000000000001</v>
      </c>
      <c r="C24">
        <v>5.5E-2</v>
      </c>
    </row>
    <row r="25" spans="1:18" x14ac:dyDescent="0.25">
      <c r="A25">
        <v>2.5</v>
      </c>
      <c r="B25" s="19">
        <f t="shared" si="15"/>
        <v>25.414999999999999</v>
      </c>
      <c r="C25">
        <v>9.5000000000000001E-2</v>
      </c>
    </row>
    <row r="26" spans="1:18" x14ac:dyDescent="0.25">
      <c r="A26">
        <v>3</v>
      </c>
      <c r="B26" s="19">
        <f t="shared" si="15"/>
        <v>30.498000000000001</v>
      </c>
      <c r="C26">
        <v>0.13200000000000001</v>
      </c>
    </row>
    <row r="27" spans="1:18" x14ac:dyDescent="0.25">
      <c r="A27">
        <v>3.5</v>
      </c>
      <c r="B27" s="19">
        <f t="shared" si="15"/>
        <v>35.581000000000003</v>
      </c>
      <c r="C27">
        <v>0.17199999999999999</v>
      </c>
    </row>
    <row r="28" spans="1:18" x14ac:dyDescent="0.25">
      <c r="B28" s="19"/>
    </row>
    <row r="29" spans="1:18" x14ac:dyDescent="0.25">
      <c r="A29">
        <v>1</v>
      </c>
      <c r="B29" s="19">
        <f>A29*10</f>
        <v>10</v>
      </c>
      <c r="C29">
        <v>0.10100000000000001</v>
      </c>
    </row>
    <row r="30" spans="1:18" x14ac:dyDescent="0.25">
      <c r="A30">
        <v>1.1000000000000001</v>
      </c>
      <c r="B30" s="19">
        <f t="shared" ref="B30:B33" si="16">A30*10</f>
        <v>11</v>
      </c>
      <c r="C30">
        <v>0.106</v>
      </c>
    </row>
    <row r="31" spans="1:18" x14ac:dyDescent="0.25">
      <c r="A31">
        <v>1.3</v>
      </c>
      <c r="B31" s="19">
        <f t="shared" si="16"/>
        <v>13</v>
      </c>
      <c r="C31">
        <v>0.126</v>
      </c>
    </row>
    <row r="32" spans="1:18" x14ac:dyDescent="0.25">
      <c r="A32">
        <v>1.5</v>
      </c>
      <c r="B32" s="19">
        <f t="shared" si="16"/>
        <v>15</v>
      </c>
      <c r="C32">
        <v>0.14899999999999999</v>
      </c>
    </row>
    <row r="33" spans="1:3" x14ac:dyDescent="0.25">
      <c r="A33">
        <v>1.7</v>
      </c>
      <c r="B33" s="19">
        <f t="shared" si="16"/>
        <v>17</v>
      </c>
      <c r="C33">
        <v>0.17100000000000001</v>
      </c>
    </row>
    <row r="34" spans="1:3" x14ac:dyDescent="0.25">
      <c r="B34" s="19"/>
    </row>
    <row r="35" spans="1:3" x14ac:dyDescent="0.25">
      <c r="B35" s="19"/>
    </row>
    <row r="36" spans="1:3" x14ac:dyDescent="0.25">
      <c r="B36" s="19"/>
    </row>
    <row r="37" spans="1:3" x14ac:dyDescent="0.25">
      <c r="B37" s="19"/>
    </row>
  </sheetData>
  <mergeCells count="15">
    <mergeCell ref="P13:P15"/>
    <mergeCell ref="P16:P18"/>
    <mergeCell ref="Q13:Q15"/>
    <mergeCell ref="Q16:Q18"/>
    <mergeCell ref="R13:R15"/>
    <mergeCell ref="R16:R18"/>
    <mergeCell ref="P10:P12"/>
    <mergeCell ref="Q10:Q12"/>
    <mergeCell ref="R4:R6"/>
    <mergeCell ref="R7:R9"/>
    <mergeCell ref="R10:R12"/>
    <mergeCell ref="P4:P6"/>
    <mergeCell ref="Q4:Q6"/>
    <mergeCell ref="P7:P9"/>
    <mergeCell ref="Q7:Q9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8035-CB57-49D7-AACF-BD18348BA3A7}">
  <dimension ref="A2:O29"/>
  <sheetViews>
    <sheetView zoomScale="111" workbookViewId="0">
      <selection activeCell="J12" sqref="J12:K14"/>
    </sheetView>
  </sheetViews>
  <sheetFormatPr defaultRowHeight="15" x14ac:dyDescent="0.25"/>
  <cols>
    <col min="1" max="1" width="21.28515625" customWidth="1"/>
    <col min="2" max="2" width="12.42578125" style="19" customWidth="1"/>
    <col min="3" max="3" width="11.5703125" bestFit="1" customWidth="1"/>
    <col min="4" max="5" width="10" bestFit="1" customWidth="1"/>
    <col min="6" max="6" width="11.42578125" customWidth="1"/>
    <col min="7" max="9" width="12.28515625" bestFit="1" customWidth="1"/>
    <col min="10" max="10" width="19.7109375" customWidth="1"/>
    <col min="11" max="11" width="17.5703125" customWidth="1"/>
    <col min="12" max="12" width="18.28515625" customWidth="1"/>
    <col min="13" max="13" width="17.28515625" customWidth="1"/>
    <col min="14" max="14" width="30.5703125" customWidth="1"/>
    <col min="15" max="15" width="31.85546875" customWidth="1"/>
  </cols>
  <sheetData>
    <row r="2" spans="1:15" ht="81" x14ac:dyDescent="0.3">
      <c r="A2" s="8" t="s">
        <v>0</v>
      </c>
      <c r="B2" s="18" t="s">
        <v>54</v>
      </c>
      <c r="C2" s="8" t="s">
        <v>55</v>
      </c>
      <c r="D2" s="8" t="s">
        <v>56</v>
      </c>
      <c r="E2" s="8" t="s">
        <v>57</v>
      </c>
      <c r="F2" s="8" t="s">
        <v>58</v>
      </c>
      <c r="G2" s="8" t="s">
        <v>59</v>
      </c>
      <c r="H2" s="8" t="s">
        <v>60</v>
      </c>
      <c r="I2" s="8" t="s">
        <v>61</v>
      </c>
      <c r="J2" s="8" t="s">
        <v>120</v>
      </c>
      <c r="K2" s="8" t="s">
        <v>121</v>
      </c>
      <c r="L2" s="8" t="s">
        <v>4</v>
      </c>
      <c r="M2" s="8" t="s">
        <v>3</v>
      </c>
      <c r="N2" s="8" t="s">
        <v>66</v>
      </c>
      <c r="O2" s="8" t="s">
        <v>67</v>
      </c>
    </row>
    <row r="3" spans="1:15" ht="20.25" x14ac:dyDescent="0.3">
      <c r="A3" s="8" t="s">
        <v>5</v>
      </c>
      <c r="B3" s="18">
        <f>25+3.5+0.034+0.057</f>
        <v>28.590999999999998</v>
      </c>
      <c r="C3" s="9">
        <v>10</v>
      </c>
      <c r="D3" s="8">
        <v>5.0999999999999997E-2</v>
      </c>
      <c r="E3" s="8">
        <v>5.0999999999999997E-2</v>
      </c>
      <c r="F3" s="10">
        <f t="shared" ref="F3:F5" si="0">AVERAGE(D3:E3)</f>
        <v>5.0999999999999997E-2</v>
      </c>
      <c r="G3" s="8">
        <f>(F3*53.34+0.0263)/C3</f>
        <v>0.27466400000000002</v>
      </c>
      <c r="H3" s="8">
        <f t="shared" ref="H3:H5" si="1">G3/63.5</f>
        <v>4.325417322834646E-3</v>
      </c>
      <c r="I3" s="8">
        <f t="shared" ref="I3:I5" si="2">H3*B3</f>
        <v>0.12366800667716535</v>
      </c>
      <c r="J3" s="8">
        <f>I3/L3</f>
        <v>8.4334428994248062E-2</v>
      </c>
      <c r="K3" s="8">
        <f>I3/M3</f>
        <v>1.5713850911965099</v>
      </c>
      <c r="L3" s="8">
        <v>1.4663999999999999</v>
      </c>
      <c r="M3" s="8">
        <v>7.8700000000000006E-2</v>
      </c>
      <c r="N3" s="34">
        <f>AVERAGE(J3:J5)</f>
        <v>7.5994694105232061E-2</v>
      </c>
      <c r="O3" s="34">
        <f>AVERAGE(K3:K5)</f>
        <v>1.3752389810621304</v>
      </c>
    </row>
    <row r="4" spans="1:15" ht="20.25" x14ac:dyDescent="0.3">
      <c r="A4" s="8" t="s">
        <v>6</v>
      </c>
      <c r="B4" s="18">
        <f>25+3.5+1.3</f>
        <v>29.8</v>
      </c>
      <c r="C4" s="9">
        <v>10</v>
      </c>
      <c r="D4" s="8">
        <v>0.04</v>
      </c>
      <c r="E4" s="8">
        <v>4.3999999999999997E-2</v>
      </c>
      <c r="F4" s="10">
        <f t="shared" si="0"/>
        <v>4.1999999999999996E-2</v>
      </c>
      <c r="G4" s="8">
        <f t="shared" ref="G4:G14" si="3">(F4*53.34+0.0263)/C4</f>
        <v>0.22665799999999997</v>
      </c>
      <c r="H4" s="8">
        <f t="shared" si="1"/>
        <v>3.5694173228346454E-3</v>
      </c>
      <c r="I4" s="8">
        <f t="shared" si="2"/>
        <v>0.10636863622047243</v>
      </c>
      <c r="J4" s="8">
        <f t="shared" ref="J4:J14" si="4">I4/L4</f>
        <v>6.8758006606640235E-2</v>
      </c>
      <c r="K4" s="8">
        <f t="shared" ref="K4:K14" si="5">I4/M4</f>
        <v>1.2198238098678031</v>
      </c>
      <c r="L4" s="8">
        <v>1.5469999999999999</v>
      </c>
      <c r="M4" s="8">
        <v>8.72E-2</v>
      </c>
      <c r="N4" s="35"/>
      <c r="O4" s="35"/>
    </row>
    <row r="5" spans="1:15" ht="20.25" x14ac:dyDescent="0.3">
      <c r="A5" s="8" t="s">
        <v>7</v>
      </c>
      <c r="B5" s="18">
        <f>25+4+0.1+0.0142</f>
        <v>29.1142</v>
      </c>
      <c r="C5" s="9">
        <v>10</v>
      </c>
      <c r="D5" s="8">
        <v>4.9000000000000002E-2</v>
      </c>
      <c r="E5" s="8">
        <v>4.9000000000000002E-2</v>
      </c>
      <c r="F5" s="10">
        <f t="shared" si="0"/>
        <v>4.9000000000000002E-2</v>
      </c>
      <c r="G5" s="8">
        <f t="shared" si="3"/>
        <v>0.26399600000000001</v>
      </c>
      <c r="H5" s="8">
        <f t="shared" si="1"/>
        <v>4.1574173228346462E-3</v>
      </c>
      <c r="I5" s="8">
        <f t="shared" si="2"/>
        <v>0.12103987942047245</v>
      </c>
      <c r="J5" s="8">
        <f t="shared" si="4"/>
        <v>7.4891646714807844E-2</v>
      </c>
      <c r="K5" s="8">
        <f t="shared" si="5"/>
        <v>1.3345080421220776</v>
      </c>
      <c r="L5" s="8">
        <v>1.6162000000000001</v>
      </c>
      <c r="M5" s="8">
        <v>9.0700000000000003E-2</v>
      </c>
      <c r="N5" s="36"/>
      <c r="O5" s="36"/>
    </row>
    <row r="6" spans="1:15" ht="23.25" x14ac:dyDescent="0.4">
      <c r="A6" s="3" t="s">
        <v>68</v>
      </c>
      <c r="B6" s="18">
        <f>25+3.5+0.2+0.429+0.02+0.057</f>
        <v>29.205999999999996</v>
      </c>
      <c r="C6" s="9">
        <v>3</v>
      </c>
      <c r="D6" s="10">
        <v>0.104</v>
      </c>
      <c r="E6" s="10">
        <v>0.105</v>
      </c>
      <c r="F6" s="10">
        <f>AVERAGE(D6:E6)</f>
        <v>0.1045</v>
      </c>
      <c r="G6" s="8">
        <f t="shared" si="3"/>
        <v>1.8667766666666668</v>
      </c>
      <c r="H6" s="8">
        <f>G6/63.5</f>
        <v>2.9398057742782154E-2</v>
      </c>
      <c r="I6" s="8">
        <f>H6*B6</f>
        <v>0.8585996744356954</v>
      </c>
      <c r="J6" s="8">
        <f t="shared" si="4"/>
        <v>0.6554195988058743</v>
      </c>
      <c r="K6" s="8">
        <f t="shared" si="5"/>
        <v>10.772894284011235</v>
      </c>
      <c r="L6" s="3">
        <f>1.3065+0.0035</f>
        <v>1.31</v>
      </c>
      <c r="M6" s="3">
        <v>7.9699999999999993E-2</v>
      </c>
      <c r="N6" s="34">
        <f>AVERAGE(J6:J8)</f>
        <v>0.65148330377203412</v>
      </c>
      <c r="O6" s="34">
        <f>AVERAGE(K6:K8)</f>
        <v>10.734937819220688</v>
      </c>
    </row>
    <row r="7" spans="1:15" ht="23.25" x14ac:dyDescent="0.4">
      <c r="A7" s="3" t="s">
        <v>69</v>
      </c>
      <c r="B7" s="18">
        <f>25+2+0.1+0.0419+0.02</f>
        <v>27.161899999999999</v>
      </c>
      <c r="C7" s="9">
        <v>3</v>
      </c>
      <c r="D7" s="10">
        <v>0.108</v>
      </c>
      <c r="E7" s="10">
        <v>0.109</v>
      </c>
      <c r="F7" s="10">
        <f t="shared" ref="F7:F14" si="6">AVERAGE(D7:E7)</f>
        <v>0.1085</v>
      </c>
      <c r="G7" s="8">
        <f t="shared" si="3"/>
        <v>1.9378966666666668</v>
      </c>
      <c r="H7" s="8">
        <f t="shared" ref="H7:H13" si="7">G7/63.5</f>
        <v>3.0518057742782153E-2</v>
      </c>
      <c r="I7" s="8">
        <f t="shared" ref="I7:I13" si="8">H7*B7</f>
        <v>0.82892843260367455</v>
      </c>
      <c r="J7" s="8">
        <f t="shared" si="4"/>
        <v>0.69939962251406895</v>
      </c>
      <c r="K7" s="8">
        <f>I7/M7</f>
        <v>11.465123549151791</v>
      </c>
      <c r="L7" s="3">
        <f>1.0647+0.1205</f>
        <v>1.1852</v>
      </c>
      <c r="M7" s="3">
        <v>7.2300000000000003E-2</v>
      </c>
      <c r="N7" s="35"/>
      <c r="O7" s="35"/>
    </row>
    <row r="8" spans="1:15" ht="23.25" x14ac:dyDescent="0.4">
      <c r="A8" s="3" t="s">
        <v>70</v>
      </c>
      <c r="B8" s="18">
        <f>25+2+0.2+0.07</f>
        <v>27.27</v>
      </c>
      <c r="C8" s="9">
        <v>3</v>
      </c>
      <c r="D8" s="10">
        <v>0.109</v>
      </c>
      <c r="E8" s="10">
        <v>0.108</v>
      </c>
      <c r="F8" s="10">
        <f t="shared" si="6"/>
        <v>0.1085</v>
      </c>
      <c r="G8" s="8">
        <f t="shared" si="3"/>
        <v>1.9378966666666668</v>
      </c>
      <c r="H8" s="8">
        <f t="shared" si="7"/>
        <v>3.0518057742782153E-2</v>
      </c>
      <c r="I8" s="8">
        <f t="shared" si="8"/>
        <v>0.83222743464566928</v>
      </c>
      <c r="J8" s="8">
        <f t="shared" si="4"/>
        <v>0.59963068999615921</v>
      </c>
      <c r="K8" s="8">
        <f t="shared" si="5"/>
        <v>9.9667956244990332</v>
      </c>
      <c r="L8" s="3">
        <v>1.3878999999999999</v>
      </c>
      <c r="M8" s="3">
        <v>8.3500000000000005E-2</v>
      </c>
      <c r="N8" s="36"/>
      <c r="O8" s="36"/>
    </row>
    <row r="9" spans="1:15" ht="20.25" x14ac:dyDescent="0.3">
      <c r="A9" s="3" t="s">
        <v>46</v>
      </c>
      <c r="B9" s="18">
        <f>25+1.2+0.04+0.1+0.029</f>
        <v>26.369</v>
      </c>
      <c r="C9" s="9">
        <v>5</v>
      </c>
      <c r="D9" s="10">
        <v>9.1999999999999998E-2</v>
      </c>
      <c r="E9" s="10">
        <v>0.09</v>
      </c>
      <c r="F9" s="10">
        <f t="shared" si="6"/>
        <v>9.0999999999999998E-2</v>
      </c>
      <c r="G9" s="8">
        <f>(F9*34.113+0.314)/C9</f>
        <v>0.68365659999999995</v>
      </c>
      <c r="H9" s="8">
        <f t="shared" si="7"/>
        <v>1.0766245669291338E-2</v>
      </c>
      <c r="I9" s="8">
        <f t="shared" si="8"/>
        <v>0.28389513205354328</v>
      </c>
      <c r="J9" s="8">
        <f t="shared" si="4"/>
        <v>0.18363203884446525</v>
      </c>
      <c r="K9" s="8">
        <f t="shared" si="5"/>
        <v>3.0791229073052415</v>
      </c>
      <c r="L9" s="3">
        <v>1.546</v>
      </c>
      <c r="M9" s="3">
        <v>9.2200000000000004E-2</v>
      </c>
      <c r="N9" s="34">
        <f>AVERAGE(J9:J11)</f>
        <v>0.32440435951072305</v>
      </c>
      <c r="O9" s="34">
        <f t="shared" ref="O9" si="9">AVERAGE(K9:K11)</f>
        <v>5.4553017486370026</v>
      </c>
    </row>
    <row r="10" spans="1:15" ht="20.25" x14ac:dyDescent="0.3">
      <c r="A10" s="3" t="s">
        <v>47</v>
      </c>
      <c r="B10" s="18">
        <f>25+2+0.2+0.1+0.02</f>
        <v>27.32</v>
      </c>
      <c r="C10" s="9">
        <v>5</v>
      </c>
      <c r="D10" s="10">
        <v>0.124</v>
      </c>
      <c r="E10" s="10">
        <v>0.125</v>
      </c>
      <c r="F10" s="10">
        <f t="shared" si="6"/>
        <v>0.1245</v>
      </c>
      <c r="G10" s="8">
        <f t="shared" si="3"/>
        <v>1.333426</v>
      </c>
      <c r="H10" s="8">
        <f t="shared" si="7"/>
        <v>2.099883464566929E-2</v>
      </c>
      <c r="I10" s="8">
        <f t="shared" si="8"/>
        <v>0.57368816251968502</v>
      </c>
      <c r="J10" s="8">
        <f t="shared" si="4"/>
        <v>0.43933846111172076</v>
      </c>
      <c r="K10" s="8">
        <f t="shared" si="5"/>
        <v>7.3081294588494909</v>
      </c>
      <c r="L10" s="3">
        <v>1.3058000000000001</v>
      </c>
      <c r="M10" s="3">
        <v>7.85E-2</v>
      </c>
      <c r="N10" s="35"/>
      <c r="O10" s="35"/>
    </row>
    <row r="11" spans="1:15" ht="20.25" x14ac:dyDescent="0.3">
      <c r="A11" s="3" t="s">
        <v>48</v>
      </c>
      <c r="B11" s="18">
        <f>25.05+2.5+0.5+0.5+0.02</f>
        <v>28.57</v>
      </c>
      <c r="C11" s="9">
        <v>5</v>
      </c>
      <c r="D11" s="10">
        <v>0.108</v>
      </c>
      <c r="E11" s="10">
        <v>0.108</v>
      </c>
      <c r="F11" s="10">
        <f t="shared" si="6"/>
        <v>0.108</v>
      </c>
      <c r="G11" s="8">
        <f t="shared" si="3"/>
        <v>1.1574040000000001</v>
      </c>
      <c r="H11" s="8">
        <f t="shared" si="7"/>
        <v>1.8226834645669293E-2</v>
      </c>
      <c r="I11" s="8">
        <f t="shared" si="8"/>
        <v>0.5207406658267717</v>
      </c>
      <c r="J11" s="8">
        <f t="shared" si="4"/>
        <v>0.35024257857598312</v>
      </c>
      <c r="K11" s="8">
        <f t="shared" si="5"/>
        <v>5.978652879756277</v>
      </c>
      <c r="L11" s="3">
        <v>1.4867999999999999</v>
      </c>
      <c r="M11" s="3">
        <v>8.7099999999999997E-2</v>
      </c>
      <c r="N11" s="36"/>
      <c r="O11" s="36"/>
    </row>
    <row r="12" spans="1:15" ht="20.25" x14ac:dyDescent="0.3">
      <c r="A12" s="3" t="s">
        <v>49</v>
      </c>
      <c r="B12" s="18">
        <f>25+2+0.1</f>
        <v>27.1</v>
      </c>
      <c r="C12" s="9">
        <v>10</v>
      </c>
      <c r="D12" s="10">
        <v>6.7000000000000004E-2</v>
      </c>
      <c r="E12" s="10">
        <v>6.6000000000000003E-2</v>
      </c>
      <c r="F12" s="10">
        <f t="shared" si="6"/>
        <v>6.6500000000000004E-2</v>
      </c>
      <c r="G12" s="8">
        <f>(F12*34.113+0.314)/C12</f>
        <v>0.25825145000000005</v>
      </c>
      <c r="H12" s="8">
        <f t="shared" si="7"/>
        <v>4.0669519685039377E-3</v>
      </c>
      <c r="I12" s="8">
        <f t="shared" si="8"/>
        <v>0.11021439834645672</v>
      </c>
      <c r="J12" s="8">
        <f t="shared" si="4"/>
        <v>7.161429392232406E-2</v>
      </c>
      <c r="K12" s="8">
        <f t="shared" si="5"/>
        <v>1.1812904431560205</v>
      </c>
      <c r="L12" s="3">
        <v>1.5389999999999999</v>
      </c>
      <c r="M12" s="3">
        <v>9.3299999999999994E-2</v>
      </c>
      <c r="N12" s="34">
        <f>AVERAGE(J12:J14)</f>
        <v>8.2727582332516147E-2</v>
      </c>
      <c r="O12" s="34">
        <f t="shared" ref="O12" si="10">AVERAGE(K12:K14)</f>
        <v>1.4090695660937191</v>
      </c>
    </row>
    <row r="13" spans="1:15" ht="20.25" x14ac:dyDescent="0.3">
      <c r="A13" s="3" t="s">
        <v>50</v>
      </c>
      <c r="B13" s="18">
        <f>25+1.5+0.1+0.02+0.1+0.07</f>
        <v>26.790000000000003</v>
      </c>
      <c r="C13" s="9">
        <v>10</v>
      </c>
      <c r="D13" s="10">
        <v>5.7000000000000002E-2</v>
      </c>
      <c r="E13" s="10">
        <v>5.7000000000000002E-2</v>
      </c>
      <c r="F13" s="10">
        <f t="shared" si="6"/>
        <v>5.7000000000000002E-2</v>
      </c>
      <c r="G13" s="8">
        <f>(F13*34.113+0.314)/C13</f>
        <v>0.22584409999999999</v>
      </c>
      <c r="H13" s="8">
        <f t="shared" si="7"/>
        <v>3.5566E-3</v>
      </c>
      <c r="I13" s="8">
        <f t="shared" si="8"/>
        <v>9.5281314000000006E-2</v>
      </c>
      <c r="J13" s="8">
        <f t="shared" si="4"/>
        <v>6.4812811373375967E-2</v>
      </c>
      <c r="K13" s="8">
        <f t="shared" si="5"/>
        <v>1.1236004009433962</v>
      </c>
      <c r="L13" s="3">
        <v>1.4701</v>
      </c>
      <c r="M13" s="3">
        <v>8.48E-2</v>
      </c>
      <c r="N13" s="35"/>
      <c r="O13" s="35"/>
    </row>
    <row r="14" spans="1:15" ht="20.25" x14ac:dyDescent="0.3">
      <c r="A14" s="3" t="s">
        <v>51</v>
      </c>
      <c r="B14" s="18">
        <f>25.5+1.5+2.5+0.029+0.08</f>
        <v>29.608999999999998</v>
      </c>
      <c r="C14" s="9">
        <v>10</v>
      </c>
      <c r="D14" s="10">
        <v>7.0000000000000007E-2</v>
      </c>
      <c r="E14" s="10">
        <v>7.1999999999999995E-2</v>
      </c>
      <c r="F14" s="10">
        <f t="shared" si="6"/>
        <v>7.1000000000000008E-2</v>
      </c>
      <c r="G14" s="8">
        <f t="shared" si="3"/>
        <v>0.38134400000000007</v>
      </c>
      <c r="H14" s="8">
        <f>G14/63.5</f>
        <v>6.0054173228346469E-3</v>
      </c>
      <c r="I14" s="8">
        <f>H14*B14</f>
        <v>0.17781440151181105</v>
      </c>
      <c r="J14" s="8">
        <f t="shared" si="4"/>
        <v>0.11175564170184844</v>
      </c>
      <c r="K14" s="8">
        <f t="shared" si="5"/>
        <v>1.9223178541817412</v>
      </c>
      <c r="L14" s="3">
        <v>1.5911</v>
      </c>
      <c r="M14" s="3">
        <v>9.2499999999999999E-2</v>
      </c>
      <c r="N14" s="36"/>
      <c r="O14" s="36"/>
    </row>
    <row r="17" spans="1:3" ht="20.25" x14ac:dyDescent="0.3">
      <c r="A17" s="1" t="s">
        <v>122</v>
      </c>
      <c r="B17" s="19" t="s">
        <v>130</v>
      </c>
    </row>
    <row r="19" spans="1:3" x14ac:dyDescent="0.25">
      <c r="A19">
        <v>0.1</v>
      </c>
      <c r="B19" s="19">
        <f>A19*10.166</f>
        <v>1.0166000000000002</v>
      </c>
      <c r="C19">
        <v>0.02</v>
      </c>
    </row>
    <row r="20" spans="1:3" x14ac:dyDescent="0.25">
      <c r="A20">
        <v>0.3</v>
      </c>
      <c r="B20" s="19">
        <f t="shared" ref="B20:B29" si="11">A20*10.166</f>
        <v>3.0497999999999998</v>
      </c>
      <c r="C20">
        <v>5.5E-2</v>
      </c>
    </row>
    <row r="21" spans="1:3" x14ac:dyDescent="0.25">
      <c r="A21">
        <v>0.5</v>
      </c>
      <c r="B21" s="19">
        <f t="shared" si="11"/>
        <v>5.0830000000000002</v>
      </c>
      <c r="C21">
        <v>9.5000000000000001E-2</v>
      </c>
    </row>
    <row r="22" spans="1:3" x14ac:dyDescent="0.25">
      <c r="A22">
        <v>0.7</v>
      </c>
      <c r="B22" s="19">
        <f t="shared" si="11"/>
        <v>7.1162000000000001</v>
      </c>
      <c r="C22">
        <v>0.13200000000000001</v>
      </c>
    </row>
    <row r="23" spans="1:3" x14ac:dyDescent="0.25">
      <c r="A23">
        <v>0.9</v>
      </c>
      <c r="B23" s="19">
        <f t="shared" si="11"/>
        <v>9.1494</v>
      </c>
      <c r="C23">
        <v>0.17199999999999999</v>
      </c>
    </row>
    <row r="25" spans="1:3" x14ac:dyDescent="0.25">
      <c r="A25">
        <v>0.1</v>
      </c>
      <c r="B25" s="19">
        <f t="shared" si="11"/>
        <v>1.0166000000000002</v>
      </c>
      <c r="C25">
        <v>2.1000000000000001E-2</v>
      </c>
    </row>
    <row r="26" spans="1:3" x14ac:dyDescent="0.25">
      <c r="A26">
        <v>0.2</v>
      </c>
      <c r="B26" s="19">
        <f t="shared" si="11"/>
        <v>2.0332000000000003</v>
      </c>
      <c r="C26">
        <v>0.05</v>
      </c>
    </row>
    <row r="27" spans="1:3" x14ac:dyDescent="0.25">
      <c r="A27">
        <v>0.3</v>
      </c>
      <c r="B27" s="19">
        <f t="shared" si="11"/>
        <v>3.0497999999999998</v>
      </c>
      <c r="C27">
        <v>0.08</v>
      </c>
    </row>
    <row r="28" spans="1:3" x14ac:dyDescent="0.25">
      <c r="A28">
        <v>0.4</v>
      </c>
      <c r="B28" s="19">
        <f t="shared" si="11"/>
        <v>4.0664000000000007</v>
      </c>
      <c r="C28">
        <v>0.11</v>
      </c>
    </row>
    <row r="29" spans="1:3" x14ac:dyDescent="0.25">
      <c r="A29">
        <v>0.5</v>
      </c>
      <c r="B29" s="19">
        <f t="shared" si="11"/>
        <v>5.0830000000000002</v>
      </c>
      <c r="C29">
        <v>0.14000000000000001</v>
      </c>
    </row>
  </sheetData>
  <mergeCells count="8">
    <mergeCell ref="N12:N14"/>
    <mergeCell ref="O12:O14"/>
    <mergeCell ref="N3:N5"/>
    <mergeCell ref="O3:O5"/>
    <mergeCell ref="N6:N8"/>
    <mergeCell ref="O6:O8"/>
    <mergeCell ref="N9:N11"/>
    <mergeCell ref="O9:O11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2E5F8-5BB1-4624-9931-AE6FC1C3CB81}">
  <dimension ref="A3:O24"/>
  <sheetViews>
    <sheetView topLeftCell="A4" zoomScaleNormal="100" workbookViewId="0">
      <selection activeCell="J13" sqref="J13:K15"/>
    </sheetView>
  </sheetViews>
  <sheetFormatPr defaultRowHeight="20.25" x14ac:dyDescent="0.3"/>
  <cols>
    <col min="1" max="1" width="21.28515625" style="1" customWidth="1"/>
    <col min="2" max="2" width="12.42578125" style="1" customWidth="1"/>
    <col min="3" max="3" width="11.5703125" style="1" bestFit="1" customWidth="1"/>
    <col min="4" max="5" width="10" style="1" bestFit="1" customWidth="1"/>
    <col min="6" max="6" width="11.42578125" style="1" customWidth="1"/>
    <col min="7" max="9" width="12.28515625" style="1" bestFit="1" customWidth="1"/>
    <col min="10" max="10" width="19.7109375" style="1" customWidth="1"/>
    <col min="11" max="11" width="17.5703125" style="1" customWidth="1"/>
    <col min="12" max="12" width="18.28515625" style="1" customWidth="1"/>
    <col min="13" max="13" width="17.28515625" style="1" customWidth="1"/>
    <col min="14" max="14" width="30.5703125" style="1" customWidth="1"/>
    <col min="15" max="15" width="31.85546875" style="1" customWidth="1"/>
    <col min="16" max="16384" width="9.140625" style="1"/>
  </cols>
  <sheetData>
    <row r="3" spans="1:15" ht="81" x14ac:dyDescent="0.3">
      <c r="A3" s="8" t="s">
        <v>0</v>
      </c>
      <c r="B3" s="18" t="s">
        <v>54</v>
      </c>
      <c r="C3" s="8" t="s">
        <v>55</v>
      </c>
      <c r="D3" s="8" t="s">
        <v>56</v>
      </c>
      <c r="E3" s="8" t="s">
        <v>57</v>
      </c>
      <c r="F3" s="8" t="s">
        <v>58</v>
      </c>
      <c r="G3" s="8" t="s">
        <v>59</v>
      </c>
      <c r="H3" s="8" t="s">
        <v>60</v>
      </c>
      <c r="I3" s="8" t="s">
        <v>61</v>
      </c>
      <c r="J3" s="8" t="s">
        <v>131</v>
      </c>
      <c r="K3" s="8" t="s">
        <v>132</v>
      </c>
      <c r="L3" s="8" t="s">
        <v>133</v>
      </c>
      <c r="M3" s="8" t="s">
        <v>134</v>
      </c>
      <c r="N3" s="8" t="s">
        <v>135</v>
      </c>
      <c r="O3" s="8" t="s">
        <v>136</v>
      </c>
    </row>
    <row r="4" spans="1:15" x14ac:dyDescent="0.3">
      <c r="A4" s="8" t="s">
        <v>5</v>
      </c>
      <c r="B4" s="18">
        <f>25+1+0.4+1.2+0.1+0.1+0.04</f>
        <v>27.84</v>
      </c>
      <c r="C4" s="9">
        <v>12</v>
      </c>
      <c r="D4" s="8">
        <v>6.4000000000000001E-2</v>
      </c>
      <c r="E4" s="8">
        <v>6.6000000000000003E-2</v>
      </c>
      <c r="F4" s="10">
        <f t="shared" ref="F4:F6" si="0">AVERAGE(D4:E4)</f>
        <v>6.5000000000000002E-2</v>
      </c>
      <c r="G4" s="8">
        <f>(F4*20.953+0.1588)/C4</f>
        <v>0.12672875</v>
      </c>
      <c r="H4" s="8">
        <f t="shared" ref="H4:H6" si="1">G4/63.5</f>
        <v>1.9957283464566928E-3</v>
      </c>
      <c r="I4" s="8">
        <f t="shared" ref="I4:I6" si="2">H4*B4</f>
        <v>5.5561077165354328E-2</v>
      </c>
      <c r="J4" s="8">
        <f>I4/L4</f>
        <v>2.5168090761620916E-2</v>
      </c>
      <c r="K4" s="8">
        <f>I4/M4</f>
        <v>0.24804052305961752</v>
      </c>
      <c r="L4" s="8">
        <v>2.2075999999999998</v>
      </c>
      <c r="M4" s="3">
        <v>0.224</v>
      </c>
      <c r="N4" s="34">
        <f>AVERAGE(J4:J5)</f>
        <v>2.5198599475734908E-2</v>
      </c>
      <c r="O4" s="34">
        <f>AVERAGE(K4:K5)</f>
        <v>0.24439102505117188</v>
      </c>
    </row>
    <row r="5" spans="1:15" x14ac:dyDescent="0.3">
      <c r="A5" s="8" t="s">
        <v>6</v>
      </c>
      <c r="B5" s="18">
        <f>25+2.2+0.1+0.06</f>
        <v>27.36</v>
      </c>
      <c r="C5" s="9">
        <v>12</v>
      </c>
      <c r="D5" s="8">
        <v>7.0000000000000007E-2</v>
      </c>
      <c r="E5" s="8">
        <v>7.0999999999999994E-2</v>
      </c>
      <c r="F5" s="10">
        <f t="shared" si="0"/>
        <v>7.0500000000000007E-2</v>
      </c>
      <c r="G5" s="8">
        <f t="shared" ref="G5:G15" si="3">(F5*20.953+0.1588)/C5</f>
        <v>0.13633220833333334</v>
      </c>
      <c r="H5" s="8">
        <f t="shared" si="1"/>
        <v>2.1469639107611549E-3</v>
      </c>
      <c r="I5" s="8">
        <f t="shared" si="2"/>
        <v>5.8740932598425194E-2</v>
      </c>
      <c r="J5" s="8">
        <f t="shared" ref="J5:J15" si="4">I5/L5</f>
        <v>2.5229108189848901E-2</v>
      </c>
      <c r="K5" s="8">
        <f t="shared" ref="K5:K15" si="5">I5/M5</f>
        <v>0.24074152704272622</v>
      </c>
      <c r="L5" s="8">
        <v>2.3283</v>
      </c>
      <c r="M5" s="3">
        <v>0.24399999999999999</v>
      </c>
      <c r="N5" s="35"/>
      <c r="O5" s="35"/>
    </row>
    <row r="6" spans="1:15" x14ac:dyDescent="0.3">
      <c r="A6" s="22" t="s">
        <v>7</v>
      </c>
      <c r="B6" s="23">
        <f>25.05+8+0.2+0.08</f>
        <v>33.33</v>
      </c>
      <c r="C6" s="24">
        <v>12</v>
      </c>
      <c r="D6" s="22">
        <v>0.26400000000000001</v>
      </c>
      <c r="E6" s="22">
        <v>0.26400000000000001</v>
      </c>
      <c r="F6" s="25">
        <f t="shared" si="0"/>
        <v>0.26400000000000001</v>
      </c>
      <c r="G6" s="8">
        <f t="shared" si="3"/>
        <v>0.47419933333333336</v>
      </c>
      <c r="H6" s="22">
        <f t="shared" si="1"/>
        <v>7.4677060367454072E-3</v>
      </c>
      <c r="I6" s="22">
        <f t="shared" si="2"/>
        <v>0.24889864220472441</v>
      </c>
      <c r="J6" s="22">
        <f t="shared" si="4"/>
        <v>0.1044476047858684</v>
      </c>
      <c r="K6" s="22">
        <f t="shared" si="5"/>
        <v>1.0089122099907759</v>
      </c>
      <c r="L6" s="22">
        <v>2.383</v>
      </c>
      <c r="M6" s="26">
        <v>0.2467</v>
      </c>
      <c r="N6" s="36"/>
      <c r="O6" s="36"/>
    </row>
    <row r="7" spans="1:15" ht="23.25" x14ac:dyDescent="0.4">
      <c r="A7" s="3" t="s">
        <v>68</v>
      </c>
      <c r="B7" s="18">
        <f>25+1+0.8</f>
        <v>26.8</v>
      </c>
      <c r="C7" s="9">
        <v>12</v>
      </c>
      <c r="D7" s="10">
        <v>0.13300000000000001</v>
      </c>
      <c r="E7" s="10">
        <v>0.13400000000000001</v>
      </c>
      <c r="F7" s="10">
        <f>AVERAGE(D7:E7)</f>
        <v>0.13350000000000001</v>
      </c>
      <c r="G7" s="8">
        <f t="shared" si="3"/>
        <v>0.24633545833333334</v>
      </c>
      <c r="H7" s="8">
        <f>G7/63.5</f>
        <v>3.8792985564304462E-3</v>
      </c>
      <c r="I7" s="8">
        <f>H7*B7</f>
        <v>0.10396520131233596</v>
      </c>
      <c r="J7" s="8">
        <f t="shared" si="4"/>
        <v>4.3121195069405205E-2</v>
      </c>
      <c r="K7" s="8">
        <f t="shared" si="5"/>
        <v>0.42210800370416551</v>
      </c>
      <c r="L7" s="3">
        <v>2.411</v>
      </c>
      <c r="M7" s="3">
        <v>0.24629999999999999</v>
      </c>
      <c r="N7" s="34">
        <f>AVERAGE(J7:J9)</f>
        <v>5.5652506734825712E-2</v>
      </c>
      <c r="O7" s="34">
        <f>AVERAGE(K7:K9)</f>
        <v>0.538499765862957</v>
      </c>
    </row>
    <row r="8" spans="1:15" ht="23.25" x14ac:dyDescent="0.4">
      <c r="A8" s="3" t="s">
        <v>69</v>
      </c>
      <c r="B8" s="18">
        <f>24.98+4+0.5+0.06</f>
        <v>29.54</v>
      </c>
      <c r="C8" s="9">
        <v>12</v>
      </c>
      <c r="D8" s="10">
        <v>0.158</v>
      </c>
      <c r="E8" s="10">
        <v>0.158</v>
      </c>
      <c r="F8" s="10">
        <f t="shared" ref="F8:F15" si="6">AVERAGE(D8:E8)</f>
        <v>0.158</v>
      </c>
      <c r="G8" s="8">
        <f t="shared" si="3"/>
        <v>0.2891145</v>
      </c>
      <c r="H8" s="8">
        <f t="shared" ref="H8:H14" si="7">G8/63.5</f>
        <v>4.5529842519685037E-3</v>
      </c>
      <c r="I8" s="8">
        <f t="shared" ref="I8:I14" si="8">H8*B8</f>
        <v>0.13449515480314961</v>
      </c>
      <c r="J8" s="8">
        <f t="shared" si="4"/>
        <v>6.2760221560032484E-2</v>
      </c>
      <c r="K8" s="8">
        <f>I8/M8</f>
        <v>0.59988918288648352</v>
      </c>
      <c r="L8" s="3">
        <v>2.1429999999999998</v>
      </c>
      <c r="M8" s="3">
        <v>0.22420000000000001</v>
      </c>
      <c r="N8" s="35"/>
      <c r="O8" s="35"/>
    </row>
    <row r="9" spans="1:15" ht="23.25" x14ac:dyDescent="0.4">
      <c r="A9" s="3" t="s">
        <v>70</v>
      </c>
      <c r="B9" s="18">
        <f>25.1+3+0.4+0.1+0.1+0.045</f>
        <v>28.745000000000005</v>
      </c>
      <c r="C9" s="9">
        <v>12</v>
      </c>
      <c r="D9" s="10">
        <v>0.16700000000000001</v>
      </c>
      <c r="E9" s="10">
        <v>0.16700000000000001</v>
      </c>
      <c r="F9" s="10">
        <f t="shared" si="6"/>
        <v>0.16700000000000001</v>
      </c>
      <c r="G9" s="8">
        <f t="shared" si="3"/>
        <v>0.30482925</v>
      </c>
      <c r="H9" s="8">
        <f t="shared" si="7"/>
        <v>4.8004606299212596E-3</v>
      </c>
      <c r="I9" s="8">
        <f t="shared" si="8"/>
        <v>0.13798924080708663</v>
      </c>
      <c r="J9" s="8">
        <f t="shared" si="4"/>
        <v>6.1076103575039446E-2</v>
      </c>
      <c r="K9" s="8">
        <f t="shared" si="5"/>
        <v>0.59350211099822203</v>
      </c>
      <c r="L9" s="3">
        <v>2.2593000000000001</v>
      </c>
      <c r="M9" s="3">
        <v>0.23250000000000001</v>
      </c>
      <c r="N9" s="36"/>
      <c r="O9" s="36"/>
    </row>
    <row r="10" spans="1:15" x14ac:dyDescent="0.3">
      <c r="A10" s="3" t="s">
        <v>46</v>
      </c>
      <c r="B10" s="18">
        <f>25.05+2+1+0.6+0.04</f>
        <v>28.69</v>
      </c>
      <c r="C10" s="9">
        <v>12</v>
      </c>
      <c r="D10" s="10">
        <v>0.11799999999999999</v>
      </c>
      <c r="E10" s="10">
        <v>0.11700000000000001</v>
      </c>
      <c r="F10" s="10">
        <f t="shared" si="6"/>
        <v>0.11749999999999999</v>
      </c>
      <c r="G10" s="8">
        <f t="shared" si="3"/>
        <v>0.21839812499999997</v>
      </c>
      <c r="H10" s="8">
        <f t="shared" si="7"/>
        <v>3.439340551181102E-3</v>
      </c>
      <c r="I10" s="8">
        <f t="shared" si="8"/>
        <v>9.8674680413385826E-2</v>
      </c>
      <c r="J10" s="8">
        <f t="shared" si="4"/>
        <v>4.1668291209571308E-2</v>
      </c>
      <c r="K10" s="8">
        <f t="shared" si="5"/>
        <v>0.39692148195247717</v>
      </c>
      <c r="L10" s="3">
        <v>2.3681000000000001</v>
      </c>
      <c r="M10" s="3">
        <v>0.24859999999999999</v>
      </c>
      <c r="N10" s="34">
        <f>AVERAGE(J10:J12)</f>
        <v>3.608510975771375E-2</v>
      </c>
      <c r="O10" s="34">
        <f t="shared" ref="O10" si="9">AVERAGE(K10:K12)</f>
        <v>0.34967552629334425</v>
      </c>
    </row>
    <row r="11" spans="1:15" x14ac:dyDescent="0.3">
      <c r="A11" s="3" t="s">
        <v>47</v>
      </c>
      <c r="B11" s="18">
        <f>25+6+0.02</f>
        <v>31.02</v>
      </c>
      <c r="C11" s="9">
        <v>12</v>
      </c>
      <c r="D11" s="10">
        <v>7.2999999999999995E-2</v>
      </c>
      <c r="E11" s="10">
        <v>7.3999999999999996E-2</v>
      </c>
      <c r="F11" s="10">
        <f t="shared" si="6"/>
        <v>7.3499999999999996E-2</v>
      </c>
      <c r="G11" s="8">
        <f t="shared" si="3"/>
        <v>0.14157045833333334</v>
      </c>
      <c r="H11" s="8">
        <f t="shared" si="7"/>
        <v>2.229456036745407E-3</v>
      </c>
      <c r="I11" s="8">
        <f t="shared" si="8"/>
        <v>6.9157726259842525E-2</v>
      </c>
      <c r="J11" s="8">
        <f t="shared" si="4"/>
        <v>3.2811940152698456E-2</v>
      </c>
      <c r="K11" s="8">
        <f t="shared" si="5"/>
        <v>0.32256402173434012</v>
      </c>
      <c r="L11" s="3">
        <v>2.1076999999999999</v>
      </c>
      <c r="M11" s="3">
        <v>0.21440000000000001</v>
      </c>
      <c r="N11" s="35"/>
      <c r="O11" s="35"/>
    </row>
    <row r="12" spans="1:15" x14ac:dyDescent="0.3">
      <c r="A12" s="3" t="s">
        <v>48</v>
      </c>
      <c r="B12" s="18">
        <f>25+3+0.3+0.1</f>
        <v>28.400000000000002</v>
      </c>
      <c r="C12" s="9">
        <v>12</v>
      </c>
      <c r="D12" s="10">
        <v>9.2999999999999999E-2</v>
      </c>
      <c r="E12" s="10">
        <v>9.6000000000000002E-2</v>
      </c>
      <c r="F12" s="10">
        <f t="shared" si="6"/>
        <v>9.4500000000000001E-2</v>
      </c>
      <c r="G12" s="8">
        <f t="shared" si="3"/>
        <v>0.17823820833333334</v>
      </c>
      <c r="H12" s="8">
        <f t="shared" si="7"/>
        <v>2.8069009186351707E-3</v>
      </c>
      <c r="I12" s="8">
        <f t="shared" si="8"/>
        <v>7.9715986089238855E-2</v>
      </c>
      <c r="J12" s="8">
        <f t="shared" si="4"/>
        <v>3.3775097910871479E-2</v>
      </c>
      <c r="K12" s="8">
        <f t="shared" si="5"/>
        <v>0.32954107519321563</v>
      </c>
      <c r="L12" s="3">
        <v>2.3601999999999999</v>
      </c>
      <c r="M12" s="3">
        <v>0.2419</v>
      </c>
      <c r="N12" s="36"/>
      <c r="O12" s="36"/>
    </row>
    <row r="13" spans="1:15" x14ac:dyDescent="0.3">
      <c r="A13" s="3" t="s">
        <v>49</v>
      </c>
      <c r="B13" s="18">
        <f>25+0.3+1+0.3+0.06</f>
        <v>26.66</v>
      </c>
      <c r="C13" s="9">
        <v>12</v>
      </c>
      <c r="D13" s="10">
        <v>7.1999999999999995E-2</v>
      </c>
      <c r="E13" s="10">
        <v>6.7000000000000004E-2</v>
      </c>
      <c r="F13" s="10">
        <f t="shared" si="6"/>
        <v>6.9500000000000006E-2</v>
      </c>
      <c r="G13" s="8">
        <f t="shared" si="3"/>
        <v>0.13458612500000003</v>
      </c>
      <c r="H13" s="8">
        <f t="shared" si="7"/>
        <v>2.1194665354330711E-3</v>
      </c>
      <c r="I13" s="8">
        <f t="shared" si="8"/>
        <v>5.6504977834645677E-2</v>
      </c>
      <c r="J13" s="8">
        <f t="shared" si="4"/>
        <v>2.3151136081716588E-2</v>
      </c>
      <c r="K13" s="8">
        <f t="shared" si="5"/>
        <v>0.21791352809350437</v>
      </c>
      <c r="L13" s="3">
        <v>2.4407000000000001</v>
      </c>
      <c r="M13" s="3">
        <v>0.25929999999999997</v>
      </c>
      <c r="N13" s="34">
        <f>AVERAGE(J13:J15)</f>
        <v>2.5057492211816409E-2</v>
      </c>
      <c r="O13" s="34">
        <f t="shared" ref="O13" si="10">AVERAGE(K13:K15)</f>
        <v>0.2387881955999881</v>
      </c>
    </row>
    <row r="14" spans="1:15" x14ac:dyDescent="0.3">
      <c r="A14" s="3" t="s">
        <v>50</v>
      </c>
      <c r="B14" s="18">
        <f>25+4+0.2+0.02</f>
        <v>29.22</v>
      </c>
      <c r="C14" s="9">
        <v>12</v>
      </c>
      <c r="D14" s="10">
        <v>6.3E-2</v>
      </c>
      <c r="E14" s="10">
        <v>0.06</v>
      </c>
      <c r="F14" s="10">
        <f t="shared" si="6"/>
        <v>6.1499999999999999E-2</v>
      </c>
      <c r="G14" s="8">
        <f t="shared" si="3"/>
        <v>0.12061745833333333</v>
      </c>
      <c r="H14" s="8">
        <f t="shared" si="7"/>
        <v>1.8994875328083988E-3</v>
      </c>
      <c r="I14" s="8">
        <f t="shared" si="8"/>
        <v>5.5503025708661412E-2</v>
      </c>
      <c r="J14" s="8">
        <f t="shared" si="4"/>
        <v>2.6196736540643514E-2</v>
      </c>
      <c r="K14" s="8">
        <f t="shared" si="5"/>
        <v>0.25506905196995133</v>
      </c>
      <c r="L14" s="3">
        <v>2.1187</v>
      </c>
      <c r="M14" s="3">
        <v>0.21759999999999999</v>
      </c>
      <c r="N14" s="35"/>
      <c r="O14" s="35"/>
    </row>
    <row r="15" spans="1:15" x14ac:dyDescent="0.3">
      <c r="A15" s="3" t="s">
        <v>51</v>
      </c>
      <c r="B15" s="18">
        <f>25.15+2+0.08+0.1+0.1+0.08+0.1</f>
        <v>27.61</v>
      </c>
      <c r="C15" s="9">
        <v>12</v>
      </c>
      <c r="D15" s="10">
        <v>6.8000000000000005E-2</v>
      </c>
      <c r="E15" s="10">
        <v>6.7000000000000004E-2</v>
      </c>
      <c r="F15" s="10">
        <f t="shared" si="6"/>
        <v>6.7500000000000004E-2</v>
      </c>
      <c r="G15" s="8">
        <f t="shared" si="3"/>
        <v>0.13109395833333334</v>
      </c>
      <c r="H15" s="8">
        <f>G15/63.5</f>
        <v>2.0644717847769032E-3</v>
      </c>
      <c r="I15" s="8">
        <f>H15*B15</f>
        <v>5.7000065977690299E-2</v>
      </c>
      <c r="J15" s="8">
        <f t="shared" si="4"/>
        <v>2.5824604013089118E-2</v>
      </c>
      <c r="K15" s="8">
        <f t="shared" si="5"/>
        <v>0.24338200673650853</v>
      </c>
      <c r="L15" s="3">
        <v>2.2071999999999998</v>
      </c>
      <c r="M15" s="3">
        <v>0.23419999999999999</v>
      </c>
      <c r="N15" s="36"/>
      <c r="O15" s="36"/>
    </row>
    <row r="18" spans="1:3" x14ac:dyDescent="0.3">
      <c r="A18" s="14" t="s">
        <v>137</v>
      </c>
    </row>
    <row r="19" spans="1:3" ht="40.5" x14ac:dyDescent="0.3">
      <c r="A19" s="14" t="s">
        <v>138</v>
      </c>
      <c r="B19" s="16" t="s">
        <v>139</v>
      </c>
      <c r="C19" s="1" t="s">
        <v>73</v>
      </c>
    </row>
    <row r="20" spans="1:3" x14ac:dyDescent="0.3">
      <c r="A20" s="1">
        <v>0.1</v>
      </c>
      <c r="B20" s="1">
        <f>A20*10</f>
        <v>1</v>
      </c>
      <c r="C20" s="1">
        <v>0.04</v>
      </c>
    </row>
    <row r="21" spans="1:3" x14ac:dyDescent="0.3">
      <c r="A21" s="1">
        <v>0.2</v>
      </c>
      <c r="B21" s="1">
        <f t="shared" ref="B21:B24" si="11">A21*10</f>
        <v>2</v>
      </c>
      <c r="C21" s="1">
        <v>8.6999999999999994E-2</v>
      </c>
    </row>
    <row r="22" spans="1:3" x14ac:dyDescent="0.3">
      <c r="A22" s="1">
        <v>0.3</v>
      </c>
      <c r="B22" s="1">
        <f t="shared" si="11"/>
        <v>3</v>
      </c>
      <c r="C22" s="1">
        <v>0.13600000000000001</v>
      </c>
    </row>
    <row r="23" spans="1:3" x14ac:dyDescent="0.3">
      <c r="A23" s="1">
        <v>0.4</v>
      </c>
      <c r="B23" s="1">
        <f t="shared" si="11"/>
        <v>4</v>
      </c>
      <c r="C23" s="1">
        <v>0.186</v>
      </c>
    </row>
    <row r="24" spans="1:3" x14ac:dyDescent="0.3">
      <c r="A24" s="1">
        <v>0.5</v>
      </c>
      <c r="B24" s="1">
        <f t="shared" si="11"/>
        <v>5</v>
      </c>
      <c r="C24" s="1">
        <v>0.22900000000000001</v>
      </c>
    </row>
  </sheetData>
  <mergeCells count="8">
    <mergeCell ref="N13:N15"/>
    <mergeCell ref="O13:O15"/>
    <mergeCell ref="N4:N6"/>
    <mergeCell ref="O4:O6"/>
    <mergeCell ref="N7:N9"/>
    <mergeCell ref="O7:O9"/>
    <mergeCell ref="N10:N12"/>
    <mergeCell ref="O10:O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Массы растений</vt:lpstr>
      <vt:lpstr>pH растворов</vt:lpstr>
      <vt:lpstr>После обработки растений</vt:lpstr>
      <vt:lpstr>Сорбция по растворам (КС)</vt:lpstr>
      <vt:lpstr>Озоление Кл СТ</vt:lpstr>
      <vt:lpstr>Озоление (корни)</vt:lpstr>
      <vt:lpstr>Озоление побеги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Олег Никушин</cp:lastModifiedBy>
  <dcterms:created xsi:type="dcterms:W3CDTF">2015-06-05T18:19:34Z</dcterms:created>
  <dcterms:modified xsi:type="dcterms:W3CDTF">2022-04-16T08:10:37Z</dcterms:modified>
</cp:coreProperties>
</file>