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176F1A78-2CE9-4921-861B-0D0312FA105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" l="1"/>
  <c r="K16" i="3"/>
  <c r="J16" i="3"/>
  <c r="J4" i="3"/>
  <c r="K5" i="3"/>
  <c r="K6" i="3"/>
  <c r="K7" i="3"/>
  <c r="K8" i="3"/>
  <c r="K9" i="3"/>
  <c r="K10" i="3"/>
  <c r="K11" i="3"/>
  <c r="K12" i="3"/>
  <c r="K4" i="3"/>
  <c r="B29" i="3"/>
  <c r="B30" i="3"/>
  <c r="B31" i="3"/>
  <c r="B32" i="3"/>
  <c r="B33" i="3"/>
  <c r="B28" i="3"/>
  <c r="F24" i="3"/>
  <c r="G24" i="3" s="1"/>
  <c r="F23" i="3"/>
  <c r="F22" i="3"/>
  <c r="F21" i="3"/>
  <c r="F20" i="3"/>
  <c r="G20" i="3" s="1"/>
  <c r="F19" i="3"/>
  <c r="F18" i="3"/>
  <c r="G18" i="3" s="1"/>
  <c r="F17" i="3"/>
  <c r="F16" i="3"/>
  <c r="G16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G23" i="3" l="1"/>
  <c r="H23" i="3" s="1"/>
  <c r="I23" i="3" s="1"/>
  <c r="G22" i="3"/>
  <c r="H22" i="3" s="1"/>
  <c r="I22" i="3" s="1"/>
  <c r="G21" i="3"/>
  <c r="H21" i="3" s="1"/>
  <c r="I21" i="3" s="1"/>
  <c r="G19" i="3"/>
  <c r="H19" i="3" s="1"/>
  <c r="I19" i="3" s="1"/>
  <c r="G17" i="3"/>
  <c r="H17" i="3" s="1"/>
  <c r="I17" i="3" s="1"/>
  <c r="H10" i="3"/>
  <c r="I10" i="3" s="1"/>
  <c r="J10" i="3" s="1"/>
  <c r="L10" i="3" s="1"/>
  <c r="H7" i="3"/>
  <c r="I7" i="3" s="1"/>
  <c r="J7" i="3" s="1"/>
  <c r="L7" i="3" s="1"/>
  <c r="H5" i="3"/>
  <c r="I5" i="3" s="1"/>
  <c r="J5" i="3" s="1"/>
  <c r="L5" i="3" s="1"/>
  <c r="G4" i="3"/>
  <c r="H4" i="3" s="1"/>
  <c r="I4" i="3" s="1"/>
  <c r="H18" i="3"/>
  <c r="I18" i="3" s="1"/>
  <c r="J18" i="3" s="1"/>
  <c r="H20" i="3"/>
  <c r="I20" i="3" s="1"/>
  <c r="J20" i="3" s="1"/>
  <c r="H24" i="3"/>
  <c r="I24" i="3" s="1"/>
  <c r="H16" i="3"/>
  <c r="I16" i="3" s="1"/>
  <c r="H9" i="3"/>
  <c r="I9" i="3" s="1"/>
  <c r="J9" i="3" s="1"/>
  <c r="L9" i="3" s="1"/>
  <c r="H6" i="3"/>
  <c r="I6" i="3" s="1"/>
  <c r="J6" i="3" s="1"/>
  <c r="L6" i="3" s="1"/>
  <c r="H8" i="3"/>
  <c r="I8" i="3" s="1"/>
  <c r="J8" i="3" s="1"/>
  <c r="L8" i="3" s="1"/>
  <c r="F11" i="3"/>
  <c r="F12" i="3"/>
  <c r="F28" i="2"/>
  <c r="F29" i="2"/>
  <c r="F30" i="2"/>
  <c r="F31" i="2"/>
  <c r="F27" i="2"/>
  <c r="F11" i="2"/>
  <c r="E11" i="2"/>
  <c r="F10" i="2"/>
  <c r="E10" i="2"/>
  <c r="F9" i="2"/>
  <c r="E9" i="2"/>
  <c r="L4" i="3" l="1"/>
  <c r="R4" i="3" s="1"/>
  <c r="L24" i="3"/>
  <c r="J24" i="3"/>
  <c r="K20" i="3"/>
  <c r="L16" i="3"/>
  <c r="P16" i="3"/>
  <c r="L23" i="3"/>
  <c r="J23" i="3"/>
  <c r="K23" i="3"/>
  <c r="Q22" i="3" s="1"/>
  <c r="K22" i="3"/>
  <c r="L22" i="3"/>
  <c r="R22" i="3" s="1"/>
  <c r="J22" i="3"/>
  <c r="J21" i="3"/>
  <c r="L21" i="3"/>
  <c r="K21" i="3"/>
  <c r="L20" i="3"/>
  <c r="J19" i="3"/>
  <c r="P19" i="3" s="1"/>
  <c r="K19" i="3"/>
  <c r="L19" i="3"/>
  <c r="R19" i="3" s="1"/>
  <c r="L18" i="3"/>
  <c r="K18" i="3"/>
  <c r="Q16" i="3" s="1"/>
  <c r="J17" i="3"/>
  <c r="L17" i="3"/>
  <c r="K17" i="3"/>
  <c r="G12" i="3"/>
  <c r="H12" i="3" s="1"/>
  <c r="I12" i="3" s="1"/>
  <c r="J12" i="3" s="1"/>
  <c r="L12" i="3" s="1"/>
  <c r="G11" i="3"/>
  <c r="H11" i="3" s="1"/>
  <c r="I11" i="3" s="1"/>
  <c r="J11" i="3" s="1"/>
  <c r="R10" i="3"/>
  <c r="R7" i="3"/>
  <c r="R16" i="3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G22" i="2"/>
  <c r="G21" i="2"/>
  <c r="G20" i="2"/>
  <c r="G19" i="2"/>
  <c r="G18" i="2"/>
  <c r="G17" i="2"/>
  <c r="G16" i="2"/>
  <c r="G15" i="2"/>
  <c r="G11" i="2"/>
  <c r="H11" i="2" s="1"/>
  <c r="G10" i="2"/>
  <c r="G9" i="2"/>
  <c r="G8" i="2"/>
  <c r="G7" i="2"/>
  <c r="H7" i="2" s="1"/>
  <c r="G6" i="2"/>
  <c r="G5" i="2"/>
  <c r="G4" i="2"/>
  <c r="G3" i="2"/>
  <c r="Q19" i="3" l="1"/>
  <c r="P22" i="3"/>
  <c r="P10" i="3"/>
  <c r="P7" i="3"/>
  <c r="Q7" i="3"/>
  <c r="P4" i="3"/>
  <c r="Q4" i="3"/>
  <c r="H23" i="2"/>
  <c r="I23" i="2" s="1"/>
  <c r="J23" i="2" s="1"/>
  <c r="H22" i="2"/>
  <c r="I22" i="2" s="1"/>
  <c r="J22" i="2" s="1"/>
  <c r="H21" i="2"/>
  <c r="I21" i="2" s="1"/>
  <c r="J21" i="2" s="1"/>
  <c r="H20" i="2"/>
  <c r="I20" i="2" s="1"/>
  <c r="J20" i="2" s="1"/>
  <c r="H19" i="2"/>
  <c r="I19" i="2" s="1"/>
  <c r="J19" i="2" s="1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H10" i="2"/>
  <c r="I10" i="2" s="1"/>
  <c r="J10" i="2" s="1"/>
  <c r="H9" i="2"/>
  <c r="I9" i="2" s="1"/>
  <c r="J9" i="2" s="1"/>
  <c r="H8" i="2"/>
  <c r="I8" i="2" s="1"/>
  <c r="J8" i="2" s="1"/>
  <c r="H6" i="2"/>
  <c r="I6" i="2" s="1"/>
  <c r="J6" i="2" s="1"/>
  <c r="H5" i="2"/>
  <c r="I5" i="2" s="1"/>
  <c r="J5" i="2" s="1"/>
  <c r="H4" i="2"/>
  <c r="I4" i="2" s="1"/>
  <c r="J4" i="2" s="1"/>
  <c r="H3" i="2"/>
  <c r="I3" i="2" s="1"/>
  <c r="J3" i="2" s="1"/>
  <c r="R29" i="2"/>
  <c r="S29" i="2" s="1"/>
  <c r="I7" i="2"/>
  <c r="J7" i="2" s="1"/>
  <c r="I11" i="2"/>
  <c r="J11" i="2" s="1"/>
  <c r="R30" i="2"/>
  <c r="S30" i="2" s="1"/>
  <c r="R28" i="2"/>
  <c r="S28" i="2" s="1"/>
  <c r="L4" i="2" l="1"/>
  <c r="L16" i="2"/>
  <c r="K15" i="2"/>
  <c r="L15" i="2" s="1"/>
  <c r="K3" i="2"/>
  <c r="L3" i="2" s="1"/>
  <c r="K17" i="2"/>
  <c r="L17" i="2" s="1"/>
  <c r="K16" i="2"/>
  <c r="K4" i="2"/>
  <c r="K5" i="2"/>
  <c r="L5" i="2" s="1"/>
  <c r="K11" i="2"/>
  <c r="L11" i="2" s="1"/>
  <c r="K9" i="2"/>
  <c r="L9" i="2" s="1"/>
  <c r="K21" i="2"/>
  <c r="L21" i="2" s="1"/>
  <c r="K10" i="2"/>
  <c r="L10" i="2" s="1"/>
  <c r="K23" i="2"/>
  <c r="L23" i="2" s="1"/>
  <c r="K22" i="2"/>
  <c r="L22" i="2" s="1"/>
  <c r="K18" i="2"/>
  <c r="L18" i="2" s="1"/>
  <c r="K8" i="2"/>
  <c r="L8" i="2" s="1"/>
  <c r="K20" i="2"/>
  <c r="L20" i="2" s="1"/>
  <c r="K7" i="2"/>
  <c r="L7" i="2" s="1"/>
  <c r="K6" i="2"/>
  <c r="L6" i="2" s="1"/>
  <c r="K19" i="2"/>
  <c r="L19" i="2"/>
  <c r="O19" i="2" s="1"/>
  <c r="L11" i="3"/>
  <c r="Q10" i="3"/>
  <c r="M16" i="2"/>
  <c r="O16" i="2"/>
  <c r="N16" i="2"/>
  <c r="M4" i="2"/>
  <c r="N4" i="2"/>
  <c r="O4" i="2"/>
  <c r="O5" i="2" l="1"/>
  <c r="N5" i="2"/>
  <c r="M5" i="2"/>
  <c r="M9" i="2"/>
  <c r="O9" i="2"/>
  <c r="U9" i="2" s="1"/>
  <c r="N9" i="2"/>
  <c r="N20" i="2"/>
  <c r="O20" i="2"/>
  <c r="M20" i="2"/>
  <c r="O21" i="2"/>
  <c r="U21" i="2" s="1"/>
  <c r="M21" i="2"/>
  <c r="S21" i="2" s="1"/>
  <c r="N21" i="2"/>
  <c r="T21" i="2" s="1"/>
  <c r="M15" i="2"/>
  <c r="N15" i="2"/>
  <c r="O15" i="2"/>
  <c r="U15" i="2" s="1"/>
  <c r="O10" i="2"/>
  <c r="N10" i="2"/>
  <c r="M10" i="2"/>
  <c r="O6" i="2"/>
  <c r="U6" i="2" s="1"/>
  <c r="N6" i="2"/>
  <c r="M6" i="2"/>
  <c r="M17" i="2"/>
  <c r="N17" i="2"/>
  <c r="O17" i="2"/>
  <c r="M18" i="2"/>
  <c r="N18" i="2"/>
  <c r="O18" i="2"/>
  <c r="U18" i="2" s="1"/>
  <c r="O22" i="2"/>
  <c r="N22" i="2"/>
  <c r="M22" i="2"/>
  <c r="N11" i="2"/>
  <c r="M11" i="2"/>
  <c r="O11" i="2"/>
  <c r="N7" i="2"/>
  <c r="O7" i="2"/>
  <c r="M7" i="2"/>
  <c r="M8" i="2"/>
  <c r="N8" i="2"/>
  <c r="O8" i="2"/>
  <c r="M3" i="2"/>
  <c r="S3" i="2" s="1"/>
  <c r="O3" i="2"/>
  <c r="U3" i="2" s="1"/>
  <c r="N3" i="2"/>
  <c r="T3" i="2" s="1"/>
  <c r="M23" i="2"/>
  <c r="O23" i="2"/>
  <c r="N23" i="2"/>
  <c r="N19" i="2"/>
  <c r="M19" i="2"/>
  <c r="T6" i="2"/>
  <c r="S6" i="2" l="1"/>
  <c r="T9" i="2"/>
  <c r="S18" i="2"/>
  <c r="S9" i="2"/>
  <c r="T18" i="2"/>
  <c r="T15" i="2"/>
  <c r="S15" i="2"/>
</calcChain>
</file>

<file path=xl/sharedStrings.xml><?xml version="1.0" encoding="utf-8"?>
<sst xmlns="http://schemas.openxmlformats.org/spreadsheetml/2006/main" count="156" uniqueCount="65">
  <si>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</si>
  <si>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</si>
  <si>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</si>
  <si>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</si>
  <si>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</si>
  <si>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</si>
  <si>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</si>
  <si>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</si>
  <si>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</si>
  <si>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</si>
  <si>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</si>
  <si>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</si>
  <si>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</si>
  <si>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</si>
  <si>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</si>
  <si>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</si>
  <si>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</si>
  <si>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</si>
  <si>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</si>
  <si>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</si>
  <si>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</si>
  <si>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</si>
  <si>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</si>
  <si>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</si>
  <si>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</si>
  <si>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</si>
  <si>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</si>
  <si>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</si>
  <si>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</si>
  <si>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</si>
  <si>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</si>
  <si>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</si>
  <si>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</si>
  <si>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</si>
  <si>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</si>
  <si>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</si>
  <si>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</si>
  <si>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</si>
  <si>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</si>
  <si>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</si>
  <si>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</si>
  <si>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</si>
  <si>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</si>
  <si>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</si>
  <si>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</si>
  <si>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3</t>
    </r>
  </si>
  <si>
    <t>pH</t>
  </si>
  <si>
    <t>КАЛИБРОВКА КОРНИ</t>
  </si>
  <si>
    <t>КАЛИБРОВКА ПОБЕГИ</t>
  </si>
  <si>
    <t>ИСХОДНЫЕ ДЛЯ КОРНЕЙ И ПОБЕГОВ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</si>
  <si>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</si>
  <si>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</si>
  <si>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</si>
  <si>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</si>
  <si>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</si>
  <si>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</si>
  <si>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</si>
  <si>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</si>
  <si>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</si>
  <si>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</si>
  <si>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t>Масса растений 9 растений 10 дней</t>
  </si>
  <si>
    <t>DW КС корня</t>
  </si>
  <si>
    <t>DW КС побега</t>
  </si>
  <si>
    <t>Массовая доля КС корня</t>
  </si>
  <si>
    <t>Массовая доля КС побега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</si>
</sst>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6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 КОРНИ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973315835520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0.128</c:v>
                </c:pt>
                <c:pt idx="2">
                  <c:v>0.224</c:v>
                </c:pt>
                <c:pt idx="3">
                  <c:v>0.33100000000000002</c:v>
                </c:pt>
                <c:pt idx="4">
                  <c:v>0.42899999999999999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8464"/>
        <c:axId val="247466368"/>
      </c:scatterChart>
      <c:valAx>
        <c:axId val="2474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66368"/>
        <c:crosses val="autoZero"/>
        <c:crossBetween val="midCat"/>
      </c:valAx>
      <c:valAx>
        <c:axId val="2474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растворам'!$E$26</c:f>
              <c:strCache>
                <c:ptCount val="1"/>
                <c:pt idx="0">
                  <c:v>КАЛИБРОВКА ПОБЕГИ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61964129483813"/>
                  <c:y val="-0.1684959171770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растворам'!$G$27:$G$31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8.4000000000000005E-2</c:v>
                </c:pt>
                <c:pt idx="2">
                  <c:v>0.13300000000000001</c:v>
                </c:pt>
                <c:pt idx="3">
                  <c:v>0.17399999999999999</c:v>
                </c:pt>
                <c:pt idx="4">
                  <c:v>0.224</c:v>
                </c:pt>
              </c:numCache>
            </c:numRef>
          </c:xVal>
          <c:yVal>
            <c:numRef>
              <c:f>'Сорбция по растворам'!$F$27:$F$31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E-4385-AD92-2A1FCA0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01184"/>
        <c:axId val="339510752"/>
      </c:scatterChart>
      <c:valAx>
        <c:axId val="3395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10752"/>
        <c:crosses val="autoZero"/>
        <c:crossBetween val="midCat"/>
      </c:valAx>
      <c:valAx>
        <c:axId val="3395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КС корней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'Сорбция по растворам'!$A$3:$A$11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1</c:v>
                </c:pt>
                <c:pt idx="7">
                  <c:v>10-4 2</c:v>
                </c:pt>
                <c:pt idx="8">
                  <c:v>10-4 3</c:v>
                </c:pt>
              </c:strCache>
            </c:strRef>
          </c:cat>
          <c:val>
            <c:numRef>
              <c:f>'Сорбция по растворам'!$N$3:$N$11</c:f>
              <c:numCache>
                <c:formatCode>0.0000</c:formatCode>
                <c:ptCount val="9"/>
                <c:pt idx="0">
                  <c:v>25.343811732093137</c:v>
                </c:pt>
                <c:pt idx="1">
                  <c:v>19.451105887638683</c:v>
                </c:pt>
                <c:pt idx="2">
                  <c:v>18.303805428570165</c:v>
                </c:pt>
                <c:pt idx="3">
                  <c:v>86.038646502104001</c:v>
                </c:pt>
                <c:pt idx="4">
                  <c:v>81.966499185521585</c:v>
                </c:pt>
                <c:pt idx="5">
                  <c:v>82.104428396668169</c:v>
                </c:pt>
                <c:pt idx="6">
                  <c:v>117.64282493444422</c:v>
                </c:pt>
                <c:pt idx="7">
                  <c:v>118.18673040136642</c:v>
                </c:pt>
                <c:pt idx="8">
                  <c:v>113.66442614833102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6-4C17-AAF1-60790DFAC4A3}"/>
            </c:ext>
          </c:extLst>
        </c:ser>
        <c:ser>
          <c:idx val="1"/>
          <c:order val="1"/>
          <c:tx>
            <c:v>КС побегов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'Сорбция по растворам'!$A$3:$A$11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1</c:v>
                </c:pt>
                <c:pt idx="7">
                  <c:v>10-4 2</c:v>
                </c:pt>
                <c:pt idx="8">
                  <c:v>10-4 3</c:v>
                </c:pt>
              </c:strCache>
            </c:strRef>
          </c:cat>
          <c:val>
            <c:numRef>
              <c:f>'Сорбция по растворам'!$N$15:$N$23</c:f>
              <c:numCache>
                <c:formatCode>0.0000</c:formatCode>
                <c:ptCount val="9"/>
                <c:pt idx="0">
                  <c:v>8.7015335552484814</c:v>
                </c:pt>
                <c:pt idx="1">
                  <c:v>7.084169388727501</c:v>
                </c:pt>
                <c:pt idx="2">
                  <c:v>7.6754690865692465</c:v>
                </c:pt>
                <c:pt idx="3">
                  <c:v>38.025488968707968</c:v>
                </c:pt>
                <c:pt idx="4">
                  <c:v>39.211148114380059</c:v>
                </c:pt>
                <c:pt idx="5">
                  <c:v>36.286538317434541</c:v>
                </c:pt>
                <c:pt idx="6">
                  <c:v>73.007265570377882</c:v>
                </c:pt>
                <c:pt idx="7">
                  <c:v>74.854531532252508</c:v>
                </c:pt>
                <c:pt idx="8">
                  <c:v>80.922224418523967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6-4C17-AAF1-60790DFA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946448"/>
        <c:axId val="397910256"/>
      </c:barChart>
      <c:catAx>
        <c:axId val="3979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10256"/>
        <c:crosses val="autoZero"/>
        <c:auto val="1"/>
        <c:lblAlgn val="ctr"/>
        <c:lblOffset val="100"/>
        <c:noMultiLvlLbl val="0"/>
      </c:catAx>
      <c:valAx>
        <c:axId val="397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Десорбция!$A$27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5568678915135"/>
                  <c:y val="-0.1948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Десорбция!$C$28:$C$33</c:f>
              <c:numCache>
                <c:formatCode>General</c:formatCode>
                <c:ptCount val="6"/>
                <c:pt idx="0">
                  <c:v>0.17299999999999999</c:v>
                </c:pt>
                <c:pt idx="1">
                  <c:v>0.22600000000000001</c:v>
                </c:pt>
                <c:pt idx="2">
                  <c:v>0.26500000000000001</c:v>
                </c:pt>
                <c:pt idx="3">
                  <c:v>0.29899999999999999</c:v>
                </c:pt>
                <c:pt idx="4">
                  <c:v>0.34899999999999998</c:v>
                </c:pt>
                <c:pt idx="5">
                  <c:v>0.38900000000000001</c:v>
                </c:pt>
              </c:numCache>
            </c:numRef>
          </c:xVal>
          <c:yVal>
            <c:numRef>
              <c:f>Десорбция!$B$28:$B$33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43B-9FCD-2F20CBD3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20672"/>
        <c:axId val="846121088"/>
      </c:scatterChart>
      <c:valAx>
        <c:axId val="8461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21088"/>
        <c:crosses val="autoZero"/>
        <c:crossBetween val="midCat"/>
      </c:valAx>
      <c:valAx>
        <c:axId val="846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1</c:v>
                </c:pt>
                <c:pt idx="7">
                  <c:v>10-4 2</c:v>
                </c:pt>
                <c:pt idx="8">
                  <c:v>10-4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22.807684686119675</c:v>
                </c:pt>
                <c:pt idx="1">
                  <c:v>17.640215475845931</c:v>
                </c:pt>
                <c:pt idx="2">
                  <c:v>16.308643258659064</c:v>
                </c:pt>
                <c:pt idx="3">
                  <c:v>77.511322507853592</c:v>
                </c:pt>
                <c:pt idx="4">
                  <c:v>72.914038866305631</c:v>
                </c:pt>
                <c:pt idx="5">
                  <c:v>73.881508485048784</c:v>
                </c:pt>
                <c:pt idx="6">
                  <c:v>108.80170708954216</c:v>
                </c:pt>
                <c:pt idx="7">
                  <c:v>109.92760168774642</c:v>
                </c:pt>
                <c:pt idx="8">
                  <c:v>105.51899211211445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1</c:v>
                </c:pt>
                <c:pt idx="7">
                  <c:v>10-4 2</c:v>
                </c:pt>
                <c:pt idx="8">
                  <c:v>10-4 3</c:v>
                </c:pt>
              </c:strCache>
            </c:strRef>
          </c:cat>
          <c:val>
            <c:numRef>
              <c:f>Десорбция!$K$16:$K$24</c:f>
              <c:numCache>
                <c:formatCode>0.0000</c:formatCode>
                <c:ptCount val="9"/>
                <c:pt idx="0">
                  <c:v>7.2674946445413804</c:v>
                </c:pt>
                <c:pt idx="1">
                  <c:v>5.9418242852932712</c:v>
                </c:pt>
                <c:pt idx="2">
                  <c:v>6.3259904048133651</c:v>
                </c:pt>
                <c:pt idx="3">
                  <c:v>37.17196837587062</c:v>
                </c:pt>
                <c:pt idx="4">
                  <c:v>32.432590591084924</c:v>
                </c:pt>
                <c:pt idx="5">
                  <c:v>30.25702684405038</c:v>
                </c:pt>
                <c:pt idx="6">
                  <c:v>56.34251982567659</c:v>
                </c:pt>
                <c:pt idx="7">
                  <c:v>58.028666590462237</c:v>
                </c:pt>
                <c:pt idx="8">
                  <c:v>65.049636514594837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59472"/>
        <c:axId val="751059888"/>
      </c:barChart>
      <c:catAx>
        <c:axId val="751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888"/>
        <c:crosses val="autoZero"/>
        <c:auto val="1"/>
        <c:lblAlgn val="ctr"/>
        <c:lblOffset val="100"/>
        <c:noMultiLvlLbl val="0"/>
      </c:catAx>
      <c:valAx>
        <c:axId val="75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31</xdr:row>
      <xdr:rowOff>242887</xdr:rowOff>
    </xdr:from>
    <xdr:to>
      <xdr:col>11</xdr:col>
      <xdr:colOff>1209675</xdr:colOff>
      <xdr:row>42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B7D8B1-0A81-48C4-8C30-9F1ED54A5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60612</xdr:colOff>
      <xdr:row>0</xdr:row>
      <xdr:rowOff>683635</xdr:rowOff>
    </xdr:from>
    <xdr:to>
      <xdr:col>34</xdr:col>
      <xdr:colOff>399183</xdr:colOff>
      <xdr:row>13</xdr:row>
      <xdr:rowOff>426894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14CE75-2208-4EB9-A00F-7C855EB1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28</xdr:row>
      <xdr:rowOff>4762</xdr:rowOff>
    </xdr:from>
    <xdr:to>
      <xdr:col>10</xdr:col>
      <xdr:colOff>1228725</xdr:colOff>
      <xdr:row>42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02A24-B03A-4BBF-9BAC-4143DBFA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120" zoomScaleNormal="120" workbookViewId="0">
      <selection activeCell="E4" activeCellId="1" sqref="C4:C12 E4:E12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7" width="13.85546875" customWidth="1"/>
    <col min="8" max="8" width="22.28515625" customWidth="1"/>
    <col min="9" max="9" width="22.42578125" customWidth="1"/>
    <col min="10" max="10" width="14.28515625" customWidth="1"/>
    <col min="11" max="11" width="14.5703125" customWidth="1"/>
  </cols>
  <sheetData>
    <row r="1" spans="1:11" x14ac:dyDescent="0.25">
      <c r="A1" s="11" t="s">
        <v>60</v>
      </c>
      <c r="B1" s="11"/>
      <c r="C1" s="11"/>
      <c r="D1" s="11"/>
      <c r="E1" s="11"/>
      <c r="F1" s="9"/>
      <c r="G1" s="9"/>
    </row>
    <row r="2" spans="1:11" x14ac:dyDescent="0.25">
      <c r="A2" s="11" t="s">
        <v>20</v>
      </c>
      <c r="B2" s="11"/>
      <c r="C2" s="11"/>
      <c r="D2" s="11"/>
      <c r="E2" s="11"/>
      <c r="F2" s="9"/>
      <c r="G2" s="9"/>
    </row>
    <row r="3" spans="1:11" ht="30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61</v>
      </c>
      <c r="G3" t="s">
        <v>62</v>
      </c>
      <c r="H3" t="s">
        <v>5</v>
      </c>
      <c r="I3" t="s">
        <v>51</v>
      </c>
      <c r="J3" s="10" t="s">
        <v>63</v>
      </c>
      <c r="K3" s="10" t="s">
        <v>64</v>
      </c>
    </row>
    <row r="4" spans="1:11" ht="17.25" x14ac:dyDescent="0.25">
      <c r="A4" t="s">
        <v>11</v>
      </c>
      <c r="B4">
        <v>1.0484</v>
      </c>
      <c r="C4">
        <v>1.621</v>
      </c>
      <c r="D4">
        <f>B4/(1+$H$4)</f>
        <v>5.9009811117452259E-2</v>
      </c>
      <c r="E4">
        <f>C4/(1+$I$4)</f>
        <v>0.16520851094204073</v>
      </c>
      <c r="H4">
        <v>16.766537125721012</v>
      </c>
      <c r="I4">
        <v>8.8118431717400281</v>
      </c>
    </row>
    <row r="5" spans="1:11" ht="17.25" x14ac:dyDescent="0.25">
      <c r="A5" t="s">
        <v>12</v>
      </c>
      <c r="B5">
        <v>1.3585</v>
      </c>
      <c r="C5">
        <v>2.0316000000000001</v>
      </c>
      <c r="D5">
        <f t="shared" ref="D5:D12" si="0">B5/(1+$H$4)</f>
        <v>7.6463972150952783E-2</v>
      </c>
      <c r="E5">
        <f t="shared" ref="E5:E12" si="1">C5/(1+$I$4)</f>
        <v>0.20705589810601477</v>
      </c>
    </row>
    <row r="6" spans="1:11" ht="17.25" x14ac:dyDescent="0.25">
      <c r="A6" t="s">
        <v>13</v>
      </c>
      <c r="B6">
        <v>1.3661000000000001</v>
      </c>
      <c r="C6">
        <v>1.9450000000000001</v>
      </c>
      <c r="D6">
        <f t="shared" si="0"/>
        <v>7.6891742624524542E-2</v>
      </c>
      <c r="E6">
        <f t="shared" si="1"/>
        <v>0.19822982960041285</v>
      </c>
    </row>
    <row r="7" spans="1:11" ht="17.25" x14ac:dyDescent="0.25">
      <c r="A7" t="s">
        <v>14</v>
      </c>
      <c r="B7">
        <v>1.2945</v>
      </c>
      <c r="C7">
        <v>1.8857999999999999</v>
      </c>
      <c r="D7">
        <f t="shared" si="0"/>
        <v>7.2861694478769501E-2</v>
      </c>
      <c r="E7">
        <f t="shared" si="1"/>
        <v>0.1921963047097473</v>
      </c>
    </row>
    <row r="8" spans="1:11" ht="17.25" x14ac:dyDescent="0.25">
      <c r="A8" t="s">
        <v>15</v>
      </c>
      <c r="B8">
        <v>1.3364</v>
      </c>
      <c r="C8">
        <v>1.861</v>
      </c>
      <c r="D8">
        <f t="shared" si="0"/>
        <v>7.5220060642276987E-2</v>
      </c>
      <c r="E8">
        <f t="shared" si="1"/>
        <v>0.18966874698527933</v>
      </c>
    </row>
    <row r="9" spans="1:11" ht="17.25" x14ac:dyDescent="0.25">
      <c r="A9" t="s">
        <v>16</v>
      </c>
      <c r="B9">
        <v>1.3189</v>
      </c>
      <c r="C9">
        <v>1.9852000000000001</v>
      </c>
      <c r="D9">
        <f t="shared" si="0"/>
        <v>7.4235062841289376E-2</v>
      </c>
      <c r="E9">
        <f t="shared" si="1"/>
        <v>0.2023269191376553</v>
      </c>
    </row>
    <row r="10" spans="1:11" ht="17.25" x14ac:dyDescent="0.25">
      <c r="A10" t="s">
        <v>17</v>
      </c>
      <c r="B10">
        <v>1.1036999999999999</v>
      </c>
      <c r="C10">
        <v>1.6518999999999999</v>
      </c>
      <c r="D10">
        <f t="shared" si="0"/>
        <v>6.2122404168573113E-2</v>
      </c>
      <c r="E10">
        <f t="shared" si="1"/>
        <v>0.16835776633260768</v>
      </c>
    </row>
    <row r="11" spans="1:11" ht="17.25" x14ac:dyDescent="0.25">
      <c r="A11" t="s">
        <v>18</v>
      </c>
      <c r="B11">
        <v>1.0421</v>
      </c>
      <c r="C11">
        <v>1.4711000000000001</v>
      </c>
      <c r="D11">
        <f t="shared" si="0"/>
        <v>5.8655211909096713E-2</v>
      </c>
      <c r="E11">
        <f t="shared" si="1"/>
        <v>0.14993105518003463</v>
      </c>
    </row>
    <row r="12" spans="1:11" ht="17.25" x14ac:dyDescent="0.25">
      <c r="A12" t="s">
        <v>19</v>
      </c>
      <c r="B12">
        <v>1.1055999999999999</v>
      </c>
      <c r="C12">
        <v>1.6029</v>
      </c>
      <c r="D12">
        <f t="shared" si="0"/>
        <v>6.2229346786966053E-2</v>
      </c>
      <c r="E12">
        <f t="shared" si="1"/>
        <v>0.16336380147377982</v>
      </c>
    </row>
    <row r="13" spans="1:11" x14ac:dyDescent="0.25">
      <c r="A13" s="11"/>
      <c r="B13" s="11"/>
      <c r="C13" s="11"/>
      <c r="D13" s="11"/>
      <c r="E13" s="11"/>
      <c r="F13" s="9"/>
      <c r="G13" s="9"/>
    </row>
  </sheetData>
  <mergeCells count="3">
    <mergeCell ref="A2:E2"/>
    <mergeCell ref="A13:E13"/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1806-F995-49DA-AB53-95D279BB9D7D}">
  <dimension ref="A1:U31"/>
  <sheetViews>
    <sheetView topLeftCell="A13" zoomScale="85" zoomScaleNormal="85" workbookViewId="0">
      <selection activeCell="M21" sqref="M21:N23"/>
    </sheetView>
  </sheetViews>
  <sheetFormatPr defaultRowHeight="20.25" x14ac:dyDescent="0.3"/>
  <cols>
    <col min="1" max="1" width="16.5703125" style="2" customWidth="1"/>
    <col min="2" max="2" width="10" style="2" customWidth="1"/>
    <col min="3" max="3" width="13.140625" style="2" customWidth="1"/>
    <col min="4" max="4" width="12" style="2" customWidth="1"/>
    <col min="5" max="5" width="12.7109375" style="2" customWidth="1"/>
    <col min="6" max="6" width="14.5703125" style="2" customWidth="1"/>
    <col min="7" max="7" width="9.42578125" style="2" bestFit="1" customWidth="1"/>
    <col min="8" max="8" width="12" style="2" bestFit="1" customWidth="1"/>
    <col min="9" max="10" width="10.7109375" style="2" bestFit="1" customWidth="1"/>
    <col min="11" max="11" width="20.42578125" style="2" customWidth="1"/>
    <col min="12" max="12" width="19.7109375" style="2" customWidth="1"/>
    <col min="13" max="13" width="22.7109375" style="2" customWidth="1"/>
    <col min="14" max="14" width="20.85546875" style="2" customWidth="1"/>
    <col min="15" max="15" width="27.42578125" style="2" customWidth="1"/>
    <col min="16" max="16" width="19" style="2" customWidth="1"/>
    <col min="17" max="17" width="18.7109375" style="2" customWidth="1"/>
    <col min="18" max="18" width="18.28515625" style="2" customWidth="1"/>
    <col min="19" max="19" width="19.42578125" style="2" customWidth="1"/>
    <col min="20" max="20" width="20.28515625" style="2" customWidth="1"/>
    <col min="21" max="21" width="29.28515625" style="2" customWidth="1"/>
    <col min="22" max="16384" width="9.140625" style="2"/>
  </cols>
  <sheetData>
    <row r="1" spans="1:21" ht="54.75" customHeight="1" x14ac:dyDescent="0.4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60.75" x14ac:dyDescent="0.3">
      <c r="A2" s="3" t="s">
        <v>0</v>
      </c>
      <c r="B2" s="3" t="s">
        <v>46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1</v>
      </c>
      <c r="Q2" s="3" t="s">
        <v>2</v>
      </c>
      <c r="R2" s="3" t="s">
        <v>6</v>
      </c>
      <c r="S2" s="4" t="s">
        <v>34</v>
      </c>
      <c r="T2" s="4" t="s">
        <v>35</v>
      </c>
      <c r="U2" s="4" t="s">
        <v>36</v>
      </c>
    </row>
    <row r="3" spans="1:21" ht="24" x14ac:dyDescent="0.3">
      <c r="A3" s="2" t="s">
        <v>37</v>
      </c>
      <c r="B3" s="2">
        <v>4.6399999999999997</v>
      </c>
      <c r="C3" s="5">
        <v>150</v>
      </c>
      <c r="D3" s="5">
        <v>20</v>
      </c>
      <c r="E3" s="6">
        <v>5.0000000000000001E-3</v>
      </c>
      <c r="F3" s="6">
        <v>6.0000000000000001E-3</v>
      </c>
      <c r="G3" s="6">
        <f>AVERAGE(E3:F3)</f>
        <v>5.4999999999999997E-3</v>
      </c>
      <c r="H3" s="3">
        <f>(G3*19.896+ 0.4637)/D3</f>
        <v>2.8656399999999999E-2</v>
      </c>
      <c r="I3" s="3">
        <f>H3/63.5</f>
        <v>4.5128188976377952E-4</v>
      </c>
      <c r="J3" s="3">
        <f>I3*C3</f>
        <v>6.7692283464566932E-2</v>
      </c>
      <c r="K3" s="3">
        <f>$S$28</f>
        <v>1.5632258267716537</v>
      </c>
      <c r="L3" s="3">
        <f>K3-J3</f>
        <v>1.4955335433070867</v>
      </c>
      <c r="M3" s="3">
        <f>L3/P3</f>
        <v>1.4264913614146191</v>
      </c>
      <c r="N3" s="3">
        <f>L3/Q3</f>
        <v>25.343811732093137</v>
      </c>
      <c r="O3" s="3" t="e">
        <f>L3/R3</f>
        <v>#DIV/0!</v>
      </c>
      <c r="P3">
        <v>1.0484</v>
      </c>
      <c r="Q3" s="3">
        <v>5.9009811117452259E-2</v>
      </c>
      <c r="R3" s="1"/>
      <c r="S3" s="12">
        <f>AVERAGE(M3:M5)</f>
        <v>1.1838495894800749</v>
      </c>
      <c r="T3" s="12">
        <f>AVERAGE(N3:N5)</f>
        <v>21.032907682767327</v>
      </c>
      <c r="U3" s="12" t="e">
        <f>AVERAGE(O3:O5)</f>
        <v>#DIV/0!</v>
      </c>
    </row>
    <row r="4" spans="1:21" ht="24" x14ac:dyDescent="0.3">
      <c r="A4" s="2" t="s">
        <v>38</v>
      </c>
      <c r="B4" s="2">
        <v>4.58</v>
      </c>
      <c r="C4" s="5">
        <v>150</v>
      </c>
      <c r="D4" s="5">
        <v>20</v>
      </c>
      <c r="E4" s="6">
        <v>1.0999999999999999E-2</v>
      </c>
      <c r="F4" s="6">
        <v>7.0000000000000001E-3</v>
      </c>
      <c r="G4" s="6">
        <f t="shared" ref="G4:G11" si="0">AVERAGE(E4:F4)</f>
        <v>8.9999999999999993E-3</v>
      </c>
      <c r="H4" s="3">
        <f t="shared" ref="H4:H11" si="1">(G4*19.896+ 0.4637)/D4</f>
        <v>3.2138199999999999E-2</v>
      </c>
      <c r="I4" s="3">
        <f t="shared" ref="I4:I10" si="2">H4/63.5</f>
        <v>5.0611338582677167E-4</v>
      </c>
      <c r="J4" s="3">
        <f t="shared" ref="J4:J10" si="3">I4*C4</f>
        <v>7.5917007874015743E-2</v>
      </c>
      <c r="K4" s="3">
        <f t="shared" ref="K4:K5" si="4">$S$28</f>
        <v>1.5632258267716537</v>
      </c>
      <c r="L4" s="3">
        <f t="shared" ref="L4:L10" si="5">K4-J4</f>
        <v>1.487308818897638</v>
      </c>
      <c r="M4" s="3">
        <f t="shared" ref="M4:M11" si="6">L4/P4</f>
        <v>1.0948169443486477</v>
      </c>
      <c r="N4" s="3">
        <f t="shared" ref="N4:N10" si="7">L4/Q4</f>
        <v>19.451105887638683</v>
      </c>
      <c r="O4" s="3" t="e">
        <f t="shared" ref="O4:O11" si="8">L4/R4</f>
        <v>#DIV/0!</v>
      </c>
      <c r="P4">
        <v>1.3585</v>
      </c>
      <c r="Q4" s="3">
        <v>7.6463972150952783E-2</v>
      </c>
      <c r="R4" s="1"/>
      <c r="S4" s="13"/>
      <c r="T4" s="13"/>
      <c r="U4" s="13"/>
    </row>
    <row r="5" spans="1:21" ht="24" x14ac:dyDescent="0.3">
      <c r="A5" s="2" t="s">
        <v>39</v>
      </c>
      <c r="B5" s="2">
        <v>4.6500000000000004</v>
      </c>
      <c r="C5" s="5">
        <v>150</v>
      </c>
      <c r="D5" s="5">
        <v>20</v>
      </c>
      <c r="E5" s="6">
        <v>4.5999999999999999E-2</v>
      </c>
      <c r="F5" s="6">
        <v>0.04</v>
      </c>
      <c r="G5" s="6">
        <f t="shared" si="0"/>
        <v>4.2999999999999997E-2</v>
      </c>
      <c r="H5" s="3">
        <f t="shared" si="1"/>
        <v>6.5961399999999989E-2</v>
      </c>
      <c r="I5" s="3">
        <f t="shared" si="2"/>
        <v>1.0387622047244092E-3</v>
      </c>
      <c r="J5" s="3">
        <f t="shared" si="3"/>
        <v>0.15581433070866138</v>
      </c>
      <c r="K5" s="3">
        <f t="shared" si="4"/>
        <v>1.5632258267716537</v>
      </c>
      <c r="L5" s="3">
        <f t="shared" si="5"/>
        <v>1.4074114960629922</v>
      </c>
      <c r="M5" s="3">
        <f t="shared" si="6"/>
        <v>1.0302404626769579</v>
      </c>
      <c r="N5" s="3">
        <f t="shared" si="7"/>
        <v>18.303805428570165</v>
      </c>
      <c r="O5" s="3" t="e">
        <f t="shared" si="8"/>
        <v>#DIV/0!</v>
      </c>
      <c r="P5">
        <v>1.3661000000000001</v>
      </c>
      <c r="Q5" s="3">
        <v>7.6891742624524542E-2</v>
      </c>
      <c r="R5" s="1"/>
      <c r="S5" s="13"/>
      <c r="T5" s="13"/>
      <c r="U5" s="13"/>
    </row>
    <row r="6" spans="1:21" ht="24" x14ac:dyDescent="0.3">
      <c r="A6" s="2" t="s">
        <v>40</v>
      </c>
      <c r="B6" s="2">
        <v>4.13</v>
      </c>
      <c r="C6" s="5">
        <v>150</v>
      </c>
      <c r="D6" s="5">
        <v>15</v>
      </c>
      <c r="E6" s="6">
        <v>0.38600000000000001</v>
      </c>
      <c r="F6" s="6">
        <v>0.39</v>
      </c>
      <c r="G6" s="6">
        <f t="shared" si="0"/>
        <v>0.38800000000000001</v>
      </c>
      <c r="H6" s="3">
        <f t="shared" si="1"/>
        <v>0.54555653333333332</v>
      </c>
      <c r="I6" s="3">
        <f t="shared" si="2"/>
        <v>8.5914414698162727E-3</v>
      </c>
      <c r="J6" s="3">
        <f t="shared" si="3"/>
        <v>1.2887162204724409</v>
      </c>
      <c r="K6" s="3">
        <f>$S$29</f>
        <v>7.5576377952755927</v>
      </c>
      <c r="L6" s="3">
        <f t="shared" si="5"/>
        <v>6.2689215748031515</v>
      </c>
      <c r="M6" s="3">
        <f t="shared" si="6"/>
        <v>4.8427358631156059</v>
      </c>
      <c r="N6" s="3">
        <f t="shared" si="7"/>
        <v>86.038646502104001</v>
      </c>
      <c r="O6" s="3" t="e">
        <f t="shared" si="8"/>
        <v>#DIV/0!</v>
      </c>
      <c r="P6">
        <v>1.2945</v>
      </c>
      <c r="Q6" s="3">
        <v>7.2861694478769501E-2</v>
      </c>
      <c r="R6" s="1"/>
      <c r="S6" s="12">
        <f t="shared" ref="S6:U6" si="9">AVERAGE(M6:M8)</f>
        <v>4.6925215329329157</v>
      </c>
      <c r="T6" s="12">
        <f t="shared" si="9"/>
        <v>83.369858028097923</v>
      </c>
      <c r="U6" s="12" t="e">
        <f t="shared" si="9"/>
        <v>#DIV/0!</v>
      </c>
    </row>
    <row r="7" spans="1:21" ht="24" x14ac:dyDescent="0.3">
      <c r="A7" s="2" t="s">
        <v>41</v>
      </c>
      <c r="B7" s="2">
        <v>4.1399999999999997</v>
      </c>
      <c r="C7" s="5">
        <v>150</v>
      </c>
      <c r="D7" s="5">
        <v>15</v>
      </c>
      <c r="E7" s="6">
        <v>0.41899999999999998</v>
      </c>
      <c r="F7" s="6">
        <v>0.42299999999999999</v>
      </c>
      <c r="G7" s="6">
        <f t="shared" si="0"/>
        <v>0.42099999999999999</v>
      </c>
      <c r="H7" s="3">
        <f t="shared" si="1"/>
        <v>0.58932773333333321</v>
      </c>
      <c r="I7" s="3">
        <f t="shared" si="2"/>
        <v>9.2807517060367432E-3</v>
      </c>
      <c r="J7" s="3">
        <f t="shared" si="3"/>
        <v>1.3921127559055115</v>
      </c>
      <c r="K7" s="3">
        <f t="shared" ref="K7:K8" si="10">$S$29</f>
        <v>7.5576377952755927</v>
      </c>
      <c r="L7" s="3">
        <f t="shared" si="5"/>
        <v>6.1655250393700811</v>
      </c>
      <c r="M7" s="3">
        <f t="shared" si="6"/>
        <v>4.6135326544223894</v>
      </c>
      <c r="N7" s="3">
        <f t="shared" si="7"/>
        <v>81.966499185521585</v>
      </c>
      <c r="O7" s="3" t="e">
        <f t="shared" si="8"/>
        <v>#DIV/0!</v>
      </c>
      <c r="P7">
        <v>1.3364</v>
      </c>
      <c r="Q7" s="3">
        <v>7.5220060642276987E-2</v>
      </c>
      <c r="R7" s="1"/>
      <c r="S7" s="13"/>
      <c r="T7" s="13"/>
      <c r="U7" s="13"/>
    </row>
    <row r="8" spans="1:21" ht="24" x14ac:dyDescent="0.3">
      <c r="A8" s="2" t="s">
        <v>42</v>
      </c>
      <c r="B8" s="2">
        <v>4.1399999999999997</v>
      </c>
      <c r="C8" s="5">
        <v>150</v>
      </c>
      <c r="D8" s="5">
        <v>15</v>
      </c>
      <c r="E8" s="6">
        <v>0.441</v>
      </c>
      <c r="F8" s="6">
        <v>0.44600000000000001</v>
      </c>
      <c r="G8" s="6">
        <f t="shared" si="0"/>
        <v>0.44350000000000001</v>
      </c>
      <c r="H8" s="3">
        <f t="shared" si="1"/>
        <v>0.61917173333333331</v>
      </c>
      <c r="I8" s="3">
        <f t="shared" si="2"/>
        <v>9.7507359580052497E-3</v>
      </c>
      <c r="J8" s="3">
        <f t="shared" si="3"/>
        <v>1.4626103937007875</v>
      </c>
      <c r="K8" s="3">
        <f t="shared" si="10"/>
        <v>7.5576377952755927</v>
      </c>
      <c r="L8" s="3">
        <f t="shared" si="5"/>
        <v>6.0950274015748054</v>
      </c>
      <c r="M8" s="3">
        <f t="shared" si="6"/>
        <v>4.621296081260752</v>
      </c>
      <c r="N8" s="3">
        <f t="shared" si="7"/>
        <v>82.104428396668169</v>
      </c>
      <c r="O8" s="3" t="e">
        <f t="shared" si="8"/>
        <v>#DIV/0!</v>
      </c>
      <c r="P8">
        <v>1.3189</v>
      </c>
      <c r="Q8" s="3">
        <v>7.4235062841289376E-2</v>
      </c>
      <c r="R8" s="1"/>
      <c r="S8" s="13"/>
      <c r="T8" s="13"/>
      <c r="U8" s="13"/>
    </row>
    <row r="9" spans="1:21" ht="24" x14ac:dyDescent="0.3">
      <c r="A9" s="2" t="s">
        <v>43</v>
      </c>
      <c r="B9" s="2">
        <v>4.0599999999999996</v>
      </c>
      <c r="C9" s="5">
        <v>150</v>
      </c>
      <c r="D9" s="7">
        <v>1</v>
      </c>
      <c r="E9" s="6">
        <f>0.064*2</f>
        <v>0.128</v>
      </c>
      <c r="F9" s="6">
        <f>0.069*2</f>
        <v>0.13800000000000001</v>
      </c>
      <c r="G9" s="6">
        <f t="shared" si="0"/>
        <v>0.13300000000000001</v>
      </c>
      <c r="H9" s="3">
        <f t="shared" si="1"/>
        <v>3.1098680000000005</v>
      </c>
      <c r="I9" s="3">
        <f t="shared" si="2"/>
        <v>4.8974299212598431E-2</v>
      </c>
      <c r="J9" s="3">
        <f t="shared" si="3"/>
        <v>7.3461448818897646</v>
      </c>
      <c r="K9" s="3">
        <f>$S$30</f>
        <v>14.654399999999999</v>
      </c>
      <c r="L9" s="3">
        <f t="shared" si="5"/>
        <v>7.3082551181102344</v>
      </c>
      <c r="M9" s="3">
        <f>L9/P9</f>
        <v>6.6215956492799082</v>
      </c>
      <c r="N9" s="3">
        <f t="shared" si="7"/>
        <v>117.64282493444422</v>
      </c>
      <c r="O9" s="3" t="e">
        <f>L9/R9</f>
        <v>#DIV/0!</v>
      </c>
      <c r="P9">
        <v>1.1036999999999999</v>
      </c>
      <c r="Q9" s="3">
        <v>6.2122404168573113E-2</v>
      </c>
      <c r="R9" s="1"/>
      <c r="S9" s="12">
        <f>AVERAGE(M9:M11)</f>
        <v>6.5571581565768646</v>
      </c>
      <c r="T9" s="12">
        <f t="shared" ref="T9:U9" si="11">AVERAGE(N9:N11)</f>
        <v>116.49799382804723</v>
      </c>
      <c r="U9" s="12" t="e">
        <f t="shared" si="11"/>
        <v>#DIV/0!</v>
      </c>
    </row>
    <row r="10" spans="1:21" ht="24" x14ac:dyDescent="0.3">
      <c r="A10" s="2" t="s">
        <v>44</v>
      </c>
      <c r="B10" s="2">
        <v>4.0599999999999996</v>
      </c>
      <c r="C10" s="5">
        <v>150</v>
      </c>
      <c r="D10" s="7">
        <v>1</v>
      </c>
      <c r="E10" s="6">
        <f>0.073*2</f>
        <v>0.14599999999999999</v>
      </c>
      <c r="F10" s="6">
        <f>0.068*2</f>
        <v>0.13600000000000001</v>
      </c>
      <c r="G10" s="6">
        <f t="shared" si="0"/>
        <v>0.14100000000000001</v>
      </c>
      <c r="H10" s="3">
        <f t="shared" si="1"/>
        <v>3.2690360000000007</v>
      </c>
      <c r="I10" s="3">
        <f t="shared" si="2"/>
        <v>5.148088188976379E-2</v>
      </c>
      <c r="J10" s="3">
        <f t="shared" si="3"/>
        <v>7.7221322834645685</v>
      </c>
      <c r="K10" s="3">
        <f t="shared" ref="K10:K11" si="12">$S$30</f>
        <v>14.654399999999999</v>
      </c>
      <c r="L10" s="3">
        <f t="shared" si="5"/>
        <v>6.9322677165354305</v>
      </c>
      <c r="M10" s="3">
        <f t="shared" si="6"/>
        <v>6.6522096886435378</v>
      </c>
      <c r="N10" s="3">
        <f t="shared" si="7"/>
        <v>118.18673040136642</v>
      </c>
      <c r="O10" s="3" t="e">
        <f t="shared" si="8"/>
        <v>#DIV/0!</v>
      </c>
      <c r="P10">
        <v>1.0421</v>
      </c>
      <c r="Q10" s="3">
        <v>5.8655211909096713E-2</v>
      </c>
      <c r="R10" s="1"/>
      <c r="S10" s="13"/>
      <c r="T10" s="13"/>
      <c r="U10" s="13"/>
    </row>
    <row r="11" spans="1:21" ht="24" x14ac:dyDescent="0.3">
      <c r="A11" s="2" t="s">
        <v>45</v>
      </c>
      <c r="B11" s="2">
        <v>4.03</v>
      </c>
      <c r="C11" s="5">
        <v>150</v>
      </c>
      <c r="D11" s="7">
        <v>1</v>
      </c>
      <c r="E11" s="6">
        <f>0.066*2</f>
        <v>0.13200000000000001</v>
      </c>
      <c r="F11" s="6">
        <f>0.072*2</f>
        <v>0.14399999999999999</v>
      </c>
      <c r="G11" s="6">
        <f t="shared" si="0"/>
        <v>0.13800000000000001</v>
      </c>
      <c r="H11" s="3">
        <f t="shared" si="1"/>
        <v>3.2093480000000003</v>
      </c>
      <c r="I11" s="3">
        <f>H11/63.5</f>
        <v>5.0540913385826773E-2</v>
      </c>
      <c r="J11" s="3">
        <f>I11*C11</f>
        <v>7.5811370078740161</v>
      </c>
      <c r="K11" s="3">
        <f t="shared" si="12"/>
        <v>14.654399999999999</v>
      </c>
      <c r="L11" s="3">
        <f>K11-J11</f>
        <v>7.0732629921259829</v>
      </c>
      <c r="M11" s="3">
        <f t="shared" si="6"/>
        <v>6.3976691318071488</v>
      </c>
      <c r="N11" s="3">
        <f>L11/Q11</f>
        <v>113.66442614833102</v>
      </c>
      <c r="O11" s="3" t="e">
        <f t="shared" si="8"/>
        <v>#DIV/0!</v>
      </c>
      <c r="P11">
        <v>1.1055999999999999</v>
      </c>
      <c r="Q11" s="3">
        <v>6.2229346786966053E-2</v>
      </c>
      <c r="R11" s="1"/>
      <c r="S11" s="13"/>
      <c r="T11" s="13"/>
      <c r="U11" s="13"/>
    </row>
    <row r="13" spans="1:21" ht="26.25" x14ac:dyDescent="0.4">
      <c r="A13" s="14" t="s">
        <v>59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60.75" x14ac:dyDescent="0.3">
      <c r="A14" s="3" t="s">
        <v>0</v>
      </c>
      <c r="B14" s="3" t="s">
        <v>46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s="3" t="s">
        <v>32</v>
      </c>
      <c r="O14" s="3" t="s">
        <v>33</v>
      </c>
      <c r="P14" s="3" t="s">
        <v>3</v>
      </c>
      <c r="Q14" s="3" t="s">
        <v>4</v>
      </c>
      <c r="R14" s="3" t="s">
        <v>50</v>
      </c>
      <c r="S14" s="4" t="s">
        <v>34</v>
      </c>
      <c r="T14" s="4" t="s">
        <v>35</v>
      </c>
      <c r="U14" s="4" t="s">
        <v>36</v>
      </c>
    </row>
    <row r="15" spans="1:21" ht="24" x14ac:dyDescent="0.3">
      <c r="A15" s="2" t="s">
        <v>37</v>
      </c>
      <c r="B15" s="2">
        <v>4.58</v>
      </c>
      <c r="C15" s="5">
        <v>150</v>
      </c>
      <c r="D15" s="5">
        <v>20</v>
      </c>
      <c r="E15" s="6">
        <v>3.9E-2</v>
      </c>
      <c r="F15" s="6">
        <v>4.2000000000000003E-2</v>
      </c>
      <c r="G15" s="6">
        <f>AVERAGE(E15:F15)</f>
        <v>4.0500000000000001E-2</v>
      </c>
      <c r="H15" s="3">
        <f>(G15*21.536+0.1917)/D15</f>
        <v>5.3195400000000004E-2</v>
      </c>
      <c r="I15" s="3">
        <f>H15/63.5</f>
        <v>8.3772283464566936E-4</v>
      </c>
      <c r="J15" s="3">
        <f>I15*C15</f>
        <v>0.12565842519685042</v>
      </c>
      <c r="K15" s="3">
        <f>$S$28</f>
        <v>1.5632258267716537</v>
      </c>
      <c r="L15" s="3">
        <f>K15-J15</f>
        <v>1.4375674015748032</v>
      </c>
      <c r="M15" s="3">
        <f>L15/P15</f>
        <v>0.88683985291474599</v>
      </c>
      <c r="N15" s="3">
        <f>L15/Q15</f>
        <v>8.7015335552484814</v>
      </c>
      <c r="O15" s="3" t="e">
        <f>L15/R15</f>
        <v>#DIV/0!</v>
      </c>
      <c r="P15">
        <v>1.621</v>
      </c>
      <c r="Q15" s="3">
        <v>0.16520851094204073</v>
      </c>
      <c r="R15" s="1"/>
      <c r="S15" s="12">
        <f>AVERAGE(M15:M17)</f>
        <v>0.79703584127522753</v>
      </c>
      <c r="T15" s="12">
        <f>AVERAGE(N15:N17)</f>
        <v>7.8203906768484091</v>
      </c>
      <c r="U15" s="12" t="e">
        <f>AVERAGE(O15:O17)</f>
        <v>#DIV/0!</v>
      </c>
    </row>
    <row r="16" spans="1:21" ht="24" x14ac:dyDescent="0.3">
      <c r="A16" s="2" t="s">
        <v>38</v>
      </c>
      <c r="B16" s="2">
        <v>4.5199999999999996</v>
      </c>
      <c r="C16" s="5">
        <v>150</v>
      </c>
      <c r="D16" s="5">
        <v>20</v>
      </c>
      <c r="E16" s="6">
        <v>2.8000000000000001E-2</v>
      </c>
      <c r="F16" s="6">
        <v>0.03</v>
      </c>
      <c r="G16" s="6">
        <f t="shared" ref="G16:G23" si="13">AVERAGE(E16:F16)</f>
        <v>2.8999999999999998E-2</v>
      </c>
      <c r="H16" s="3">
        <f t="shared" ref="H16:H23" si="14">(G16*21.536+0.1917)/D16</f>
        <v>4.08122E-2</v>
      </c>
      <c r="I16" s="3">
        <f t="shared" ref="I16:I22" si="15">H16/63.5</f>
        <v>6.4271181102362209E-4</v>
      </c>
      <c r="J16" s="3">
        <f t="shared" ref="J16:J22" si="16">I16*C16</f>
        <v>9.6406771653543319E-2</v>
      </c>
      <c r="K16" s="3">
        <f t="shared" ref="K16:K17" si="17">$S$28</f>
        <v>1.5632258267716537</v>
      </c>
      <c r="L16" s="3">
        <f t="shared" ref="L16:L22" si="18">K16-J16</f>
        <v>1.4668190551181104</v>
      </c>
      <c r="M16" s="3">
        <f t="shared" ref="M16:M23" si="19">L16/P16</f>
        <v>0.72200189757733335</v>
      </c>
      <c r="N16" s="3">
        <f t="shared" ref="N16:N22" si="20">L16/Q16</f>
        <v>7.084169388727501</v>
      </c>
      <c r="O16" s="3" t="e">
        <f t="shared" ref="O16:O20" si="21">L16/R16</f>
        <v>#DIV/0!</v>
      </c>
      <c r="P16">
        <v>2.0316000000000001</v>
      </c>
      <c r="Q16" s="3">
        <v>0.20705589810601477</v>
      </c>
      <c r="R16" s="1"/>
      <c r="S16" s="13"/>
      <c r="T16" s="13"/>
      <c r="U16" s="13"/>
    </row>
    <row r="17" spans="1:21" ht="24" x14ac:dyDescent="0.3">
      <c r="A17" s="2" t="s">
        <v>39</v>
      </c>
      <c r="B17" s="2">
        <v>5.38</v>
      </c>
      <c r="C17" s="5">
        <v>150</v>
      </c>
      <c r="D17" s="5">
        <v>20</v>
      </c>
      <c r="E17" s="6">
        <v>5.0000000000000001E-3</v>
      </c>
      <c r="F17" s="6">
        <v>0.01</v>
      </c>
      <c r="G17" s="6">
        <f t="shared" si="13"/>
        <v>7.4999999999999997E-3</v>
      </c>
      <c r="H17" s="3">
        <f t="shared" si="14"/>
        <v>1.7661E-2</v>
      </c>
      <c r="I17" s="3">
        <f t="shared" si="15"/>
        <v>2.781259842519685E-4</v>
      </c>
      <c r="J17" s="3">
        <f t="shared" si="16"/>
        <v>4.1718897637795273E-2</v>
      </c>
      <c r="K17" s="3">
        <f t="shared" si="17"/>
        <v>1.5632258267716537</v>
      </c>
      <c r="L17" s="3">
        <f t="shared" si="18"/>
        <v>1.5215069291338583</v>
      </c>
      <c r="M17" s="3">
        <f t="shared" si="19"/>
        <v>0.78226577333360325</v>
      </c>
      <c r="N17" s="3">
        <f t="shared" si="20"/>
        <v>7.6754690865692465</v>
      </c>
      <c r="O17" s="3" t="e">
        <f t="shared" si="21"/>
        <v>#DIV/0!</v>
      </c>
      <c r="P17">
        <v>1.9450000000000001</v>
      </c>
      <c r="Q17" s="3">
        <v>0.19822982960041285</v>
      </c>
      <c r="R17" s="1"/>
      <c r="S17" s="13"/>
      <c r="T17" s="13"/>
      <c r="U17" s="13"/>
    </row>
    <row r="18" spans="1:21" ht="24" x14ac:dyDescent="0.3">
      <c r="A18" s="2" t="s">
        <v>40</v>
      </c>
      <c r="B18" s="2">
        <v>4.83</v>
      </c>
      <c r="C18" s="5">
        <v>150</v>
      </c>
      <c r="D18" s="5">
        <v>16</v>
      </c>
      <c r="E18" s="6">
        <v>7.0000000000000007E-2</v>
      </c>
      <c r="F18" s="6">
        <v>6.9000000000000006E-2</v>
      </c>
      <c r="G18" s="6">
        <f t="shared" si="13"/>
        <v>6.9500000000000006E-2</v>
      </c>
      <c r="H18" s="3">
        <f t="shared" si="14"/>
        <v>0.10552825000000002</v>
      </c>
      <c r="I18" s="3">
        <f t="shared" si="15"/>
        <v>1.6618622047244098E-3</v>
      </c>
      <c r="J18" s="3">
        <f t="shared" si="16"/>
        <v>0.24927933070866146</v>
      </c>
      <c r="K18" s="3">
        <f>$S$29</f>
        <v>7.5576377952755927</v>
      </c>
      <c r="L18" s="3">
        <f t="shared" si="18"/>
        <v>7.3083584645669308</v>
      </c>
      <c r="M18" s="3">
        <f>L18/P18</f>
        <v>3.8754684826423436</v>
      </c>
      <c r="N18" s="3">
        <f t="shared" si="20"/>
        <v>38.025488968707968</v>
      </c>
      <c r="O18" s="3" t="e">
        <f t="shared" si="21"/>
        <v>#DIV/0!</v>
      </c>
      <c r="P18">
        <v>1.8857999999999999</v>
      </c>
      <c r="Q18" s="3">
        <v>0.1921963047097473</v>
      </c>
      <c r="R18" s="1"/>
      <c r="S18" s="12">
        <f t="shared" ref="S18" si="22">AVERAGE(M18:M20)</f>
        <v>3.8566717592704998</v>
      </c>
      <c r="T18" s="12">
        <f t="shared" ref="T18" si="23">AVERAGE(N18:N20)</f>
        <v>37.841058466840856</v>
      </c>
      <c r="U18" s="12" t="e">
        <f t="shared" ref="U18" si="24">AVERAGE(O18:O20)</f>
        <v>#DIV/0!</v>
      </c>
    </row>
    <row r="19" spans="1:21" ht="24" x14ac:dyDescent="0.3">
      <c r="A19" s="2" t="s">
        <v>41</v>
      </c>
      <c r="B19" s="2">
        <v>4.79</v>
      </c>
      <c r="C19" s="5">
        <v>150</v>
      </c>
      <c r="D19" s="5">
        <v>16</v>
      </c>
      <c r="E19" s="6">
        <v>2.9000000000000001E-2</v>
      </c>
      <c r="F19" s="6">
        <v>2.9000000000000001E-2</v>
      </c>
      <c r="G19" s="6">
        <f t="shared" si="13"/>
        <v>2.9000000000000001E-2</v>
      </c>
      <c r="H19" s="3">
        <f t="shared" si="14"/>
        <v>5.1015250000000005E-2</v>
      </c>
      <c r="I19" s="3">
        <f t="shared" si="15"/>
        <v>8.0338976377952764E-4</v>
      </c>
      <c r="J19" s="3">
        <f t="shared" si="16"/>
        <v>0.12050846456692915</v>
      </c>
      <c r="K19" s="3">
        <f t="shared" ref="K19:K20" si="25">$S$29</f>
        <v>7.5576377952755927</v>
      </c>
      <c r="L19" s="3">
        <f t="shared" si="18"/>
        <v>7.4371293307086637</v>
      </c>
      <c r="M19" s="3">
        <f t="shared" si="19"/>
        <v>3.9963080766838601</v>
      </c>
      <c r="N19" s="3">
        <f t="shared" si="20"/>
        <v>39.211148114380059</v>
      </c>
      <c r="O19" s="3" t="e">
        <f t="shared" si="21"/>
        <v>#DIV/0!</v>
      </c>
      <c r="P19">
        <v>1.861</v>
      </c>
      <c r="Q19" s="3">
        <v>0.18966874698527933</v>
      </c>
      <c r="R19" s="1"/>
      <c r="S19" s="13"/>
      <c r="T19" s="13"/>
      <c r="U19" s="13"/>
    </row>
    <row r="20" spans="1:21" ht="24" x14ac:dyDescent="0.3">
      <c r="A20" s="2" t="s">
        <v>42</v>
      </c>
      <c r="B20" s="2">
        <v>4.7</v>
      </c>
      <c r="C20" s="5">
        <v>150</v>
      </c>
      <c r="D20" s="5">
        <v>16</v>
      </c>
      <c r="E20" s="6">
        <v>5.7000000000000002E-2</v>
      </c>
      <c r="F20" s="6">
        <v>6.0999999999999999E-2</v>
      </c>
      <c r="G20" s="6">
        <f t="shared" si="13"/>
        <v>5.8999999999999997E-2</v>
      </c>
      <c r="H20" s="3">
        <f t="shared" si="14"/>
        <v>9.1395249999999997E-2</v>
      </c>
      <c r="I20" s="3">
        <f t="shared" si="15"/>
        <v>1.4392952755905512E-3</v>
      </c>
      <c r="J20" s="3">
        <f t="shared" si="16"/>
        <v>0.21589429133858268</v>
      </c>
      <c r="K20" s="3">
        <f t="shared" si="25"/>
        <v>7.5576377952755927</v>
      </c>
      <c r="L20" s="3">
        <f t="shared" si="18"/>
        <v>7.3417435039370096</v>
      </c>
      <c r="M20" s="3">
        <f t="shared" si="19"/>
        <v>3.6982387184852961</v>
      </c>
      <c r="N20" s="3">
        <f t="shared" si="20"/>
        <v>36.286538317434541</v>
      </c>
      <c r="O20" s="3" t="e">
        <f t="shared" si="21"/>
        <v>#DIV/0!</v>
      </c>
      <c r="P20">
        <v>1.9852000000000001</v>
      </c>
      <c r="Q20" s="3">
        <v>0.2023269191376553</v>
      </c>
      <c r="R20" s="1"/>
      <c r="S20" s="13"/>
      <c r="T20" s="13"/>
      <c r="U20" s="13"/>
    </row>
    <row r="21" spans="1:21" ht="24" x14ac:dyDescent="0.3">
      <c r="A21" s="2" t="s">
        <v>43</v>
      </c>
      <c r="B21" s="2">
        <v>4.38</v>
      </c>
      <c r="C21" s="5">
        <v>150</v>
      </c>
      <c r="D21" s="7">
        <v>2</v>
      </c>
      <c r="E21" s="6">
        <v>8.4000000000000005E-2</v>
      </c>
      <c r="F21" s="6">
        <v>8.4000000000000005E-2</v>
      </c>
      <c r="G21" s="6">
        <f t="shared" si="13"/>
        <v>8.4000000000000005E-2</v>
      </c>
      <c r="H21" s="3">
        <f t="shared" si="14"/>
        <v>1.0003620000000002</v>
      </c>
      <c r="I21" s="3">
        <f t="shared" si="15"/>
        <v>1.5753732283464571E-2</v>
      </c>
      <c r="J21" s="3">
        <f t="shared" si="16"/>
        <v>2.3630598425196858</v>
      </c>
      <c r="K21" s="3">
        <f>$S$30</f>
        <v>14.654399999999999</v>
      </c>
      <c r="L21" s="3">
        <f t="shared" si="18"/>
        <v>12.291340157480313</v>
      </c>
      <c r="M21" s="3">
        <f t="shared" si="19"/>
        <v>7.4407289530118739</v>
      </c>
      <c r="N21" s="3">
        <f t="shared" si="20"/>
        <v>73.007265570377882</v>
      </c>
      <c r="O21" s="3" t="e">
        <f>L21/R21</f>
        <v>#DIV/0!</v>
      </c>
      <c r="P21">
        <v>1.6518999999999999</v>
      </c>
      <c r="Q21" s="3">
        <v>0.16835776633260768</v>
      </c>
      <c r="R21" s="1"/>
      <c r="S21" s="12">
        <f t="shared" ref="S21" si="26">AVERAGE(M21:M23)</f>
        <v>7.7723766240678005</v>
      </c>
      <c r="T21" s="12">
        <f t="shared" ref="T21" si="27">AVERAGE(N21:N23)</f>
        <v>76.261340507051457</v>
      </c>
      <c r="U21" s="12" t="e">
        <f t="shared" ref="U21" si="28">AVERAGE(O21:O23)</f>
        <v>#DIV/0!</v>
      </c>
    </row>
    <row r="22" spans="1:21" ht="24" x14ac:dyDescent="0.3">
      <c r="A22" s="2" t="s">
        <v>44</v>
      </c>
      <c r="B22" s="2">
        <v>4.3899999999999997</v>
      </c>
      <c r="C22" s="5">
        <v>150</v>
      </c>
      <c r="D22" s="7">
        <v>2</v>
      </c>
      <c r="E22" s="6">
        <v>0.125</v>
      </c>
      <c r="F22" s="6">
        <v>0.127</v>
      </c>
      <c r="G22" s="6">
        <f t="shared" si="13"/>
        <v>0.126</v>
      </c>
      <c r="H22" s="3">
        <f t="shared" si="14"/>
        <v>1.4526180000000002</v>
      </c>
      <c r="I22" s="3">
        <f t="shared" si="15"/>
        <v>2.2875874015748036E-2</v>
      </c>
      <c r="J22" s="3">
        <f t="shared" si="16"/>
        <v>3.4313811023622054</v>
      </c>
      <c r="K22" s="3">
        <f t="shared" ref="K22:K23" si="29">$S$30</f>
        <v>14.654399999999999</v>
      </c>
      <c r="L22" s="3">
        <f t="shared" si="18"/>
        <v>11.223018897637793</v>
      </c>
      <c r="M22" s="3">
        <f t="shared" si="19"/>
        <v>7.6289979591039305</v>
      </c>
      <c r="N22" s="3">
        <f t="shared" si="20"/>
        <v>74.854531532252508</v>
      </c>
      <c r="O22" s="3" t="e">
        <f t="shared" ref="O22:O23" si="30">L22/R22</f>
        <v>#DIV/0!</v>
      </c>
      <c r="P22">
        <v>1.4711000000000001</v>
      </c>
      <c r="Q22" s="3">
        <v>0.14993105518003463</v>
      </c>
      <c r="R22" s="1"/>
      <c r="S22" s="13"/>
      <c r="T22" s="13"/>
      <c r="U22" s="13"/>
    </row>
    <row r="23" spans="1:21" ht="24" x14ac:dyDescent="0.3">
      <c r="A23" s="2" t="s">
        <v>45</v>
      </c>
      <c r="B23" s="2">
        <v>4.6900000000000004</v>
      </c>
      <c r="C23" s="5">
        <v>150</v>
      </c>
      <c r="D23" s="7">
        <v>2</v>
      </c>
      <c r="E23" s="6">
        <v>4.8000000000000001E-2</v>
      </c>
      <c r="F23" s="6">
        <v>4.7E-2</v>
      </c>
      <c r="G23" s="6">
        <f t="shared" si="13"/>
        <v>4.7500000000000001E-2</v>
      </c>
      <c r="H23" s="3">
        <f t="shared" si="14"/>
        <v>0.60733000000000004</v>
      </c>
      <c r="I23" s="3">
        <f>H23/63.5</f>
        <v>9.5642519685039378E-3</v>
      </c>
      <c r="J23" s="3">
        <f>I23*C23</f>
        <v>1.4346377952755907</v>
      </c>
      <c r="K23" s="3">
        <f t="shared" si="29"/>
        <v>14.654399999999999</v>
      </c>
      <c r="L23" s="3">
        <f>K23-J23</f>
        <v>13.219762204724407</v>
      </c>
      <c r="M23" s="3">
        <f t="shared" si="19"/>
        <v>8.2474029600875962</v>
      </c>
      <c r="N23" s="3">
        <f>L23/Q23</f>
        <v>80.922224418523967</v>
      </c>
      <c r="O23" s="3" t="e">
        <f t="shared" si="30"/>
        <v>#DIV/0!</v>
      </c>
      <c r="P23">
        <v>1.6029</v>
      </c>
      <c r="Q23" s="3">
        <v>0.16336380147377982</v>
      </c>
      <c r="R23" s="1"/>
      <c r="S23" s="13"/>
      <c r="T23" s="13"/>
      <c r="U23" s="13"/>
    </row>
    <row r="26" spans="1:21" x14ac:dyDescent="0.3">
      <c r="A26" s="2" t="s">
        <v>47</v>
      </c>
      <c r="E26" s="2" t="s">
        <v>48</v>
      </c>
      <c r="K26" s="2" t="s">
        <v>49</v>
      </c>
    </row>
    <row r="27" spans="1:21" x14ac:dyDescent="0.3">
      <c r="A27" s="2">
        <v>0.1</v>
      </c>
      <c r="B27" s="2">
        <f>A27*10</f>
        <v>1</v>
      </c>
      <c r="C27" s="2">
        <v>2.8000000000000001E-2</v>
      </c>
      <c r="E27" s="2">
        <v>0.1</v>
      </c>
      <c r="F27" s="2">
        <f>E27*10</f>
        <v>1</v>
      </c>
      <c r="G27" s="2">
        <v>3.6999999999999998E-2</v>
      </c>
      <c r="K27" s="2" t="s">
        <v>0</v>
      </c>
      <c r="L27" s="2" t="s">
        <v>21</v>
      </c>
      <c r="M27" s="2" t="s">
        <v>22</v>
      </c>
      <c r="N27" s="2" t="s">
        <v>23</v>
      </c>
      <c r="O27" s="2" t="s">
        <v>24</v>
      </c>
      <c r="P27" s="2" t="s">
        <v>25</v>
      </c>
      <c r="Q27" s="2" t="s">
        <v>26</v>
      </c>
      <c r="R27" s="2" t="s">
        <v>27</v>
      </c>
      <c r="S27" s="2" t="s">
        <v>28</v>
      </c>
    </row>
    <row r="28" spans="1:21" ht="24" x14ac:dyDescent="0.3">
      <c r="A28" s="2">
        <v>0.3</v>
      </c>
      <c r="B28" s="2">
        <f t="shared" ref="B28:B31" si="31">A28*10</f>
        <v>3</v>
      </c>
      <c r="C28" s="2">
        <v>0.128</v>
      </c>
      <c r="E28" s="2">
        <v>0.2</v>
      </c>
      <c r="F28" s="2">
        <f t="shared" ref="F28:F31" si="32">E28*10</f>
        <v>2</v>
      </c>
      <c r="G28" s="2">
        <v>8.4000000000000005E-2</v>
      </c>
      <c r="K28" s="2" t="s">
        <v>37</v>
      </c>
      <c r="L28" s="2">
        <v>150</v>
      </c>
      <c r="M28" s="2">
        <v>5</v>
      </c>
      <c r="N28" s="2">
        <v>0.14099999999999999</v>
      </c>
      <c r="O28" s="2">
        <v>0.14499999999999999</v>
      </c>
      <c r="P28" s="2">
        <f>AVERAGE(N28:O28)</f>
        <v>0.14299999999999999</v>
      </c>
      <c r="Q28" s="2">
        <f>(P28*19.896+0.4637)/M28</f>
        <v>0.66176560000000006</v>
      </c>
      <c r="R28" s="2">
        <f>Q28/63.5</f>
        <v>1.0421505511811025E-2</v>
      </c>
      <c r="S28" s="2">
        <f>R28*L28</f>
        <v>1.5632258267716537</v>
      </c>
    </row>
    <row r="29" spans="1:21" ht="24" x14ac:dyDescent="0.3">
      <c r="A29" s="2">
        <v>0.5</v>
      </c>
      <c r="B29" s="2">
        <f t="shared" si="31"/>
        <v>5</v>
      </c>
      <c r="C29" s="2">
        <v>0.224</v>
      </c>
      <c r="E29" s="2">
        <v>0.3</v>
      </c>
      <c r="F29" s="2">
        <f t="shared" si="32"/>
        <v>3</v>
      </c>
      <c r="G29" s="2">
        <v>0.13300000000000001</v>
      </c>
      <c r="K29" s="2" t="s">
        <v>40</v>
      </c>
      <c r="L29" s="2">
        <v>150</v>
      </c>
      <c r="M29" s="2">
        <v>1</v>
      </c>
      <c r="N29" s="2">
        <v>0.14000000000000001</v>
      </c>
      <c r="O29" s="2">
        <v>0.13500000000000001</v>
      </c>
      <c r="P29" s="2">
        <f t="shared" ref="P29:P30" si="33">AVERAGE(N29:O29)</f>
        <v>0.13750000000000001</v>
      </c>
      <c r="Q29" s="2">
        <f t="shared" ref="Q29:Q30" si="34">(P29*19.896+0.4637)/M29</f>
        <v>3.1994000000000007</v>
      </c>
      <c r="R29" s="2">
        <f t="shared" ref="R29:R30" si="35">Q29/63.5</f>
        <v>5.0384251968503949E-2</v>
      </c>
      <c r="S29" s="2">
        <f t="shared" ref="S29:S30" si="36">R29*L29</f>
        <v>7.5576377952755927</v>
      </c>
    </row>
    <row r="30" spans="1:21" ht="24" x14ac:dyDescent="0.3">
      <c r="A30" s="2">
        <v>0.7</v>
      </c>
      <c r="B30" s="2">
        <f t="shared" si="31"/>
        <v>7</v>
      </c>
      <c r="C30" s="2">
        <v>0.33100000000000002</v>
      </c>
      <c r="E30" s="2">
        <v>0.4</v>
      </c>
      <c r="F30" s="2">
        <f t="shared" si="32"/>
        <v>4</v>
      </c>
      <c r="G30" s="2">
        <v>0.17399999999999999</v>
      </c>
      <c r="K30" s="2" t="s">
        <v>43</v>
      </c>
      <c r="L30" s="2">
        <v>150</v>
      </c>
      <c r="M30" s="2">
        <v>1</v>
      </c>
      <c r="N30" s="2">
        <v>0.28699999999999998</v>
      </c>
      <c r="O30" s="2">
        <v>0.28999999999999998</v>
      </c>
      <c r="P30" s="2">
        <f t="shared" si="33"/>
        <v>0.28849999999999998</v>
      </c>
      <c r="Q30" s="2">
        <f t="shared" si="34"/>
        <v>6.2036959999999999</v>
      </c>
      <c r="R30" s="2">
        <f t="shared" si="35"/>
        <v>9.7695999999999991E-2</v>
      </c>
      <c r="S30" s="2">
        <f t="shared" si="36"/>
        <v>14.654399999999999</v>
      </c>
    </row>
    <row r="31" spans="1:21" x14ac:dyDescent="0.3">
      <c r="A31" s="2">
        <v>0.9</v>
      </c>
      <c r="B31" s="2">
        <f t="shared" si="31"/>
        <v>9</v>
      </c>
      <c r="C31" s="2">
        <v>0.42899999999999999</v>
      </c>
      <c r="E31" s="2">
        <v>0.5</v>
      </c>
      <c r="F31" s="2">
        <f t="shared" si="32"/>
        <v>5</v>
      </c>
      <c r="G31" s="2">
        <v>0.224</v>
      </c>
    </row>
  </sheetData>
  <mergeCells count="20">
    <mergeCell ref="S18:S20"/>
    <mergeCell ref="T18:T20"/>
    <mergeCell ref="U18:U20"/>
    <mergeCell ref="S21:S23"/>
    <mergeCell ref="T21:T23"/>
    <mergeCell ref="U21:U23"/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2B74-9B34-410E-ACF0-374BC7C571A1}">
  <dimension ref="A2:R33"/>
  <sheetViews>
    <sheetView tabSelected="1" topLeftCell="A13" workbookViewId="0">
      <selection activeCell="L31" sqref="L31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4" t="s">
        <v>57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81" x14ac:dyDescent="0.3">
      <c r="A3" s="3" t="s">
        <v>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53</v>
      </c>
      <c r="K3" s="3" t="s">
        <v>54</v>
      </c>
      <c r="L3" s="3" t="s">
        <v>55</v>
      </c>
      <c r="M3" s="3" t="s">
        <v>1</v>
      </c>
      <c r="N3" s="3" t="s">
        <v>2</v>
      </c>
      <c r="O3" s="3" t="s">
        <v>6</v>
      </c>
      <c r="P3" s="4" t="s">
        <v>34</v>
      </c>
      <c r="Q3" s="4" t="s">
        <v>35</v>
      </c>
      <c r="R3" s="4" t="s">
        <v>36</v>
      </c>
    </row>
    <row r="4" spans="1:18" ht="24" x14ac:dyDescent="0.3">
      <c r="A4" s="2" t="s">
        <v>37</v>
      </c>
      <c r="B4" s="5">
        <v>20</v>
      </c>
      <c r="C4" s="5">
        <v>5</v>
      </c>
      <c r="D4" s="6">
        <v>0.21299999999999999</v>
      </c>
      <c r="E4" s="6">
        <v>0.21299999999999999</v>
      </c>
      <c r="F4" s="6">
        <f>AVERAGE(D4:E4)</f>
        <v>0.21299999999999999</v>
      </c>
      <c r="G4" s="3">
        <f>(F4*94.1+1.3225)/C4</f>
        <v>4.2731599999999998</v>
      </c>
      <c r="H4" s="3">
        <f>G4/63.5</f>
        <v>6.7293858267716528E-2</v>
      </c>
      <c r="I4" s="3">
        <f>H4*B4</f>
        <v>1.3458771653543304</v>
      </c>
      <c r="J4" s="3">
        <f>I4/M4</f>
        <v>1.2837439577969576</v>
      </c>
      <c r="K4" s="3">
        <f>I4/N4</f>
        <v>22.807684686119675</v>
      </c>
      <c r="L4" s="3" t="e">
        <f>K4/O4</f>
        <v>#DIV/0!</v>
      </c>
      <c r="M4">
        <v>1.0484</v>
      </c>
      <c r="N4" s="3">
        <v>5.9009811117452259E-2</v>
      </c>
      <c r="O4" s="1"/>
      <c r="P4" s="12">
        <f>AVERAGE(J4:J6)</f>
        <v>1.0648584849709206</v>
      </c>
      <c r="Q4" s="12">
        <f>AVERAGE(K4:K6)</f>
        <v>18.91884780687489</v>
      </c>
      <c r="R4" s="12" t="e">
        <f>AVERAGE(L4:L6)</f>
        <v>#DIV/0!</v>
      </c>
    </row>
    <row r="5" spans="1:18" ht="24" x14ac:dyDescent="0.3">
      <c r="A5" s="2" t="s">
        <v>38</v>
      </c>
      <c r="B5" s="5">
        <v>20</v>
      </c>
      <c r="C5" s="5">
        <v>5</v>
      </c>
      <c r="D5" s="6">
        <v>0.214</v>
      </c>
      <c r="E5" s="6">
        <v>0.21299999999999999</v>
      </c>
      <c r="F5" s="6">
        <f t="shared" ref="F5:F12" si="0">AVERAGE(D5:E5)</f>
        <v>0.2135</v>
      </c>
      <c r="G5" s="3">
        <f t="shared" ref="G5:G12" si="1">(F5*94.1+1.3225)/C5</f>
        <v>4.2825699999999998</v>
      </c>
      <c r="H5" s="3">
        <f t="shared" ref="H5:H11" si="2">G5/63.5</f>
        <v>6.7442047244094486E-2</v>
      </c>
      <c r="I5" s="3">
        <f t="shared" ref="I5:I11" si="3">H5*B5</f>
        <v>1.3488409448818897</v>
      </c>
      <c r="J5" s="3">
        <f t="shared" ref="J5:L12" si="4">I5/M5</f>
        <v>0.99288991158033835</v>
      </c>
      <c r="K5" s="3">
        <f t="shared" ref="K5:K12" si="5">I5/N5</f>
        <v>17.640215475845931</v>
      </c>
      <c r="L5" s="3" t="e">
        <f t="shared" si="4"/>
        <v>#DIV/0!</v>
      </c>
      <c r="M5">
        <v>1.3585</v>
      </c>
      <c r="N5" s="3">
        <v>7.6463972150952783E-2</v>
      </c>
      <c r="O5" s="1"/>
      <c r="P5" s="13"/>
      <c r="Q5" s="13"/>
      <c r="R5" s="13"/>
    </row>
    <row r="6" spans="1:18" ht="24" x14ac:dyDescent="0.3">
      <c r="A6" s="2" t="s">
        <v>39</v>
      </c>
      <c r="B6" s="5">
        <v>20</v>
      </c>
      <c r="C6" s="5">
        <v>5</v>
      </c>
      <c r="D6" s="6">
        <v>0.19600000000000001</v>
      </c>
      <c r="E6" s="6">
        <v>0.19900000000000001</v>
      </c>
      <c r="F6" s="6">
        <f t="shared" si="0"/>
        <v>0.19750000000000001</v>
      </c>
      <c r="G6" s="3">
        <f t="shared" si="1"/>
        <v>3.9814500000000002</v>
      </c>
      <c r="H6" s="3">
        <f t="shared" si="2"/>
        <v>6.2700000000000006E-2</v>
      </c>
      <c r="I6" s="3">
        <f t="shared" si="3"/>
        <v>1.254</v>
      </c>
      <c r="J6" s="3">
        <f t="shared" si="4"/>
        <v>0.9179415855354659</v>
      </c>
      <c r="K6" s="3">
        <f t="shared" si="5"/>
        <v>16.308643258659064</v>
      </c>
      <c r="L6" s="3" t="e">
        <f t="shared" si="4"/>
        <v>#DIV/0!</v>
      </c>
      <c r="M6">
        <v>1.3661000000000001</v>
      </c>
      <c r="N6" s="3">
        <v>7.6891742624524542E-2</v>
      </c>
      <c r="O6" s="1"/>
      <c r="P6" s="13"/>
      <c r="Q6" s="13"/>
      <c r="R6" s="13"/>
    </row>
    <row r="7" spans="1:18" ht="24" x14ac:dyDescent="0.3">
      <c r="A7" s="2" t="s">
        <v>40</v>
      </c>
      <c r="B7" s="5">
        <v>20</v>
      </c>
      <c r="C7" s="5">
        <v>1</v>
      </c>
      <c r="D7" s="6">
        <v>0.17399999999999999</v>
      </c>
      <c r="E7" s="6">
        <v>0.17899999999999999</v>
      </c>
      <c r="F7" s="6">
        <f t="shared" si="0"/>
        <v>0.17649999999999999</v>
      </c>
      <c r="G7" s="3">
        <f t="shared" si="1"/>
        <v>17.931149999999999</v>
      </c>
      <c r="H7" s="3">
        <f t="shared" si="2"/>
        <v>0.28238031496062993</v>
      </c>
      <c r="I7" s="3">
        <f t="shared" si="3"/>
        <v>5.6476062992125984</v>
      </c>
      <c r="J7" s="3">
        <f t="shared" si="4"/>
        <v>4.3627704126787163</v>
      </c>
      <c r="K7" s="3">
        <f t="shared" si="5"/>
        <v>77.511322507853592</v>
      </c>
      <c r="L7" s="3" t="e">
        <f t="shared" si="4"/>
        <v>#DIV/0!</v>
      </c>
      <c r="M7">
        <v>1.2945</v>
      </c>
      <c r="N7" s="3">
        <v>7.2861694478769501E-2</v>
      </c>
      <c r="O7" s="1"/>
      <c r="P7" s="12">
        <f t="shared" ref="P7:R7" si="6">AVERAGE(J7:J9)</f>
        <v>4.2084147344330427</v>
      </c>
      <c r="Q7" s="12">
        <f t="shared" si="6"/>
        <v>74.768956619736002</v>
      </c>
      <c r="R7" s="12" t="e">
        <f t="shared" si="6"/>
        <v>#DIV/0!</v>
      </c>
    </row>
    <row r="8" spans="1:18" ht="24" x14ac:dyDescent="0.3">
      <c r="A8" s="2" t="s">
        <v>41</v>
      </c>
      <c r="B8" s="5">
        <v>20</v>
      </c>
      <c r="C8" s="5">
        <v>1</v>
      </c>
      <c r="D8" s="6">
        <v>0.17199999999999999</v>
      </c>
      <c r="E8" s="6">
        <v>0.17</v>
      </c>
      <c r="F8" s="6">
        <f t="shared" si="0"/>
        <v>0.17099999999999999</v>
      </c>
      <c r="G8" s="3">
        <f t="shared" si="1"/>
        <v>17.413599999999999</v>
      </c>
      <c r="H8" s="3">
        <f t="shared" si="2"/>
        <v>0.27422992125984252</v>
      </c>
      <c r="I8" s="3">
        <f t="shared" si="3"/>
        <v>5.4845984251968503</v>
      </c>
      <c r="J8" s="3">
        <f t="shared" si="4"/>
        <v>4.1040095968249402</v>
      </c>
      <c r="K8" s="3">
        <f t="shared" si="5"/>
        <v>72.914038866305631</v>
      </c>
      <c r="L8" s="3" t="e">
        <f t="shared" si="4"/>
        <v>#DIV/0!</v>
      </c>
      <c r="M8">
        <v>1.3364</v>
      </c>
      <c r="N8" s="3">
        <v>7.5220060642276987E-2</v>
      </c>
      <c r="O8" s="1"/>
      <c r="P8" s="13"/>
      <c r="Q8" s="13"/>
      <c r="R8" s="13"/>
    </row>
    <row r="9" spans="1:18" ht="24" x14ac:dyDescent="0.3">
      <c r="A9" s="2" t="s">
        <v>42</v>
      </c>
      <c r="B9" s="5">
        <v>20</v>
      </c>
      <c r="C9" s="5">
        <v>1</v>
      </c>
      <c r="D9" s="6">
        <v>0.17</v>
      </c>
      <c r="E9" s="6">
        <v>0.17199999999999999</v>
      </c>
      <c r="F9" s="6">
        <f t="shared" si="0"/>
        <v>0.17099999999999999</v>
      </c>
      <c r="G9" s="3">
        <f t="shared" si="1"/>
        <v>17.413599999999999</v>
      </c>
      <c r="H9" s="3">
        <f t="shared" si="2"/>
        <v>0.27422992125984252</v>
      </c>
      <c r="I9" s="3">
        <f t="shared" si="3"/>
        <v>5.4845984251968503</v>
      </c>
      <c r="J9" s="3">
        <f t="shared" si="4"/>
        <v>4.1584641937954734</v>
      </c>
      <c r="K9" s="3">
        <f t="shared" si="5"/>
        <v>73.881508485048784</v>
      </c>
      <c r="L9" s="3" t="e">
        <f t="shared" si="4"/>
        <v>#DIV/0!</v>
      </c>
      <c r="M9">
        <v>1.3189</v>
      </c>
      <c r="N9" s="3">
        <v>7.4235062841289376E-2</v>
      </c>
      <c r="O9" s="1"/>
      <c r="P9" s="13"/>
      <c r="Q9" s="13"/>
      <c r="R9" s="13"/>
    </row>
    <row r="10" spans="1:18" ht="24" x14ac:dyDescent="0.3">
      <c r="A10" s="2" t="s">
        <v>43</v>
      </c>
      <c r="B10" s="5">
        <v>20</v>
      </c>
      <c r="C10" s="7">
        <v>1</v>
      </c>
      <c r="D10" s="6">
        <v>0.216</v>
      </c>
      <c r="E10" s="6">
        <v>0.21199999999999999</v>
      </c>
      <c r="F10" s="6">
        <f t="shared" si="0"/>
        <v>0.214</v>
      </c>
      <c r="G10" s="3">
        <f t="shared" si="1"/>
        <v>21.459900000000001</v>
      </c>
      <c r="H10" s="3">
        <f t="shared" si="2"/>
        <v>0.33795118110236222</v>
      </c>
      <c r="I10" s="3">
        <f t="shared" si="3"/>
        <v>6.7590236220472448</v>
      </c>
      <c r="J10" s="3">
        <f t="shared" si="4"/>
        <v>6.1239681272512874</v>
      </c>
      <c r="K10" s="3">
        <f t="shared" si="5"/>
        <v>108.80170708954216</v>
      </c>
      <c r="L10" s="3" t="e">
        <f t="shared" si="4"/>
        <v>#DIV/0!</v>
      </c>
      <c r="M10">
        <v>1.1036999999999999</v>
      </c>
      <c r="N10" s="3">
        <v>6.2122404168573113E-2</v>
      </c>
      <c r="O10" s="1"/>
      <c r="P10" s="12">
        <f>AVERAGE(J10:J12)</f>
        <v>6.0835021590482325</v>
      </c>
      <c r="Q10" s="12">
        <f t="shared" ref="Q10:R10" si="7">AVERAGE(K10:K12)</f>
        <v>108.08276696313435</v>
      </c>
      <c r="R10" s="12" t="e">
        <f t="shared" si="7"/>
        <v>#DIV/0!</v>
      </c>
    </row>
    <row r="11" spans="1:18" ht="24" x14ac:dyDescent="0.3">
      <c r="A11" s="2" t="s">
        <v>44</v>
      </c>
      <c r="B11" s="5">
        <v>20</v>
      </c>
      <c r="C11" s="7">
        <v>1</v>
      </c>
      <c r="D11" s="6">
        <v>0.20100000000000001</v>
      </c>
      <c r="E11" s="6">
        <v>0.20599999999999999</v>
      </c>
      <c r="F11" s="6">
        <f t="shared" si="0"/>
        <v>0.20350000000000001</v>
      </c>
      <c r="G11" s="3">
        <f t="shared" si="1"/>
        <v>20.471850000000003</v>
      </c>
      <c r="H11" s="3">
        <f t="shared" si="2"/>
        <v>0.32239133858267721</v>
      </c>
      <c r="I11" s="3">
        <f t="shared" si="3"/>
        <v>6.4478267716535438</v>
      </c>
      <c r="J11" s="3">
        <f t="shared" si="4"/>
        <v>6.1873397674441453</v>
      </c>
      <c r="K11" s="3">
        <f t="shared" si="5"/>
        <v>109.92760168774642</v>
      </c>
      <c r="L11" s="3" t="e">
        <f t="shared" si="4"/>
        <v>#DIV/0!</v>
      </c>
      <c r="M11">
        <v>1.0421</v>
      </c>
      <c r="N11" s="3">
        <v>5.8655211909096713E-2</v>
      </c>
      <c r="O11" s="1"/>
      <c r="P11" s="13"/>
      <c r="Q11" s="13"/>
      <c r="R11" s="13"/>
    </row>
    <row r="12" spans="1:18" ht="24" x14ac:dyDescent="0.3">
      <c r="A12" s="2" t="s">
        <v>45</v>
      </c>
      <c r="B12" s="5">
        <v>20</v>
      </c>
      <c r="C12" s="7">
        <v>1</v>
      </c>
      <c r="D12" s="6">
        <v>0.21</v>
      </c>
      <c r="E12" s="6">
        <v>0.20499999999999999</v>
      </c>
      <c r="F12" s="6">
        <f t="shared" si="0"/>
        <v>0.20749999999999999</v>
      </c>
      <c r="G12" s="3">
        <f t="shared" si="1"/>
        <v>20.84825</v>
      </c>
      <c r="H12" s="3">
        <f>G12/63.5</f>
        <v>0.32831889763779526</v>
      </c>
      <c r="I12" s="3">
        <f>H12*B12</f>
        <v>6.5663779527559054</v>
      </c>
      <c r="J12" s="3">
        <f t="shared" si="4"/>
        <v>5.9391985824492632</v>
      </c>
      <c r="K12" s="3">
        <f t="shared" si="5"/>
        <v>105.51899211211445</v>
      </c>
      <c r="L12" s="3" t="e">
        <f t="shared" si="4"/>
        <v>#DIV/0!</v>
      </c>
      <c r="M12">
        <v>1.1055999999999999</v>
      </c>
      <c r="N12" s="3">
        <v>6.2229346786966053E-2</v>
      </c>
      <c r="O12" s="1"/>
      <c r="P12" s="13"/>
      <c r="Q12" s="13"/>
      <c r="R12" s="13"/>
    </row>
    <row r="13" spans="1:18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6.25" x14ac:dyDescent="0.4">
      <c r="A14" s="14" t="s">
        <v>56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81" x14ac:dyDescent="0.3">
      <c r="A15" s="3" t="s">
        <v>0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 t="s">
        <v>27</v>
      </c>
      <c r="I15" s="3" t="s">
        <v>28</v>
      </c>
      <c r="J15" s="3" t="s">
        <v>53</v>
      </c>
      <c r="K15" s="3" t="s">
        <v>54</v>
      </c>
      <c r="L15" s="3" t="s">
        <v>55</v>
      </c>
      <c r="M15" s="3" t="s">
        <v>3</v>
      </c>
      <c r="N15" s="3" t="s">
        <v>4</v>
      </c>
      <c r="O15" s="3" t="s">
        <v>50</v>
      </c>
      <c r="P15" s="4" t="s">
        <v>34</v>
      </c>
      <c r="Q15" s="4" t="s">
        <v>35</v>
      </c>
      <c r="R15" s="4" t="s">
        <v>36</v>
      </c>
    </row>
    <row r="16" spans="1:18" ht="24" x14ac:dyDescent="0.3">
      <c r="A16" s="2" t="s">
        <v>37</v>
      </c>
      <c r="B16" s="5">
        <v>20</v>
      </c>
      <c r="C16" s="5">
        <v>5</v>
      </c>
      <c r="D16" s="6">
        <v>0.189</v>
      </c>
      <c r="E16" s="6">
        <v>0.188</v>
      </c>
      <c r="F16" s="6">
        <f>AVERAGE(D16:E16)</f>
        <v>0.1885</v>
      </c>
      <c r="G16" s="3">
        <f>(F16*94.1+1.3225)/C16</f>
        <v>3.8120699999999998</v>
      </c>
      <c r="H16" s="3">
        <f>G16/63.5</f>
        <v>6.0032598425196849E-2</v>
      </c>
      <c r="I16" s="3">
        <f>H16*B16</f>
        <v>1.200651968503937</v>
      </c>
      <c r="J16" s="3">
        <f>I16/M16</f>
        <v>0.74068597686856075</v>
      </c>
      <c r="K16" s="3">
        <f>I16/N16</f>
        <v>7.2674946445413804</v>
      </c>
      <c r="L16" s="3" t="e">
        <f>I16/O16</f>
        <v>#DIV/0!</v>
      </c>
      <c r="M16">
        <v>1.621</v>
      </c>
      <c r="N16" s="3">
        <v>0.16520851094204073</v>
      </c>
      <c r="O16" s="1"/>
      <c r="P16" s="12">
        <f>AVERAGE(J16:J18)</f>
        <v>0.66366427430996244</v>
      </c>
      <c r="Q16" s="12">
        <f>AVERAGE(K16:K18)</f>
        <v>6.5117697782160056</v>
      </c>
      <c r="R16" s="12" t="e">
        <f>AVERAGE(L16:L18)</f>
        <v>#DIV/0!</v>
      </c>
    </row>
    <row r="17" spans="1:18" ht="24" x14ac:dyDescent="0.3">
      <c r="A17" s="2" t="s">
        <v>38</v>
      </c>
      <c r="B17" s="5">
        <v>20</v>
      </c>
      <c r="C17" s="5">
        <v>5</v>
      </c>
      <c r="D17" s="6">
        <v>0.19600000000000001</v>
      </c>
      <c r="E17" s="6">
        <v>0.191</v>
      </c>
      <c r="F17" s="6">
        <f t="shared" ref="F17:F24" si="8">AVERAGE(D17:E17)</f>
        <v>0.19350000000000001</v>
      </c>
      <c r="G17" s="3">
        <f t="shared" ref="G17:G24" si="9">(F17*94.1+1.3225)/C17</f>
        <v>3.9061700000000004</v>
      </c>
      <c r="H17" s="3">
        <f t="shared" ref="H17:H23" si="10">G17/63.5</f>
        <v>6.1514488188976382E-2</v>
      </c>
      <c r="I17" s="3">
        <f t="shared" ref="I17:I23" si="11">H17*B17</f>
        <v>1.2302897637795276</v>
      </c>
      <c r="J17" s="3">
        <f t="shared" ref="J17:J23" si="12">I17/M17</f>
        <v>0.60557676894050383</v>
      </c>
      <c r="K17" s="3">
        <f t="shared" ref="K17:K23" si="13">I17/N17</f>
        <v>5.9418242852932712</v>
      </c>
      <c r="L17" s="3" t="e">
        <f t="shared" ref="L17:L24" si="14">I17/O17</f>
        <v>#DIV/0!</v>
      </c>
      <c r="M17">
        <v>2.0316000000000001</v>
      </c>
      <c r="N17" s="3">
        <v>0.20705589810601477</v>
      </c>
      <c r="O17" s="1"/>
      <c r="P17" s="13"/>
      <c r="Q17" s="13"/>
      <c r="R17" s="13"/>
    </row>
    <row r="18" spans="1:18" ht="24" x14ac:dyDescent="0.3">
      <c r="A18" s="2" t="s">
        <v>39</v>
      </c>
      <c r="B18" s="5">
        <v>20</v>
      </c>
      <c r="C18" s="5">
        <v>5</v>
      </c>
      <c r="D18" s="6">
        <v>0.19700000000000001</v>
      </c>
      <c r="E18" s="6">
        <v>0.19800000000000001</v>
      </c>
      <c r="F18" s="6">
        <f t="shared" si="8"/>
        <v>0.19750000000000001</v>
      </c>
      <c r="G18" s="3">
        <f t="shared" si="9"/>
        <v>3.9814500000000002</v>
      </c>
      <c r="H18" s="3">
        <f t="shared" si="10"/>
        <v>6.2700000000000006E-2</v>
      </c>
      <c r="I18" s="3">
        <f t="shared" si="11"/>
        <v>1.254</v>
      </c>
      <c r="J18" s="3">
        <f t="shared" si="12"/>
        <v>0.64473007712082264</v>
      </c>
      <c r="K18" s="3">
        <f t="shared" si="13"/>
        <v>6.3259904048133651</v>
      </c>
      <c r="L18" s="3" t="e">
        <f t="shared" si="14"/>
        <v>#DIV/0!</v>
      </c>
      <c r="M18">
        <v>1.9450000000000001</v>
      </c>
      <c r="N18" s="3">
        <v>0.19822982960041285</v>
      </c>
      <c r="O18" s="1"/>
      <c r="P18" s="13"/>
      <c r="Q18" s="13"/>
      <c r="R18" s="13"/>
    </row>
    <row r="19" spans="1:18" ht="24" x14ac:dyDescent="0.3">
      <c r="A19" s="2" t="s">
        <v>40</v>
      </c>
      <c r="B19" s="5">
        <v>20</v>
      </c>
      <c r="C19" s="5">
        <v>1</v>
      </c>
      <c r="D19" s="6">
        <v>0.22900000000000001</v>
      </c>
      <c r="E19" s="6">
        <v>0.22500000000000001</v>
      </c>
      <c r="F19" s="6">
        <f t="shared" si="8"/>
        <v>0.22700000000000001</v>
      </c>
      <c r="G19" s="3">
        <f t="shared" si="9"/>
        <v>22.683199999999999</v>
      </c>
      <c r="H19" s="3">
        <f t="shared" si="10"/>
        <v>0.35721574803149603</v>
      </c>
      <c r="I19" s="3">
        <f t="shared" si="11"/>
        <v>7.1443149606299201</v>
      </c>
      <c r="J19" s="3">
        <f t="shared" si="12"/>
        <v>3.7884796694399832</v>
      </c>
      <c r="K19" s="3">
        <f t="shared" si="13"/>
        <v>37.17196837587062</v>
      </c>
      <c r="L19" s="3" t="e">
        <f t="shared" si="14"/>
        <v>#DIV/0!</v>
      </c>
      <c r="M19">
        <v>1.8857999999999999</v>
      </c>
      <c r="N19" s="3">
        <v>0.1921963047097473</v>
      </c>
      <c r="O19" s="1"/>
      <c r="P19" s="12">
        <f t="shared" ref="P19:R19" si="15">AVERAGE(J19:J21)</f>
        <v>3.3925527230407382</v>
      </c>
      <c r="Q19" s="12">
        <f t="shared" si="15"/>
        <v>33.28719527033531</v>
      </c>
      <c r="R19" s="12" t="e">
        <f t="shared" si="15"/>
        <v>#DIV/0!</v>
      </c>
    </row>
    <row r="20" spans="1:18" ht="24" x14ac:dyDescent="0.3">
      <c r="A20" s="2" t="s">
        <v>41</v>
      </c>
      <c r="B20" s="5">
        <v>20</v>
      </c>
      <c r="C20" s="5">
        <v>1</v>
      </c>
      <c r="D20" s="6">
        <v>0.191</v>
      </c>
      <c r="E20" s="6">
        <v>0.19600000000000001</v>
      </c>
      <c r="F20" s="6">
        <f t="shared" si="8"/>
        <v>0.19350000000000001</v>
      </c>
      <c r="G20" s="3">
        <f t="shared" si="9"/>
        <v>19.530850000000001</v>
      </c>
      <c r="H20" s="3">
        <f t="shared" si="10"/>
        <v>0.3075724409448819</v>
      </c>
      <c r="I20" s="3">
        <f t="shared" si="11"/>
        <v>6.1514488188976379</v>
      </c>
      <c r="J20" s="3">
        <f t="shared" si="12"/>
        <v>3.3054534222985694</v>
      </c>
      <c r="K20" s="3">
        <f t="shared" si="13"/>
        <v>32.432590591084924</v>
      </c>
      <c r="L20" s="3" t="e">
        <f t="shared" si="14"/>
        <v>#DIV/0!</v>
      </c>
      <c r="M20">
        <v>1.861</v>
      </c>
      <c r="N20" s="3">
        <v>0.18966874698527933</v>
      </c>
      <c r="O20" s="1"/>
      <c r="P20" s="13"/>
      <c r="Q20" s="13"/>
      <c r="R20" s="13"/>
    </row>
    <row r="21" spans="1:18" ht="24" x14ac:dyDescent="0.3">
      <c r="A21" s="2" t="s">
        <v>42</v>
      </c>
      <c r="B21" s="5">
        <v>20</v>
      </c>
      <c r="C21" s="5">
        <v>1</v>
      </c>
      <c r="D21" s="6">
        <v>0.19400000000000001</v>
      </c>
      <c r="E21" s="6">
        <v>0.191</v>
      </c>
      <c r="F21" s="6">
        <f t="shared" si="8"/>
        <v>0.1925</v>
      </c>
      <c r="G21" s="3">
        <f t="shared" si="9"/>
        <v>19.43675</v>
      </c>
      <c r="H21" s="3">
        <f t="shared" si="10"/>
        <v>0.30609055118110234</v>
      </c>
      <c r="I21" s="3">
        <f t="shared" si="11"/>
        <v>6.1218110236220467</v>
      </c>
      <c r="J21" s="3">
        <f t="shared" si="12"/>
        <v>3.0837250773836624</v>
      </c>
      <c r="K21" s="3">
        <f t="shared" si="13"/>
        <v>30.25702684405038</v>
      </c>
      <c r="L21" s="3" t="e">
        <f t="shared" si="14"/>
        <v>#DIV/0!</v>
      </c>
      <c r="M21">
        <v>1.9852000000000001</v>
      </c>
      <c r="N21" s="3">
        <v>0.2023269191376553</v>
      </c>
      <c r="O21" s="1"/>
      <c r="P21" s="13"/>
      <c r="Q21" s="13"/>
      <c r="R21" s="13"/>
    </row>
    <row r="22" spans="1:18" ht="24" x14ac:dyDescent="0.3">
      <c r="A22" s="2" t="s">
        <v>43</v>
      </c>
      <c r="B22" s="5">
        <v>20</v>
      </c>
      <c r="C22" s="5">
        <v>1</v>
      </c>
      <c r="D22" s="6">
        <v>0.30499999999999999</v>
      </c>
      <c r="E22" s="6">
        <v>0.307</v>
      </c>
      <c r="F22" s="6">
        <f t="shared" si="8"/>
        <v>0.30599999999999999</v>
      </c>
      <c r="G22" s="3">
        <f t="shared" si="9"/>
        <v>30.117100000000001</v>
      </c>
      <c r="H22" s="3">
        <f t="shared" si="10"/>
        <v>0.47428503937007876</v>
      </c>
      <c r="I22" s="3">
        <f t="shared" si="11"/>
        <v>9.4857007874015746</v>
      </c>
      <c r="J22" s="3">
        <f t="shared" si="12"/>
        <v>5.7422972258620835</v>
      </c>
      <c r="K22" s="3">
        <f t="shared" si="13"/>
        <v>56.34251982567659</v>
      </c>
      <c r="L22" s="3" t="e">
        <f t="shared" si="14"/>
        <v>#DIV/0!</v>
      </c>
      <c r="M22">
        <v>1.6518999999999999</v>
      </c>
      <c r="N22" s="3">
        <v>0.16835776633260768</v>
      </c>
      <c r="O22" s="1"/>
      <c r="P22" s="12">
        <f t="shared" ref="P22:R22" si="16">AVERAGE(J22:J24)</f>
        <v>6.0953828888303647</v>
      </c>
      <c r="Q22" s="12">
        <f t="shared" si="16"/>
        <v>59.806940976911221</v>
      </c>
      <c r="R22" s="12" t="e">
        <f t="shared" si="16"/>
        <v>#DIV/0!</v>
      </c>
    </row>
    <row r="23" spans="1:18" ht="24" x14ac:dyDescent="0.3">
      <c r="A23" s="2" t="s">
        <v>44</v>
      </c>
      <c r="B23" s="5">
        <v>20</v>
      </c>
      <c r="C23" s="5">
        <v>1</v>
      </c>
      <c r="D23" s="6">
        <v>0.27800000000000002</v>
      </c>
      <c r="E23" s="6">
        <v>0.28100000000000003</v>
      </c>
      <c r="F23" s="6">
        <f t="shared" si="8"/>
        <v>0.27950000000000003</v>
      </c>
      <c r="G23" s="3">
        <f t="shared" si="9"/>
        <v>27.623450000000002</v>
      </c>
      <c r="H23" s="3">
        <f t="shared" si="10"/>
        <v>0.43501496062992129</v>
      </c>
      <c r="I23" s="3">
        <f t="shared" si="11"/>
        <v>8.7002992125984253</v>
      </c>
      <c r="J23" s="3">
        <f t="shared" si="12"/>
        <v>5.9141453419879175</v>
      </c>
      <c r="K23" s="3">
        <f t="shared" si="13"/>
        <v>58.028666590462237</v>
      </c>
      <c r="L23" s="3" t="e">
        <f t="shared" si="14"/>
        <v>#DIV/0!</v>
      </c>
      <c r="M23">
        <v>1.4711000000000001</v>
      </c>
      <c r="N23" s="3">
        <v>0.14993105518003463</v>
      </c>
      <c r="O23" s="1"/>
      <c r="P23" s="13"/>
      <c r="Q23" s="13"/>
      <c r="R23" s="13"/>
    </row>
    <row r="24" spans="1:18" ht="24" x14ac:dyDescent="0.3">
      <c r="A24" s="2" t="s">
        <v>45</v>
      </c>
      <c r="B24" s="5">
        <v>20</v>
      </c>
      <c r="C24" s="5">
        <v>1</v>
      </c>
      <c r="D24" s="6">
        <v>0.34499999999999997</v>
      </c>
      <c r="E24" s="6">
        <v>0.34399999999999997</v>
      </c>
      <c r="F24" s="6">
        <f t="shared" si="8"/>
        <v>0.34449999999999997</v>
      </c>
      <c r="G24" s="3">
        <f t="shared" si="9"/>
        <v>33.739949999999993</v>
      </c>
      <c r="H24" s="3">
        <f>G24/63.5</f>
        <v>0.53133779527559044</v>
      </c>
      <c r="I24" s="3">
        <f>H24*B24</f>
        <v>10.626755905511809</v>
      </c>
      <c r="J24" s="3">
        <f>I24/M24</f>
        <v>6.6297060986410932</v>
      </c>
      <c r="K24" s="3">
        <f>I24/N24</f>
        <v>65.049636514594837</v>
      </c>
      <c r="L24" s="3" t="e">
        <f t="shared" si="14"/>
        <v>#DIV/0!</v>
      </c>
      <c r="M24">
        <v>1.6029</v>
      </c>
      <c r="N24" s="3">
        <v>0.16336380147377982</v>
      </c>
      <c r="O24" s="1"/>
      <c r="P24" s="13"/>
      <c r="Q24" s="13"/>
      <c r="R24" s="13"/>
    </row>
    <row r="27" spans="1:18" ht="20.25" x14ac:dyDescent="0.3">
      <c r="A27" s="8" t="s">
        <v>52</v>
      </c>
    </row>
    <row r="28" spans="1:18" x14ac:dyDescent="0.25">
      <c r="A28">
        <v>1.8</v>
      </c>
      <c r="B28">
        <f>A28*10</f>
        <v>18</v>
      </c>
      <c r="C28">
        <v>0.17299999999999999</v>
      </c>
    </row>
    <row r="29" spans="1:18" x14ac:dyDescent="0.25">
      <c r="A29">
        <v>2.2000000000000002</v>
      </c>
      <c r="B29">
        <f t="shared" ref="B29:B33" si="17">A29*10</f>
        <v>22</v>
      </c>
      <c r="C29">
        <v>0.22600000000000001</v>
      </c>
    </row>
    <row r="30" spans="1:18" x14ac:dyDescent="0.25">
      <c r="A30">
        <v>2.6</v>
      </c>
      <c r="B30">
        <f t="shared" si="17"/>
        <v>26</v>
      </c>
      <c r="C30">
        <v>0.26500000000000001</v>
      </c>
    </row>
    <row r="31" spans="1:18" x14ac:dyDescent="0.25">
      <c r="A31">
        <v>3</v>
      </c>
      <c r="B31">
        <f t="shared" si="17"/>
        <v>30</v>
      </c>
      <c r="C31">
        <v>0.29899999999999999</v>
      </c>
    </row>
    <row r="32" spans="1:18" x14ac:dyDescent="0.25">
      <c r="A32">
        <v>3.4</v>
      </c>
      <c r="B32">
        <f t="shared" si="17"/>
        <v>34</v>
      </c>
      <c r="C32">
        <v>0.34899999999999998</v>
      </c>
    </row>
    <row r="33" spans="1:3" x14ac:dyDescent="0.25">
      <c r="A33">
        <v>3.8</v>
      </c>
      <c r="B33">
        <f t="shared" si="17"/>
        <v>38</v>
      </c>
      <c r="C33">
        <v>0.38900000000000001</v>
      </c>
    </row>
  </sheetData>
  <mergeCells count="20">
    <mergeCell ref="A2:R2"/>
    <mergeCell ref="P4:P6"/>
    <mergeCell ref="Q4:Q6"/>
    <mergeCell ref="R4:R6"/>
    <mergeCell ref="P7:P9"/>
    <mergeCell ref="Q7:Q9"/>
    <mergeCell ref="R7:R9"/>
    <mergeCell ref="P10:P12"/>
    <mergeCell ref="Q10:Q12"/>
    <mergeCell ref="R10:R12"/>
    <mergeCell ref="A14:R14"/>
    <mergeCell ref="P16:P18"/>
    <mergeCell ref="Q16:Q18"/>
    <mergeCell ref="R16:R18"/>
    <mergeCell ref="P19:P21"/>
    <mergeCell ref="Q19:Q21"/>
    <mergeCell ref="R19:R21"/>
    <mergeCell ref="P22:P24"/>
    <mergeCell ref="Q22:Q24"/>
    <mergeCell ref="R22:R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Массы растений</vt:lpstr>
      <vt:lpstr>Сорбция по растворам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2022-04-16T11:22:27Z</dcterms:modified>
</cp:coreProperties>
</file>