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hd\Thesis\R_script\R_script_for_analysis\"/>
    </mc:Choice>
  </mc:AlternateContent>
  <xr:revisionPtr revIDLastSave="0" documentId="13_ncr:1_{1AB8D56B-4FD7-45DA-ABA8-BD82F343C3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  <sheet name="Озоление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" l="1"/>
  <c r="N6" i="4"/>
  <c r="O6" i="4"/>
  <c r="N9" i="4"/>
  <c r="O9" i="4"/>
  <c r="B42" i="4"/>
  <c r="B43" i="4"/>
  <c r="B44" i="4"/>
  <c r="B45" i="4"/>
  <c r="B41" i="4"/>
  <c r="O21" i="4"/>
  <c r="N21" i="4"/>
  <c r="G16" i="4"/>
  <c r="B35" i="4"/>
  <c r="B36" i="4"/>
  <c r="B37" i="4"/>
  <c r="B38" i="4"/>
  <c r="B34" i="4"/>
  <c r="G17" i="4"/>
  <c r="G15" i="4"/>
  <c r="B28" i="4"/>
  <c r="B29" i="4"/>
  <c r="B30" i="4"/>
  <c r="B31" i="4"/>
  <c r="B27" i="4"/>
  <c r="B23" i="4"/>
  <c r="B22" i="4"/>
  <c r="B21" i="4"/>
  <c r="B20" i="4"/>
  <c r="B19" i="4"/>
  <c r="B18" i="4"/>
  <c r="B17" i="4"/>
  <c r="B16" i="4"/>
  <c r="B15" i="4"/>
  <c r="B11" i="4"/>
  <c r="B10" i="4"/>
  <c r="B9" i="4"/>
  <c r="B8" i="4"/>
  <c r="B7" i="4"/>
  <c r="B6" i="4"/>
  <c r="B5" i="4"/>
  <c r="B4" i="4"/>
  <c r="B3" i="4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F16" i="4"/>
  <c r="F15" i="4"/>
  <c r="F4" i="4"/>
  <c r="G4" i="4" s="1"/>
  <c r="F5" i="4"/>
  <c r="F6" i="4"/>
  <c r="G6" i="4" s="1"/>
  <c r="F7" i="4"/>
  <c r="F8" i="4"/>
  <c r="F9" i="4"/>
  <c r="G9" i="4" s="1"/>
  <c r="F10" i="4"/>
  <c r="F11" i="4"/>
  <c r="G11" i="4" s="1"/>
  <c r="F3" i="4"/>
  <c r="G3" i="4" s="1"/>
  <c r="K10" i="3"/>
  <c r="O19" i="2"/>
  <c r="O20" i="2"/>
  <c r="O6" i="2"/>
  <c r="N3" i="2"/>
  <c r="G10" i="4" l="1"/>
  <c r="H10" i="4" s="1"/>
  <c r="I10" i="4" s="1"/>
  <c r="H9" i="4"/>
  <c r="I9" i="4" s="1"/>
  <c r="G8" i="4"/>
  <c r="H8" i="4" s="1"/>
  <c r="I8" i="4" s="1"/>
  <c r="J8" i="4" s="1"/>
  <c r="G7" i="4"/>
  <c r="H7" i="4" s="1"/>
  <c r="I7" i="4" s="1"/>
  <c r="H6" i="4"/>
  <c r="I6" i="4" s="1"/>
  <c r="J6" i="4" s="1"/>
  <c r="G5" i="4"/>
  <c r="H5" i="4" s="1"/>
  <c r="I5" i="4" s="1"/>
  <c r="H4" i="4"/>
  <c r="I4" i="4" s="1"/>
  <c r="J4" i="4" s="1"/>
  <c r="H11" i="4"/>
  <c r="I11" i="4" s="1"/>
  <c r="H3" i="4"/>
  <c r="I3" i="4" s="1"/>
  <c r="K3" i="4" s="1"/>
  <c r="H22" i="4"/>
  <c r="I22" i="4" s="1"/>
  <c r="H21" i="4"/>
  <c r="I21" i="4" s="1"/>
  <c r="K21" i="4" s="1"/>
  <c r="H18" i="4"/>
  <c r="I18" i="4" s="1"/>
  <c r="J18" i="4" s="1"/>
  <c r="H16" i="4"/>
  <c r="I16" i="4" s="1"/>
  <c r="J16" i="4" s="1"/>
  <c r="H23" i="4"/>
  <c r="H20" i="4"/>
  <c r="I20" i="4" s="1"/>
  <c r="K20" i="4" s="1"/>
  <c r="H19" i="4"/>
  <c r="I19" i="4" s="1"/>
  <c r="K19" i="4" s="1"/>
  <c r="H17" i="4"/>
  <c r="I17" i="4" s="1"/>
  <c r="H15" i="4"/>
  <c r="I15" i="4" s="1"/>
  <c r="I23" i="4"/>
  <c r="K23" i="4" s="1"/>
  <c r="J15" i="4"/>
  <c r="K15" i="4"/>
  <c r="J17" i="4"/>
  <c r="K17" i="4"/>
  <c r="K22" i="4"/>
  <c r="J22" i="4"/>
  <c r="J9" i="4"/>
  <c r="K9" i="4"/>
  <c r="L19" i="3"/>
  <c r="L16" i="3"/>
  <c r="L17" i="3"/>
  <c r="L18" i="3"/>
  <c r="L20" i="3"/>
  <c r="L21" i="3"/>
  <c r="L22" i="3"/>
  <c r="L23" i="3"/>
  <c r="L15" i="3"/>
  <c r="L5" i="3"/>
  <c r="L6" i="3"/>
  <c r="L7" i="3"/>
  <c r="L8" i="3"/>
  <c r="L9" i="3"/>
  <c r="L10" i="3"/>
  <c r="L11" i="3"/>
  <c r="L4" i="3"/>
  <c r="K11" i="3"/>
  <c r="K4" i="3"/>
  <c r="K5" i="3"/>
  <c r="K6" i="3"/>
  <c r="K7" i="3"/>
  <c r="K8" i="3"/>
  <c r="K9" i="3"/>
  <c r="B39" i="3"/>
  <c r="B38" i="3"/>
  <c r="B37" i="3"/>
  <c r="B36" i="3"/>
  <c r="B35" i="3"/>
  <c r="P36" i="2"/>
  <c r="Q36" i="2" s="1"/>
  <c r="P35" i="2"/>
  <c r="Q35" i="2" s="1"/>
  <c r="P34" i="2"/>
  <c r="Q34" i="2" s="1"/>
  <c r="G15" i="1"/>
  <c r="G16" i="1"/>
  <c r="G17" i="1"/>
  <c r="G18" i="1"/>
  <c r="G19" i="1"/>
  <c r="G20" i="1"/>
  <c r="G21" i="1"/>
  <c r="G22" i="1"/>
  <c r="G23" i="1"/>
  <c r="F16" i="1"/>
  <c r="F17" i="1"/>
  <c r="F18" i="1"/>
  <c r="F19" i="1"/>
  <c r="F20" i="1"/>
  <c r="F21" i="1"/>
  <c r="F22" i="1"/>
  <c r="F23" i="1"/>
  <c r="F15" i="1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K6" i="4" l="1"/>
  <c r="K11" i="4"/>
  <c r="J11" i="4"/>
  <c r="J10" i="4"/>
  <c r="K10" i="4"/>
  <c r="J7" i="4"/>
  <c r="K7" i="4"/>
  <c r="K5" i="4"/>
  <c r="O3" i="4" s="1"/>
  <c r="J5" i="4"/>
  <c r="K4" i="4"/>
  <c r="J3" i="4"/>
  <c r="J19" i="4"/>
  <c r="K18" i="4"/>
  <c r="K16" i="4"/>
  <c r="J20" i="4"/>
  <c r="O18" i="4"/>
  <c r="J21" i="4"/>
  <c r="N18" i="4"/>
  <c r="N15" i="4"/>
  <c r="O15" i="4"/>
  <c r="J23" i="4"/>
  <c r="K8" i="4"/>
  <c r="N3" i="4"/>
  <c r="R35" i="2"/>
  <c r="S35" i="2" s="1"/>
  <c r="R36" i="2"/>
  <c r="S36" i="2" s="1"/>
  <c r="R34" i="2"/>
  <c r="S34" i="2" s="1"/>
  <c r="B28" i="3"/>
  <c r="B29" i="3"/>
  <c r="B30" i="3"/>
  <c r="B31" i="3"/>
  <c r="B27" i="3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K22" i="2" l="1"/>
  <c r="K23" i="2"/>
  <c r="K21" i="2"/>
  <c r="K18" i="2"/>
  <c r="K20" i="2"/>
  <c r="K19" i="2"/>
  <c r="K16" i="2"/>
  <c r="K17" i="2"/>
  <c r="K15" i="2"/>
  <c r="H22" i="3"/>
  <c r="I22" i="3" s="1"/>
  <c r="H21" i="3"/>
  <c r="I21" i="3" s="1"/>
  <c r="H20" i="3"/>
  <c r="I20" i="3" s="1"/>
  <c r="H18" i="3"/>
  <c r="I18" i="3" s="1"/>
  <c r="H16" i="3"/>
  <c r="I16" i="3" s="1"/>
  <c r="H7" i="3"/>
  <c r="I7" i="3" s="1"/>
  <c r="J7" i="3" s="1"/>
  <c r="H5" i="3"/>
  <c r="I5" i="3" s="1"/>
  <c r="J5" i="3" s="1"/>
  <c r="H4" i="3"/>
  <c r="I4" i="3" s="1"/>
  <c r="J4" i="3" s="1"/>
  <c r="H17" i="3"/>
  <c r="I17" i="3" s="1"/>
  <c r="J17" i="3" s="1"/>
  <c r="H19" i="3"/>
  <c r="I19" i="3" s="1"/>
  <c r="J19" i="3" s="1"/>
  <c r="H23" i="3"/>
  <c r="I23" i="3" s="1"/>
  <c r="H15" i="3"/>
  <c r="I15" i="3" s="1"/>
  <c r="H9" i="3"/>
  <c r="I9" i="3" s="1"/>
  <c r="J9" i="3" s="1"/>
  <c r="H6" i="3"/>
  <c r="I6" i="3" s="1"/>
  <c r="J6" i="3" s="1"/>
  <c r="H8" i="3"/>
  <c r="I8" i="3" s="1"/>
  <c r="J8" i="3" s="1"/>
  <c r="F10" i="3"/>
  <c r="G10" i="3" s="1"/>
  <c r="F11" i="3"/>
  <c r="G11" i="3" s="1"/>
  <c r="F28" i="2"/>
  <c r="F29" i="2"/>
  <c r="F30" i="2"/>
  <c r="F31" i="2"/>
  <c r="F27" i="2"/>
  <c r="R4" i="3" l="1"/>
  <c r="K23" i="3"/>
  <c r="J23" i="3"/>
  <c r="K19" i="3"/>
  <c r="J15" i="3"/>
  <c r="J22" i="3"/>
  <c r="K22" i="3"/>
  <c r="K21" i="3"/>
  <c r="J21" i="3"/>
  <c r="J20" i="3"/>
  <c r="K20" i="3"/>
  <c r="J18" i="3"/>
  <c r="P18" i="3" s="1"/>
  <c r="K18" i="3"/>
  <c r="R18" i="3"/>
  <c r="K17" i="3"/>
  <c r="J16" i="3"/>
  <c r="R15" i="3"/>
  <c r="K16" i="3"/>
  <c r="H11" i="3"/>
  <c r="I11" i="3" s="1"/>
  <c r="J11" i="3" s="1"/>
  <c r="R10" i="3" s="1"/>
  <c r="H10" i="3"/>
  <c r="I10" i="3" s="1"/>
  <c r="J10" i="3" s="1"/>
  <c r="P10" i="3" s="1"/>
  <c r="K15" i="3"/>
  <c r="R7" i="3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R21" i="3" l="1"/>
  <c r="Q15" i="3"/>
  <c r="Q21" i="3"/>
  <c r="P15" i="3"/>
  <c r="Q18" i="3"/>
  <c r="P21" i="3"/>
  <c r="Q10" i="3"/>
  <c r="P7" i="3"/>
  <c r="Q7" i="3"/>
  <c r="P4" i="3"/>
  <c r="Q4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L15" i="2" l="1"/>
  <c r="K3" i="2"/>
  <c r="L3" i="2" s="1"/>
  <c r="L17" i="2"/>
  <c r="L16" i="2"/>
  <c r="K4" i="2"/>
  <c r="L4" i="2" s="1"/>
  <c r="K5" i="2"/>
  <c r="L5" i="2" s="1"/>
  <c r="K11" i="2"/>
  <c r="L11" i="2" s="1"/>
  <c r="K9" i="2"/>
  <c r="L9" i="2" s="1"/>
  <c r="L21" i="2"/>
  <c r="K10" i="2"/>
  <c r="L10" i="2" s="1"/>
  <c r="L23" i="2"/>
  <c r="L22" i="2"/>
  <c r="L18" i="2"/>
  <c r="K8" i="2"/>
  <c r="L8" i="2" s="1"/>
  <c r="L20" i="2"/>
  <c r="K7" i="2"/>
  <c r="L7" i="2" s="1"/>
  <c r="K6" i="2"/>
  <c r="L6" i="2" s="1"/>
  <c r="L19" i="2"/>
  <c r="O16" i="2" l="1"/>
  <c r="N16" i="2"/>
  <c r="M16" i="2"/>
  <c r="M4" i="2"/>
  <c r="N4" i="2"/>
  <c r="O4" i="2"/>
  <c r="O5" i="2"/>
  <c r="N5" i="2"/>
  <c r="M5" i="2"/>
  <c r="M9" i="2"/>
  <c r="O9" i="2"/>
  <c r="U9" i="2" s="1"/>
  <c r="N9" i="2"/>
  <c r="N20" i="2"/>
  <c r="M20" i="2"/>
  <c r="O21" i="2"/>
  <c r="M21" i="2"/>
  <c r="N21" i="2"/>
  <c r="T21" i="2" s="1"/>
  <c r="M15" i="2"/>
  <c r="N15" i="2"/>
  <c r="O15" i="2"/>
  <c r="U15" i="2" s="1"/>
  <c r="O10" i="2"/>
  <c r="N10" i="2"/>
  <c r="M10" i="2"/>
  <c r="N6" i="2"/>
  <c r="M6" i="2"/>
  <c r="M17" i="2"/>
  <c r="N17" i="2"/>
  <c r="O17" i="2"/>
  <c r="M18" i="2"/>
  <c r="N18" i="2"/>
  <c r="O18" i="2"/>
  <c r="U18" i="2" s="1"/>
  <c r="O22" i="2"/>
  <c r="N22" i="2"/>
  <c r="M22" i="2"/>
  <c r="N11" i="2"/>
  <c r="M11" i="2"/>
  <c r="N7" i="2"/>
  <c r="O7" i="2"/>
  <c r="M7" i="2"/>
  <c r="M8" i="2"/>
  <c r="N8" i="2"/>
  <c r="T6" i="2" s="1"/>
  <c r="O8" i="2"/>
  <c r="M3" i="2"/>
  <c r="S3" i="2" s="1"/>
  <c r="O3" i="2"/>
  <c r="U3" i="2" s="1"/>
  <c r="T3" i="2"/>
  <c r="M23" i="2"/>
  <c r="O23" i="2"/>
  <c r="N23" i="2"/>
  <c r="N19" i="2"/>
  <c r="M19" i="2"/>
  <c r="S21" i="2" l="1"/>
  <c r="U21" i="2"/>
  <c r="U6" i="2"/>
  <c r="S6" i="2"/>
  <c r="T9" i="2"/>
  <c r="S18" i="2"/>
  <c r="S9" i="2"/>
  <c r="T18" i="2"/>
  <c r="T15" i="2"/>
  <c r="S15" i="2"/>
</calcChain>
</file>

<file path=xl/sharedStrings.xml><?xml version="1.0" encoding="utf-8"?>
<sst xmlns="http://schemas.openxmlformats.org/spreadsheetml/2006/main" count="239" uniqueCount="78">
  <si>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</si>
  <si>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</si>
  <si>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</si>
  <si>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</si>
  <si>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</si>
  <si>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</si>
  <si>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</si>
  <si>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</si>
  <si>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</si>
  <si>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</si>
  <si>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</si>
  <si>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</si>
  <si>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</si>
  <si>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</si>
  <si>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</si>
  <si>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</si>
  <si>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</si>
  <si>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</si>
  <si>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</si>
  <si>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</si>
  <si>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</si>
  <si>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</si>
  <si>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</si>
  <si>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</si>
  <si>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</si>
  <si>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</si>
  <si>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</si>
  <si>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</si>
  <si>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</si>
  <si>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</si>
  <si>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</si>
  <si>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</si>
  <si>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</si>
  <si>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</si>
  <si>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</si>
  <si>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</si>
  <si>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</si>
  <si>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</si>
  <si>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</si>
  <si>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</si>
  <si>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</si>
  <si>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</si>
  <si>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</si>
  <si>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</si>
  <si>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3</t>
    </r>
  </si>
  <si>
    <t>pH</t>
  </si>
  <si>
    <t>КАЛИБРОВКА КОРНИ</t>
  </si>
  <si>
    <t>КАЛИБРОВКА ПОБЕГИ</t>
  </si>
  <si>
    <t>Сухая масса клеточной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</si>
  <si>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</si>
  <si>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</si>
  <si>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</si>
  <si>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</si>
  <si>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</si>
  <si>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</si>
  <si>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</si>
  <si>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</si>
  <si>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t>Масса растений 9 растений 10 дней</t>
  </si>
  <si>
    <t>DW КС корня</t>
  </si>
  <si>
    <t>DW КС побега</t>
  </si>
  <si>
    <t>Массовая доля КС корня</t>
  </si>
  <si>
    <t>Массовая доля КС побега</t>
  </si>
  <si>
    <t>Озоление</t>
  </si>
  <si>
    <t>Оводненность Корней</t>
  </si>
  <si>
    <t>Оводненность корней (контр)</t>
  </si>
  <si>
    <t>Оводненность побегов (контр)</t>
  </si>
  <si>
    <t>Оводненность Побег</t>
  </si>
  <si>
    <t>ИСХОДНЫЕ ДЛЯ КОРНЕЙ</t>
  </si>
  <si>
    <t>ИСХОДНЫЕ ДЛЯ ПОБЕГОВ</t>
  </si>
  <si>
    <t>Калибровка для побегов</t>
  </si>
  <si>
    <t>ОЗОЛЕНИЕ КОРНЕЙ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</si>
  <si>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</si>
  <si>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t>Эндогенная конц. на г сухой массы</t>
  </si>
  <si>
    <t>Эндогенная конц. на г сырой массы</t>
  </si>
  <si>
    <t>ОЗОЛЕНИЕ ПОБЕГОВ</t>
  </si>
  <si>
    <t xml:space="preserve">Калибровка Побеги 1.0. </t>
  </si>
  <si>
    <t xml:space="preserve">Калибровка Побеги 1.1. </t>
  </si>
  <si>
    <t xml:space="preserve">Калибровка Корни L=30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</si>
</sst>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6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2" fillId="0" borderId="1" xfId="0" applyNumberFormat="1" applyFont="1" applyBorder="1" applyAlignment="1">
      <alignment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 КОРНИ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73315835520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0.13600000000000001</c:v>
                </c:pt>
                <c:pt idx="2">
                  <c:v>0.23400000000000001</c:v>
                </c:pt>
                <c:pt idx="3">
                  <c:v>0.33200000000000002</c:v>
                </c:pt>
                <c:pt idx="4">
                  <c:v>0.42199999999999999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8464"/>
        <c:axId val="247466368"/>
      </c:scatterChart>
      <c:valAx>
        <c:axId val="2474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66368"/>
        <c:crosses val="autoZero"/>
        <c:crossBetween val="midCat"/>
      </c:valAx>
      <c:valAx>
        <c:axId val="247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растворам'!$E$26</c:f>
              <c:strCache>
                <c:ptCount val="1"/>
                <c:pt idx="0">
                  <c:v>КАЛИБРОВКА ПОБЕГИ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61964129483813"/>
                  <c:y val="-0.1684959171770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растворам'!$G$27:$G$31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7.5999999999999998E-2</c:v>
                </c:pt>
                <c:pt idx="2">
                  <c:v>0.13100000000000001</c:v>
                </c:pt>
                <c:pt idx="3">
                  <c:v>0.17299999999999999</c:v>
                </c:pt>
                <c:pt idx="4">
                  <c:v>0.23200000000000001</c:v>
                </c:pt>
              </c:numCache>
            </c:numRef>
          </c:xVal>
          <c:yVal>
            <c:numRef>
              <c:f>'Сорбция по растворам'!$F$27:$F$31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E-4385-AD92-2A1FCA0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01184"/>
        <c:axId val="339510752"/>
      </c:scatterChart>
      <c:valAx>
        <c:axId val="3395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10752"/>
        <c:crosses val="autoZero"/>
        <c:crossBetween val="midCat"/>
      </c:valAx>
      <c:valAx>
        <c:axId val="3395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Десорбция!$A$26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5568678915135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Десорбция!$C$27:$C$32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0.16300000000000001</c:v>
                </c:pt>
                <c:pt idx="2">
                  <c:v>0.189</c:v>
                </c:pt>
                <c:pt idx="3">
                  <c:v>0.20699999999999999</c:v>
                </c:pt>
                <c:pt idx="4">
                  <c:v>0.23300000000000001</c:v>
                </c:pt>
              </c:numCache>
            </c:numRef>
          </c:xVal>
          <c:yVal>
            <c:numRef>
              <c:f>Десорбция!$B$27:$B$32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43B-9FCD-2F20CBD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0672"/>
        <c:axId val="846121088"/>
      </c:scatterChart>
      <c:valAx>
        <c:axId val="8461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1088"/>
        <c:crosses val="autoZero"/>
        <c:crossBetween val="midCat"/>
      </c:valAx>
      <c:valAx>
        <c:axId val="846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Десорбция!$A$4:$A$11</c:f>
              <c:strCache>
                <c:ptCount val="8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2</c:v>
                </c:pt>
                <c:pt idx="7">
                  <c:v>10-4 3</c:v>
                </c:pt>
              </c:strCache>
            </c:strRef>
          </c:cat>
          <c:val>
            <c:numRef>
              <c:f>Десорбция!$K$4:$K$11</c:f>
              <c:numCache>
                <c:formatCode>0.0000</c:formatCode>
                <c:ptCount val="8"/>
                <c:pt idx="0">
                  <c:v>17.307442851983847</c:v>
                </c:pt>
                <c:pt idx="1">
                  <c:v>13.998442265262682</c:v>
                </c:pt>
                <c:pt idx="2">
                  <c:v>16.136453958369199</c:v>
                </c:pt>
                <c:pt idx="3">
                  <c:v>77.655467118802846</c:v>
                </c:pt>
                <c:pt idx="4">
                  <c:v>73.663959399383046</c:v>
                </c:pt>
                <c:pt idx="5">
                  <c:v>82.000699279151291</c:v>
                </c:pt>
                <c:pt idx="6">
                  <c:v>111.47807056377167</c:v>
                </c:pt>
                <c:pt idx="7">
                  <c:v>109.67622635204327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Десорбция!$A$4:$A$11</c:f>
              <c:strCache>
                <c:ptCount val="8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2</c:v>
                </c:pt>
                <c:pt idx="7">
                  <c:v>10-4 3</c:v>
                </c:pt>
              </c:strCache>
            </c:strRef>
          </c:cat>
          <c:val>
            <c:numRef>
              <c:f>Десорбция!$K$15:$K$23</c:f>
              <c:numCache>
                <c:formatCode>0.0000</c:formatCode>
                <c:ptCount val="9"/>
                <c:pt idx="0">
                  <c:v>5.9607420413489782</c:v>
                </c:pt>
                <c:pt idx="1">
                  <c:v>5.0880077750121773</c:v>
                </c:pt>
                <c:pt idx="2">
                  <c:v>5.3954698733683486</c:v>
                </c:pt>
                <c:pt idx="3">
                  <c:v>28.795226555651464</c:v>
                </c:pt>
                <c:pt idx="4">
                  <c:v>31.752222599453933</c:v>
                </c:pt>
                <c:pt idx="5">
                  <c:v>26.866743226303917</c:v>
                </c:pt>
                <c:pt idx="6">
                  <c:v>44.021543684133469</c:v>
                </c:pt>
                <c:pt idx="7">
                  <c:v>40.268784179469229</c:v>
                </c:pt>
                <c:pt idx="8">
                  <c:v>42.174096578193783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59472"/>
        <c:axId val="751059888"/>
      </c:barChart>
      <c:catAx>
        <c:axId val="751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888"/>
        <c:crosses val="autoZero"/>
        <c:auto val="1"/>
        <c:lblAlgn val="ctr"/>
        <c:lblOffset val="100"/>
        <c:noMultiLvlLbl val="0"/>
      </c:catAx>
      <c:valAx>
        <c:axId val="75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Десорбция!$A$34</c:f>
              <c:strCache>
                <c:ptCount val="1"/>
                <c:pt idx="0">
                  <c:v>Калибровка для побегов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50334645669291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Десорбция!$C$35:$C$40</c:f>
              <c:numCache>
                <c:formatCode>General</c:formatCode>
                <c:ptCount val="6"/>
                <c:pt idx="0">
                  <c:v>0.151</c:v>
                </c:pt>
                <c:pt idx="1">
                  <c:v>0.191</c:v>
                </c:pt>
                <c:pt idx="2">
                  <c:v>0.217</c:v>
                </c:pt>
                <c:pt idx="3">
                  <c:v>0.251</c:v>
                </c:pt>
                <c:pt idx="4">
                  <c:v>0.27400000000000002</c:v>
                </c:pt>
              </c:numCache>
            </c:numRef>
          </c:xVal>
          <c:yVal>
            <c:numRef>
              <c:f>Десорбция!$B$35:$B$40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270-A25E-2F2427E6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01192"/>
        <c:axId val="775605128"/>
      </c:scatterChart>
      <c:valAx>
        <c:axId val="7756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605128"/>
        <c:crosses val="autoZero"/>
        <c:crossBetween val="midCat"/>
      </c:valAx>
      <c:valAx>
        <c:axId val="7756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6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Озоление!$A$26</c:f>
              <c:strCache>
                <c:ptCount val="1"/>
                <c:pt idx="0">
                  <c:v>Калибровка Побеги 1.0.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22244094488187"/>
                  <c:y val="-0.18037656751239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Озоление!$C$27:$C$31</c:f>
              <c:numCache>
                <c:formatCode>General</c:formatCode>
                <c:ptCount val="5"/>
                <c:pt idx="0">
                  <c:v>0.08</c:v>
                </c:pt>
                <c:pt idx="1">
                  <c:v>0.123</c:v>
                </c:pt>
                <c:pt idx="2">
                  <c:v>0.16900000000000001</c:v>
                </c:pt>
                <c:pt idx="3">
                  <c:v>0.22500000000000001</c:v>
                </c:pt>
                <c:pt idx="4">
                  <c:v>0.27500000000000002</c:v>
                </c:pt>
              </c:numCache>
            </c:numRef>
          </c:xVal>
          <c:yVal>
            <c:numRef>
              <c:f>Озоление!$B$27:$B$31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94B-909B-23408A2C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07376"/>
        <c:axId val="647409016"/>
      </c:scatterChart>
      <c:valAx>
        <c:axId val="6474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09016"/>
        <c:crosses val="autoZero"/>
        <c:crossBetween val="midCat"/>
      </c:valAx>
      <c:valAx>
        <c:axId val="6474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Озоление!$A$33</c:f>
              <c:strCache>
                <c:ptCount val="1"/>
                <c:pt idx="0">
                  <c:v>Калибровка Побеги 1.1.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1316710411199"/>
                  <c:y val="-0.17131342957130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Озоление!$C$34:$C$38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0.121</c:v>
                </c:pt>
                <c:pt idx="2">
                  <c:v>0.158</c:v>
                </c:pt>
                <c:pt idx="3">
                  <c:v>0.20699999999999999</c:v>
                </c:pt>
                <c:pt idx="4">
                  <c:v>0.251</c:v>
                </c:pt>
              </c:numCache>
            </c:numRef>
          </c:xVal>
          <c:yVal>
            <c:numRef>
              <c:f>Озоление!$B$34:$B$38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2-441B-AB5C-7ECD6E1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0376"/>
        <c:axId val="710422016"/>
      </c:scatterChart>
      <c:valAx>
        <c:axId val="7104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422016"/>
        <c:crosses val="autoZero"/>
        <c:crossBetween val="midCat"/>
      </c:valAx>
      <c:valAx>
        <c:axId val="710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42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Озоление!$A$40</c:f>
              <c:strCache>
                <c:ptCount val="1"/>
                <c:pt idx="0">
                  <c:v>Калибровка Корни L=30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354702537182848"/>
                  <c:y val="-0.20552420530766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Озоление!$C$41:$C$45</c:f>
              <c:numCache>
                <c:formatCode>General</c:formatCode>
                <c:ptCount val="5"/>
                <c:pt idx="0">
                  <c:v>0.159</c:v>
                </c:pt>
                <c:pt idx="1">
                  <c:v>0.34799999999999998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0.92800000000000005</c:v>
                </c:pt>
              </c:numCache>
            </c:numRef>
          </c:xVal>
          <c:yVal>
            <c:numRef>
              <c:f>Озоление!$B$41:$B$45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9B2-9D48-5B729F67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73016"/>
        <c:axId val="781865800"/>
      </c:scatterChart>
      <c:valAx>
        <c:axId val="7818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65800"/>
        <c:crosses val="autoZero"/>
        <c:crossBetween val="midCat"/>
      </c:valAx>
      <c:valAx>
        <c:axId val="7818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194982</xdr:colOff>
      <xdr:row>43</xdr:row>
      <xdr:rowOff>153239</xdr:rowOff>
    </xdr:from>
    <xdr:to>
      <xdr:col>5</xdr:col>
      <xdr:colOff>470086</xdr:colOff>
      <xdr:row>54</xdr:row>
      <xdr:rowOff>67514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B7D8B1-0A81-48C4-8C30-9F1ED54A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166687</xdr:rowOff>
    </xdr:from>
    <xdr:to>
      <xdr:col>8</xdr:col>
      <xdr:colOff>762000</xdr:colOff>
      <xdr:row>36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02A24-B03A-4BBF-9BAC-4143DBF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13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38</xdr:row>
      <xdr:rowOff>23812</xdr:rowOff>
    </xdr:from>
    <xdr:to>
      <xdr:col>9</xdr:col>
      <xdr:colOff>295275</xdr:colOff>
      <xdr:row>52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18749C-A784-434F-A585-5B801555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23</xdr:row>
      <xdr:rowOff>166687</xdr:rowOff>
    </xdr:from>
    <xdr:to>
      <xdr:col>9</xdr:col>
      <xdr:colOff>314325</xdr:colOff>
      <xdr:row>37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4A00D3-DD01-4B9F-977D-4ED7BFD8C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24</xdr:row>
      <xdr:rowOff>42862</xdr:rowOff>
    </xdr:from>
    <xdr:to>
      <xdr:col>12</xdr:col>
      <xdr:colOff>1219200</xdr:colOff>
      <xdr:row>37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B98682-DF19-449D-871A-03A03DF6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40</xdr:row>
      <xdr:rowOff>14287</xdr:rowOff>
    </xdr:from>
    <xdr:to>
      <xdr:col>9</xdr:col>
      <xdr:colOff>361950</xdr:colOff>
      <xdr:row>54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14E6A6-0366-4AF4-B156-58E92C82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13" zoomScale="120" zoomScaleNormal="120" workbookViewId="0">
      <selection activeCell="B16" sqref="B16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5" width="13.85546875" customWidth="1"/>
    <col min="6" max="6" width="21.5703125" customWidth="1"/>
    <col min="7" max="7" width="21.42578125" customWidth="1"/>
    <col min="8" max="8" width="22.28515625" customWidth="1"/>
    <col min="9" max="9" width="22.42578125" customWidth="1"/>
    <col min="10" max="10" width="14.28515625" customWidth="1"/>
    <col min="11" max="11" width="14.5703125" customWidth="1"/>
  </cols>
  <sheetData>
    <row r="1" spans="1:11" x14ac:dyDescent="0.25">
      <c r="A1" s="12" t="s">
        <v>57</v>
      </c>
      <c r="B1" s="12"/>
      <c r="C1" s="12"/>
      <c r="D1" s="12"/>
      <c r="E1" s="12"/>
      <c r="F1" s="9"/>
      <c r="G1" s="9"/>
    </row>
    <row r="2" spans="1:11" x14ac:dyDescent="0.25">
      <c r="A2" s="12" t="s">
        <v>19</v>
      </c>
      <c r="B2" s="12"/>
      <c r="C2" s="12"/>
      <c r="D2" s="12"/>
      <c r="E2" s="12"/>
      <c r="F2" s="9"/>
      <c r="G2" s="9"/>
    </row>
    <row r="3" spans="1:11" ht="30" x14ac:dyDescent="0.25">
      <c r="A3" t="s">
        <v>0</v>
      </c>
      <c r="B3" t="s">
        <v>6</v>
      </c>
      <c r="C3" t="s">
        <v>8</v>
      </c>
      <c r="D3" t="s">
        <v>7</v>
      </c>
      <c r="E3" t="s">
        <v>9</v>
      </c>
      <c r="F3" t="s">
        <v>58</v>
      </c>
      <c r="G3" t="s">
        <v>59</v>
      </c>
      <c r="H3" s="10" t="s">
        <v>64</v>
      </c>
      <c r="I3" s="10" t="s">
        <v>65</v>
      </c>
      <c r="J3" s="10" t="s">
        <v>60</v>
      </c>
      <c r="K3" s="10" t="s">
        <v>61</v>
      </c>
    </row>
    <row r="4" spans="1:11" ht="17.25" x14ac:dyDescent="0.25">
      <c r="A4" t="s">
        <v>10</v>
      </c>
      <c r="B4">
        <v>1.2186999999999999</v>
      </c>
      <c r="C4">
        <v>1.9222999999999999</v>
      </c>
      <c r="D4">
        <f>B4/(1+$H$4)</f>
        <v>6.8595246860777434E-2</v>
      </c>
      <c r="E4">
        <f>C4/(1+$I$4)</f>
        <v>0.19591629894132317</v>
      </c>
      <c r="F4">
        <v>3.2399999999999998E-2</v>
      </c>
      <c r="G4">
        <v>9.4E-2</v>
      </c>
      <c r="H4">
        <v>16.766537125721012</v>
      </c>
      <c r="I4">
        <v>8.8118431717400281</v>
      </c>
      <c r="J4">
        <f>F4/D4</f>
        <v>0.47233593408825858</v>
      </c>
      <c r="K4">
        <f>G4/E4</f>
        <v>0.4797967321144268</v>
      </c>
    </row>
    <row r="5" spans="1:11" ht="17.25" x14ac:dyDescent="0.25">
      <c r="A5" t="s">
        <v>11</v>
      </c>
      <c r="B5">
        <v>1.5215000000000001</v>
      </c>
      <c r="C5">
        <v>2.1634000000000002</v>
      </c>
      <c r="D5">
        <f t="shared" ref="D5:D12" si="0">B5/(1+$H$4)</f>
        <v>8.5638523097294555E-2</v>
      </c>
      <c r="E5">
        <f t="shared" ref="E5:E12" si="1">C5/(1+$I$4)</f>
        <v>0.22048864439975999</v>
      </c>
      <c r="F5">
        <v>3.9399999999999998E-2</v>
      </c>
      <c r="G5">
        <v>0.112</v>
      </c>
      <c r="J5">
        <f t="shared" ref="J5:K12" si="2">F5/D5</f>
        <v>0.46007332418889763</v>
      </c>
      <c r="K5">
        <f t="shared" si="2"/>
        <v>0.50796266766889298</v>
      </c>
    </row>
    <row r="6" spans="1:11" ht="17.25" x14ac:dyDescent="0.25">
      <c r="A6" t="s">
        <v>12</v>
      </c>
      <c r="B6">
        <v>1.3230999999999999</v>
      </c>
      <c r="C6">
        <v>1.9843999999999999</v>
      </c>
      <c r="D6">
        <f t="shared" si="0"/>
        <v>7.4471462313526401E-2</v>
      </c>
      <c r="E6">
        <f t="shared" si="1"/>
        <v>0.20224538501751116</v>
      </c>
      <c r="F6">
        <v>3.5700000000000003E-2</v>
      </c>
      <c r="G6">
        <v>0.10009999999999999</v>
      </c>
      <c r="J6">
        <f t="shared" si="2"/>
        <v>0.47937825968425679</v>
      </c>
      <c r="K6">
        <f t="shared" si="2"/>
        <v>0.49494330855229635</v>
      </c>
    </row>
    <row r="7" spans="1:11" ht="17.25" x14ac:dyDescent="0.25">
      <c r="A7" t="s">
        <v>13</v>
      </c>
      <c r="B7">
        <v>1.1226</v>
      </c>
      <c r="C7">
        <v>1.6451</v>
      </c>
      <c r="D7">
        <f t="shared" si="0"/>
        <v>6.3186201793639735E-2</v>
      </c>
      <c r="E7">
        <f t="shared" si="1"/>
        <v>0.1676647263113826</v>
      </c>
      <c r="F7">
        <v>2.9499999999999998E-2</v>
      </c>
      <c r="G7">
        <v>8.0500000000000002E-2</v>
      </c>
      <c r="J7">
        <f t="shared" si="2"/>
        <v>0.46687408267305347</v>
      </c>
      <c r="K7">
        <f t="shared" si="2"/>
        <v>0.48012484063283223</v>
      </c>
    </row>
    <row r="8" spans="1:11" ht="17.25" x14ac:dyDescent="0.25">
      <c r="A8" t="s">
        <v>14</v>
      </c>
      <c r="B8">
        <v>1.2114</v>
      </c>
      <c r="C8">
        <v>1.5203</v>
      </c>
      <c r="D8">
        <f t="shared" si="0"/>
        <v>6.8184362063794038E-2</v>
      </c>
      <c r="E8">
        <f t="shared" si="1"/>
        <v>0.15494540356889852</v>
      </c>
      <c r="F8">
        <v>3.1199999999999999E-2</v>
      </c>
      <c r="G8">
        <v>6.9699999999999996E-3</v>
      </c>
      <c r="J8">
        <f t="shared" si="2"/>
        <v>0.45758292745789625</v>
      </c>
      <c r="K8">
        <f t="shared" si="2"/>
        <v>4.498358673092679E-2</v>
      </c>
    </row>
    <row r="9" spans="1:11" ht="17.25" x14ac:dyDescent="0.25">
      <c r="A9" t="s">
        <v>15</v>
      </c>
      <c r="B9">
        <v>1.0851</v>
      </c>
      <c r="C9">
        <v>1.6400999999999999</v>
      </c>
      <c r="D9">
        <f t="shared" si="0"/>
        <v>6.1075492220094847E-2</v>
      </c>
      <c r="E9">
        <f t="shared" si="1"/>
        <v>0.16715513806048179</v>
      </c>
      <c r="F9">
        <v>2.9700000000000001E-2</v>
      </c>
      <c r="G9">
        <v>7.5599999999999999E-3</v>
      </c>
      <c r="J9">
        <f t="shared" si="2"/>
        <v>0.48628343252595529</v>
      </c>
      <c r="K9">
        <f t="shared" si="2"/>
        <v>4.5227446118135853E-2</v>
      </c>
    </row>
    <row r="10" spans="1:11" ht="17.25" x14ac:dyDescent="0.25">
      <c r="A10" t="s">
        <v>16</v>
      </c>
      <c r="B10">
        <v>0.98929999999999996</v>
      </c>
      <c r="C10">
        <v>1.4551000000000001</v>
      </c>
      <c r="D10">
        <f t="shared" si="0"/>
        <v>5.5683332829545511E-2</v>
      </c>
      <c r="E10">
        <f t="shared" si="1"/>
        <v>0.14830037277715205</v>
      </c>
      <c r="F10">
        <v>2.6499999999999999E-2</v>
      </c>
      <c r="G10">
        <v>6.6500000000000004E-2</v>
      </c>
      <c r="J10">
        <f t="shared" si="2"/>
        <v>0.47590542184535212</v>
      </c>
      <c r="K10">
        <f t="shared" si="2"/>
        <v>0.44841424707629157</v>
      </c>
    </row>
    <row r="11" spans="1:11" ht="17.25" x14ac:dyDescent="0.25">
      <c r="A11" t="s">
        <v>17</v>
      </c>
      <c r="B11">
        <v>0.93679999999999997</v>
      </c>
      <c r="C11">
        <v>1.8295999999999999</v>
      </c>
      <c r="D11">
        <f t="shared" si="0"/>
        <v>5.2728339426582671E-2</v>
      </c>
      <c r="E11">
        <f t="shared" si="1"/>
        <v>0.18646853276962227</v>
      </c>
      <c r="F11">
        <v>2.4299999999999999E-2</v>
      </c>
      <c r="G11">
        <v>9.2399999999999996E-2</v>
      </c>
      <c r="J11">
        <f t="shared" si="2"/>
        <v>0.46085274568213125</v>
      </c>
      <c r="K11">
        <f t="shared" si="2"/>
        <v>0.49552596691559825</v>
      </c>
    </row>
    <row r="12" spans="1:11" ht="17.25" x14ac:dyDescent="0.25">
      <c r="A12" t="s">
        <v>18</v>
      </c>
      <c r="B12">
        <v>1.0108999999999999</v>
      </c>
      <c r="C12">
        <v>1.6222000000000001</v>
      </c>
      <c r="D12">
        <f t="shared" si="0"/>
        <v>5.6899101543907364E-2</v>
      </c>
      <c r="E12">
        <f t="shared" si="1"/>
        <v>0.16533081212225692</v>
      </c>
      <c r="F12">
        <v>2.6700000000000002E-2</v>
      </c>
      <c r="G12">
        <v>7.0599999999999996E-2</v>
      </c>
      <c r="J12">
        <f t="shared" si="2"/>
        <v>0.4692516977512623</v>
      </c>
      <c r="K12">
        <f t="shared" si="2"/>
        <v>0.42702264081176544</v>
      </c>
    </row>
    <row r="13" spans="1:11" x14ac:dyDescent="0.25">
      <c r="A13" s="12" t="s">
        <v>62</v>
      </c>
      <c r="B13" s="12"/>
      <c r="C13" s="12"/>
      <c r="D13" s="12"/>
      <c r="E13" s="12"/>
      <c r="F13" s="9"/>
      <c r="G13" s="9"/>
    </row>
    <row r="14" spans="1:11" x14ac:dyDescent="0.25">
      <c r="A14" t="s">
        <v>0</v>
      </c>
      <c r="B14" t="s">
        <v>6</v>
      </c>
      <c r="C14" t="s">
        <v>8</v>
      </c>
      <c r="D14" t="s">
        <v>7</v>
      </c>
      <c r="E14" t="s">
        <v>9</v>
      </c>
      <c r="F14" t="s">
        <v>63</v>
      </c>
      <c r="G14" t="s">
        <v>66</v>
      </c>
    </row>
    <row r="15" spans="1:11" ht="17.25" x14ac:dyDescent="0.25">
      <c r="A15" t="s">
        <v>10</v>
      </c>
      <c r="B15">
        <v>0.92249999999999999</v>
      </c>
      <c r="C15">
        <v>1.7976000000000001</v>
      </c>
      <c r="D15">
        <v>6.1400000000000003E-2</v>
      </c>
      <c r="E15">
        <v>0.1754</v>
      </c>
      <c r="F15">
        <f>(B15-D15)/D15</f>
        <v>14.024429967426709</v>
      </c>
      <c r="G15">
        <f>(C15-E15)/E15</f>
        <v>9.2485746864310148</v>
      </c>
    </row>
    <row r="16" spans="1:11" ht="17.25" x14ac:dyDescent="0.25">
      <c r="A16" t="s">
        <v>11</v>
      </c>
      <c r="B16">
        <v>1.0718000000000001</v>
      </c>
      <c r="C16">
        <v>1.8995</v>
      </c>
      <c r="D16">
        <v>7.2900000000000006E-2</v>
      </c>
      <c r="E16">
        <v>0.19389999999999999</v>
      </c>
      <c r="F16">
        <f t="shared" ref="F16:G23" si="3">(B16-D16)/D16</f>
        <v>13.702331961591222</v>
      </c>
      <c r="G16">
        <f t="shared" si="3"/>
        <v>8.7962867457452294</v>
      </c>
    </row>
    <row r="17" spans="1:7" ht="17.25" x14ac:dyDescent="0.25">
      <c r="A17" t="s">
        <v>12</v>
      </c>
      <c r="B17">
        <v>0.90080000000000005</v>
      </c>
      <c r="C17">
        <v>1.7425999999999999</v>
      </c>
      <c r="D17">
        <v>6.1400000000000003E-2</v>
      </c>
      <c r="E17">
        <v>0.1726</v>
      </c>
      <c r="F17">
        <f t="shared" si="3"/>
        <v>13.67100977198697</v>
      </c>
      <c r="G17">
        <f t="shared" si="3"/>
        <v>9.0961761297798365</v>
      </c>
    </row>
    <row r="18" spans="1:7" ht="17.25" x14ac:dyDescent="0.25">
      <c r="A18" t="s">
        <v>13</v>
      </c>
      <c r="B18">
        <v>0.89539999999999997</v>
      </c>
      <c r="C18">
        <v>1.9588000000000001</v>
      </c>
      <c r="D18">
        <v>6.4100000000000004E-2</v>
      </c>
      <c r="E18">
        <v>0.19500000000000001</v>
      </c>
      <c r="F18">
        <f t="shared" si="3"/>
        <v>12.968798751950075</v>
      </c>
      <c r="G18">
        <f t="shared" si="3"/>
        <v>9.0451282051282043</v>
      </c>
    </row>
    <row r="19" spans="1:7" ht="17.25" x14ac:dyDescent="0.25">
      <c r="A19" t="s">
        <v>14</v>
      </c>
      <c r="B19">
        <v>0.86250000000000004</v>
      </c>
      <c r="C19">
        <v>1.9829000000000001</v>
      </c>
      <c r="D19">
        <v>6.2799999999999995E-2</v>
      </c>
      <c r="E19">
        <v>0.20080000000000001</v>
      </c>
      <c r="F19">
        <f t="shared" si="3"/>
        <v>12.734076433121022</v>
      </c>
      <c r="G19">
        <f t="shared" si="3"/>
        <v>8.875</v>
      </c>
    </row>
    <row r="20" spans="1:7" ht="17.25" x14ac:dyDescent="0.25">
      <c r="A20" t="s">
        <v>15</v>
      </c>
      <c r="B20">
        <v>0.98240000000000005</v>
      </c>
      <c r="C20">
        <v>1.9217</v>
      </c>
      <c r="D20">
        <v>6.9000000000000006E-2</v>
      </c>
      <c r="E20">
        <v>0.19359999999999999</v>
      </c>
      <c r="F20">
        <f t="shared" si="3"/>
        <v>13.237681159420289</v>
      </c>
      <c r="G20">
        <f t="shared" si="3"/>
        <v>8.9261363636363633</v>
      </c>
    </row>
    <row r="21" spans="1:7" ht="17.25" x14ac:dyDescent="0.25">
      <c r="A21" t="s">
        <v>16</v>
      </c>
      <c r="B21">
        <v>0.88670000000000004</v>
      </c>
      <c r="C21">
        <v>1.8685</v>
      </c>
      <c r="D21">
        <v>5.8599999999999999E-2</v>
      </c>
      <c r="E21">
        <v>0.18729999999999999</v>
      </c>
      <c r="F21">
        <f t="shared" si="3"/>
        <v>14.131399317406144</v>
      </c>
      <c r="G21">
        <f t="shared" si="3"/>
        <v>8.9759743726641759</v>
      </c>
    </row>
    <row r="22" spans="1:7" ht="17.25" x14ac:dyDescent="0.25">
      <c r="A22" t="s">
        <v>17</v>
      </c>
      <c r="B22">
        <v>0.90629999999999999</v>
      </c>
      <c r="C22">
        <v>1.7334000000000001</v>
      </c>
      <c r="D22">
        <v>6.25E-2</v>
      </c>
      <c r="E22">
        <v>0.1719</v>
      </c>
      <c r="F22">
        <f t="shared" si="3"/>
        <v>13.5008</v>
      </c>
      <c r="G22">
        <f t="shared" si="3"/>
        <v>9.0837696335078544</v>
      </c>
    </row>
    <row r="23" spans="1:7" ht="17.25" x14ac:dyDescent="0.25">
      <c r="A23" t="s">
        <v>18</v>
      </c>
      <c r="B23">
        <v>0.84709999999999996</v>
      </c>
      <c r="C23">
        <v>1.8364</v>
      </c>
      <c r="D23">
        <v>6.0999999999999999E-2</v>
      </c>
      <c r="E23">
        <v>0.1883</v>
      </c>
      <c r="F23">
        <f t="shared" si="3"/>
        <v>12.88688524590164</v>
      </c>
      <c r="G23">
        <f t="shared" si="3"/>
        <v>8.7525225703664375</v>
      </c>
    </row>
  </sheetData>
  <mergeCells count="3">
    <mergeCell ref="A2:E2"/>
    <mergeCell ref="A13:E13"/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1806-F995-49DA-AB53-95D279BB9D7D}">
  <dimension ref="A1:U36"/>
  <sheetViews>
    <sheetView topLeftCell="A4" zoomScale="85" zoomScaleNormal="85" workbookViewId="0">
      <selection activeCell="M21" sqref="M21:O23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0.28515625" style="2" customWidth="1"/>
    <col min="21" max="21" width="29.28515625" style="2" customWidth="1"/>
    <col min="22" max="16384" width="9.140625" style="2"/>
  </cols>
  <sheetData>
    <row r="1" spans="1:21" ht="54.75" customHeight="1" x14ac:dyDescent="0.4">
      <c r="A1" s="15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60.75" x14ac:dyDescent="0.3">
      <c r="A2" s="3" t="s">
        <v>0</v>
      </c>
      <c r="B2" s="3" t="s">
        <v>45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1</v>
      </c>
      <c r="Q2" s="3" t="s">
        <v>2</v>
      </c>
      <c r="R2" s="3" t="s">
        <v>5</v>
      </c>
      <c r="S2" s="4" t="s">
        <v>33</v>
      </c>
      <c r="T2" s="4" t="s">
        <v>34</v>
      </c>
      <c r="U2" s="4" t="s">
        <v>35</v>
      </c>
    </row>
    <row r="3" spans="1:21" ht="24" x14ac:dyDescent="0.3">
      <c r="A3" s="2" t="s">
        <v>36</v>
      </c>
      <c r="B3" s="2">
        <v>4.6399999999999997</v>
      </c>
      <c r="C3" s="5">
        <v>150</v>
      </c>
      <c r="D3" s="5">
        <v>20</v>
      </c>
      <c r="E3" s="6">
        <v>5.0000000000000001E-3</v>
      </c>
      <c r="F3" s="6">
        <v>4.0000000000000001E-3</v>
      </c>
      <c r="G3" s="6">
        <f>AVERAGE(E3:F3)</f>
        <v>4.5000000000000005E-3</v>
      </c>
      <c r="H3" s="3">
        <f>(G3*20.61+0.2226)/D3</f>
        <v>1.576725E-2</v>
      </c>
      <c r="I3" s="3">
        <f>H3/63.5</f>
        <v>2.483031496062992E-4</v>
      </c>
      <c r="J3" s="3">
        <f>I3*C3</f>
        <v>3.724547244094488E-2</v>
      </c>
      <c r="K3" s="3">
        <f>$S$28</f>
        <v>1.137288188976378</v>
      </c>
      <c r="L3" s="3">
        <f>K3-J3</f>
        <v>1.1000427165354332</v>
      </c>
      <c r="M3" s="3">
        <f>L3/P3</f>
        <v>0.90263618325710449</v>
      </c>
      <c r="N3" s="3">
        <f>L3/Q3</f>
        <v>16.036719260856461</v>
      </c>
      <c r="O3" s="3">
        <f>L3/R3</f>
        <v>33.951935695538062</v>
      </c>
      <c r="P3">
        <v>1.2186999999999999</v>
      </c>
      <c r="Q3" s="3">
        <v>6.8595246860777434E-2</v>
      </c>
      <c r="R3" s="1">
        <v>3.2399999999999998E-2</v>
      </c>
      <c r="S3" s="13">
        <f>AVERAGE(M3:M5)</f>
        <v>0.82294907674923401</v>
      </c>
      <c r="T3" s="13">
        <f>AVERAGE(N3:N5)</f>
        <v>14.620955324643097</v>
      </c>
      <c r="U3" s="13">
        <f>AVERAGE(O3:O5)</f>
        <v>31.044604198381592</v>
      </c>
    </row>
    <row r="4" spans="1:21" ht="24" x14ac:dyDescent="0.3">
      <c r="A4" s="2" t="s">
        <v>37</v>
      </c>
      <c r="B4" s="2">
        <v>4.58</v>
      </c>
      <c r="C4" s="5">
        <v>150</v>
      </c>
      <c r="D4" s="5">
        <v>20</v>
      </c>
      <c r="E4" s="6">
        <v>0</v>
      </c>
      <c r="F4" s="6">
        <v>0</v>
      </c>
      <c r="G4" s="6">
        <f t="shared" ref="G4:G11" si="0">AVERAGE(E4:F4)</f>
        <v>0</v>
      </c>
      <c r="H4" s="3">
        <f t="shared" ref="H4:H11" si="1">(G4*20.61+0.2226)/D4</f>
        <v>1.1129999999999999E-2</v>
      </c>
      <c r="I4" s="3">
        <f t="shared" ref="I4:I10" si="2">H4/63.5</f>
        <v>1.7527559055118108E-4</v>
      </c>
      <c r="J4" s="3">
        <f t="shared" ref="J4:J10" si="3">I4*C4</f>
        <v>2.6291338582677161E-2</v>
      </c>
      <c r="K4" s="3">
        <f t="shared" ref="K4:K5" si="4">$S$28</f>
        <v>1.137288188976378</v>
      </c>
      <c r="L4" s="3">
        <f t="shared" ref="L4:L10" si="5">K4-J4</f>
        <v>1.1109968503937009</v>
      </c>
      <c r="M4" s="3">
        <f t="shared" ref="M4:M11" si="6">L4/P4</f>
        <v>0.73019839000571862</v>
      </c>
      <c r="N4" s="3">
        <f t="shared" ref="N4:N10" si="7">L4/Q4</f>
        <v>12.97309680517831</v>
      </c>
      <c r="O4" s="3">
        <f t="shared" ref="O4:O10" si="8">L4/R4</f>
        <v>28.197889603901039</v>
      </c>
      <c r="P4">
        <v>1.5215000000000001</v>
      </c>
      <c r="Q4" s="3">
        <v>8.5638523097294555E-2</v>
      </c>
      <c r="R4" s="1">
        <v>3.9399999999999998E-2</v>
      </c>
      <c r="S4" s="14"/>
      <c r="T4" s="14"/>
      <c r="U4" s="14"/>
    </row>
    <row r="5" spans="1:21" ht="24" x14ac:dyDescent="0.3">
      <c r="A5" s="2" t="s">
        <v>38</v>
      </c>
      <c r="B5" s="2">
        <v>4.6500000000000004</v>
      </c>
      <c r="C5" s="5">
        <v>150</v>
      </c>
      <c r="D5" s="5">
        <v>20</v>
      </c>
      <c r="E5" s="6">
        <v>4.0000000000000001E-3</v>
      </c>
      <c r="F5" s="6">
        <v>0</v>
      </c>
      <c r="G5" s="6">
        <f t="shared" si="0"/>
        <v>2E-3</v>
      </c>
      <c r="H5" s="3">
        <f t="shared" si="1"/>
        <v>1.3191E-2</v>
      </c>
      <c r="I5" s="3">
        <f t="shared" si="2"/>
        <v>2.0773228346456692E-4</v>
      </c>
      <c r="J5" s="3">
        <f t="shared" si="3"/>
        <v>3.1159842519685038E-2</v>
      </c>
      <c r="K5" s="3">
        <f t="shared" si="4"/>
        <v>1.137288188976378</v>
      </c>
      <c r="L5" s="3">
        <f t="shared" si="5"/>
        <v>1.1061283464566929</v>
      </c>
      <c r="M5" s="3">
        <f t="shared" si="6"/>
        <v>0.8360126569848787</v>
      </c>
      <c r="N5" s="3">
        <f t="shared" si="7"/>
        <v>14.853049907894512</v>
      </c>
      <c r="O5" s="3">
        <f t="shared" si="8"/>
        <v>30.983987295705681</v>
      </c>
      <c r="P5">
        <v>1.3230999999999999</v>
      </c>
      <c r="Q5" s="3">
        <v>7.4471462313526401E-2</v>
      </c>
      <c r="R5" s="1">
        <v>3.5700000000000003E-2</v>
      </c>
      <c r="S5" s="14"/>
      <c r="T5" s="14"/>
      <c r="U5" s="14"/>
    </row>
    <row r="6" spans="1:21" ht="24" x14ac:dyDescent="0.3">
      <c r="A6" s="2" t="s">
        <v>39</v>
      </c>
      <c r="B6" s="2">
        <v>4.13</v>
      </c>
      <c r="C6" s="5">
        <v>150</v>
      </c>
      <c r="D6" s="5">
        <v>5</v>
      </c>
      <c r="E6" s="6">
        <v>0.14000000000000001</v>
      </c>
      <c r="F6" s="6">
        <v>0.13900000000000001</v>
      </c>
      <c r="G6" s="6">
        <f t="shared" si="0"/>
        <v>0.13950000000000001</v>
      </c>
      <c r="H6" s="3">
        <f t="shared" si="1"/>
        <v>0.61953900000000006</v>
      </c>
      <c r="I6" s="3">
        <f t="shared" si="2"/>
        <v>9.7565196850393707E-3</v>
      </c>
      <c r="J6" s="3">
        <f t="shared" si="3"/>
        <v>1.4634779527559056</v>
      </c>
      <c r="K6" s="3">
        <f>$S$29</f>
        <v>6.7575118110236216</v>
      </c>
      <c r="L6" s="3">
        <f t="shared" si="5"/>
        <v>5.2940338582677162</v>
      </c>
      <c r="M6" s="3">
        <f t="shared" si="6"/>
        <v>4.7158683932546905</v>
      </c>
      <c r="N6" s="3">
        <f t="shared" si="7"/>
        <v>83.784650888773768</v>
      </c>
      <c r="O6" s="3">
        <f>L6/R6</f>
        <v>179.45877485653276</v>
      </c>
      <c r="P6">
        <v>1.1226</v>
      </c>
      <c r="Q6" s="3">
        <v>6.3186201793639735E-2</v>
      </c>
      <c r="R6" s="1">
        <v>2.9499999999999998E-2</v>
      </c>
      <c r="S6" s="13">
        <f t="shared" ref="S6:U6" si="9">AVERAGE(M6:M8)</f>
        <v>4.6702595941396945</v>
      </c>
      <c r="T6" s="13">
        <f t="shared" si="9"/>
        <v>82.974340466037631</v>
      </c>
      <c r="U6" s="13">
        <f t="shared" si="9"/>
        <v>176.40758083872322</v>
      </c>
    </row>
    <row r="7" spans="1:21" ht="24" x14ac:dyDescent="0.3">
      <c r="A7" s="2" t="s">
        <v>40</v>
      </c>
      <c r="B7" s="2">
        <v>4.1399999999999997</v>
      </c>
      <c r="C7" s="5">
        <v>150</v>
      </c>
      <c r="D7" s="5">
        <v>5</v>
      </c>
      <c r="E7" s="6">
        <v>0.13</v>
      </c>
      <c r="F7" s="6">
        <v>0.13200000000000001</v>
      </c>
      <c r="G7" s="6">
        <f t="shared" si="0"/>
        <v>0.13100000000000001</v>
      </c>
      <c r="H7" s="3">
        <f t="shared" si="1"/>
        <v>0.58450199999999997</v>
      </c>
      <c r="I7" s="3">
        <f t="shared" si="2"/>
        <v>9.2047559055118099E-3</v>
      </c>
      <c r="J7" s="3">
        <f t="shared" si="3"/>
        <v>1.3807133858267715</v>
      </c>
      <c r="K7" s="3">
        <f t="shared" ref="K7:K8" si="10">$S$29</f>
        <v>6.7575118110236216</v>
      </c>
      <c r="L7" s="3">
        <f t="shared" si="5"/>
        <v>5.3767984251968501</v>
      </c>
      <c r="M7" s="3">
        <f t="shared" si="6"/>
        <v>4.4384996080541939</v>
      </c>
      <c r="N7" s="3">
        <f t="shared" si="7"/>
        <v>78.856768068992977</v>
      </c>
      <c r="O7" s="3">
        <f t="shared" si="8"/>
        <v>172.33328285887342</v>
      </c>
      <c r="P7">
        <v>1.2114</v>
      </c>
      <c r="Q7" s="3">
        <v>6.8184362063794038E-2</v>
      </c>
      <c r="R7" s="1">
        <v>3.1199999999999999E-2</v>
      </c>
      <c r="S7" s="14"/>
      <c r="T7" s="14"/>
      <c r="U7" s="14"/>
    </row>
    <row r="8" spans="1:21" ht="24" x14ac:dyDescent="0.3">
      <c r="A8" s="2" t="s">
        <v>41</v>
      </c>
      <c r="B8" s="2">
        <v>4.1399999999999997</v>
      </c>
      <c r="C8" s="5">
        <v>150</v>
      </c>
      <c r="D8" s="5">
        <v>5</v>
      </c>
      <c r="E8" s="6">
        <v>0.14299999999999999</v>
      </c>
      <c r="F8" s="6">
        <v>0.14099999999999999</v>
      </c>
      <c r="G8" s="6">
        <f t="shared" si="0"/>
        <v>0.14199999999999999</v>
      </c>
      <c r="H8" s="3">
        <f t="shared" si="1"/>
        <v>0.62984399999999996</v>
      </c>
      <c r="I8" s="3">
        <f t="shared" si="2"/>
        <v>9.9188031496062982E-3</v>
      </c>
      <c r="J8" s="3">
        <f t="shared" si="3"/>
        <v>1.4878204724409447</v>
      </c>
      <c r="K8" s="3">
        <f t="shared" si="10"/>
        <v>6.7575118110236216</v>
      </c>
      <c r="L8" s="3">
        <f t="shared" si="5"/>
        <v>5.2696913385826765</v>
      </c>
      <c r="M8" s="3">
        <f t="shared" si="6"/>
        <v>4.8564107811101991</v>
      </c>
      <c r="N8" s="3">
        <f t="shared" si="7"/>
        <v>86.281602440346134</v>
      </c>
      <c r="O8" s="3">
        <f t="shared" si="8"/>
        <v>177.43068480076352</v>
      </c>
      <c r="P8">
        <v>1.0851</v>
      </c>
      <c r="Q8" s="3">
        <v>6.1075492220094847E-2</v>
      </c>
      <c r="R8" s="1">
        <v>2.9700000000000001E-2</v>
      </c>
      <c r="S8" s="14"/>
      <c r="T8" s="14"/>
      <c r="U8" s="14"/>
    </row>
    <row r="9" spans="1:21" ht="24" x14ac:dyDescent="0.3">
      <c r="A9" s="2" t="s">
        <v>42</v>
      </c>
      <c r="B9" s="2">
        <v>4.0599999999999996</v>
      </c>
      <c r="C9" s="5">
        <v>150</v>
      </c>
      <c r="D9" s="5">
        <v>1</v>
      </c>
      <c r="E9" s="6">
        <v>0.127</v>
      </c>
      <c r="F9" s="6">
        <v>0.123</v>
      </c>
      <c r="G9" s="6">
        <f t="shared" si="0"/>
        <v>0.125</v>
      </c>
      <c r="H9" s="3">
        <f t="shared" si="1"/>
        <v>2.7988499999999998</v>
      </c>
      <c r="I9" s="3">
        <f t="shared" si="2"/>
        <v>4.4076377952755902E-2</v>
      </c>
      <c r="J9" s="3">
        <f t="shared" si="3"/>
        <v>6.6114566929133849</v>
      </c>
      <c r="K9" s="3">
        <f>$S$30</f>
        <v>13.354334645669292</v>
      </c>
      <c r="L9" s="3">
        <f t="shared" si="5"/>
        <v>6.7428779527559071</v>
      </c>
      <c r="M9" s="3">
        <f>L9/P9</f>
        <v>6.8158070886039699</v>
      </c>
      <c r="N9" s="3">
        <f t="shared" si="7"/>
        <v>121.09328968143487</v>
      </c>
      <c r="O9" s="3">
        <f>L9/R9</f>
        <v>254.44822463229838</v>
      </c>
      <c r="P9">
        <v>0.98929999999999996</v>
      </c>
      <c r="Q9" s="3">
        <v>5.5683332829545511E-2</v>
      </c>
      <c r="R9" s="1">
        <v>2.6499999999999999E-2</v>
      </c>
      <c r="S9" s="13">
        <f>AVERAGE(M9:M11)</f>
        <v>6.5303914477952461</v>
      </c>
      <c r="T9" s="13">
        <f t="shared" ref="T9:U9" si="11">AVERAGE(N9:N11)</f>
        <v>116.02244210274523</v>
      </c>
      <c r="U9" s="13">
        <f t="shared" si="11"/>
        <v>247.52350096228079</v>
      </c>
    </row>
    <row r="10" spans="1:21" ht="24" x14ac:dyDescent="0.3">
      <c r="A10" s="2" t="s">
        <v>43</v>
      </c>
      <c r="B10" s="2">
        <v>4.0599999999999996</v>
      </c>
      <c r="C10" s="5">
        <v>150</v>
      </c>
      <c r="D10" s="5">
        <v>1</v>
      </c>
      <c r="E10" s="6">
        <v>0.14000000000000001</v>
      </c>
      <c r="F10" s="6">
        <v>0.14000000000000001</v>
      </c>
      <c r="G10" s="6">
        <f t="shared" si="0"/>
        <v>0.14000000000000001</v>
      </c>
      <c r="H10" s="3">
        <f t="shared" si="1"/>
        <v>3.1080000000000001</v>
      </c>
      <c r="I10" s="3">
        <f t="shared" si="2"/>
        <v>4.8944881889763779E-2</v>
      </c>
      <c r="J10" s="3">
        <f t="shared" si="3"/>
        <v>7.3417322834645669</v>
      </c>
      <c r="K10" s="3">
        <f t="shared" ref="K10:K11" si="12">$S$30</f>
        <v>13.354334645669292</v>
      </c>
      <c r="L10" s="3">
        <f t="shared" si="5"/>
        <v>6.0126023622047251</v>
      </c>
      <c r="M10" s="3">
        <f t="shared" si="6"/>
        <v>6.4182348016702875</v>
      </c>
      <c r="N10" s="3">
        <f t="shared" si="7"/>
        <v>114.0298068854698</v>
      </c>
      <c r="O10" s="3">
        <f t="shared" si="8"/>
        <v>247.43219597550311</v>
      </c>
      <c r="P10">
        <v>0.93679999999999997</v>
      </c>
      <c r="Q10" s="3">
        <v>5.2728339426582671E-2</v>
      </c>
      <c r="R10" s="1">
        <v>2.4299999999999999E-2</v>
      </c>
      <c r="S10" s="14"/>
      <c r="T10" s="14"/>
      <c r="U10" s="14"/>
    </row>
    <row r="11" spans="1:21" ht="24" x14ac:dyDescent="0.3">
      <c r="A11" s="2" t="s">
        <v>44</v>
      </c>
      <c r="B11" s="2">
        <v>4.03</v>
      </c>
      <c r="C11" s="5">
        <v>150</v>
      </c>
      <c r="D11" s="5">
        <v>1</v>
      </c>
      <c r="E11" s="6">
        <v>0.13200000000000001</v>
      </c>
      <c r="F11" s="6">
        <v>0.13100000000000001</v>
      </c>
      <c r="G11" s="6">
        <f t="shared" si="0"/>
        <v>0.13150000000000001</v>
      </c>
      <c r="H11" s="3">
        <f t="shared" si="1"/>
        <v>2.9328150000000002</v>
      </c>
      <c r="I11" s="3">
        <f>H11/63.5</f>
        <v>4.6186062992125985E-2</v>
      </c>
      <c r="J11" s="3">
        <f>I11*C11</f>
        <v>6.9279094488188981</v>
      </c>
      <c r="K11" s="3">
        <f t="shared" si="12"/>
        <v>13.354334645669292</v>
      </c>
      <c r="L11" s="3">
        <f>K11-J11</f>
        <v>6.4264251968503938</v>
      </c>
      <c r="M11" s="3">
        <f t="shared" si="6"/>
        <v>6.357132453111479</v>
      </c>
      <c r="N11" s="3">
        <f>L11/Q11</f>
        <v>112.94422974133099</v>
      </c>
      <c r="O11" s="3">
        <f>L11/R11</f>
        <v>240.69008227904095</v>
      </c>
      <c r="P11">
        <v>1.0108999999999999</v>
      </c>
      <c r="Q11" s="3">
        <v>5.6899101543907364E-2</v>
      </c>
      <c r="R11" s="1">
        <v>2.6700000000000002E-2</v>
      </c>
      <c r="S11" s="14"/>
      <c r="T11" s="14"/>
      <c r="U11" s="14"/>
    </row>
    <row r="13" spans="1:21" ht="26.25" x14ac:dyDescent="0.4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ht="60.75" x14ac:dyDescent="0.3">
      <c r="A14" s="3" t="s">
        <v>0</v>
      </c>
      <c r="B14" s="3" t="s">
        <v>45</v>
      </c>
      <c r="C14" s="3" t="s">
        <v>20</v>
      </c>
      <c r="D14" s="3" t="s">
        <v>21</v>
      </c>
      <c r="E14" s="3" t="s">
        <v>22</v>
      </c>
      <c r="F14" s="3" t="s">
        <v>23</v>
      </c>
      <c r="G14" s="3" t="s">
        <v>24</v>
      </c>
      <c r="H14" s="3" t="s">
        <v>25</v>
      </c>
      <c r="I14" s="3" t="s">
        <v>26</v>
      </c>
      <c r="J14" s="3" t="s">
        <v>27</v>
      </c>
      <c r="K14" s="3" t="s">
        <v>28</v>
      </c>
      <c r="L14" s="3" t="s">
        <v>29</v>
      </c>
      <c r="M14" s="3" t="s">
        <v>30</v>
      </c>
      <c r="N14" s="3" t="s">
        <v>31</v>
      </c>
      <c r="O14" s="3" t="s">
        <v>32</v>
      </c>
      <c r="P14" s="3" t="s">
        <v>3</v>
      </c>
      <c r="Q14" s="3" t="s">
        <v>4</v>
      </c>
      <c r="R14" s="3" t="s">
        <v>48</v>
      </c>
      <c r="S14" s="4" t="s">
        <v>33</v>
      </c>
      <c r="T14" s="4" t="s">
        <v>34</v>
      </c>
      <c r="U14" s="4" t="s">
        <v>35</v>
      </c>
    </row>
    <row r="15" spans="1:21" ht="24" x14ac:dyDescent="0.3">
      <c r="A15" s="2" t="s">
        <v>36</v>
      </c>
      <c r="B15" s="2">
        <v>4.58</v>
      </c>
      <c r="C15" s="5">
        <v>150</v>
      </c>
      <c r="D15" s="5">
        <v>20</v>
      </c>
      <c r="E15" s="6">
        <v>0.03</v>
      </c>
      <c r="F15" s="6">
        <v>3.2000000000000002E-3</v>
      </c>
      <c r="G15" s="6">
        <f>AVERAGE(E15:F15)</f>
        <v>1.66E-2</v>
      </c>
      <c r="H15" s="3">
        <f>(G15*20.371+0.36)/D15</f>
        <v>3.4907929999999997E-2</v>
      </c>
      <c r="I15" s="3">
        <f>H15/63.5</f>
        <v>5.4973118110236219E-4</v>
      </c>
      <c r="J15" s="3">
        <f>I15*C15</f>
        <v>8.2459677165354323E-2</v>
      </c>
      <c r="K15" s="3">
        <f>$S$34</f>
        <v>1.2624134645669292</v>
      </c>
      <c r="L15" s="3">
        <f>K15-J15</f>
        <v>1.1799537874015749</v>
      </c>
      <c r="M15" s="3">
        <f>L15/P15</f>
        <v>0.61382395432636683</v>
      </c>
      <c r="N15" s="3">
        <f>L15/Q15</f>
        <v>6.0227443749076253</v>
      </c>
      <c r="O15" s="3">
        <f>L15/R15</f>
        <v>12.552699865974201</v>
      </c>
      <c r="P15">
        <v>1.9222999999999999</v>
      </c>
      <c r="Q15" s="3">
        <v>0.19591629894132317</v>
      </c>
      <c r="R15" s="1">
        <v>9.4E-2</v>
      </c>
      <c r="S15" s="13">
        <f>AVERAGE(M15:M17)</f>
        <v>0.57140745561090966</v>
      </c>
      <c r="T15" s="13">
        <f>AVERAGE(N15:N17)</f>
        <v>5.6065603416172465</v>
      </c>
      <c r="U15" s="13">
        <f>AVERAGE(O15:O17)</f>
        <v>11.364748221559813</v>
      </c>
    </row>
    <row r="16" spans="1:21" ht="24" x14ac:dyDescent="0.3">
      <c r="A16" s="2" t="s">
        <v>37</v>
      </c>
      <c r="B16" s="2">
        <v>4.5199999999999996</v>
      </c>
      <c r="C16" s="5">
        <v>150</v>
      </c>
      <c r="D16" s="5">
        <v>20</v>
      </c>
      <c r="E16" s="6">
        <v>2.3E-2</v>
      </c>
      <c r="F16" s="6">
        <v>2.5000000000000001E-2</v>
      </c>
      <c r="G16" s="6">
        <f t="shared" ref="G16:G23" si="13">AVERAGE(E16:F16)</f>
        <v>2.4E-2</v>
      </c>
      <c r="H16" s="3">
        <f t="shared" ref="H16:H23" si="14">(G16*20.371+0.36)/D16</f>
        <v>4.2445200000000002E-2</v>
      </c>
      <c r="I16" s="3">
        <f t="shared" ref="I16:I22" si="15">H16/63.5</f>
        <v>6.6842834645669297E-4</v>
      </c>
      <c r="J16" s="3">
        <f t="shared" ref="J16:J22" si="16">I16*C16</f>
        <v>0.10026425196850394</v>
      </c>
      <c r="K16" s="3">
        <f t="shared" ref="K16:K17" si="17">$S$34</f>
        <v>1.2624134645669292</v>
      </c>
      <c r="L16" s="3">
        <f t="shared" ref="L16:L22" si="18">K16-J16</f>
        <v>1.1621492125984252</v>
      </c>
      <c r="M16" s="3">
        <f t="shared" ref="M16:M23" si="19">L16/P16</f>
        <v>0.53718647157179678</v>
      </c>
      <c r="N16" s="3">
        <f t="shared" ref="N16:N22" si="20">L16/Q16</f>
        <v>5.270789413042853</v>
      </c>
      <c r="O16" s="3">
        <f t="shared" ref="O16:O18" si="21">L16/R16</f>
        <v>10.376332255343081</v>
      </c>
      <c r="P16">
        <v>2.1634000000000002</v>
      </c>
      <c r="Q16" s="3">
        <v>0.22048864439975999</v>
      </c>
      <c r="R16" s="1">
        <v>0.112</v>
      </c>
      <c r="S16" s="14"/>
      <c r="T16" s="14"/>
      <c r="U16" s="14"/>
    </row>
    <row r="17" spans="1:21" ht="24" x14ac:dyDescent="0.3">
      <c r="A17" s="2" t="s">
        <v>38</v>
      </c>
      <c r="B17" s="2">
        <v>5.38</v>
      </c>
      <c r="C17" s="5">
        <v>150</v>
      </c>
      <c r="D17" s="5">
        <v>20</v>
      </c>
      <c r="E17" s="6">
        <v>4.2000000000000003E-2</v>
      </c>
      <c r="F17" s="6">
        <v>4.2999999999999997E-2</v>
      </c>
      <c r="G17" s="6">
        <f t="shared" si="13"/>
        <v>4.2499999999999996E-2</v>
      </c>
      <c r="H17" s="3">
        <f t="shared" si="14"/>
        <v>6.1288374999999992E-2</v>
      </c>
      <c r="I17" s="3">
        <f t="shared" si="15"/>
        <v>9.6517125984251959E-4</v>
      </c>
      <c r="J17" s="3">
        <f t="shared" si="16"/>
        <v>0.14477568897637794</v>
      </c>
      <c r="K17" s="3">
        <f t="shared" si="17"/>
        <v>1.2624134645669292</v>
      </c>
      <c r="L17" s="3">
        <f t="shared" si="18"/>
        <v>1.1176377755905511</v>
      </c>
      <c r="M17" s="3">
        <f t="shared" si="19"/>
        <v>0.56321194093456517</v>
      </c>
      <c r="N17" s="3">
        <f t="shared" si="20"/>
        <v>5.5261472369012612</v>
      </c>
      <c r="O17" s="3">
        <f t="shared" si="21"/>
        <v>11.16521254336215</v>
      </c>
      <c r="P17">
        <v>1.9843999999999999</v>
      </c>
      <c r="Q17" s="3">
        <v>0.20224538501751116</v>
      </c>
      <c r="R17" s="1">
        <v>0.10009999999999999</v>
      </c>
      <c r="S17" s="14"/>
      <c r="T17" s="14"/>
      <c r="U17" s="14"/>
    </row>
    <row r="18" spans="1:21" ht="24" x14ac:dyDescent="0.3">
      <c r="A18" s="2" t="s">
        <v>39</v>
      </c>
      <c r="B18" s="2">
        <v>4.83</v>
      </c>
      <c r="C18" s="5">
        <v>150</v>
      </c>
      <c r="D18" s="5">
        <v>5</v>
      </c>
      <c r="E18" s="6">
        <v>0.152</v>
      </c>
      <c r="F18" s="6">
        <v>0.14699999999999999</v>
      </c>
      <c r="G18" s="6">
        <f t="shared" si="13"/>
        <v>0.14949999999999999</v>
      </c>
      <c r="H18" s="3">
        <f t="shared" si="14"/>
        <v>0.68109289999999989</v>
      </c>
      <c r="I18" s="3">
        <f t="shared" si="15"/>
        <v>1.072587244094488E-2</v>
      </c>
      <c r="J18" s="3">
        <f t="shared" si="16"/>
        <v>1.608880866141732</v>
      </c>
      <c r="K18" s="3">
        <f>$S$35</f>
        <v>6.721091338582676</v>
      </c>
      <c r="L18" s="3">
        <f t="shared" si="18"/>
        <v>5.1122104724409443</v>
      </c>
      <c r="M18" s="3">
        <f>L18/P18</f>
        <v>3.1075378228927995</v>
      </c>
      <c r="N18" s="3">
        <f t="shared" si="20"/>
        <v>30.490673768474586</v>
      </c>
      <c r="O18" s="3">
        <f t="shared" si="21"/>
        <v>63.505720154545891</v>
      </c>
      <c r="P18">
        <v>1.6451</v>
      </c>
      <c r="Q18" s="3">
        <v>0.1676647263113826</v>
      </c>
      <c r="R18" s="1">
        <v>8.0500000000000002E-2</v>
      </c>
      <c r="S18" s="13">
        <f t="shared" ref="S18" si="22">AVERAGE(M18:M20)</f>
        <v>3.1303023347881891</v>
      </c>
      <c r="T18" s="13">
        <f t="shared" ref="T18" si="23">AVERAGE(N18:N20)</f>
        <v>30.714035589073365</v>
      </c>
      <c r="U18" s="13">
        <f t="shared" ref="U18" si="24">AVERAGE(O18:O20)</f>
        <v>66.740201705638995</v>
      </c>
    </row>
    <row r="19" spans="1:21" ht="24" x14ac:dyDescent="0.3">
      <c r="A19" s="2" t="s">
        <v>40</v>
      </c>
      <c r="B19" s="2">
        <v>4.79</v>
      </c>
      <c r="C19" s="5">
        <v>150</v>
      </c>
      <c r="D19" s="5">
        <v>5</v>
      </c>
      <c r="E19" s="6">
        <v>0.14399999999999999</v>
      </c>
      <c r="F19" s="6">
        <v>0.14099999999999999</v>
      </c>
      <c r="G19" s="6">
        <f t="shared" si="13"/>
        <v>0.14249999999999999</v>
      </c>
      <c r="H19" s="3">
        <f t="shared" si="14"/>
        <v>0.65257349999999992</v>
      </c>
      <c r="I19" s="3">
        <f t="shared" si="15"/>
        <v>1.0276748031496061E-2</v>
      </c>
      <c r="J19" s="3">
        <f t="shared" si="16"/>
        <v>1.5415122047244092</v>
      </c>
      <c r="K19" s="3">
        <f t="shared" ref="K19:K20" si="25">$S$35</f>
        <v>6.721091338582676</v>
      </c>
      <c r="L19" s="3">
        <f t="shared" si="18"/>
        <v>5.1795791338582671</v>
      </c>
      <c r="M19" s="3">
        <f t="shared" si="19"/>
        <v>3.4069454277828504</v>
      </c>
      <c r="N19" s="3">
        <f t="shared" si="20"/>
        <v>33.428414232082069</v>
      </c>
      <c r="O19" s="3">
        <f>L19/R19</f>
        <v>74.312469639286476</v>
      </c>
      <c r="P19">
        <v>1.5203</v>
      </c>
      <c r="Q19" s="3">
        <v>0.15494540356889852</v>
      </c>
      <c r="R19" s="1">
        <v>6.9699999999999998E-2</v>
      </c>
      <c r="S19" s="14"/>
      <c r="T19" s="14"/>
      <c r="U19" s="14"/>
    </row>
    <row r="20" spans="1:21" ht="24" x14ac:dyDescent="0.3">
      <c r="A20" s="2" t="s">
        <v>41</v>
      </c>
      <c r="B20" s="2">
        <v>4.7</v>
      </c>
      <c r="C20" s="5">
        <v>150</v>
      </c>
      <c r="D20" s="5">
        <v>5</v>
      </c>
      <c r="E20" s="6">
        <v>0.192</v>
      </c>
      <c r="F20" s="6">
        <v>0.189</v>
      </c>
      <c r="G20" s="6">
        <f t="shared" si="13"/>
        <v>0.1905</v>
      </c>
      <c r="H20" s="3">
        <f t="shared" si="14"/>
        <v>0.84813510000000003</v>
      </c>
      <c r="I20" s="3">
        <f t="shared" si="15"/>
        <v>1.3356458267716536E-2</v>
      </c>
      <c r="J20" s="3">
        <f t="shared" si="16"/>
        <v>2.0034687401574804</v>
      </c>
      <c r="K20" s="3">
        <f t="shared" si="25"/>
        <v>6.721091338582676</v>
      </c>
      <c r="L20" s="3">
        <f t="shared" si="18"/>
        <v>4.717622598425196</v>
      </c>
      <c r="M20" s="3">
        <f t="shared" si="19"/>
        <v>2.8764237536889192</v>
      </c>
      <c r="N20" s="3">
        <f t="shared" si="20"/>
        <v>28.22301876666344</v>
      </c>
      <c r="O20" s="3">
        <f>L20/R20</f>
        <v>62.402415323084604</v>
      </c>
      <c r="P20">
        <v>1.6400999999999999</v>
      </c>
      <c r="Q20" s="3">
        <v>0.16715513806048179</v>
      </c>
      <c r="R20" s="1">
        <v>7.5600000000000001E-2</v>
      </c>
      <c r="S20" s="14"/>
      <c r="T20" s="14"/>
      <c r="U20" s="14"/>
    </row>
    <row r="21" spans="1:21" ht="24" x14ac:dyDescent="0.3">
      <c r="A21" s="2" t="s">
        <v>42</v>
      </c>
      <c r="B21" s="2">
        <v>4.38</v>
      </c>
      <c r="C21" s="5">
        <v>150</v>
      </c>
      <c r="D21" s="5">
        <v>1</v>
      </c>
      <c r="E21" s="6">
        <v>0.12</v>
      </c>
      <c r="F21" s="6">
        <v>0.11899999999999999</v>
      </c>
      <c r="G21" s="6">
        <f t="shared" si="13"/>
        <v>0.1195</v>
      </c>
      <c r="H21" s="3">
        <f t="shared" si="14"/>
        <v>2.7943344999999997</v>
      </c>
      <c r="I21" s="3">
        <f t="shared" si="15"/>
        <v>4.4005267716535429E-2</v>
      </c>
      <c r="J21" s="3">
        <f t="shared" si="16"/>
        <v>6.6007901574803141</v>
      </c>
      <c r="K21" s="3">
        <f>$S$36</f>
        <v>13.770740551181104</v>
      </c>
      <c r="L21" s="3">
        <f t="shared" si="18"/>
        <v>7.1699503937007902</v>
      </c>
      <c r="M21" s="3">
        <f t="shared" si="19"/>
        <v>4.9274623006671634</v>
      </c>
      <c r="N21" s="3">
        <f t="shared" si="20"/>
        <v>48.347487328807517</v>
      </c>
      <c r="O21" s="3">
        <f>L21/R21</f>
        <v>107.81880291279383</v>
      </c>
      <c r="P21">
        <v>1.4551000000000001</v>
      </c>
      <c r="Q21" s="3">
        <v>0.14830037277715205</v>
      </c>
      <c r="R21" s="1">
        <v>6.6500000000000004E-2</v>
      </c>
      <c r="S21" s="13">
        <f t="shared" ref="S21" si="26">AVERAGE(M21:M23)</f>
        <v>4.65403832660951</v>
      </c>
      <c r="T21" s="13">
        <f t="shared" ref="T21" si="27">AVERAGE(N21:N23)</f>
        <v>45.664694175959916</v>
      </c>
      <c r="U21" s="13">
        <f t="shared" ref="U21" si="28">AVERAGE(O21:O23)</f>
        <v>100.4863686248458</v>
      </c>
    </row>
    <row r="22" spans="1:21" ht="24" x14ac:dyDescent="0.3">
      <c r="A22" s="2" t="s">
        <v>43</v>
      </c>
      <c r="B22" s="2">
        <v>4.3899999999999997</v>
      </c>
      <c r="C22" s="5">
        <v>150</v>
      </c>
      <c r="D22" s="5">
        <v>1</v>
      </c>
      <c r="E22" s="6">
        <v>0.10299999999999999</v>
      </c>
      <c r="F22" s="6">
        <v>0.1</v>
      </c>
      <c r="G22" s="6">
        <f t="shared" si="13"/>
        <v>0.10150000000000001</v>
      </c>
      <c r="H22" s="3">
        <f t="shared" si="14"/>
        <v>2.4276564999999999</v>
      </c>
      <c r="I22" s="3">
        <f t="shared" si="15"/>
        <v>3.8230811023622045E-2</v>
      </c>
      <c r="J22" s="3">
        <f t="shared" si="16"/>
        <v>5.7346216535433072</v>
      </c>
      <c r="K22" s="3">
        <f t="shared" ref="K22:K23" si="29">$S$36</f>
        <v>13.770740551181104</v>
      </c>
      <c r="L22" s="3">
        <f t="shared" si="18"/>
        <v>8.0361188976377971</v>
      </c>
      <c r="M22" s="3">
        <f t="shared" si="19"/>
        <v>4.3922818635973968</v>
      </c>
      <c r="N22" s="3">
        <f t="shared" si="20"/>
        <v>43.096380811695681</v>
      </c>
      <c r="O22" s="3">
        <f t="shared" ref="O22:O23" si="30">L22/R22</f>
        <v>86.9709837406688</v>
      </c>
      <c r="P22">
        <v>1.8295999999999999</v>
      </c>
      <c r="Q22" s="3">
        <v>0.18646853276962227</v>
      </c>
      <c r="R22" s="1">
        <v>9.2399999999999996E-2</v>
      </c>
      <c r="S22" s="14"/>
      <c r="T22" s="14"/>
      <c r="U22" s="14"/>
    </row>
    <row r="23" spans="1:21" ht="24" x14ac:dyDescent="0.3">
      <c r="A23" s="2" t="s">
        <v>44</v>
      </c>
      <c r="B23" s="2">
        <v>4.6900000000000004</v>
      </c>
      <c r="C23" s="5">
        <v>150</v>
      </c>
      <c r="D23" s="5">
        <v>1</v>
      </c>
      <c r="E23" s="6">
        <v>0.111</v>
      </c>
      <c r="F23" s="6">
        <v>0.113</v>
      </c>
      <c r="G23" s="6">
        <f t="shared" si="13"/>
        <v>0.112</v>
      </c>
      <c r="H23" s="3">
        <f t="shared" si="14"/>
        <v>2.6415519999999999</v>
      </c>
      <c r="I23" s="3">
        <f>H23/63.5</f>
        <v>4.1599244094488189E-2</v>
      </c>
      <c r="J23" s="3">
        <f>I23*C23</f>
        <v>6.2398866141732281</v>
      </c>
      <c r="K23" s="3">
        <f t="shared" si="29"/>
        <v>13.770740551181104</v>
      </c>
      <c r="L23" s="3">
        <f>K23-J23</f>
        <v>7.5308539370078762</v>
      </c>
      <c r="M23" s="3">
        <f t="shared" si="19"/>
        <v>4.6423708155639725</v>
      </c>
      <c r="N23" s="3">
        <f>L23/Q23</f>
        <v>45.550214387376549</v>
      </c>
      <c r="O23" s="3">
        <f t="shared" si="30"/>
        <v>106.66931922107474</v>
      </c>
      <c r="P23">
        <v>1.6222000000000001</v>
      </c>
      <c r="Q23" s="3">
        <v>0.16533081212225692</v>
      </c>
      <c r="R23" s="1">
        <v>7.0599999999999996E-2</v>
      </c>
      <c r="S23" s="14"/>
      <c r="T23" s="14"/>
      <c r="U23" s="14"/>
    </row>
    <row r="26" spans="1:21" x14ac:dyDescent="0.3">
      <c r="A26" s="2" t="s">
        <v>46</v>
      </c>
      <c r="E26" s="2" t="s">
        <v>47</v>
      </c>
      <c r="K26" s="2" t="s">
        <v>67</v>
      </c>
    </row>
    <row r="27" spans="1:21" x14ac:dyDescent="0.3">
      <c r="A27" s="2">
        <v>0.1</v>
      </c>
      <c r="B27" s="2">
        <f>A27*10</f>
        <v>1</v>
      </c>
      <c r="C27" s="2">
        <v>3.5000000000000003E-2</v>
      </c>
      <c r="E27" s="2">
        <v>0.1</v>
      </c>
      <c r="F27" s="2">
        <f>E27*10</f>
        <v>1</v>
      </c>
      <c r="G27" s="2">
        <v>3.5999999999999997E-2</v>
      </c>
      <c r="K27" s="2" t="s">
        <v>0</v>
      </c>
      <c r="L27" s="2" t="s">
        <v>20</v>
      </c>
      <c r="M27" s="2" t="s">
        <v>21</v>
      </c>
      <c r="N27" s="2" t="s">
        <v>22</v>
      </c>
      <c r="O27" s="2" t="s">
        <v>23</v>
      </c>
      <c r="P27" s="2" t="s">
        <v>24</v>
      </c>
      <c r="Q27" s="2" t="s">
        <v>25</v>
      </c>
      <c r="R27" s="2" t="s">
        <v>26</v>
      </c>
      <c r="S27" s="2" t="s">
        <v>27</v>
      </c>
    </row>
    <row r="28" spans="1:21" ht="24" x14ac:dyDescent="0.3">
      <c r="A28" s="2">
        <v>0.3</v>
      </c>
      <c r="B28" s="2">
        <f t="shared" ref="B28:B31" si="31">A28*10</f>
        <v>3</v>
      </c>
      <c r="C28" s="2">
        <v>0.13600000000000001</v>
      </c>
      <c r="E28" s="2">
        <v>0.2</v>
      </c>
      <c r="F28" s="2">
        <f t="shared" ref="F28:F31" si="32">E28*10</f>
        <v>2</v>
      </c>
      <c r="G28" s="2">
        <v>7.5999999999999998E-2</v>
      </c>
      <c r="K28" s="2" t="s">
        <v>36</v>
      </c>
      <c r="L28" s="2">
        <v>150</v>
      </c>
      <c r="M28" s="2">
        <v>5</v>
      </c>
      <c r="N28" s="2">
        <v>0.108</v>
      </c>
      <c r="O28" s="2">
        <v>0.104</v>
      </c>
      <c r="P28" s="2">
        <f>AVERAGE(N28:O28)</f>
        <v>0.106</v>
      </c>
      <c r="Q28" s="2">
        <f>(P28*20.61+0.2226)/M28</f>
        <v>0.48145199999999999</v>
      </c>
      <c r="R28" s="2">
        <f>Q28/63.5</f>
        <v>7.5819212598425192E-3</v>
      </c>
      <c r="S28" s="2">
        <f>R28*L28</f>
        <v>1.137288188976378</v>
      </c>
    </row>
    <row r="29" spans="1:21" ht="24" x14ac:dyDescent="0.3">
      <c r="A29" s="2">
        <v>0.5</v>
      </c>
      <c r="B29" s="2">
        <f t="shared" si="31"/>
        <v>5</v>
      </c>
      <c r="C29" s="2">
        <v>0.23400000000000001</v>
      </c>
      <c r="E29" s="2">
        <v>0.3</v>
      </c>
      <c r="F29" s="2">
        <f t="shared" si="32"/>
        <v>3</v>
      </c>
      <c r="G29" s="2">
        <v>0.13100000000000001</v>
      </c>
      <c r="K29" s="2" t="s">
        <v>39</v>
      </c>
      <c r="L29" s="2">
        <v>150</v>
      </c>
      <c r="M29" s="2">
        <v>1</v>
      </c>
      <c r="N29" s="2">
        <v>0.13</v>
      </c>
      <c r="O29" s="2">
        <v>0.126</v>
      </c>
      <c r="P29" s="2">
        <f t="shared" ref="P29:P30" si="33">AVERAGE(N29:O29)</f>
        <v>0.128</v>
      </c>
      <c r="Q29" s="2">
        <f t="shared" ref="Q29:Q30" si="34">(P29*20.61+0.2226)/M29</f>
        <v>2.8606799999999999</v>
      </c>
      <c r="R29" s="2">
        <f t="shared" ref="R29:R30" si="35">Q29/63.5</f>
        <v>4.5050078740157477E-2</v>
      </c>
      <c r="S29" s="2">
        <f t="shared" ref="S29:S30" si="36">R29*L29</f>
        <v>6.7575118110236216</v>
      </c>
    </row>
    <row r="30" spans="1:21" ht="24" x14ac:dyDescent="0.3">
      <c r="A30" s="2">
        <v>0.7</v>
      </c>
      <c r="B30" s="2">
        <f t="shared" si="31"/>
        <v>7</v>
      </c>
      <c r="C30" s="2">
        <v>0.33200000000000002</v>
      </c>
      <c r="E30" s="2">
        <v>0.4</v>
      </c>
      <c r="F30" s="2">
        <f t="shared" si="32"/>
        <v>4</v>
      </c>
      <c r="G30" s="2">
        <v>0.17299999999999999</v>
      </c>
      <c r="K30" s="2" t="s">
        <v>42</v>
      </c>
      <c r="L30" s="2">
        <v>150</v>
      </c>
      <c r="M30" s="2">
        <v>1</v>
      </c>
      <c r="N30" s="2">
        <v>0.26100000000000001</v>
      </c>
      <c r="O30" s="2">
        <v>0.26600000000000001</v>
      </c>
      <c r="P30" s="2">
        <f t="shared" si="33"/>
        <v>0.26350000000000001</v>
      </c>
      <c r="Q30" s="2">
        <f t="shared" si="34"/>
        <v>5.6533350000000002</v>
      </c>
      <c r="R30" s="2">
        <f t="shared" si="35"/>
        <v>8.9028897637795285E-2</v>
      </c>
      <c r="S30" s="2">
        <f t="shared" si="36"/>
        <v>13.354334645669292</v>
      </c>
    </row>
    <row r="31" spans="1:21" x14ac:dyDescent="0.3">
      <c r="A31" s="2">
        <v>0.9</v>
      </c>
      <c r="B31" s="2">
        <f t="shared" si="31"/>
        <v>9</v>
      </c>
      <c r="C31" s="2">
        <v>0.42199999999999999</v>
      </c>
      <c r="E31" s="2">
        <v>0.5</v>
      </c>
      <c r="F31" s="2">
        <f t="shared" si="32"/>
        <v>5</v>
      </c>
      <c r="G31" s="2">
        <v>0.23200000000000001</v>
      </c>
    </row>
    <row r="32" spans="1:21" x14ac:dyDescent="0.3">
      <c r="K32" s="2" t="s">
        <v>68</v>
      </c>
    </row>
    <row r="33" spans="11:19" x14ac:dyDescent="0.3">
      <c r="K33" s="2" t="s">
        <v>0</v>
      </c>
      <c r="L33" s="2" t="s">
        <v>20</v>
      </c>
      <c r="M33" s="2" t="s">
        <v>21</v>
      </c>
      <c r="N33" s="2" t="s">
        <v>22</v>
      </c>
      <c r="O33" s="2" t="s">
        <v>23</v>
      </c>
      <c r="P33" s="2" t="s">
        <v>24</v>
      </c>
      <c r="Q33" s="2" t="s">
        <v>25</v>
      </c>
      <c r="R33" s="2" t="s">
        <v>26</v>
      </c>
      <c r="S33" s="2" t="s">
        <v>27</v>
      </c>
    </row>
    <row r="34" spans="11:19" ht="24" x14ac:dyDescent="0.3">
      <c r="K34" s="2" t="s">
        <v>36</v>
      </c>
      <c r="L34" s="2">
        <v>150</v>
      </c>
      <c r="M34" s="2">
        <v>5</v>
      </c>
      <c r="N34" s="2">
        <v>0.115</v>
      </c>
      <c r="O34" s="2">
        <v>0.112</v>
      </c>
      <c r="P34" s="2">
        <f>AVERAGE(N34:O34)</f>
        <v>0.1135</v>
      </c>
      <c r="Q34" s="2">
        <f>(P34*20.371+0.36)/M34</f>
        <v>0.5344217</v>
      </c>
      <c r="R34" s="2">
        <f>Q34/63.5</f>
        <v>8.4160897637795273E-3</v>
      </c>
      <c r="S34" s="2">
        <f>R34*L34</f>
        <v>1.2624134645669292</v>
      </c>
    </row>
    <row r="35" spans="11:19" ht="24" x14ac:dyDescent="0.3">
      <c r="K35" s="2" t="s">
        <v>39</v>
      </c>
      <c r="L35" s="2">
        <v>150</v>
      </c>
      <c r="M35" s="2">
        <v>1</v>
      </c>
      <c r="N35" s="2">
        <v>0.122</v>
      </c>
      <c r="O35" s="2">
        <v>0.122</v>
      </c>
      <c r="P35" s="2">
        <f t="shared" ref="P35:P36" si="37">AVERAGE(N35:O35)</f>
        <v>0.122</v>
      </c>
      <c r="Q35" s="2">
        <f t="shared" ref="Q35:Q36" si="38">(P35*20.371+0.36)/M35</f>
        <v>2.8452619999999995</v>
      </c>
      <c r="R35" s="2">
        <f t="shared" ref="R35:R36" si="39">Q35/63.5</f>
        <v>4.4807275590551171E-2</v>
      </c>
      <c r="S35" s="2">
        <f t="shared" ref="S35:S36" si="40">R35*L35</f>
        <v>6.721091338582676</v>
      </c>
    </row>
    <row r="36" spans="11:19" ht="24" x14ac:dyDescent="0.3">
      <c r="K36" s="2" t="s">
        <v>42</v>
      </c>
      <c r="L36" s="2">
        <v>150</v>
      </c>
      <c r="M36" s="2">
        <v>1</v>
      </c>
      <c r="N36" s="2">
        <v>0.26900000000000002</v>
      </c>
      <c r="O36" s="2">
        <v>0.26800000000000002</v>
      </c>
      <c r="P36" s="2">
        <f t="shared" si="37"/>
        <v>0.26850000000000002</v>
      </c>
      <c r="Q36" s="2">
        <f t="shared" si="38"/>
        <v>5.8296135000000007</v>
      </c>
      <c r="R36" s="2">
        <f t="shared" si="39"/>
        <v>9.1804937007874024E-2</v>
      </c>
      <c r="S36" s="2">
        <f t="shared" si="40"/>
        <v>13.770740551181104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2B74-9B34-410E-ACF0-374BC7C571A1}">
  <dimension ref="A2:R39"/>
  <sheetViews>
    <sheetView topLeftCell="A10" workbookViewId="0">
      <selection activeCell="J21" sqref="J21:L23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5" t="s">
        <v>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81" x14ac:dyDescent="0.3">
      <c r="A3" s="3" t="s">
        <v>0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50</v>
      </c>
      <c r="K3" s="3" t="s">
        <v>51</v>
      </c>
      <c r="L3" s="3" t="s">
        <v>52</v>
      </c>
      <c r="M3" s="3" t="s">
        <v>1</v>
      </c>
      <c r="N3" s="3" t="s">
        <v>2</v>
      </c>
      <c r="O3" s="3" t="s">
        <v>5</v>
      </c>
      <c r="P3" s="4" t="s">
        <v>33</v>
      </c>
      <c r="Q3" s="4" t="s">
        <v>34</v>
      </c>
      <c r="R3" s="4" t="s">
        <v>35</v>
      </c>
    </row>
    <row r="4" spans="1:18" ht="24" x14ac:dyDescent="0.3">
      <c r="A4" s="2" t="s">
        <v>36</v>
      </c>
      <c r="B4" s="5">
        <v>20</v>
      </c>
      <c r="C4" s="5">
        <v>5</v>
      </c>
      <c r="D4" s="6">
        <v>0.19600000000000001</v>
      </c>
      <c r="E4" s="6">
        <v>0.19800000000000001</v>
      </c>
      <c r="F4" s="6">
        <f>AVERAGE(D4:E4)</f>
        <v>0.19700000000000001</v>
      </c>
      <c r="G4" s="3">
        <f>(F4*92.056+0.7119)/C4</f>
        <v>3.7693863999999997</v>
      </c>
      <c r="H4" s="3">
        <f>G4/63.5</f>
        <v>5.9360415748031491E-2</v>
      </c>
      <c r="I4" s="3">
        <f>H4*B4</f>
        <v>1.1872083149606298</v>
      </c>
      <c r="J4" s="3">
        <f>I4/M4</f>
        <v>0.97415960856702222</v>
      </c>
      <c r="K4" s="3">
        <f t="shared" ref="K4:K11" si="0">I4/N4</f>
        <v>17.307442851983847</v>
      </c>
      <c r="L4" s="3">
        <f>I4/O4</f>
        <v>36.642231943229319</v>
      </c>
      <c r="M4">
        <v>1.2186999999999999</v>
      </c>
      <c r="N4" s="3">
        <v>6.8595246860777434E-2</v>
      </c>
      <c r="O4" s="1">
        <v>3.2399999999999998E-2</v>
      </c>
      <c r="P4" s="13">
        <f>AVERAGE(J4:J6)</f>
        <v>0.89010666025124274</v>
      </c>
      <c r="Q4" s="13">
        <f>AVERAGE(K4:K6)</f>
        <v>15.814113025205243</v>
      </c>
      <c r="R4" s="13">
        <f>AVERAGE(L4:L6)</f>
        <v>33.576663897626133</v>
      </c>
    </row>
    <row r="5" spans="1:18" ht="24" x14ac:dyDescent="0.3">
      <c r="A5" s="2" t="s">
        <v>37</v>
      </c>
      <c r="B5" s="5">
        <v>20</v>
      </c>
      <c r="C5" s="5">
        <v>5</v>
      </c>
      <c r="D5" s="6">
        <v>0.19800000000000001</v>
      </c>
      <c r="E5" s="6">
        <v>0.2</v>
      </c>
      <c r="F5" s="6">
        <f t="shared" ref="F5:F11" si="1">AVERAGE(D5:E5)</f>
        <v>0.19900000000000001</v>
      </c>
      <c r="G5" s="3">
        <f t="shared" ref="G5:G11" si="2">(F5*92.056+0.7119)/C5</f>
        <v>3.8062088000000003</v>
      </c>
      <c r="H5" s="3">
        <f t="shared" ref="H5:H10" si="3">G5/63.5</f>
        <v>5.9940296062992129E-2</v>
      </c>
      <c r="I5" s="3">
        <f t="shared" ref="I5:I10" si="4">H5*B5</f>
        <v>1.1988059212598425</v>
      </c>
      <c r="J5" s="3">
        <f t="shared" ref="J5:J11" si="5">I5/M5</f>
        <v>0.78791056277347515</v>
      </c>
      <c r="K5" s="3">
        <f t="shared" si="0"/>
        <v>13.998442265262682</v>
      </c>
      <c r="L5" s="3">
        <f t="shared" ref="L5:L11" si="6">I5/O5</f>
        <v>30.426546224869103</v>
      </c>
      <c r="M5">
        <v>1.5215000000000001</v>
      </c>
      <c r="N5" s="3">
        <v>8.5638523097294555E-2</v>
      </c>
      <c r="O5" s="1">
        <v>3.9399999999999998E-2</v>
      </c>
      <c r="P5" s="14"/>
      <c r="Q5" s="14"/>
      <c r="R5" s="14"/>
    </row>
    <row r="6" spans="1:18" ht="24" x14ac:dyDescent="0.3">
      <c r="A6" s="2" t="s">
        <v>38</v>
      </c>
      <c r="B6" s="5">
        <v>20</v>
      </c>
      <c r="C6" s="5">
        <v>5</v>
      </c>
      <c r="D6" s="6">
        <v>0.19900000000000001</v>
      </c>
      <c r="E6" s="6">
        <v>0.2</v>
      </c>
      <c r="F6" s="6">
        <f t="shared" si="1"/>
        <v>0.19950000000000001</v>
      </c>
      <c r="G6" s="3">
        <f t="shared" si="2"/>
        <v>3.8154144000000003</v>
      </c>
      <c r="H6" s="3">
        <f t="shared" si="3"/>
        <v>6.0085266141732291E-2</v>
      </c>
      <c r="I6" s="3">
        <f t="shared" si="4"/>
        <v>1.2017053228346457</v>
      </c>
      <c r="J6" s="3">
        <f t="shared" si="5"/>
        <v>0.90824980941323086</v>
      </c>
      <c r="K6" s="3">
        <f t="shared" si="0"/>
        <v>16.136453958369199</v>
      </c>
      <c r="L6" s="3">
        <f t="shared" si="6"/>
        <v>33.661213524779988</v>
      </c>
      <c r="M6">
        <v>1.3230999999999999</v>
      </c>
      <c r="N6" s="3">
        <v>7.4471462313526401E-2</v>
      </c>
      <c r="O6" s="1">
        <v>3.5700000000000003E-2</v>
      </c>
      <c r="P6" s="14"/>
      <c r="Q6" s="14"/>
      <c r="R6" s="14"/>
    </row>
    <row r="7" spans="1:18" ht="24" x14ac:dyDescent="0.3">
      <c r="A7" s="2" t="s">
        <v>39</v>
      </c>
      <c r="B7" s="5">
        <v>20</v>
      </c>
      <c r="C7" s="5">
        <v>1</v>
      </c>
      <c r="D7" s="6">
        <v>0.16200000000000001</v>
      </c>
      <c r="E7" s="6">
        <v>0.161</v>
      </c>
      <c r="F7" s="6">
        <f t="shared" si="1"/>
        <v>0.1615</v>
      </c>
      <c r="G7" s="3">
        <f t="shared" si="2"/>
        <v>15.578944</v>
      </c>
      <c r="H7" s="3">
        <f t="shared" si="3"/>
        <v>0.24533770078740158</v>
      </c>
      <c r="I7" s="3">
        <f t="shared" si="4"/>
        <v>4.9067540157480316</v>
      </c>
      <c r="J7" s="3">
        <f t="shared" si="5"/>
        <v>4.3708836769535289</v>
      </c>
      <c r="K7" s="3">
        <f t="shared" si="0"/>
        <v>77.655467118802846</v>
      </c>
      <c r="L7" s="3">
        <f t="shared" si="6"/>
        <v>166.33064460162819</v>
      </c>
      <c r="M7">
        <v>1.1226</v>
      </c>
      <c r="N7" s="3">
        <v>6.3186201793639735E-2</v>
      </c>
      <c r="O7" s="1">
        <v>2.9499999999999998E-2</v>
      </c>
      <c r="P7" s="13">
        <f t="shared" ref="P7:R7" si="7">AVERAGE(J7:J9)</f>
        <v>4.3775202064101064</v>
      </c>
      <c r="Q7" s="13">
        <f t="shared" si="7"/>
        <v>77.773375265779052</v>
      </c>
      <c r="R7" s="13">
        <f t="shared" si="7"/>
        <v>165.31431971540874</v>
      </c>
    </row>
    <row r="8" spans="1:18" ht="24" x14ac:dyDescent="0.3">
      <c r="A8" s="2" t="s">
        <v>40</v>
      </c>
      <c r="B8" s="5">
        <v>20</v>
      </c>
      <c r="C8" s="5">
        <v>1</v>
      </c>
      <c r="D8" s="6">
        <v>0.16500000000000001</v>
      </c>
      <c r="E8" s="6">
        <v>0.16600000000000001</v>
      </c>
      <c r="F8" s="6">
        <f t="shared" si="1"/>
        <v>0.16550000000000001</v>
      </c>
      <c r="G8" s="3">
        <f t="shared" si="2"/>
        <v>15.947168</v>
      </c>
      <c r="H8" s="3">
        <f t="shared" si="3"/>
        <v>0.25113650393700787</v>
      </c>
      <c r="I8" s="3">
        <f t="shared" si="4"/>
        <v>5.0227300787401576</v>
      </c>
      <c r="J8" s="3">
        <f t="shared" si="5"/>
        <v>4.1462193154533251</v>
      </c>
      <c r="K8" s="3">
        <f t="shared" si="0"/>
        <v>73.663959399383046</v>
      </c>
      <c r="L8" s="3">
        <f t="shared" si="6"/>
        <v>160.98493842115892</v>
      </c>
      <c r="M8">
        <v>1.2114</v>
      </c>
      <c r="N8" s="3">
        <v>6.8184362063794038E-2</v>
      </c>
      <c r="O8" s="1">
        <v>3.1199999999999999E-2</v>
      </c>
      <c r="P8" s="14"/>
      <c r="Q8" s="14"/>
      <c r="R8" s="14"/>
    </row>
    <row r="9" spans="1:18" ht="24" x14ac:dyDescent="0.3">
      <c r="A9" s="2" t="s">
        <v>41</v>
      </c>
      <c r="B9" s="5">
        <v>20</v>
      </c>
      <c r="C9" s="5">
        <v>1</v>
      </c>
      <c r="D9" s="6">
        <v>0.16400000000000001</v>
      </c>
      <c r="E9" s="6">
        <v>0.16600000000000001</v>
      </c>
      <c r="F9" s="6">
        <f t="shared" si="1"/>
        <v>0.16500000000000001</v>
      </c>
      <c r="G9" s="3">
        <f t="shared" si="2"/>
        <v>15.90114</v>
      </c>
      <c r="H9" s="3">
        <f t="shared" si="3"/>
        <v>0.25041165354330708</v>
      </c>
      <c r="I9" s="3">
        <f t="shared" si="4"/>
        <v>5.008233070866142</v>
      </c>
      <c r="J9" s="3">
        <f t="shared" si="5"/>
        <v>4.6154576268234653</v>
      </c>
      <c r="K9" s="3">
        <f t="shared" si="0"/>
        <v>82.000699279151291</v>
      </c>
      <c r="L9" s="3">
        <f t="shared" si="6"/>
        <v>168.62737612343912</v>
      </c>
      <c r="M9">
        <v>1.0851</v>
      </c>
      <c r="N9" s="3">
        <v>6.1075492220094847E-2</v>
      </c>
      <c r="O9" s="1">
        <v>2.9700000000000001E-2</v>
      </c>
      <c r="P9" s="14"/>
      <c r="Q9" s="14"/>
      <c r="R9" s="14"/>
    </row>
    <row r="10" spans="1:18" ht="24" x14ac:dyDescent="0.3">
      <c r="A10" s="2" t="s">
        <v>43</v>
      </c>
      <c r="B10" s="5">
        <v>20</v>
      </c>
      <c r="C10" s="7">
        <v>1</v>
      </c>
      <c r="D10" s="6">
        <v>0.19500000000000001</v>
      </c>
      <c r="E10" s="6">
        <v>0.19500000000000001</v>
      </c>
      <c r="F10" s="6">
        <f t="shared" si="1"/>
        <v>0.19500000000000001</v>
      </c>
      <c r="G10" s="3">
        <f t="shared" si="2"/>
        <v>18.66282</v>
      </c>
      <c r="H10" s="3">
        <f t="shared" si="3"/>
        <v>0.29390267716535434</v>
      </c>
      <c r="I10" s="3">
        <f t="shared" si="4"/>
        <v>5.8780535433070868</v>
      </c>
      <c r="J10" s="3">
        <f t="shared" si="5"/>
        <v>6.2746088207804087</v>
      </c>
      <c r="K10" s="3">
        <f>I10/N10</f>
        <v>111.47807056377167</v>
      </c>
      <c r="L10" s="3">
        <f t="shared" si="6"/>
        <v>241.89520754350153</v>
      </c>
      <c r="M10">
        <v>0.93679999999999997</v>
      </c>
      <c r="N10" s="3">
        <v>5.2728339426582671E-2</v>
      </c>
      <c r="O10" s="1">
        <v>2.4299999999999999E-2</v>
      </c>
      <c r="P10" s="13">
        <f>AVERAGE(J10:J11)</f>
        <v>6.2238998897439881</v>
      </c>
      <c r="Q10" s="13">
        <f t="shared" ref="Q10" si="8">AVERAGE(K10:K11)</f>
        <v>110.57714845790747</v>
      </c>
      <c r="R10" s="13">
        <f>AVERAGE(L10:L11)</f>
        <v>237.81050152750879</v>
      </c>
    </row>
    <row r="11" spans="1:18" ht="24" x14ac:dyDescent="0.3">
      <c r="A11" s="2" t="s">
        <v>44</v>
      </c>
      <c r="B11" s="5">
        <v>20</v>
      </c>
      <c r="C11" s="7">
        <v>1</v>
      </c>
      <c r="D11" s="6">
        <v>0.20699999999999999</v>
      </c>
      <c r="E11" s="6">
        <v>0.20799999999999999</v>
      </c>
      <c r="F11" s="6">
        <f t="shared" si="1"/>
        <v>0.20749999999999999</v>
      </c>
      <c r="G11" s="3">
        <f t="shared" si="2"/>
        <v>19.813519999999997</v>
      </c>
      <c r="H11" s="3">
        <f>G11/63.5</f>
        <v>0.31202393700787395</v>
      </c>
      <c r="I11" s="3">
        <f>H11*B11</f>
        <v>6.2404787401574788</v>
      </c>
      <c r="J11" s="3">
        <f t="shared" si="5"/>
        <v>6.1731909587075666</v>
      </c>
      <c r="K11" s="3">
        <f t="shared" si="0"/>
        <v>109.67622635204327</v>
      </c>
      <c r="L11" s="3">
        <f t="shared" si="6"/>
        <v>233.72579551151605</v>
      </c>
      <c r="M11">
        <v>1.0108999999999999</v>
      </c>
      <c r="N11" s="3">
        <v>5.6899101543907364E-2</v>
      </c>
      <c r="O11" s="1">
        <v>2.6700000000000002E-2</v>
      </c>
      <c r="P11" s="14"/>
      <c r="Q11" s="14"/>
      <c r="R11" s="14"/>
    </row>
    <row r="12" spans="1:18" ht="20.2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6.25" x14ac:dyDescent="0.4">
      <c r="A13" s="15" t="s">
        <v>53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81" x14ac:dyDescent="0.3">
      <c r="A14" s="3" t="s">
        <v>0</v>
      </c>
      <c r="B14" s="3" t="s">
        <v>20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50</v>
      </c>
      <c r="K14" s="3" t="s">
        <v>51</v>
      </c>
      <c r="L14" s="3" t="s">
        <v>52</v>
      </c>
      <c r="M14" s="3" t="s">
        <v>3</v>
      </c>
      <c r="N14" s="3" t="s">
        <v>4</v>
      </c>
      <c r="O14" s="3" t="s">
        <v>48</v>
      </c>
      <c r="P14" s="4" t="s">
        <v>33</v>
      </c>
      <c r="Q14" s="4" t="s">
        <v>34</v>
      </c>
      <c r="R14" s="4" t="s">
        <v>35</v>
      </c>
    </row>
    <row r="15" spans="1:18" ht="24" x14ac:dyDescent="0.3">
      <c r="A15" s="2" t="s">
        <v>36</v>
      </c>
      <c r="B15" s="5">
        <v>20</v>
      </c>
      <c r="C15" s="5">
        <v>5</v>
      </c>
      <c r="D15" s="6">
        <v>0.19400000000000001</v>
      </c>
      <c r="E15" s="6">
        <v>0.189</v>
      </c>
      <c r="F15" s="6">
        <f>AVERAGE(D15:E15)</f>
        <v>0.1915</v>
      </c>
      <c r="G15" s="3">
        <f>(F15*97.279-0.09)/C15</f>
        <v>3.7077857000000001</v>
      </c>
      <c r="H15" s="3">
        <f>G15/63.5</f>
        <v>5.8390325984251971E-2</v>
      </c>
      <c r="I15" s="3">
        <f>H15*B15</f>
        <v>1.1678065196850393</v>
      </c>
      <c r="J15" s="3">
        <f>I15/M15</f>
        <v>0.60750482218438295</v>
      </c>
      <c r="K15" s="3">
        <f>I15/N15</f>
        <v>5.9607420413489782</v>
      </c>
      <c r="L15" s="3">
        <f>I15/N15</f>
        <v>5.9607420413489782</v>
      </c>
      <c r="M15">
        <v>1.9222999999999999</v>
      </c>
      <c r="N15" s="3">
        <v>0.19591629894132317</v>
      </c>
      <c r="O15" s="1">
        <v>9.4E-2</v>
      </c>
      <c r="P15" s="13">
        <f>AVERAGE(J15:J17)</f>
        <v>0.55865207660785476</v>
      </c>
      <c r="Q15" s="13">
        <f>AVERAGE(K15:K17)</f>
        <v>5.4814065632431683</v>
      </c>
      <c r="R15" s="13">
        <f>AVERAGE(L15:L17)</f>
        <v>8.9594763700618856</v>
      </c>
    </row>
    <row r="16" spans="1:18" ht="24" x14ac:dyDescent="0.3">
      <c r="A16" s="2" t="s">
        <v>37</v>
      </c>
      <c r="B16" s="5">
        <v>20</v>
      </c>
      <c r="C16" s="5">
        <v>5</v>
      </c>
      <c r="D16" s="6">
        <v>0.184</v>
      </c>
      <c r="E16" s="6">
        <v>0.184</v>
      </c>
      <c r="F16" s="6">
        <f t="shared" ref="F16:F23" si="9">AVERAGE(D16:E16)</f>
        <v>0.184</v>
      </c>
      <c r="G16" s="3">
        <f t="shared" ref="G16:G23" si="10">(F16*97.279-0.09)/C16</f>
        <v>3.5618671999999996</v>
      </c>
      <c r="H16" s="3">
        <f t="shared" ref="H16:H22" si="11">G16/63.5</f>
        <v>5.6092396850393696E-2</v>
      </c>
      <c r="I16" s="3">
        <f t="shared" ref="I16:I22" si="12">H16*B16</f>
        <v>1.121847937007874</v>
      </c>
      <c r="J16" s="3">
        <f t="shared" ref="J16:J22" si="13">I16/M16</f>
        <v>0.51855779652762957</v>
      </c>
      <c r="K16" s="3">
        <f t="shared" ref="K16:K22" si="14">I16/N16</f>
        <v>5.0880077750121773</v>
      </c>
      <c r="L16" s="3">
        <f t="shared" ref="L16:L23" si="15">I16/O16</f>
        <v>10.016499437570303</v>
      </c>
      <c r="M16">
        <v>2.1634000000000002</v>
      </c>
      <c r="N16" s="3">
        <v>0.22048864439975999</v>
      </c>
      <c r="O16" s="1">
        <v>0.112</v>
      </c>
      <c r="P16" s="14"/>
      <c r="Q16" s="14"/>
      <c r="R16" s="14"/>
    </row>
    <row r="17" spans="1:18" ht="24" x14ac:dyDescent="0.3">
      <c r="A17" s="2" t="s">
        <v>38</v>
      </c>
      <c r="B17" s="5">
        <v>20</v>
      </c>
      <c r="C17" s="5">
        <v>5</v>
      </c>
      <c r="D17" s="6">
        <v>0.18</v>
      </c>
      <c r="E17" s="6">
        <v>0.17799999999999999</v>
      </c>
      <c r="F17" s="6">
        <f t="shared" si="9"/>
        <v>0.17899999999999999</v>
      </c>
      <c r="G17" s="3">
        <f t="shared" si="10"/>
        <v>3.4645882000000001</v>
      </c>
      <c r="H17" s="3">
        <f t="shared" si="11"/>
        <v>5.4560444094488188E-2</v>
      </c>
      <c r="I17" s="3">
        <f t="shared" si="12"/>
        <v>1.0912088818897638</v>
      </c>
      <c r="J17" s="3">
        <f t="shared" si="13"/>
        <v>0.54989361111155199</v>
      </c>
      <c r="K17" s="3">
        <f t="shared" si="14"/>
        <v>5.3954698733683486</v>
      </c>
      <c r="L17" s="3">
        <f t="shared" si="15"/>
        <v>10.901187631266373</v>
      </c>
      <c r="M17">
        <v>1.9843999999999999</v>
      </c>
      <c r="N17" s="3">
        <v>0.20224538501751116</v>
      </c>
      <c r="O17" s="1">
        <v>0.10009999999999999</v>
      </c>
      <c r="P17" s="14"/>
      <c r="Q17" s="14"/>
      <c r="R17" s="14"/>
    </row>
    <row r="18" spans="1:18" ht="24" x14ac:dyDescent="0.3">
      <c r="A18" s="2" t="s">
        <v>39</v>
      </c>
      <c r="B18" s="5">
        <v>20</v>
      </c>
      <c r="C18" s="5">
        <v>1</v>
      </c>
      <c r="D18" s="6">
        <v>0.159</v>
      </c>
      <c r="E18" s="6">
        <v>0.158</v>
      </c>
      <c r="F18" s="6">
        <f t="shared" si="9"/>
        <v>0.1585</v>
      </c>
      <c r="G18" s="3">
        <f t="shared" si="10"/>
        <v>15.3287215</v>
      </c>
      <c r="H18" s="3">
        <f t="shared" si="11"/>
        <v>0.24139718897637796</v>
      </c>
      <c r="I18" s="3">
        <f t="shared" si="12"/>
        <v>4.8279437795275593</v>
      </c>
      <c r="J18" s="3">
        <f t="shared" si="13"/>
        <v>2.9347418269573637</v>
      </c>
      <c r="K18" s="3">
        <f t="shared" si="14"/>
        <v>28.795226555651464</v>
      </c>
      <c r="L18" s="3">
        <f t="shared" si="15"/>
        <v>59.974456888541106</v>
      </c>
      <c r="M18">
        <v>1.6451</v>
      </c>
      <c r="N18" s="3">
        <v>0.1676647263113826</v>
      </c>
      <c r="O18" s="1">
        <v>8.0500000000000002E-2</v>
      </c>
      <c r="P18" s="13">
        <f t="shared" ref="P18:R18" si="16">AVERAGE(J18:J20)</f>
        <v>2.9696830266365857</v>
      </c>
      <c r="Q18" s="13">
        <f t="shared" si="16"/>
        <v>29.138064127136442</v>
      </c>
      <c r="R18" s="13">
        <f t="shared" si="16"/>
        <v>63.321441253584517</v>
      </c>
    </row>
    <row r="19" spans="1:18" ht="24" x14ac:dyDescent="0.3">
      <c r="A19" s="2" t="s">
        <v>40</v>
      </c>
      <c r="B19" s="5">
        <v>20</v>
      </c>
      <c r="C19" s="5">
        <v>1</v>
      </c>
      <c r="D19" s="6">
        <v>0.16</v>
      </c>
      <c r="E19" s="6">
        <v>0.16300000000000001</v>
      </c>
      <c r="F19" s="6">
        <f t="shared" si="9"/>
        <v>0.1615</v>
      </c>
      <c r="G19" s="3">
        <f t="shared" si="10"/>
        <v>15.6205585</v>
      </c>
      <c r="H19" s="3">
        <f t="shared" si="11"/>
        <v>0.24599304724409449</v>
      </c>
      <c r="I19" s="3">
        <f t="shared" si="12"/>
        <v>4.91986094488189</v>
      </c>
      <c r="J19" s="3">
        <f t="shared" si="13"/>
        <v>3.2361119153337432</v>
      </c>
      <c r="K19" s="3">
        <f t="shared" si="14"/>
        <v>31.752222599453933</v>
      </c>
      <c r="L19" s="3">
        <f>I19/O19</f>
        <v>70.586240242207893</v>
      </c>
      <c r="M19">
        <v>1.5203</v>
      </c>
      <c r="N19" s="3">
        <v>0.15494540356889852</v>
      </c>
      <c r="O19" s="1">
        <v>6.9699999999999998E-2</v>
      </c>
      <c r="P19" s="14"/>
      <c r="Q19" s="14"/>
      <c r="R19" s="14"/>
    </row>
    <row r="20" spans="1:18" ht="24" x14ac:dyDescent="0.3">
      <c r="A20" s="2" t="s">
        <v>41</v>
      </c>
      <c r="B20" s="5">
        <v>20</v>
      </c>
      <c r="C20" s="5">
        <v>1</v>
      </c>
      <c r="D20" s="6">
        <v>0.14899999999999999</v>
      </c>
      <c r="E20" s="6">
        <v>0.14599999999999999</v>
      </c>
      <c r="F20" s="6">
        <f t="shared" si="9"/>
        <v>0.14749999999999999</v>
      </c>
      <c r="G20" s="3">
        <f t="shared" si="10"/>
        <v>14.258652499999998</v>
      </c>
      <c r="H20" s="3">
        <f t="shared" si="11"/>
        <v>0.22454570866141729</v>
      </c>
      <c r="I20" s="3">
        <f t="shared" si="12"/>
        <v>4.4909141732283455</v>
      </c>
      <c r="J20" s="3">
        <f t="shared" si="13"/>
        <v>2.7381953376186488</v>
      </c>
      <c r="K20" s="3">
        <f t="shared" si="14"/>
        <v>26.866743226303917</v>
      </c>
      <c r="L20" s="3">
        <f>I20/O20</f>
        <v>59.403626630004567</v>
      </c>
      <c r="M20">
        <v>1.6400999999999999</v>
      </c>
      <c r="N20" s="3">
        <v>0.16715513806048179</v>
      </c>
      <c r="O20" s="1">
        <v>7.5600000000000001E-2</v>
      </c>
      <c r="P20" s="14"/>
      <c r="Q20" s="14"/>
      <c r="R20" s="14"/>
    </row>
    <row r="21" spans="1:18" ht="24" x14ac:dyDescent="0.3">
      <c r="A21" s="2" t="s">
        <v>42</v>
      </c>
      <c r="B21" s="5">
        <v>20</v>
      </c>
      <c r="C21" s="5">
        <v>1</v>
      </c>
      <c r="D21" s="6">
        <v>0.21199999999999999</v>
      </c>
      <c r="E21" s="6">
        <v>0.216</v>
      </c>
      <c r="F21" s="6">
        <f t="shared" si="9"/>
        <v>0.214</v>
      </c>
      <c r="G21" s="3">
        <f t="shared" si="10"/>
        <v>20.727705999999998</v>
      </c>
      <c r="H21" s="3">
        <f t="shared" si="11"/>
        <v>0.32642056692913385</v>
      </c>
      <c r="I21" s="3">
        <f t="shared" si="12"/>
        <v>6.5284113385826767</v>
      </c>
      <c r="J21" s="3">
        <f t="shared" si="13"/>
        <v>4.4865722895901836</v>
      </c>
      <c r="K21" s="3">
        <f t="shared" si="14"/>
        <v>44.021543684133469</v>
      </c>
      <c r="L21" s="3">
        <f t="shared" si="15"/>
        <v>98.171599076431221</v>
      </c>
      <c r="M21">
        <v>1.4551000000000001</v>
      </c>
      <c r="N21" s="3">
        <v>0.14830037277715205</v>
      </c>
      <c r="O21" s="1">
        <v>6.6500000000000004E-2</v>
      </c>
      <c r="P21" s="13">
        <f t="shared" ref="P21:R21" si="17">AVERAGE(J21:J23)</f>
        <v>4.2963189901647985</v>
      </c>
      <c r="Q21" s="13">
        <f t="shared" si="17"/>
        <v>42.154808147265491</v>
      </c>
      <c r="R21" s="13">
        <f t="shared" si="17"/>
        <v>92.73315632233961</v>
      </c>
    </row>
    <row r="22" spans="1:18" ht="24" x14ac:dyDescent="0.3">
      <c r="A22" s="2" t="s">
        <v>43</v>
      </c>
      <c r="B22" s="5">
        <v>20</v>
      </c>
      <c r="C22" s="5">
        <v>1</v>
      </c>
      <c r="D22" s="6">
        <v>0.247</v>
      </c>
      <c r="E22" s="6">
        <v>0.245</v>
      </c>
      <c r="F22" s="6">
        <f t="shared" si="9"/>
        <v>0.246</v>
      </c>
      <c r="G22" s="3">
        <f t="shared" si="10"/>
        <v>23.840633999999998</v>
      </c>
      <c r="H22" s="3">
        <f t="shared" si="11"/>
        <v>0.37544305511811021</v>
      </c>
      <c r="I22" s="3">
        <f t="shared" si="12"/>
        <v>7.5088611023622045</v>
      </c>
      <c r="J22" s="3">
        <f t="shared" si="13"/>
        <v>4.10409985918354</v>
      </c>
      <c r="K22" s="3">
        <f t="shared" si="14"/>
        <v>40.268784179469229</v>
      </c>
      <c r="L22" s="3">
        <f t="shared" si="15"/>
        <v>81.264730545045509</v>
      </c>
      <c r="M22">
        <v>1.8295999999999999</v>
      </c>
      <c r="N22" s="3">
        <v>0.18646853276962227</v>
      </c>
      <c r="O22" s="1">
        <v>9.2399999999999996E-2</v>
      </c>
      <c r="P22" s="14"/>
      <c r="Q22" s="14"/>
      <c r="R22" s="14"/>
    </row>
    <row r="23" spans="1:18" ht="24" x14ac:dyDescent="0.3">
      <c r="A23" s="2" t="s">
        <v>44</v>
      </c>
      <c r="B23" s="5">
        <v>20</v>
      </c>
      <c r="C23" s="5">
        <v>1</v>
      </c>
      <c r="D23" s="6">
        <v>0.22600000000000001</v>
      </c>
      <c r="E23" s="6">
        <v>0.23100000000000001</v>
      </c>
      <c r="F23" s="6">
        <f t="shared" si="9"/>
        <v>0.22850000000000001</v>
      </c>
      <c r="G23" s="3">
        <f t="shared" si="10"/>
        <v>22.138251499999999</v>
      </c>
      <c r="H23" s="3">
        <f>G23/63.5</f>
        <v>0.34863388188976374</v>
      </c>
      <c r="I23" s="3">
        <f>H23*B23</f>
        <v>6.9726776377952753</v>
      </c>
      <c r="J23" s="3">
        <f>I23/M23</f>
        <v>4.2982848217206726</v>
      </c>
      <c r="K23" s="3">
        <f>I23/N23</f>
        <v>42.174096578193783</v>
      </c>
      <c r="L23" s="3">
        <f t="shared" si="15"/>
        <v>98.763139345542143</v>
      </c>
      <c r="M23">
        <v>1.6222000000000001</v>
      </c>
      <c r="N23" s="3">
        <v>0.16533081212225692</v>
      </c>
      <c r="O23" s="1">
        <v>7.0599999999999996E-2</v>
      </c>
      <c r="P23" s="14"/>
      <c r="Q23" s="14"/>
      <c r="R23" s="14"/>
    </row>
    <row r="26" spans="1:18" ht="20.25" x14ac:dyDescent="0.3">
      <c r="A26" s="8" t="s">
        <v>49</v>
      </c>
    </row>
    <row r="27" spans="1:18" x14ac:dyDescent="0.25">
      <c r="A27">
        <v>1.4</v>
      </c>
      <c r="B27">
        <f>A27*10</f>
        <v>14</v>
      </c>
      <c r="C27">
        <v>0.14699999999999999</v>
      </c>
    </row>
    <row r="28" spans="1:18" x14ac:dyDescent="0.25">
      <c r="A28">
        <v>1.6</v>
      </c>
      <c r="B28">
        <f t="shared" ref="B28:B31" si="18">A28*10</f>
        <v>16</v>
      </c>
      <c r="C28">
        <v>0.16300000000000001</v>
      </c>
    </row>
    <row r="29" spans="1:18" x14ac:dyDescent="0.25">
      <c r="A29">
        <v>1.8</v>
      </c>
      <c r="B29">
        <f t="shared" si="18"/>
        <v>18</v>
      </c>
      <c r="C29">
        <v>0.189</v>
      </c>
    </row>
    <row r="30" spans="1:18" x14ac:dyDescent="0.25">
      <c r="A30">
        <v>2</v>
      </c>
      <c r="B30">
        <f t="shared" si="18"/>
        <v>20</v>
      </c>
      <c r="C30">
        <v>0.20699999999999999</v>
      </c>
    </row>
    <row r="31" spans="1:18" x14ac:dyDescent="0.25">
      <c r="A31">
        <v>2.2000000000000002</v>
      </c>
      <c r="B31">
        <f t="shared" si="18"/>
        <v>22</v>
      </c>
      <c r="C31">
        <v>0.23300000000000001</v>
      </c>
    </row>
    <row r="34" spans="1:3" x14ac:dyDescent="0.25">
      <c r="A34" t="s">
        <v>69</v>
      </c>
    </row>
    <row r="35" spans="1:3" x14ac:dyDescent="0.25">
      <c r="A35">
        <v>1.5</v>
      </c>
      <c r="B35">
        <f>A35*10</f>
        <v>15</v>
      </c>
      <c r="C35">
        <v>0.151</v>
      </c>
    </row>
    <row r="36" spans="1:3" x14ac:dyDescent="0.25">
      <c r="A36">
        <v>1.8</v>
      </c>
      <c r="B36">
        <f t="shared" ref="B36:B39" si="19">A36*10</f>
        <v>18</v>
      </c>
      <c r="C36">
        <v>0.191</v>
      </c>
    </row>
    <row r="37" spans="1:3" x14ac:dyDescent="0.25">
      <c r="A37">
        <v>2.1</v>
      </c>
      <c r="B37">
        <f t="shared" si="19"/>
        <v>21</v>
      </c>
      <c r="C37">
        <v>0.217</v>
      </c>
    </row>
    <row r="38" spans="1:3" x14ac:dyDescent="0.25">
      <c r="A38">
        <v>2.4</v>
      </c>
      <c r="B38">
        <f t="shared" si="19"/>
        <v>24</v>
      </c>
      <c r="C38">
        <v>0.251</v>
      </c>
    </row>
    <row r="39" spans="1:3" x14ac:dyDescent="0.25">
      <c r="A39">
        <v>2.7</v>
      </c>
      <c r="B39">
        <f t="shared" si="19"/>
        <v>27</v>
      </c>
      <c r="C39">
        <v>0.27400000000000002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1"/>
    <mergeCell ref="Q10:Q11"/>
    <mergeCell ref="R10:R11"/>
    <mergeCell ref="A13:R13"/>
    <mergeCell ref="P15:P17"/>
    <mergeCell ref="Q15:Q17"/>
    <mergeCell ref="R15:R17"/>
    <mergeCell ref="P18:P20"/>
    <mergeCell ref="Q18:Q20"/>
    <mergeCell ref="R18:R20"/>
    <mergeCell ref="P21:P23"/>
    <mergeCell ref="Q21:Q23"/>
    <mergeCell ref="R21:R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BEC4-F78F-484E-9076-EDCEB51A173B}">
  <dimension ref="A1:O45"/>
  <sheetViews>
    <sheetView workbookViewId="0">
      <selection activeCell="Q10" sqref="Q10"/>
    </sheetView>
  </sheetViews>
  <sheetFormatPr defaultRowHeight="15" x14ac:dyDescent="0.25"/>
  <cols>
    <col min="1" max="1" width="14" customWidth="1"/>
    <col min="2" max="2" width="9.85546875" bestFit="1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19.42578125" customWidth="1"/>
    <col min="13" max="13" width="20.7109375" customWidth="1"/>
    <col min="14" max="14" width="18.42578125" customWidth="1"/>
    <col min="15" max="15" width="21.140625" customWidth="1"/>
  </cols>
  <sheetData>
    <row r="1" spans="1:15" ht="21" x14ac:dyDescent="0.35">
      <c r="A1" s="19" t="s">
        <v>70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60.75" x14ac:dyDescent="0.3">
      <c r="A2" s="3" t="s">
        <v>0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73</v>
      </c>
      <c r="K2" s="3" t="s">
        <v>72</v>
      </c>
      <c r="L2" s="3" t="s">
        <v>1</v>
      </c>
      <c r="M2" s="3" t="s">
        <v>2</v>
      </c>
      <c r="N2" s="4" t="s">
        <v>33</v>
      </c>
      <c r="O2" s="4" t="s">
        <v>34</v>
      </c>
    </row>
    <row r="3" spans="1:15" ht="24" x14ac:dyDescent="0.3">
      <c r="A3" s="2" t="s">
        <v>36</v>
      </c>
      <c r="B3" s="11">
        <f>25.2+0.4+0.2+0.016+0.016</f>
        <v>25.831999999999994</v>
      </c>
      <c r="C3" s="5">
        <v>10</v>
      </c>
      <c r="D3" s="6">
        <v>0.313</v>
      </c>
      <c r="E3" s="6">
        <v>0.312</v>
      </c>
      <c r="F3" s="6">
        <f>AVERAGE(D3:E3)</f>
        <v>0.3125</v>
      </c>
      <c r="G3" s="3">
        <f>(F3*36.264+0.236)/C3</f>
        <v>1.1568500000000002</v>
      </c>
      <c r="H3" s="3">
        <f>G3/63.5</f>
        <v>1.8218110236220476E-2</v>
      </c>
      <c r="I3" s="3">
        <f>H3*B3</f>
        <v>0.47061022362204724</v>
      </c>
      <c r="J3" s="3">
        <f t="shared" ref="J3:J11" si="0">I3/L3</f>
        <v>0.51014658387213796</v>
      </c>
      <c r="K3" s="3">
        <f t="shared" ref="K3:K11" si="1">I3/M3</f>
        <v>7.6646616225089126</v>
      </c>
      <c r="L3">
        <v>0.92249999999999999</v>
      </c>
      <c r="M3" s="3">
        <v>6.1400000000000003E-2</v>
      </c>
      <c r="N3" s="13">
        <f>AVERAGE(J3:J5)</f>
        <v>1.9024483221906612</v>
      </c>
      <c r="O3" s="13">
        <f>AVERAGE(K3:K5)</f>
        <v>7.1423472036148965</v>
      </c>
    </row>
    <row r="4" spans="1:15" ht="24" x14ac:dyDescent="0.3">
      <c r="A4" s="2" t="s">
        <v>37</v>
      </c>
      <c r="B4" s="11">
        <f>25+0.4+0.1+4*0.016</f>
        <v>25.564</v>
      </c>
      <c r="C4" s="5">
        <v>10</v>
      </c>
      <c r="D4" s="6">
        <v>0.34100000000000003</v>
      </c>
      <c r="E4" s="6">
        <v>0.34100000000000003</v>
      </c>
      <c r="F4" s="6">
        <f t="shared" ref="F4:F11" si="2">AVERAGE(D4:E4)</f>
        <v>0.34100000000000003</v>
      </c>
      <c r="G4" s="3">
        <f t="shared" ref="G4:G11" si="3">(F4*36.264+0.236)/C4</f>
        <v>1.2602024000000003</v>
      </c>
      <c r="H4" s="3">
        <f t="shared" ref="H4:H11" si="4">G4/63.5</f>
        <v>1.9845707086614178E-2</v>
      </c>
      <c r="I4" s="3">
        <f t="shared" ref="I4:I11" si="5">H4*B4</f>
        <v>0.50733565596220487</v>
      </c>
      <c r="J4" s="3">
        <f t="shared" si="0"/>
        <v>4.7334918451409305</v>
      </c>
      <c r="K4" s="3">
        <f t="shared" si="1"/>
        <v>6.9593368444746888</v>
      </c>
      <c r="L4">
        <v>0.10718</v>
      </c>
      <c r="M4" s="3">
        <v>7.2900000000000006E-2</v>
      </c>
      <c r="N4" s="14"/>
      <c r="O4" s="14"/>
    </row>
    <row r="5" spans="1:15" ht="24" x14ac:dyDescent="0.3">
      <c r="A5" s="2" t="s">
        <v>38</v>
      </c>
      <c r="B5" s="11">
        <f>25+0.3+4*0.016+2*0.016</f>
        <v>25.396000000000001</v>
      </c>
      <c r="C5" s="5">
        <v>10</v>
      </c>
      <c r="D5" s="6">
        <v>0.27700000000000002</v>
      </c>
      <c r="E5" s="6">
        <v>0.28599999999999998</v>
      </c>
      <c r="F5" s="6">
        <f t="shared" si="2"/>
        <v>0.28149999999999997</v>
      </c>
      <c r="G5" s="3">
        <f t="shared" si="3"/>
        <v>1.0444316</v>
      </c>
      <c r="H5" s="3">
        <f t="shared" si="4"/>
        <v>1.6447741732283465E-2</v>
      </c>
      <c r="I5" s="3">
        <f t="shared" si="5"/>
        <v>0.41770684903307087</v>
      </c>
      <c r="J5" s="3">
        <f t="shared" si="0"/>
        <v>0.46370653755891522</v>
      </c>
      <c r="K5" s="3">
        <f t="shared" si="1"/>
        <v>6.803043143861089</v>
      </c>
      <c r="L5">
        <v>0.90080000000000005</v>
      </c>
      <c r="M5" s="3">
        <v>6.1400000000000003E-2</v>
      </c>
      <c r="N5" s="14"/>
      <c r="O5" s="14"/>
    </row>
    <row r="6" spans="1:15" ht="24" x14ac:dyDescent="0.3">
      <c r="A6" s="2" t="s">
        <v>39</v>
      </c>
      <c r="B6" s="11">
        <f>25.1+0.4+0.01+0.016</f>
        <v>25.526</v>
      </c>
      <c r="C6" s="5">
        <v>5</v>
      </c>
      <c r="D6" s="6">
        <v>0.61099999999999999</v>
      </c>
      <c r="E6" s="6">
        <v>0.60799999999999998</v>
      </c>
      <c r="F6" s="6">
        <f t="shared" si="2"/>
        <v>0.60949999999999993</v>
      </c>
      <c r="G6" s="3">
        <f t="shared" si="3"/>
        <v>4.4677816000000004</v>
      </c>
      <c r="H6" s="3">
        <f t="shared" si="4"/>
        <v>7.0358765354330707E-2</v>
      </c>
      <c r="I6" s="3">
        <f t="shared" si="5"/>
        <v>1.7959778444346457</v>
      </c>
      <c r="J6" s="3">
        <f t="shared" si="0"/>
        <v>2.0057827165899549</v>
      </c>
      <c r="K6" s="3">
        <f t="shared" si="1"/>
        <v>28.018375108184799</v>
      </c>
      <c r="L6">
        <v>0.89539999999999997</v>
      </c>
      <c r="M6" s="3">
        <v>6.4100000000000004E-2</v>
      </c>
      <c r="N6" s="13">
        <f t="shared" ref="N6:O6" si="6">AVERAGE(J6:J8)</f>
        <v>1.9424385285105981</v>
      </c>
      <c r="O6" s="13">
        <f t="shared" si="6"/>
        <v>27.154122183452355</v>
      </c>
    </row>
    <row r="7" spans="1:15" ht="24" x14ac:dyDescent="0.3">
      <c r="A7" s="2" t="s">
        <v>40</v>
      </c>
      <c r="B7" s="11">
        <f>25+0.7+0.3+4*0.016+4*0.016+0.05+3*0.016+2*0.016</f>
        <v>26.257999999999999</v>
      </c>
      <c r="C7" s="5">
        <v>5</v>
      </c>
      <c r="D7" s="6">
        <v>0.54900000000000004</v>
      </c>
      <c r="E7" s="6">
        <v>0.54100000000000004</v>
      </c>
      <c r="F7" s="6">
        <f t="shared" si="2"/>
        <v>0.54500000000000004</v>
      </c>
      <c r="G7" s="3">
        <f t="shared" si="3"/>
        <v>3.9999760000000011</v>
      </c>
      <c r="H7" s="3">
        <f t="shared" si="4"/>
        <v>6.2991748031496084E-2</v>
      </c>
      <c r="I7" s="3">
        <f t="shared" si="5"/>
        <v>1.6540373198110241</v>
      </c>
      <c r="J7" s="3">
        <f t="shared" si="0"/>
        <v>1.9177244287664046</v>
      </c>
      <c r="K7" s="3">
        <f t="shared" si="1"/>
        <v>26.338173882341149</v>
      </c>
      <c r="L7">
        <v>0.86250000000000004</v>
      </c>
      <c r="M7" s="3">
        <v>6.2799999999999995E-2</v>
      </c>
      <c r="N7" s="14"/>
      <c r="O7" s="14"/>
    </row>
    <row r="8" spans="1:15" ht="24" x14ac:dyDescent="0.3">
      <c r="A8" s="2" t="s">
        <v>41</v>
      </c>
      <c r="B8" s="11">
        <f>25+0.3+0.086+0.1+0.6+0.014+0.016</f>
        <v>26.116</v>
      </c>
      <c r="C8" s="5">
        <v>5</v>
      </c>
      <c r="D8" s="6">
        <v>0.622</v>
      </c>
      <c r="E8" s="6">
        <v>0.61899999999999999</v>
      </c>
      <c r="F8" s="6">
        <f t="shared" si="2"/>
        <v>0.62050000000000005</v>
      </c>
      <c r="G8" s="3">
        <f t="shared" si="3"/>
        <v>4.5475624000000012</v>
      </c>
      <c r="H8" s="3">
        <f t="shared" si="4"/>
        <v>7.1615155905511832E-2</v>
      </c>
      <c r="I8" s="3">
        <f t="shared" si="5"/>
        <v>1.870301411628347</v>
      </c>
      <c r="J8" s="3">
        <f t="shared" si="0"/>
        <v>1.9038084401754345</v>
      </c>
      <c r="K8" s="3">
        <f t="shared" si="1"/>
        <v>27.105817559831113</v>
      </c>
      <c r="L8">
        <v>0.98240000000000005</v>
      </c>
      <c r="M8" s="3">
        <v>6.9000000000000006E-2</v>
      </c>
      <c r="N8" s="14"/>
      <c r="O8" s="14"/>
    </row>
    <row r="9" spans="1:15" ht="24" x14ac:dyDescent="0.3">
      <c r="A9" s="2" t="s">
        <v>71</v>
      </c>
      <c r="B9" s="11">
        <f>25+0.1+0.1+0.1</f>
        <v>25.300000000000004</v>
      </c>
      <c r="C9" s="5">
        <v>1</v>
      </c>
      <c r="D9" s="6">
        <v>0.187</v>
      </c>
      <c r="E9" s="6">
        <v>0.184</v>
      </c>
      <c r="F9" s="6">
        <f t="shared" si="2"/>
        <v>0.1855</v>
      </c>
      <c r="G9" s="3">
        <f t="shared" si="3"/>
        <v>6.9629720000000006</v>
      </c>
      <c r="H9" s="3">
        <f t="shared" si="4"/>
        <v>0.10965310236220474</v>
      </c>
      <c r="I9" s="3">
        <f t="shared" si="5"/>
        <v>2.7742234897637803</v>
      </c>
      <c r="J9" s="3">
        <f t="shared" si="0"/>
        <v>3.1287058641747829</v>
      </c>
      <c r="K9" s="3">
        <f t="shared" si="1"/>
        <v>47.341697777538911</v>
      </c>
      <c r="L9">
        <v>0.88670000000000004</v>
      </c>
      <c r="M9" s="3">
        <v>5.8599999999999999E-2</v>
      </c>
      <c r="N9" s="13">
        <f t="shared" ref="N9:O9" si="7">AVERAGE(J9:J11)</f>
        <v>3.2742638168462572</v>
      </c>
      <c r="O9" s="13">
        <f t="shared" si="7"/>
        <v>47.458457105925646</v>
      </c>
    </row>
    <row r="10" spans="1:15" ht="24" x14ac:dyDescent="0.3">
      <c r="A10" s="2" t="s">
        <v>43</v>
      </c>
      <c r="B10" s="11">
        <f>25+0.2+5*0.014+0.3+0.016</f>
        <v>25.585999999999999</v>
      </c>
      <c r="C10" s="5">
        <v>1</v>
      </c>
      <c r="D10" s="6">
        <v>0.20499999999999999</v>
      </c>
      <c r="E10" s="6">
        <v>0.20100000000000001</v>
      </c>
      <c r="F10" s="6">
        <f t="shared" si="2"/>
        <v>0.20300000000000001</v>
      </c>
      <c r="G10" s="3">
        <f t="shared" si="3"/>
        <v>7.5975920000000006</v>
      </c>
      <c r="H10" s="3">
        <f t="shared" si="4"/>
        <v>0.11964711811023623</v>
      </c>
      <c r="I10" s="3">
        <f t="shared" si="5"/>
        <v>3.0612911639685043</v>
      </c>
      <c r="J10" s="3">
        <f t="shared" si="0"/>
        <v>3.3777900959599516</v>
      </c>
      <c r="K10" s="3">
        <f t="shared" si="1"/>
        <v>48.980658623496069</v>
      </c>
      <c r="L10">
        <v>0.90629999999999999</v>
      </c>
      <c r="M10" s="3">
        <v>6.25E-2</v>
      </c>
      <c r="N10" s="14"/>
      <c r="O10" s="14"/>
    </row>
    <row r="11" spans="1:15" ht="24" x14ac:dyDescent="0.3">
      <c r="A11" s="2" t="s">
        <v>44</v>
      </c>
      <c r="B11" s="11">
        <f>25+0.1+3*0.02+0.014+0.1+0.016</f>
        <v>25.29</v>
      </c>
      <c r="C11" s="5">
        <v>1</v>
      </c>
      <c r="D11" s="6">
        <v>0.187</v>
      </c>
      <c r="E11" s="6">
        <v>0.189</v>
      </c>
      <c r="F11" s="6">
        <f t="shared" si="2"/>
        <v>0.188</v>
      </c>
      <c r="G11" s="3">
        <f t="shared" si="3"/>
        <v>7.0536320000000003</v>
      </c>
      <c r="H11" s="3">
        <f t="shared" si="4"/>
        <v>0.1110808188976378</v>
      </c>
      <c r="I11" s="3">
        <f t="shared" si="5"/>
        <v>2.8092339099212595</v>
      </c>
      <c r="J11" s="3">
        <f t="shared" si="0"/>
        <v>3.3162954904040367</v>
      </c>
      <c r="K11" s="3">
        <f t="shared" si="1"/>
        <v>46.053014916741958</v>
      </c>
      <c r="L11">
        <v>0.84709999999999996</v>
      </c>
      <c r="M11" s="3">
        <v>6.0999999999999999E-2</v>
      </c>
      <c r="N11" s="14"/>
      <c r="O11" s="14"/>
    </row>
    <row r="13" spans="1:15" ht="21" x14ac:dyDescent="0.35">
      <c r="A13" s="19" t="s">
        <v>74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ht="60.75" x14ac:dyDescent="0.3">
      <c r="A14" s="3" t="s">
        <v>0</v>
      </c>
      <c r="B14" s="3" t="s">
        <v>20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73</v>
      </c>
      <c r="K14" s="3" t="s">
        <v>72</v>
      </c>
      <c r="L14" s="3" t="s">
        <v>1</v>
      </c>
      <c r="M14" s="3" t="s">
        <v>2</v>
      </c>
      <c r="N14" s="4" t="s">
        <v>33</v>
      </c>
      <c r="O14" s="4" t="s">
        <v>34</v>
      </c>
    </row>
    <row r="15" spans="1:15" ht="24" x14ac:dyDescent="0.3">
      <c r="A15" s="2" t="s">
        <v>36</v>
      </c>
      <c r="B15" s="11">
        <f>25+0.2+3*0.016+0.016+2*0.016</f>
        <v>25.295999999999996</v>
      </c>
      <c r="C15" s="5">
        <v>12</v>
      </c>
      <c r="D15" s="6">
        <v>7.9000000000000001E-2</v>
      </c>
      <c r="E15" s="6">
        <v>7.5999999999999998E-2</v>
      </c>
      <c r="F15" s="6">
        <f>AVERAGE(D15:E15)</f>
        <v>7.7499999999999999E-2</v>
      </c>
      <c r="G15" s="3">
        <f>(F15*20.278+0.4636)/C15</f>
        <v>0.16959541666666667</v>
      </c>
      <c r="H15" s="3">
        <f>G15/63.5</f>
        <v>2.6707939632545931E-3</v>
      </c>
      <c r="I15" s="3">
        <f>H15*B15</f>
        <v>6.7560404094488172E-2</v>
      </c>
      <c r="J15" s="3">
        <f t="shared" ref="J15:J23" si="8">I15/L15</f>
        <v>3.7583669389457147E-2</v>
      </c>
      <c r="K15" s="3">
        <f t="shared" ref="K15:K23" si="9">I15/M15</f>
        <v>0.38517904272798276</v>
      </c>
      <c r="L15">
        <v>1.7976000000000001</v>
      </c>
      <c r="M15" s="3">
        <v>0.1754</v>
      </c>
      <c r="N15" s="13">
        <f>AVERAGE(J15:J17)</f>
        <v>4.4420560555927802E-2</v>
      </c>
      <c r="O15" s="13">
        <f>AVERAGE(K15:K17)</f>
        <v>0.44579138647940036</v>
      </c>
    </row>
    <row r="16" spans="1:15" ht="24" x14ac:dyDescent="0.3">
      <c r="A16" s="2" t="s">
        <v>37</v>
      </c>
      <c r="B16" s="11">
        <f>25+0.4+0.2+2*0.016+0.05</f>
        <v>25.681999999999999</v>
      </c>
      <c r="C16" s="5">
        <v>12</v>
      </c>
      <c r="D16" s="6">
        <v>0.104</v>
      </c>
      <c r="E16" s="6">
        <v>0.10100000000000001</v>
      </c>
      <c r="F16" s="6">
        <f t="shared" ref="F16:F23" si="10">AVERAGE(D16:E16)</f>
        <v>0.10250000000000001</v>
      </c>
      <c r="G16" s="3">
        <f>(F16*23.212+0.2118)/C16</f>
        <v>0.21591916666666666</v>
      </c>
      <c r="H16" s="3">
        <f t="shared" ref="H16:H23" si="11">G16/63.5</f>
        <v>3.4003018372703413E-3</v>
      </c>
      <c r="I16" s="3">
        <f t="shared" ref="I16:I23" si="12">H16*B16</f>
        <v>8.7326551784776899E-2</v>
      </c>
      <c r="J16" s="3">
        <f t="shared" si="8"/>
        <v>4.5973441318650644E-2</v>
      </c>
      <c r="K16" s="3">
        <f t="shared" si="9"/>
        <v>0.45036901384619343</v>
      </c>
      <c r="L16">
        <v>1.8995</v>
      </c>
      <c r="M16" s="3">
        <v>0.19389999999999999</v>
      </c>
      <c r="N16" s="14"/>
      <c r="O16" s="14"/>
    </row>
    <row r="17" spans="1:15" ht="24" x14ac:dyDescent="0.3">
      <c r="A17" s="2" t="s">
        <v>38</v>
      </c>
      <c r="B17" s="11">
        <f>25.3+0.3+4*0.016+2*0.016+0.1+4*0.016</f>
        <v>25.860000000000003</v>
      </c>
      <c r="C17" s="5">
        <v>12</v>
      </c>
      <c r="D17" s="6">
        <v>0.107</v>
      </c>
      <c r="E17" s="6">
        <v>9.9000000000000005E-2</v>
      </c>
      <c r="F17" s="6">
        <f t="shared" si="10"/>
        <v>0.10300000000000001</v>
      </c>
      <c r="G17" s="3">
        <f>(F17*20.278+0.4636)/C17</f>
        <v>0.21268616666666665</v>
      </c>
      <c r="H17" s="3">
        <f t="shared" si="11"/>
        <v>3.3493884514435692E-3</v>
      </c>
      <c r="I17" s="3">
        <f t="shared" si="12"/>
        <v>8.6615185354330715E-2</v>
      </c>
      <c r="J17" s="3">
        <f t="shared" si="8"/>
        <v>4.9704570959675613E-2</v>
      </c>
      <c r="K17" s="3">
        <f t="shared" si="9"/>
        <v>0.50182610286402496</v>
      </c>
      <c r="L17">
        <v>1.7425999999999999</v>
      </c>
      <c r="M17" s="3">
        <v>0.1726</v>
      </c>
      <c r="N17" s="14"/>
      <c r="O17" s="14"/>
    </row>
    <row r="18" spans="1:15" ht="24" x14ac:dyDescent="0.3">
      <c r="A18" s="2" t="s">
        <v>39</v>
      </c>
      <c r="B18" s="11">
        <f>25.1+0.4+2*0.02+0.1+0.05</f>
        <v>25.69</v>
      </c>
      <c r="C18" s="5">
        <v>12</v>
      </c>
      <c r="D18" s="6">
        <v>0.14899999999999999</v>
      </c>
      <c r="E18" s="6">
        <v>0.154</v>
      </c>
      <c r="F18" s="6">
        <f t="shared" si="10"/>
        <v>0.1515</v>
      </c>
      <c r="G18" s="3">
        <f>(F18*23.212+0.2118)/C18</f>
        <v>0.31070149999999996</v>
      </c>
      <c r="H18" s="3">
        <f t="shared" si="11"/>
        <v>4.8929370078740148E-3</v>
      </c>
      <c r="I18" s="3">
        <f t="shared" si="12"/>
        <v>0.12569955173228345</v>
      </c>
      <c r="J18" s="3">
        <f t="shared" si="8"/>
        <v>6.4171713157179622E-2</v>
      </c>
      <c r="K18" s="3">
        <f t="shared" si="9"/>
        <v>0.64461308580658172</v>
      </c>
      <c r="L18">
        <v>1.9588000000000001</v>
      </c>
      <c r="M18" s="3">
        <v>0.19500000000000001</v>
      </c>
      <c r="N18" s="13">
        <f>AVERAGE(J18:J20)</f>
        <v>7.352230926108938E-2</v>
      </c>
      <c r="O18" s="13">
        <f>AVERAGE(K18:K20)</f>
        <v>0.73142637065084504</v>
      </c>
    </row>
    <row r="19" spans="1:15" ht="24" x14ac:dyDescent="0.3">
      <c r="A19" s="2" t="s">
        <v>40</v>
      </c>
      <c r="B19" s="11">
        <f>25+0.2+4*0.016+0.2+0.016</f>
        <v>25.479999999999997</v>
      </c>
      <c r="C19" s="5">
        <v>12</v>
      </c>
      <c r="D19" s="6">
        <v>0.13200000000000001</v>
      </c>
      <c r="E19" s="6">
        <v>0.13500000000000001</v>
      </c>
      <c r="F19" s="6">
        <f t="shared" si="10"/>
        <v>0.13350000000000001</v>
      </c>
      <c r="G19" s="3">
        <f>(F19*20.278+0.4636)/C19</f>
        <v>0.26422608333333336</v>
      </c>
      <c r="H19" s="3">
        <f t="shared" si="11"/>
        <v>4.1610406824146989E-3</v>
      </c>
      <c r="I19" s="3">
        <f t="shared" si="12"/>
        <v>0.10602331658792652</v>
      </c>
      <c r="J19" s="3">
        <f t="shared" si="8"/>
        <v>5.3468816676547737E-2</v>
      </c>
      <c r="K19" s="3">
        <f t="shared" si="9"/>
        <v>0.52800456468090895</v>
      </c>
      <c r="L19">
        <v>1.9829000000000001</v>
      </c>
      <c r="M19" s="3">
        <v>0.20080000000000001</v>
      </c>
      <c r="N19" s="14"/>
      <c r="O19" s="14"/>
    </row>
    <row r="20" spans="1:15" ht="24" x14ac:dyDescent="0.3">
      <c r="A20" s="2" t="s">
        <v>41</v>
      </c>
      <c r="B20" s="11">
        <f>25.5+0.3+2*0.014+2*0.016+0.2+2*0.016</f>
        <v>26.091999999999999</v>
      </c>
      <c r="C20" s="5">
        <v>12</v>
      </c>
      <c r="D20" s="6">
        <v>0.25800000000000001</v>
      </c>
      <c r="E20" s="6">
        <v>0.26600000000000001</v>
      </c>
      <c r="F20" s="6">
        <f t="shared" si="10"/>
        <v>0.26200000000000001</v>
      </c>
      <c r="G20" s="3">
        <f>(F20*20.278+0.4636)/C20</f>
        <v>0.4813696666666667</v>
      </c>
      <c r="H20" s="3">
        <f t="shared" si="11"/>
        <v>7.5806246719160109E-3</v>
      </c>
      <c r="I20" s="3">
        <f t="shared" si="12"/>
        <v>0.19779365893963255</v>
      </c>
      <c r="J20" s="3">
        <f t="shared" si="8"/>
        <v>0.1029263979495408</v>
      </c>
      <c r="K20" s="3">
        <f t="shared" si="9"/>
        <v>1.0216614614650441</v>
      </c>
      <c r="L20">
        <v>1.9217</v>
      </c>
      <c r="M20" s="3">
        <v>0.19359999999999999</v>
      </c>
      <c r="N20" s="14"/>
      <c r="O20" s="14"/>
    </row>
    <row r="21" spans="1:15" ht="24" x14ac:dyDescent="0.3">
      <c r="A21" s="2" t="s">
        <v>71</v>
      </c>
      <c r="B21" s="11">
        <f>25+0.5+0.2+2*0.016+2*0.025+0.02+0.016+0.014</f>
        <v>25.831999999999997</v>
      </c>
      <c r="C21" s="5">
        <v>12</v>
      </c>
      <c r="D21" s="6">
        <v>0.19900000000000001</v>
      </c>
      <c r="E21" s="6">
        <v>0.19700000000000001</v>
      </c>
      <c r="F21" s="6">
        <f t="shared" si="10"/>
        <v>0.19800000000000001</v>
      </c>
      <c r="G21" s="3">
        <f>(F21*23.212+0.2118)/C21</f>
        <v>0.40064800000000006</v>
      </c>
      <c r="H21" s="3">
        <f t="shared" si="11"/>
        <v>6.3094173228346465E-3</v>
      </c>
      <c r="I21" s="3">
        <f t="shared" si="12"/>
        <v>0.16298486828346456</v>
      </c>
      <c r="J21" s="3">
        <f t="shared" si="8"/>
        <v>8.7227652279081913E-2</v>
      </c>
      <c r="K21" s="3">
        <f t="shared" si="9"/>
        <v>0.87018082372378303</v>
      </c>
      <c r="L21">
        <v>1.8685</v>
      </c>
      <c r="M21" s="3">
        <v>0.18729999999999999</v>
      </c>
      <c r="N21" s="16">
        <f>AVERAGE(J21:J23)</f>
        <v>8.6937777734188107E-2</v>
      </c>
      <c r="O21" s="16">
        <f>AVERAGE(K21:K23)</f>
        <v>0.86488978738205979</v>
      </c>
    </row>
    <row r="22" spans="1:15" ht="24" x14ac:dyDescent="0.3">
      <c r="A22" s="2" t="s">
        <v>43</v>
      </c>
      <c r="B22" s="11">
        <f>25+0.8+0.15</f>
        <v>25.95</v>
      </c>
      <c r="C22" s="5">
        <v>12</v>
      </c>
      <c r="D22" s="6">
        <v>0.20200000000000001</v>
      </c>
      <c r="E22" s="6">
        <v>0.19800000000000001</v>
      </c>
      <c r="F22" s="6">
        <f t="shared" si="10"/>
        <v>0.2</v>
      </c>
      <c r="G22" s="3">
        <f>(F22*23.212+0.2118)/C22</f>
        <v>0.40451666666666669</v>
      </c>
      <c r="H22" s="3">
        <f t="shared" si="11"/>
        <v>6.3703412073490813E-3</v>
      </c>
      <c r="I22" s="3">
        <f t="shared" si="12"/>
        <v>0.16531035433070865</v>
      </c>
      <c r="J22" s="3">
        <f t="shared" si="8"/>
        <v>9.5367690279628853E-2</v>
      </c>
      <c r="K22" s="3">
        <f t="shared" si="9"/>
        <v>0.96166581925950345</v>
      </c>
      <c r="L22">
        <v>1.7334000000000001</v>
      </c>
      <c r="M22" s="3">
        <v>0.1719</v>
      </c>
      <c r="N22" s="17"/>
      <c r="O22" s="17"/>
    </row>
    <row r="23" spans="1:15" ht="24" x14ac:dyDescent="0.3">
      <c r="A23" s="2" t="s">
        <v>44</v>
      </c>
      <c r="B23" s="11">
        <f>25.15+0.5+4*0.02+0.2+0.1</f>
        <v>26.029999999999998</v>
      </c>
      <c r="C23" s="5">
        <v>12</v>
      </c>
      <c r="D23" s="6">
        <v>0.19</v>
      </c>
      <c r="E23" s="6">
        <v>0.17899999999999999</v>
      </c>
      <c r="F23" s="6">
        <f t="shared" si="10"/>
        <v>0.1845</v>
      </c>
      <c r="G23" s="3">
        <f>(F23*20.278+0.4636)/C23</f>
        <v>0.35040758333333333</v>
      </c>
      <c r="H23" s="3">
        <f t="shared" si="11"/>
        <v>5.518229658792651E-3</v>
      </c>
      <c r="I23" s="3">
        <f t="shared" si="12"/>
        <v>0.14363951801837269</v>
      </c>
      <c r="J23" s="3">
        <f t="shared" si="8"/>
        <v>7.8217990643853569E-2</v>
      </c>
      <c r="K23" s="3">
        <f t="shared" si="9"/>
        <v>0.76282271916289268</v>
      </c>
      <c r="L23">
        <v>1.8364</v>
      </c>
      <c r="M23" s="3">
        <v>0.1883</v>
      </c>
      <c r="N23" s="18"/>
      <c r="O23" s="18"/>
    </row>
    <row r="26" spans="1:15" ht="20.25" x14ac:dyDescent="0.3">
      <c r="A26" s="8" t="s">
        <v>75</v>
      </c>
    </row>
    <row r="27" spans="1:15" x14ac:dyDescent="0.25">
      <c r="A27">
        <v>0.2</v>
      </c>
      <c r="B27">
        <f>A27*10</f>
        <v>2</v>
      </c>
      <c r="C27">
        <v>0.08</v>
      </c>
    </row>
    <row r="28" spans="1:15" x14ac:dyDescent="0.25">
      <c r="A28">
        <v>0.3</v>
      </c>
      <c r="B28">
        <f t="shared" ref="B28:B31" si="13">A28*10</f>
        <v>3</v>
      </c>
      <c r="C28">
        <v>0.123</v>
      </c>
    </row>
    <row r="29" spans="1:15" x14ac:dyDescent="0.25">
      <c r="A29">
        <v>0.4</v>
      </c>
      <c r="B29">
        <f t="shared" si="13"/>
        <v>4</v>
      </c>
      <c r="C29">
        <v>0.16900000000000001</v>
      </c>
    </row>
    <row r="30" spans="1:15" x14ac:dyDescent="0.25">
      <c r="A30">
        <v>0.5</v>
      </c>
      <c r="B30">
        <f t="shared" si="13"/>
        <v>5</v>
      </c>
      <c r="C30">
        <v>0.22500000000000001</v>
      </c>
    </row>
    <row r="31" spans="1:15" x14ac:dyDescent="0.25">
      <c r="A31">
        <v>0.6</v>
      </c>
      <c r="B31">
        <f t="shared" si="13"/>
        <v>6</v>
      </c>
      <c r="C31">
        <v>0.27500000000000002</v>
      </c>
    </row>
    <row r="33" spans="1:3" ht="20.25" x14ac:dyDescent="0.3">
      <c r="A33" s="8" t="s">
        <v>76</v>
      </c>
    </row>
    <row r="34" spans="1:3" x14ac:dyDescent="0.25">
      <c r="A34">
        <v>0.2</v>
      </c>
      <c r="B34">
        <f>A34*10</f>
        <v>2</v>
      </c>
      <c r="C34">
        <v>7.9000000000000001E-2</v>
      </c>
    </row>
    <row r="35" spans="1:3" x14ac:dyDescent="0.25">
      <c r="A35">
        <v>0.3</v>
      </c>
      <c r="B35">
        <f t="shared" ref="B35:B38" si="14">A35*10</f>
        <v>3</v>
      </c>
      <c r="C35">
        <v>0.121</v>
      </c>
    </row>
    <row r="36" spans="1:3" x14ac:dyDescent="0.25">
      <c r="A36">
        <v>0.4</v>
      </c>
      <c r="B36">
        <f t="shared" si="14"/>
        <v>4</v>
      </c>
      <c r="C36">
        <v>0.158</v>
      </c>
    </row>
    <row r="37" spans="1:3" x14ac:dyDescent="0.25">
      <c r="A37">
        <v>0.5</v>
      </c>
      <c r="B37">
        <f t="shared" si="14"/>
        <v>5</v>
      </c>
      <c r="C37">
        <v>0.20699999999999999</v>
      </c>
    </row>
    <row r="38" spans="1:3" x14ac:dyDescent="0.25">
      <c r="A38">
        <v>0.6</v>
      </c>
      <c r="B38">
        <f t="shared" si="14"/>
        <v>6</v>
      </c>
      <c r="C38">
        <v>0.251</v>
      </c>
    </row>
    <row r="40" spans="1:3" ht="20.25" x14ac:dyDescent="0.3">
      <c r="A40" s="8" t="s">
        <v>77</v>
      </c>
    </row>
    <row r="41" spans="1:3" x14ac:dyDescent="0.25">
      <c r="A41">
        <v>0.6</v>
      </c>
      <c r="B41">
        <f>A41*10</f>
        <v>6</v>
      </c>
      <c r="C41">
        <v>0.159</v>
      </c>
    </row>
    <row r="42" spans="1:3" x14ac:dyDescent="0.25">
      <c r="A42">
        <v>1.3</v>
      </c>
      <c r="B42">
        <f t="shared" ref="B42:B45" si="15">A42*10</f>
        <v>13</v>
      </c>
      <c r="C42">
        <v>0.34799999999999998</v>
      </c>
    </row>
    <row r="43" spans="1:3" x14ac:dyDescent="0.25">
      <c r="A43">
        <v>2</v>
      </c>
      <c r="B43">
        <f t="shared" si="15"/>
        <v>20</v>
      </c>
      <c r="C43">
        <v>0.55000000000000004</v>
      </c>
    </row>
    <row r="44" spans="1:3" x14ac:dyDescent="0.25">
      <c r="A44">
        <v>2.7</v>
      </c>
      <c r="B44">
        <f t="shared" si="15"/>
        <v>27</v>
      </c>
      <c r="C44">
        <v>0.74</v>
      </c>
    </row>
    <row r="45" spans="1:3" x14ac:dyDescent="0.25">
      <c r="A45">
        <v>3.4</v>
      </c>
      <c r="B45">
        <f t="shared" si="15"/>
        <v>34</v>
      </c>
      <c r="C45">
        <v>0.92800000000000005</v>
      </c>
    </row>
  </sheetData>
  <mergeCells count="14">
    <mergeCell ref="N18:N20"/>
    <mergeCell ref="O18:O20"/>
    <mergeCell ref="N21:N23"/>
    <mergeCell ref="O21:O23"/>
    <mergeCell ref="A1:O1"/>
    <mergeCell ref="A13:O13"/>
    <mergeCell ref="N15:N17"/>
    <mergeCell ref="O15:O17"/>
    <mergeCell ref="N9:N11"/>
    <mergeCell ref="O9:O11"/>
    <mergeCell ref="N3:N5"/>
    <mergeCell ref="O3:O5"/>
    <mergeCell ref="N6:N8"/>
    <mergeCell ref="O6:O8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Массы растений</vt:lpstr>
      <vt:lpstr>Сорбция по растворам</vt:lpstr>
      <vt:lpstr>Десорбция</vt:lpstr>
      <vt:lpstr>Озоление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2022-07-06T17:57:23Z</dcterms:modified>
</cp:coreProperties>
</file>