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eson\Dropbox\A_Projects\1_BOEM_TENORMs\Sent to BOEM\sent to BOEM_20230606\"/>
    </mc:Choice>
  </mc:AlternateContent>
  <xr:revisionPtr revIDLastSave="0" documentId="13_ncr:1_{080E08FF-0EEE-42B8-A0CC-D3A044AC2ABF}" xr6:coauthVersionLast="47" xr6:coauthVersionMax="47" xr10:uidLastSave="{00000000-0000-0000-0000-000000000000}"/>
  <bookViews>
    <workbookView xWindow="-120" yWindow="-120" windowWidth="29040" windowHeight="15840" activeTab="1" xr2:uid="{6997BACB-2AC3-3A47-9A7F-092099F6BEA3}"/>
  </bookViews>
  <sheets>
    <sheet name="AllData" sheetId="2" r:id="rId1"/>
    <sheet name="AtlanticArctic" sheetId="4" r:id="rId2"/>
    <sheet name="PacificIndian" sheetId="5" r:id="rId3"/>
    <sheet name="notes" sheetId="3" r:id="rId4"/>
  </sheets>
  <definedNames>
    <definedName name="_xlnm._FilterDatabase" localSheetId="0" hidden="1">AllData!$J$1:$J$1350</definedName>
    <definedName name="_xlnm._FilterDatabase" localSheetId="1" hidden="1">AtlanticArctic!$Z$1:$Z$1267</definedName>
    <definedName name="_xlnm._FilterDatabase" localSheetId="2" hidden="1">PacificIndian!$Z$1:$Z$1267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02" i="4" l="1"/>
  <c r="C1201" i="4"/>
  <c r="C1200" i="4"/>
  <c r="C1199" i="4"/>
  <c r="C1198" i="4"/>
  <c r="C1197" i="4"/>
  <c r="C1196" i="4"/>
  <c r="C1195" i="4"/>
  <c r="F1194" i="4"/>
  <c r="E1194" i="4"/>
  <c r="C1194" i="4"/>
  <c r="F1193" i="4"/>
  <c r="E1193" i="4"/>
  <c r="C1193" i="4"/>
  <c r="F1192" i="4"/>
  <c r="E1192" i="4"/>
  <c r="C1192" i="4"/>
  <c r="F1191" i="4"/>
  <c r="E1191" i="4"/>
  <c r="C1191" i="4"/>
  <c r="F1190" i="4"/>
  <c r="E1190" i="4"/>
  <c r="C1190" i="4"/>
  <c r="F1189" i="4"/>
  <c r="E1189" i="4"/>
  <c r="C1189" i="4"/>
  <c r="F1188" i="4"/>
  <c r="E1188" i="4"/>
  <c r="C1188" i="4"/>
  <c r="F1187" i="4"/>
  <c r="E1187" i="4"/>
  <c r="C1187" i="4"/>
  <c r="F1186" i="4"/>
  <c r="E1186" i="4"/>
  <c r="C1186" i="4"/>
  <c r="F1185" i="4"/>
  <c r="E1185" i="4"/>
  <c r="C1185" i="4"/>
  <c r="F1184" i="4"/>
  <c r="E1184" i="4"/>
  <c r="C1184" i="4"/>
  <c r="F1183" i="4"/>
  <c r="E1183" i="4"/>
  <c r="C1183" i="4"/>
  <c r="F1182" i="4"/>
  <c r="E1182" i="4"/>
  <c r="C1182" i="4"/>
  <c r="F1181" i="4"/>
  <c r="E1181" i="4"/>
  <c r="C1181" i="4"/>
  <c r="F1180" i="4"/>
  <c r="E1180" i="4"/>
  <c r="C1180" i="4"/>
  <c r="F1179" i="4"/>
  <c r="E1179" i="4"/>
  <c r="C1179" i="4"/>
  <c r="F1178" i="4"/>
  <c r="E1178" i="4"/>
  <c r="C1178" i="4"/>
  <c r="F1177" i="4"/>
  <c r="E1177" i="4"/>
  <c r="C1177" i="4"/>
  <c r="F1176" i="4"/>
  <c r="E1176" i="4"/>
  <c r="C1176" i="4"/>
  <c r="F1175" i="4"/>
  <c r="E1175" i="4"/>
  <c r="C1175" i="4"/>
  <c r="F1174" i="4"/>
  <c r="E1174" i="4"/>
  <c r="C1174" i="4"/>
  <c r="F1173" i="4"/>
  <c r="E1173" i="4"/>
  <c r="C1173" i="4"/>
  <c r="F1172" i="4"/>
  <c r="E1172" i="4"/>
  <c r="C1172" i="4"/>
  <c r="F1171" i="4"/>
  <c r="E1171" i="4"/>
  <c r="C1171" i="4"/>
  <c r="F1170" i="4"/>
  <c r="E1170" i="4"/>
  <c r="C1170" i="4"/>
  <c r="F1169" i="4"/>
  <c r="E1169" i="4"/>
  <c r="C1169" i="4"/>
  <c r="F1168" i="4"/>
  <c r="E1168" i="4"/>
  <c r="C1168" i="4"/>
  <c r="F1167" i="4"/>
  <c r="E1167" i="4"/>
  <c r="C1167" i="4"/>
  <c r="F1166" i="4"/>
  <c r="E1166" i="4"/>
  <c r="C1166" i="4"/>
  <c r="F1165" i="4"/>
  <c r="E1165" i="4"/>
  <c r="C1165" i="4"/>
  <c r="F1164" i="4"/>
  <c r="E1164" i="4"/>
  <c r="C1164" i="4"/>
  <c r="F1163" i="4"/>
  <c r="E1163" i="4"/>
  <c r="C1163" i="4"/>
  <c r="F1162" i="4"/>
  <c r="E1162" i="4"/>
  <c r="C1162" i="4"/>
  <c r="F1161" i="4"/>
  <c r="E1161" i="4"/>
  <c r="C1161" i="4"/>
  <c r="F1160" i="4"/>
  <c r="E1160" i="4"/>
  <c r="C1160" i="4"/>
  <c r="F1159" i="4"/>
  <c r="E1159" i="4"/>
  <c r="C1159" i="4"/>
  <c r="F1158" i="4"/>
  <c r="E1158" i="4"/>
  <c r="C1158" i="4"/>
  <c r="F1157" i="4"/>
  <c r="E1157" i="4"/>
  <c r="C1157" i="4"/>
  <c r="F1156" i="4"/>
  <c r="E1156" i="4"/>
  <c r="C1156" i="4"/>
  <c r="F1155" i="4"/>
  <c r="E1155" i="4"/>
  <c r="C1155" i="4"/>
  <c r="F1154" i="4"/>
  <c r="E1154" i="4"/>
  <c r="C1154" i="4"/>
  <c r="F1153" i="4"/>
  <c r="E1153" i="4"/>
  <c r="C1153" i="4"/>
  <c r="F1152" i="4"/>
  <c r="E1152" i="4"/>
  <c r="C1152" i="4"/>
  <c r="F1151" i="4"/>
  <c r="E1151" i="4"/>
  <c r="C1151" i="4"/>
  <c r="F1150" i="4"/>
  <c r="E1150" i="4"/>
  <c r="C1150" i="4"/>
  <c r="F1149" i="4"/>
  <c r="E1149" i="4"/>
  <c r="C1149" i="4"/>
  <c r="F1148" i="4"/>
  <c r="E1148" i="4"/>
  <c r="C1148" i="4"/>
  <c r="F1147" i="4"/>
  <c r="E1147" i="4"/>
  <c r="C1147" i="4"/>
  <c r="F1146" i="4"/>
  <c r="E1146" i="4"/>
  <c r="C1146" i="4"/>
  <c r="F1145" i="4"/>
  <c r="E1145" i="4"/>
  <c r="C1145" i="4"/>
  <c r="F1144" i="4"/>
  <c r="E1144" i="4"/>
  <c r="C1144" i="4"/>
  <c r="F1143" i="4"/>
  <c r="E1143" i="4"/>
  <c r="C1143" i="4"/>
  <c r="F1142" i="4"/>
  <c r="E1142" i="4"/>
  <c r="C1142" i="4"/>
  <c r="F1141" i="4"/>
  <c r="E1141" i="4"/>
  <c r="C1141" i="4"/>
  <c r="F1140" i="4"/>
  <c r="E1140" i="4"/>
  <c r="C1140" i="4"/>
  <c r="F1139" i="4"/>
  <c r="E1139" i="4"/>
  <c r="C1139" i="4"/>
  <c r="F1138" i="4"/>
  <c r="E1138" i="4"/>
  <c r="C1138" i="4"/>
  <c r="F1137" i="4"/>
  <c r="E1137" i="4"/>
  <c r="C1137" i="4"/>
  <c r="F1136" i="4"/>
  <c r="E1136" i="4"/>
  <c r="C1136" i="4"/>
  <c r="F1135" i="4"/>
  <c r="E1135" i="4"/>
  <c r="C1135" i="4"/>
  <c r="F1134" i="4"/>
  <c r="E1134" i="4"/>
  <c r="C1134" i="4"/>
  <c r="F1133" i="4"/>
  <c r="E1133" i="4"/>
  <c r="C1133" i="4"/>
  <c r="F1132" i="4"/>
  <c r="E1132" i="4"/>
  <c r="C1132" i="4"/>
  <c r="F1131" i="4"/>
  <c r="E1131" i="4"/>
  <c r="C1131" i="4"/>
  <c r="F1130" i="4"/>
  <c r="E1130" i="4"/>
  <c r="C1130" i="4"/>
  <c r="F1129" i="4"/>
  <c r="E1129" i="4"/>
  <c r="C1129" i="4"/>
  <c r="F1128" i="4"/>
  <c r="E1128" i="4"/>
  <c r="C1128" i="4"/>
  <c r="F1127" i="4"/>
  <c r="E1127" i="4"/>
  <c r="C1127" i="4"/>
  <c r="F1126" i="4"/>
  <c r="E1126" i="4"/>
  <c r="C1126" i="4"/>
  <c r="F1125" i="4"/>
  <c r="E1125" i="4"/>
  <c r="C1125" i="4"/>
  <c r="F1124" i="4"/>
  <c r="E1124" i="4"/>
  <c r="C1124" i="4"/>
  <c r="F1123" i="4"/>
  <c r="E1123" i="4"/>
  <c r="C1123" i="4"/>
  <c r="F1122" i="4"/>
  <c r="E1122" i="4"/>
  <c r="C1122" i="4"/>
  <c r="F1121" i="4"/>
  <c r="E1121" i="4"/>
  <c r="C1121" i="4"/>
  <c r="F1120" i="4"/>
  <c r="E1120" i="4"/>
  <c r="C1120" i="4"/>
  <c r="F1119" i="4"/>
  <c r="E1119" i="4"/>
  <c r="C1119" i="4"/>
  <c r="F1118" i="4"/>
  <c r="E1118" i="4"/>
  <c r="C1118" i="4"/>
  <c r="F1117" i="4"/>
  <c r="E1117" i="4"/>
  <c r="C1117" i="4"/>
  <c r="F1116" i="4"/>
  <c r="E1116" i="4"/>
  <c r="C1116" i="4"/>
  <c r="F1115" i="4"/>
  <c r="E1115" i="4"/>
  <c r="C1115" i="4"/>
  <c r="F1114" i="4"/>
  <c r="E1114" i="4"/>
  <c r="C1114" i="4"/>
  <c r="F1113" i="4"/>
  <c r="E1113" i="4"/>
  <c r="C1113" i="4"/>
  <c r="F1112" i="4"/>
  <c r="E1112" i="4"/>
  <c r="C1112" i="4"/>
  <c r="F1111" i="4"/>
  <c r="E1111" i="4"/>
  <c r="C1111" i="4"/>
  <c r="F1110" i="4"/>
  <c r="E1110" i="4"/>
  <c r="C1110" i="4"/>
  <c r="F1109" i="4"/>
  <c r="E1109" i="4"/>
  <c r="C1109" i="4"/>
  <c r="F1108" i="4"/>
  <c r="E1108" i="4"/>
  <c r="C1108" i="4"/>
  <c r="F1107" i="4"/>
  <c r="E1107" i="4"/>
  <c r="C1107" i="4"/>
  <c r="F1106" i="4"/>
  <c r="E1106" i="4"/>
  <c r="C1106" i="4"/>
  <c r="F1105" i="4"/>
  <c r="E1105" i="4"/>
  <c r="C1105" i="4"/>
  <c r="F1104" i="4"/>
  <c r="E1104" i="4"/>
  <c r="C1104" i="4"/>
  <c r="F1103" i="4"/>
  <c r="E1103" i="4"/>
  <c r="C1103" i="4"/>
  <c r="F1102" i="4"/>
  <c r="E1102" i="4"/>
  <c r="C1102" i="4"/>
  <c r="F1101" i="4"/>
  <c r="E1101" i="4"/>
  <c r="C1101" i="4"/>
  <c r="F1100" i="4"/>
  <c r="E1100" i="4"/>
  <c r="C1100" i="4"/>
  <c r="F1099" i="4"/>
  <c r="E1099" i="4"/>
  <c r="C1099" i="4"/>
  <c r="F1098" i="4"/>
  <c r="E1098" i="4"/>
  <c r="C1098" i="4"/>
  <c r="F1097" i="4"/>
  <c r="E1097" i="4"/>
  <c r="C1097" i="4"/>
  <c r="F1096" i="4"/>
  <c r="E1096" i="4"/>
  <c r="C1096" i="4"/>
  <c r="F1095" i="4"/>
  <c r="E1095" i="4"/>
  <c r="C1095" i="4"/>
  <c r="F1094" i="4"/>
  <c r="E1094" i="4"/>
  <c r="C1094" i="4"/>
  <c r="F1093" i="4"/>
  <c r="E1093" i="4"/>
  <c r="C1093" i="4"/>
  <c r="F1092" i="4"/>
  <c r="E1092" i="4"/>
  <c r="C1092" i="4"/>
  <c r="F1091" i="4"/>
  <c r="E1091" i="4"/>
  <c r="C1091" i="4"/>
  <c r="F1090" i="4"/>
  <c r="E1090" i="4"/>
  <c r="C1090" i="4"/>
  <c r="F1089" i="4"/>
  <c r="E1089" i="4"/>
  <c r="C1089" i="4"/>
  <c r="F1088" i="4"/>
  <c r="E1088" i="4"/>
  <c r="C1088" i="4"/>
  <c r="F1087" i="4"/>
  <c r="E1087" i="4"/>
  <c r="C1087" i="4"/>
  <c r="F1086" i="4"/>
  <c r="E1086" i="4"/>
  <c r="C1086" i="4"/>
  <c r="F1085" i="4"/>
  <c r="E1085" i="4"/>
  <c r="C1085" i="4"/>
  <c r="F1084" i="4"/>
  <c r="E1084" i="4"/>
  <c r="C1084" i="4"/>
  <c r="F1083" i="4"/>
  <c r="E1083" i="4"/>
  <c r="C1083" i="4"/>
  <c r="F1082" i="4"/>
  <c r="E1082" i="4"/>
  <c r="C1082" i="4"/>
  <c r="F1081" i="4"/>
  <c r="E1081" i="4"/>
  <c r="C1081" i="4"/>
  <c r="F1080" i="4"/>
  <c r="E1080" i="4"/>
  <c r="C1080" i="4"/>
  <c r="F1079" i="4"/>
  <c r="E1079" i="4"/>
  <c r="C1079" i="4"/>
  <c r="F1078" i="4"/>
  <c r="E1078" i="4"/>
  <c r="C1078" i="4"/>
  <c r="F1077" i="4"/>
  <c r="E1077" i="4"/>
  <c r="C1077" i="4"/>
  <c r="F1076" i="4"/>
  <c r="E1076" i="4"/>
  <c r="C1076" i="4"/>
  <c r="F1075" i="4"/>
  <c r="E1075" i="4"/>
  <c r="C1075" i="4"/>
  <c r="F1074" i="4"/>
  <c r="E1074" i="4"/>
  <c r="C1074" i="4"/>
  <c r="F1073" i="4"/>
  <c r="E1073" i="4"/>
  <c r="C1073" i="4"/>
  <c r="F1072" i="4"/>
  <c r="E1072" i="4"/>
  <c r="C1072" i="4"/>
  <c r="F1071" i="4"/>
  <c r="E1071" i="4"/>
  <c r="C1071" i="4"/>
  <c r="F1070" i="4"/>
  <c r="E1070" i="4"/>
  <c r="C1070" i="4"/>
  <c r="F1069" i="4"/>
  <c r="E1069" i="4"/>
  <c r="C1069" i="4"/>
  <c r="F1068" i="4"/>
  <c r="E1068" i="4"/>
  <c r="C1068" i="4"/>
  <c r="F1067" i="4"/>
  <c r="E1067" i="4"/>
  <c r="C1067" i="4"/>
  <c r="F1066" i="4"/>
  <c r="E1066" i="4"/>
  <c r="C1066" i="4"/>
  <c r="F1065" i="4"/>
  <c r="E1065" i="4"/>
  <c r="C1065" i="4"/>
  <c r="F1064" i="4"/>
  <c r="E1064" i="4"/>
  <c r="C1064" i="4"/>
  <c r="F1063" i="4"/>
  <c r="E1063" i="4"/>
  <c r="C1063" i="4"/>
  <c r="F1062" i="4"/>
  <c r="E1062" i="4"/>
  <c r="C1062" i="4"/>
  <c r="F1061" i="4"/>
  <c r="E1061" i="4"/>
  <c r="C1061" i="4"/>
  <c r="F1060" i="4"/>
  <c r="E1060" i="4"/>
  <c r="C1060" i="4"/>
  <c r="F1059" i="4"/>
  <c r="E1059" i="4"/>
  <c r="C1059" i="4"/>
  <c r="F1058" i="4"/>
  <c r="E1058" i="4"/>
  <c r="C1058" i="4"/>
  <c r="F1057" i="4"/>
  <c r="E1057" i="4"/>
  <c r="C1057" i="4"/>
  <c r="F1056" i="4"/>
  <c r="E1056" i="4"/>
  <c r="C1056" i="4"/>
  <c r="F1055" i="4"/>
  <c r="E1055" i="4"/>
  <c r="C1055" i="4"/>
  <c r="F1054" i="4"/>
  <c r="E1054" i="4"/>
  <c r="C1054" i="4"/>
  <c r="F1053" i="4"/>
  <c r="E1053" i="4"/>
  <c r="C1053" i="4"/>
  <c r="F1052" i="4"/>
  <c r="E1052" i="4"/>
  <c r="C1052" i="4"/>
  <c r="F1051" i="4"/>
  <c r="E1051" i="4"/>
  <c r="C1051" i="4"/>
  <c r="F1050" i="4"/>
  <c r="E1050" i="4"/>
  <c r="C1050" i="4"/>
  <c r="F1049" i="4"/>
  <c r="E1049" i="4"/>
  <c r="C1049" i="4"/>
  <c r="F1048" i="4"/>
  <c r="E1048" i="4"/>
  <c r="C1048" i="4"/>
  <c r="F1047" i="4"/>
  <c r="E1047" i="4"/>
  <c r="C1047" i="4"/>
  <c r="F1046" i="4"/>
  <c r="E1046" i="4"/>
  <c r="C1046" i="4"/>
  <c r="F1045" i="4"/>
  <c r="E1045" i="4"/>
  <c r="C1045" i="4"/>
  <c r="F1044" i="4"/>
  <c r="E1044" i="4"/>
  <c r="C1044" i="4"/>
  <c r="F1043" i="4"/>
  <c r="E1043" i="4"/>
  <c r="C1043" i="4"/>
  <c r="F1042" i="4"/>
  <c r="E1042" i="4"/>
  <c r="C1042" i="4"/>
  <c r="F1041" i="4"/>
  <c r="E1041" i="4"/>
  <c r="C1041" i="4"/>
  <c r="F1040" i="4"/>
  <c r="E1040" i="4"/>
  <c r="C1040" i="4"/>
  <c r="F1039" i="4"/>
  <c r="E1039" i="4"/>
  <c r="C1039" i="4"/>
  <c r="F1038" i="4"/>
  <c r="E1038" i="4"/>
  <c r="C1038" i="4"/>
  <c r="F1037" i="4"/>
  <c r="E1037" i="4"/>
  <c r="C1037" i="4"/>
  <c r="F1036" i="4"/>
  <c r="E1036" i="4"/>
  <c r="C1036" i="4"/>
  <c r="F1035" i="4"/>
  <c r="E1035" i="4"/>
  <c r="C1035" i="4"/>
  <c r="F1034" i="4"/>
  <c r="E1034" i="4"/>
  <c r="C1034" i="4"/>
  <c r="F1033" i="4"/>
  <c r="E1033" i="4"/>
  <c r="C1033" i="4"/>
  <c r="F1032" i="4"/>
  <c r="E1032" i="4"/>
  <c r="C1032" i="4"/>
  <c r="F1031" i="4"/>
  <c r="E1031" i="4"/>
  <c r="C1031" i="4"/>
  <c r="F1030" i="4"/>
  <c r="E1030" i="4"/>
  <c r="C1030" i="4"/>
  <c r="F1029" i="4"/>
  <c r="E1029" i="4"/>
  <c r="C1029" i="4"/>
  <c r="F1028" i="4"/>
  <c r="E1028" i="4"/>
  <c r="C1028" i="4"/>
  <c r="F1027" i="4"/>
  <c r="E1027" i="4"/>
  <c r="C1027" i="4"/>
  <c r="F1026" i="4"/>
  <c r="E1026" i="4"/>
  <c r="C1026" i="4"/>
  <c r="F1025" i="4"/>
  <c r="E1025" i="4"/>
  <c r="C1025" i="4"/>
  <c r="F1024" i="4"/>
  <c r="E1024" i="4"/>
  <c r="C1024" i="4"/>
  <c r="F1023" i="4"/>
  <c r="E1023" i="4"/>
  <c r="C1023" i="4"/>
  <c r="F1022" i="4"/>
  <c r="E1022" i="4"/>
  <c r="C1022" i="4"/>
  <c r="F1021" i="4"/>
  <c r="E1021" i="4"/>
  <c r="C1021" i="4"/>
  <c r="F1020" i="4"/>
  <c r="E1020" i="4"/>
  <c r="C1020" i="4"/>
  <c r="F1019" i="4"/>
  <c r="E1019" i="4"/>
  <c r="C1019" i="4"/>
  <c r="F1018" i="4"/>
  <c r="E1018" i="4"/>
  <c r="C1018" i="4"/>
  <c r="F1017" i="4"/>
  <c r="E1017" i="4"/>
  <c r="C1017" i="4"/>
  <c r="F1016" i="4"/>
  <c r="E1016" i="4"/>
  <c r="C1016" i="4"/>
  <c r="F1015" i="4"/>
  <c r="E1015" i="4"/>
  <c r="C1015" i="4"/>
  <c r="F1014" i="4"/>
  <c r="E1014" i="4"/>
  <c r="C1014" i="4"/>
  <c r="F1013" i="4"/>
  <c r="E1013" i="4"/>
  <c r="C1013" i="4"/>
  <c r="F1012" i="4"/>
  <c r="E1012" i="4"/>
  <c r="C1012" i="4"/>
  <c r="F1011" i="4"/>
  <c r="E1011" i="4"/>
  <c r="C1011" i="4"/>
  <c r="C1010" i="4"/>
  <c r="C1009" i="4"/>
  <c r="C1008" i="4"/>
  <c r="C1007" i="4"/>
  <c r="C1006" i="4"/>
  <c r="C1005" i="4"/>
  <c r="C1004" i="4"/>
  <c r="C1003" i="4"/>
  <c r="C1002" i="4"/>
  <c r="C1001" i="4"/>
  <c r="C1000" i="4"/>
  <c r="C999" i="4"/>
  <c r="C998" i="4"/>
  <c r="C997" i="4"/>
  <c r="C996" i="4"/>
  <c r="C995" i="4"/>
  <c r="C994" i="4"/>
  <c r="C993" i="4"/>
  <c r="C992" i="4"/>
  <c r="C991" i="4"/>
  <c r="F990" i="4"/>
  <c r="E990" i="4"/>
  <c r="C990" i="4"/>
  <c r="F989" i="4"/>
  <c r="E989" i="4"/>
  <c r="C989" i="4"/>
  <c r="F988" i="4"/>
  <c r="E988" i="4"/>
  <c r="C988" i="4"/>
  <c r="F987" i="4"/>
  <c r="E987" i="4"/>
  <c r="C987" i="4"/>
  <c r="F986" i="4"/>
  <c r="E986" i="4"/>
  <c r="C986" i="4"/>
  <c r="F985" i="4"/>
  <c r="E985" i="4"/>
  <c r="C985" i="4"/>
  <c r="F984" i="4"/>
  <c r="E984" i="4"/>
  <c r="C984" i="4"/>
  <c r="F983" i="4"/>
  <c r="E983" i="4"/>
  <c r="C983" i="4"/>
  <c r="F982" i="4"/>
  <c r="E982" i="4"/>
  <c r="C982" i="4"/>
  <c r="F981" i="4"/>
  <c r="E981" i="4"/>
  <c r="C981" i="4"/>
  <c r="F980" i="4"/>
  <c r="E980" i="4"/>
  <c r="C980" i="4"/>
  <c r="F979" i="4"/>
  <c r="E979" i="4"/>
  <c r="C979" i="4"/>
  <c r="F978" i="4"/>
  <c r="E978" i="4"/>
  <c r="C978" i="4"/>
  <c r="F977" i="4"/>
  <c r="E977" i="4"/>
  <c r="C977" i="4"/>
  <c r="F976" i="4"/>
  <c r="E976" i="4"/>
  <c r="C976" i="4"/>
  <c r="F975" i="4"/>
  <c r="E975" i="4"/>
  <c r="C975" i="4"/>
  <c r="F974" i="4"/>
  <c r="E974" i="4"/>
  <c r="C974" i="4"/>
  <c r="F973" i="4"/>
  <c r="E973" i="4"/>
  <c r="C973" i="4"/>
  <c r="F972" i="4"/>
  <c r="E972" i="4"/>
  <c r="C972" i="4"/>
  <c r="F971" i="4"/>
  <c r="E971" i="4"/>
  <c r="C971" i="4"/>
  <c r="F970" i="4"/>
  <c r="E970" i="4"/>
  <c r="C970" i="4"/>
  <c r="F969" i="4"/>
  <c r="E969" i="4"/>
  <c r="C969" i="4"/>
  <c r="F968" i="4"/>
  <c r="E968" i="4"/>
  <c r="C968" i="4"/>
  <c r="F967" i="4"/>
  <c r="E967" i="4"/>
  <c r="C967" i="4"/>
  <c r="F966" i="4"/>
  <c r="E966" i="4"/>
  <c r="C966" i="4"/>
  <c r="F965" i="4"/>
  <c r="E965" i="4"/>
  <c r="C965" i="4"/>
  <c r="F964" i="4"/>
  <c r="E964" i="4"/>
  <c r="C964" i="4"/>
  <c r="F963" i="4"/>
  <c r="E963" i="4"/>
  <c r="C963" i="4"/>
  <c r="F962" i="4"/>
  <c r="E962" i="4"/>
  <c r="C962" i="4"/>
  <c r="C961" i="4"/>
  <c r="C960" i="4"/>
  <c r="C959" i="4"/>
  <c r="F958" i="4"/>
  <c r="E958" i="4"/>
  <c r="C958" i="4"/>
  <c r="F957" i="4"/>
  <c r="E957" i="4"/>
  <c r="C957" i="4"/>
  <c r="F956" i="4"/>
  <c r="E956" i="4"/>
  <c r="C956" i="4"/>
  <c r="F955" i="4"/>
  <c r="E955" i="4"/>
  <c r="C955" i="4"/>
  <c r="F954" i="4"/>
  <c r="E954" i="4"/>
  <c r="C954" i="4"/>
  <c r="F953" i="4"/>
  <c r="E953" i="4"/>
  <c r="C953" i="4"/>
  <c r="F952" i="4"/>
  <c r="E952" i="4"/>
  <c r="C952" i="4"/>
  <c r="F951" i="4"/>
  <c r="E951" i="4"/>
  <c r="C951" i="4"/>
  <c r="F950" i="4"/>
  <c r="E950" i="4"/>
  <c r="C950" i="4"/>
  <c r="F949" i="4"/>
  <c r="E949" i="4"/>
  <c r="C949" i="4"/>
  <c r="F948" i="4"/>
  <c r="E948" i="4"/>
  <c r="C948" i="4"/>
  <c r="F947" i="4"/>
  <c r="E947" i="4"/>
  <c r="C947" i="4"/>
  <c r="F946" i="4"/>
  <c r="E946" i="4"/>
  <c r="C946" i="4"/>
  <c r="F945" i="4"/>
  <c r="E945" i="4"/>
  <c r="C945" i="4"/>
  <c r="F944" i="4"/>
  <c r="E944" i="4"/>
  <c r="C944" i="4"/>
  <c r="F943" i="4"/>
  <c r="E943" i="4"/>
  <c r="C943" i="4"/>
  <c r="F942" i="4"/>
  <c r="E942" i="4"/>
  <c r="C942" i="4"/>
  <c r="F941" i="4"/>
  <c r="F961" i="4" s="1"/>
  <c r="E941" i="4"/>
  <c r="E961" i="4" s="1"/>
  <c r="C941" i="4"/>
  <c r="F940" i="4"/>
  <c r="F960" i="4" s="1"/>
  <c r="E940" i="4"/>
  <c r="C940" i="4"/>
  <c r="F939" i="4"/>
  <c r="F959" i="4" s="1"/>
  <c r="E939" i="4"/>
  <c r="E959" i="4" s="1"/>
  <c r="C939" i="4"/>
  <c r="F938" i="4"/>
  <c r="E938" i="4"/>
  <c r="C938" i="4"/>
  <c r="F937" i="4"/>
  <c r="E937" i="4"/>
  <c r="C937" i="4"/>
  <c r="F936" i="4"/>
  <c r="E936" i="4"/>
  <c r="C936" i="4"/>
  <c r="F935" i="4"/>
  <c r="E935" i="4"/>
  <c r="C935" i="4"/>
  <c r="F934" i="4"/>
  <c r="E934" i="4"/>
  <c r="C934" i="4"/>
  <c r="F933" i="4"/>
  <c r="E933" i="4"/>
  <c r="C933" i="4"/>
  <c r="F932" i="4"/>
  <c r="E932" i="4"/>
  <c r="C932" i="4"/>
  <c r="F931" i="4"/>
  <c r="E931" i="4"/>
  <c r="C931" i="4"/>
  <c r="F930" i="4"/>
  <c r="E930" i="4"/>
  <c r="C930" i="4"/>
  <c r="F929" i="4"/>
  <c r="E929" i="4"/>
  <c r="C929" i="4"/>
  <c r="F928" i="4"/>
  <c r="E928" i="4"/>
  <c r="C928" i="4"/>
  <c r="F927" i="4"/>
  <c r="E927" i="4"/>
  <c r="C927" i="4"/>
  <c r="F926" i="4"/>
  <c r="E926" i="4"/>
  <c r="C926" i="4"/>
  <c r="F925" i="4"/>
  <c r="E925" i="4"/>
  <c r="C925" i="4"/>
  <c r="F924" i="4"/>
  <c r="E924" i="4"/>
  <c r="C924" i="4"/>
  <c r="F923" i="4"/>
  <c r="E923" i="4"/>
  <c r="C923" i="4"/>
  <c r="F922" i="4"/>
  <c r="E922" i="4"/>
  <c r="C922" i="4"/>
  <c r="F921" i="4"/>
  <c r="E921" i="4"/>
  <c r="C921" i="4"/>
  <c r="F920" i="4"/>
  <c r="E920" i="4"/>
  <c r="E960" i="4" s="1"/>
  <c r="C920" i="4"/>
  <c r="F919" i="4"/>
  <c r="E919" i="4"/>
  <c r="C919" i="4"/>
  <c r="F918" i="4"/>
  <c r="E918" i="4"/>
  <c r="C918" i="4"/>
  <c r="F917" i="4"/>
  <c r="E917" i="4"/>
  <c r="C917" i="4"/>
  <c r="F916" i="4"/>
  <c r="E916" i="4"/>
  <c r="C916" i="4"/>
  <c r="F915" i="4"/>
  <c r="E915" i="4"/>
  <c r="C915" i="4"/>
  <c r="F914" i="4"/>
  <c r="E914" i="4"/>
  <c r="C914" i="4"/>
  <c r="F913" i="4"/>
  <c r="E913" i="4"/>
  <c r="C913" i="4"/>
  <c r="F912" i="4"/>
  <c r="E912" i="4"/>
  <c r="C912" i="4"/>
  <c r="F911" i="4"/>
  <c r="E911" i="4"/>
  <c r="C911" i="4"/>
  <c r="F910" i="4"/>
  <c r="E910" i="4"/>
  <c r="C910" i="4"/>
  <c r="F909" i="4"/>
  <c r="E909" i="4"/>
  <c r="C909" i="4"/>
  <c r="F908" i="4"/>
  <c r="E908" i="4"/>
  <c r="C908" i="4"/>
  <c r="F907" i="4"/>
  <c r="E907" i="4"/>
  <c r="C907" i="4"/>
  <c r="F906" i="4"/>
  <c r="E906" i="4"/>
  <c r="C906" i="4"/>
  <c r="F905" i="4"/>
  <c r="E905" i="4"/>
  <c r="C905" i="4"/>
  <c r="F904" i="4"/>
  <c r="E904" i="4"/>
  <c r="C904" i="4"/>
  <c r="F903" i="4"/>
  <c r="E903" i="4"/>
  <c r="C903" i="4"/>
  <c r="F902" i="4"/>
  <c r="E902" i="4"/>
  <c r="C902" i="4"/>
  <c r="F901" i="4"/>
  <c r="E901" i="4"/>
  <c r="C901" i="4"/>
  <c r="F900" i="4"/>
  <c r="E900" i="4"/>
  <c r="C900" i="4"/>
  <c r="F899" i="4"/>
  <c r="E899" i="4"/>
  <c r="C899" i="4"/>
  <c r="F898" i="4"/>
  <c r="E898" i="4"/>
  <c r="C898" i="4"/>
  <c r="F897" i="4"/>
  <c r="E897" i="4"/>
  <c r="C897" i="4"/>
  <c r="F896" i="4"/>
  <c r="E896" i="4"/>
  <c r="C896" i="4"/>
  <c r="F895" i="4"/>
  <c r="E895" i="4"/>
  <c r="C895" i="4"/>
  <c r="F894" i="4"/>
  <c r="E894" i="4"/>
  <c r="C894" i="4"/>
  <c r="F893" i="4"/>
  <c r="E893" i="4"/>
  <c r="C893" i="4"/>
  <c r="F892" i="4"/>
  <c r="E892" i="4"/>
  <c r="C892" i="4"/>
  <c r="F891" i="4"/>
  <c r="E891" i="4"/>
  <c r="C891" i="4"/>
  <c r="F890" i="4"/>
  <c r="E890" i="4"/>
  <c r="C890" i="4"/>
  <c r="F889" i="4"/>
  <c r="E889" i="4"/>
  <c r="C889" i="4"/>
  <c r="F888" i="4"/>
  <c r="E888" i="4"/>
  <c r="C888" i="4"/>
  <c r="F887" i="4"/>
  <c r="E887" i="4"/>
  <c r="C887" i="4"/>
  <c r="F886" i="4"/>
  <c r="E886" i="4"/>
  <c r="C886" i="4"/>
  <c r="F885" i="4"/>
  <c r="E885" i="4"/>
  <c r="C885" i="4"/>
  <c r="F884" i="4"/>
  <c r="E884" i="4"/>
  <c r="C884" i="4"/>
  <c r="F883" i="4"/>
  <c r="E883" i="4"/>
  <c r="C883" i="4"/>
  <c r="F882" i="4"/>
  <c r="E882" i="4"/>
  <c r="C882" i="4"/>
  <c r="F881" i="4"/>
  <c r="E881" i="4"/>
  <c r="C881" i="4"/>
  <c r="F880" i="4"/>
  <c r="E880" i="4"/>
  <c r="C880" i="4"/>
  <c r="F879" i="4"/>
  <c r="E879" i="4"/>
  <c r="C879" i="4"/>
  <c r="F878" i="4"/>
  <c r="E878" i="4"/>
  <c r="C878" i="4"/>
  <c r="F877" i="4"/>
  <c r="E877" i="4"/>
  <c r="C877" i="4"/>
  <c r="F876" i="4"/>
  <c r="E876" i="4"/>
  <c r="C876" i="4"/>
  <c r="F875" i="4"/>
  <c r="E875" i="4"/>
  <c r="C875" i="4"/>
  <c r="F874" i="4"/>
  <c r="E874" i="4"/>
  <c r="C874" i="4"/>
  <c r="F873" i="4"/>
  <c r="E873" i="4"/>
  <c r="C873" i="4"/>
  <c r="F872" i="4"/>
  <c r="E872" i="4"/>
  <c r="C872" i="4"/>
  <c r="F871" i="4"/>
  <c r="E871" i="4"/>
  <c r="C871" i="4"/>
  <c r="F870" i="4"/>
  <c r="E870" i="4"/>
  <c r="C870" i="4"/>
  <c r="F869" i="4"/>
  <c r="E869" i="4"/>
  <c r="C869" i="4"/>
  <c r="F868" i="4"/>
  <c r="E868" i="4"/>
  <c r="C868" i="4"/>
  <c r="F867" i="4"/>
  <c r="E867" i="4"/>
  <c r="C867" i="4"/>
  <c r="F866" i="4"/>
  <c r="E866" i="4"/>
  <c r="C866" i="4"/>
  <c r="F865" i="4"/>
  <c r="E865" i="4"/>
  <c r="C865" i="4"/>
  <c r="F864" i="4"/>
  <c r="E864" i="4"/>
  <c r="C864" i="4"/>
  <c r="F863" i="4"/>
  <c r="E863" i="4"/>
  <c r="C863" i="4"/>
  <c r="F862" i="4"/>
  <c r="E862" i="4"/>
  <c r="C862" i="4"/>
  <c r="F861" i="4"/>
  <c r="E861" i="4"/>
  <c r="C861" i="4"/>
  <c r="F860" i="4"/>
  <c r="E860" i="4"/>
  <c r="C860" i="4"/>
  <c r="F859" i="4"/>
  <c r="E859" i="4"/>
  <c r="C859" i="4"/>
  <c r="F858" i="4"/>
  <c r="E858" i="4"/>
  <c r="C858" i="4"/>
  <c r="F857" i="4"/>
  <c r="E857" i="4"/>
  <c r="C857" i="4"/>
  <c r="C856" i="4"/>
  <c r="F855" i="4"/>
  <c r="E855" i="4"/>
  <c r="C855" i="4"/>
  <c r="F854" i="4"/>
  <c r="E854" i="4"/>
  <c r="C854" i="4"/>
  <c r="F853" i="4"/>
  <c r="E853" i="4"/>
  <c r="C853" i="4"/>
  <c r="F852" i="4"/>
  <c r="E852" i="4"/>
  <c r="C852" i="4"/>
  <c r="F851" i="4"/>
  <c r="E851" i="4"/>
  <c r="C851" i="4"/>
  <c r="F850" i="4"/>
  <c r="E850" i="4"/>
  <c r="C850" i="4"/>
  <c r="F849" i="4"/>
  <c r="E849" i="4"/>
  <c r="C849" i="4"/>
  <c r="F848" i="4"/>
  <c r="E848" i="4"/>
  <c r="C848" i="4"/>
  <c r="F847" i="4"/>
  <c r="E847" i="4"/>
  <c r="C847" i="4"/>
  <c r="F846" i="4"/>
  <c r="E846" i="4"/>
  <c r="C846" i="4"/>
  <c r="F845" i="4"/>
  <c r="E845" i="4"/>
  <c r="C845" i="4"/>
  <c r="F844" i="4"/>
  <c r="E844" i="4"/>
  <c r="C844" i="4"/>
  <c r="F843" i="4"/>
  <c r="E843" i="4"/>
  <c r="C843" i="4"/>
  <c r="F842" i="4"/>
  <c r="E842" i="4"/>
  <c r="C842" i="4"/>
  <c r="F841" i="4"/>
  <c r="E841" i="4"/>
  <c r="C841" i="4"/>
  <c r="F840" i="4"/>
  <c r="E840" i="4"/>
  <c r="C840" i="4"/>
  <c r="F839" i="4"/>
  <c r="E839" i="4"/>
  <c r="C839" i="4"/>
  <c r="F838" i="4"/>
  <c r="E838" i="4"/>
  <c r="C838" i="4"/>
  <c r="F837" i="4"/>
  <c r="E837" i="4"/>
  <c r="C837" i="4"/>
  <c r="F836" i="4"/>
  <c r="E836" i="4"/>
  <c r="C836" i="4"/>
  <c r="F835" i="4"/>
  <c r="E835" i="4"/>
  <c r="C835" i="4"/>
  <c r="F834" i="4"/>
  <c r="E834" i="4"/>
  <c r="C834" i="4"/>
  <c r="F833" i="4"/>
  <c r="E833" i="4"/>
  <c r="C833" i="4"/>
  <c r="F832" i="4"/>
  <c r="E832" i="4"/>
  <c r="C832" i="4"/>
  <c r="F831" i="4"/>
  <c r="E831" i="4"/>
  <c r="C831" i="4"/>
  <c r="F830" i="4"/>
  <c r="E830" i="4"/>
  <c r="C830" i="4"/>
  <c r="F829" i="4"/>
  <c r="E829" i="4"/>
  <c r="C829" i="4"/>
  <c r="F828" i="4"/>
  <c r="E828" i="4"/>
  <c r="C828" i="4"/>
  <c r="F827" i="4"/>
  <c r="E827" i="4"/>
  <c r="C827" i="4"/>
  <c r="F826" i="4"/>
  <c r="E826" i="4"/>
  <c r="C826" i="4"/>
  <c r="F825" i="4"/>
  <c r="E825" i="4"/>
  <c r="C825" i="4"/>
  <c r="F824" i="4"/>
  <c r="E824" i="4"/>
  <c r="C824" i="4"/>
  <c r="F823" i="4"/>
  <c r="E823" i="4"/>
  <c r="C823" i="4"/>
  <c r="F822" i="4"/>
  <c r="E822" i="4"/>
  <c r="C822" i="4"/>
  <c r="F821" i="4"/>
  <c r="E821" i="4"/>
  <c r="C821" i="4"/>
  <c r="F820" i="4"/>
  <c r="E820" i="4"/>
  <c r="C820" i="4"/>
  <c r="F819" i="4"/>
  <c r="E819" i="4"/>
  <c r="C819" i="4"/>
  <c r="F818" i="4"/>
  <c r="E818" i="4"/>
  <c r="C818" i="4"/>
  <c r="F817" i="4"/>
  <c r="E817" i="4"/>
  <c r="C817" i="4"/>
  <c r="F816" i="4"/>
  <c r="E816" i="4"/>
  <c r="C816" i="4"/>
  <c r="F815" i="4"/>
  <c r="E815" i="4"/>
  <c r="C815" i="4"/>
  <c r="F814" i="4"/>
  <c r="E814" i="4"/>
  <c r="C814" i="4"/>
  <c r="F813" i="4"/>
  <c r="E813" i="4"/>
  <c r="C813" i="4"/>
  <c r="F812" i="4"/>
  <c r="E812" i="4"/>
  <c r="C812" i="4"/>
  <c r="F811" i="4"/>
  <c r="E811" i="4"/>
  <c r="C811" i="4"/>
  <c r="F810" i="4"/>
  <c r="E810" i="4"/>
  <c r="C810" i="4"/>
  <c r="F809" i="4"/>
  <c r="E809" i="4"/>
  <c r="C809" i="4"/>
  <c r="F808" i="4"/>
  <c r="E808" i="4"/>
  <c r="C808" i="4"/>
  <c r="F807" i="4"/>
  <c r="E807" i="4"/>
  <c r="C807" i="4"/>
  <c r="F806" i="4"/>
  <c r="E806" i="4"/>
  <c r="C806" i="4"/>
  <c r="F805" i="4"/>
  <c r="E805" i="4"/>
  <c r="C805" i="4"/>
  <c r="F804" i="4"/>
  <c r="E804" i="4"/>
  <c r="C804" i="4"/>
  <c r="F803" i="4"/>
  <c r="E803" i="4"/>
  <c r="C803" i="4"/>
  <c r="F802" i="4"/>
  <c r="E802" i="4"/>
  <c r="C802" i="4"/>
  <c r="F801" i="4"/>
  <c r="E801" i="4"/>
  <c r="C801" i="4"/>
  <c r="F800" i="4"/>
  <c r="E800" i="4"/>
  <c r="C800" i="4"/>
  <c r="F799" i="4"/>
  <c r="E799" i="4"/>
  <c r="C799" i="4"/>
  <c r="F798" i="4"/>
  <c r="E798" i="4"/>
  <c r="C798" i="4"/>
  <c r="F797" i="4"/>
  <c r="E797" i="4"/>
  <c r="C797" i="4"/>
  <c r="F796" i="4"/>
  <c r="E796" i="4"/>
  <c r="C796" i="4"/>
  <c r="F795" i="4"/>
  <c r="E795" i="4"/>
  <c r="C795" i="4"/>
  <c r="F794" i="4"/>
  <c r="E794" i="4"/>
  <c r="C794" i="4"/>
  <c r="F793" i="4"/>
  <c r="E793" i="4"/>
  <c r="C793" i="4"/>
  <c r="F792" i="4"/>
  <c r="E792" i="4"/>
  <c r="C792" i="4"/>
  <c r="F791" i="4"/>
  <c r="E791" i="4"/>
  <c r="C791" i="4"/>
  <c r="F790" i="4"/>
  <c r="E790" i="4"/>
  <c r="C790" i="4"/>
  <c r="F789" i="4"/>
  <c r="E789" i="4"/>
  <c r="C789" i="4"/>
  <c r="F788" i="4"/>
  <c r="E788" i="4"/>
  <c r="C788" i="4"/>
  <c r="F787" i="4"/>
  <c r="E787" i="4"/>
  <c r="C787" i="4"/>
  <c r="F786" i="4"/>
  <c r="E786" i="4"/>
  <c r="C786" i="4"/>
  <c r="F785" i="4"/>
  <c r="E785" i="4"/>
  <c r="C785" i="4"/>
  <c r="F784" i="4"/>
  <c r="E784" i="4"/>
  <c r="C784" i="4"/>
  <c r="F783" i="4"/>
  <c r="E783" i="4"/>
  <c r="C783" i="4"/>
  <c r="F782" i="4"/>
  <c r="E782" i="4"/>
  <c r="C782" i="4"/>
  <c r="F781" i="4"/>
  <c r="E781" i="4"/>
  <c r="C781" i="4"/>
  <c r="F780" i="4"/>
  <c r="E780" i="4"/>
  <c r="C780" i="4"/>
  <c r="F779" i="4"/>
  <c r="E779" i="4"/>
  <c r="C779" i="4"/>
  <c r="F778" i="4"/>
  <c r="E778" i="4"/>
  <c r="C778" i="4"/>
  <c r="F777" i="4"/>
  <c r="E777" i="4"/>
  <c r="C777" i="4"/>
  <c r="F776" i="4"/>
  <c r="E776" i="4"/>
  <c r="C776" i="4"/>
  <c r="F775" i="4"/>
  <c r="E775" i="4"/>
  <c r="C775" i="4"/>
  <c r="F774" i="4"/>
  <c r="E774" i="4"/>
  <c r="C774" i="4"/>
  <c r="F773" i="4"/>
  <c r="E773" i="4"/>
  <c r="C773" i="4"/>
  <c r="F772" i="4"/>
  <c r="E772" i="4"/>
  <c r="C772" i="4"/>
  <c r="F771" i="4"/>
  <c r="E771" i="4"/>
  <c r="C771" i="4"/>
  <c r="F770" i="4"/>
  <c r="E770" i="4"/>
  <c r="C770" i="4"/>
  <c r="F769" i="4"/>
  <c r="E769" i="4"/>
  <c r="C769" i="4"/>
  <c r="F768" i="4"/>
  <c r="E768" i="4"/>
  <c r="C768" i="4"/>
  <c r="F767" i="4"/>
  <c r="E767" i="4"/>
  <c r="C767" i="4"/>
  <c r="F766" i="4"/>
  <c r="E766" i="4"/>
  <c r="C766" i="4"/>
  <c r="F765" i="4"/>
  <c r="E765" i="4"/>
  <c r="C765" i="4"/>
  <c r="F764" i="4"/>
  <c r="E764" i="4"/>
  <c r="C764" i="4"/>
  <c r="F763" i="4"/>
  <c r="E763" i="4"/>
  <c r="C763" i="4"/>
  <c r="F762" i="4"/>
  <c r="E762" i="4"/>
  <c r="C762" i="4"/>
  <c r="F761" i="4"/>
  <c r="E761" i="4"/>
  <c r="C761" i="4"/>
  <c r="F760" i="4"/>
  <c r="E760" i="4"/>
  <c r="C760" i="4"/>
  <c r="F759" i="4"/>
  <c r="E759" i="4"/>
  <c r="C759" i="4"/>
  <c r="F758" i="4"/>
  <c r="E758" i="4"/>
  <c r="C758" i="4"/>
  <c r="F757" i="4"/>
  <c r="E757" i="4"/>
  <c r="C757" i="4"/>
  <c r="F756" i="4"/>
  <c r="E756" i="4"/>
  <c r="C756" i="4"/>
  <c r="F755" i="4"/>
  <c r="E755" i="4"/>
  <c r="C755" i="4"/>
  <c r="F754" i="4"/>
  <c r="E754" i="4"/>
  <c r="C754" i="4"/>
  <c r="F753" i="4"/>
  <c r="E753" i="4"/>
  <c r="C753" i="4"/>
  <c r="F752" i="4"/>
  <c r="E752" i="4"/>
  <c r="C752" i="4"/>
  <c r="F751" i="4"/>
  <c r="E751" i="4"/>
  <c r="C751" i="4"/>
  <c r="F750" i="4"/>
  <c r="E750" i="4"/>
  <c r="C750" i="4"/>
  <c r="F749" i="4"/>
  <c r="E749" i="4"/>
  <c r="C749" i="4"/>
  <c r="F748" i="4"/>
  <c r="E748" i="4"/>
  <c r="C748" i="4"/>
  <c r="F747" i="4"/>
  <c r="E747" i="4"/>
  <c r="C747" i="4"/>
  <c r="F746" i="4"/>
  <c r="E746" i="4"/>
  <c r="C746" i="4"/>
  <c r="F745" i="4"/>
  <c r="E745" i="4"/>
  <c r="C745" i="4"/>
  <c r="F744" i="4"/>
  <c r="E744" i="4"/>
  <c r="C744" i="4"/>
  <c r="F743" i="4"/>
  <c r="E743" i="4"/>
  <c r="C743" i="4"/>
  <c r="F742" i="4"/>
  <c r="E742" i="4"/>
  <c r="C742" i="4"/>
  <c r="F741" i="4"/>
  <c r="E741" i="4"/>
  <c r="C741" i="4"/>
  <c r="F740" i="4"/>
  <c r="E740" i="4"/>
  <c r="C740" i="4"/>
  <c r="F739" i="4"/>
  <c r="E739" i="4"/>
  <c r="C739" i="4"/>
  <c r="F738" i="4"/>
  <c r="E738" i="4"/>
  <c r="C738" i="4"/>
  <c r="F737" i="4"/>
  <c r="E737" i="4"/>
  <c r="C737" i="4"/>
  <c r="F736" i="4"/>
  <c r="E736" i="4"/>
  <c r="C736" i="4"/>
  <c r="F735" i="4"/>
  <c r="E735" i="4"/>
  <c r="C735" i="4"/>
  <c r="F734" i="4"/>
  <c r="E734" i="4"/>
  <c r="C734" i="4"/>
  <c r="F733" i="4"/>
  <c r="E733" i="4"/>
  <c r="C733" i="4"/>
  <c r="F732" i="4"/>
  <c r="E732" i="4"/>
  <c r="C732" i="4"/>
  <c r="F731" i="4"/>
  <c r="E731" i="4"/>
  <c r="C731" i="4"/>
  <c r="F730" i="4"/>
  <c r="E730" i="4"/>
  <c r="C730" i="4"/>
  <c r="F729" i="4"/>
  <c r="E729" i="4"/>
  <c r="C729" i="4"/>
  <c r="F728" i="4"/>
  <c r="E728" i="4"/>
  <c r="C728" i="4"/>
  <c r="F727" i="4"/>
  <c r="E727" i="4"/>
  <c r="C727" i="4"/>
  <c r="F726" i="4"/>
  <c r="E726" i="4"/>
  <c r="C726" i="4"/>
  <c r="F725" i="4"/>
  <c r="E725" i="4"/>
  <c r="C725" i="4"/>
  <c r="F724" i="4"/>
  <c r="E724" i="4"/>
  <c r="C724" i="4"/>
  <c r="F723" i="4"/>
  <c r="E723" i="4"/>
  <c r="C723" i="4"/>
  <c r="F722" i="4"/>
  <c r="E722" i="4"/>
  <c r="C722" i="4"/>
  <c r="F721" i="4"/>
  <c r="E721" i="4"/>
  <c r="C721" i="4"/>
  <c r="F720" i="4"/>
  <c r="E720" i="4"/>
  <c r="C720" i="4"/>
  <c r="F719" i="4"/>
  <c r="E719" i="4"/>
  <c r="C719" i="4"/>
  <c r="F718" i="4"/>
  <c r="E718" i="4"/>
  <c r="C718" i="4"/>
  <c r="F717" i="4"/>
  <c r="E717" i="4"/>
  <c r="C717" i="4"/>
  <c r="F716" i="4"/>
  <c r="E716" i="4"/>
  <c r="C716" i="4"/>
  <c r="F715" i="4"/>
  <c r="E715" i="4"/>
  <c r="C715" i="4"/>
  <c r="F714" i="4"/>
  <c r="E714" i="4"/>
  <c r="C714" i="4"/>
  <c r="F713" i="4"/>
  <c r="E713" i="4"/>
  <c r="C713" i="4"/>
  <c r="F712" i="4"/>
  <c r="E712" i="4"/>
  <c r="C712" i="4"/>
  <c r="F711" i="4"/>
  <c r="E711" i="4"/>
  <c r="C711" i="4"/>
  <c r="F710" i="4"/>
  <c r="E710" i="4"/>
  <c r="C710" i="4"/>
  <c r="F709" i="4"/>
  <c r="E709" i="4"/>
  <c r="C709" i="4"/>
  <c r="F708" i="4"/>
  <c r="E708" i="4"/>
  <c r="C708" i="4"/>
  <c r="F707" i="4"/>
  <c r="E707" i="4"/>
  <c r="C707" i="4"/>
  <c r="F706" i="4"/>
  <c r="E706" i="4"/>
  <c r="C706" i="4"/>
  <c r="F705" i="4"/>
  <c r="E705" i="4"/>
  <c r="C705" i="4"/>
  <c r="F704" i="4"/>
  <c r="E704" i="4"/>
  <c r="C704" i="4"/>
  <c r="F703" i="4"/>
  <c r="E703" i="4"/>
  <c r="C703" i="4"/>
  <c r="F702" i="4"/>
  <c r="E702" i="4"/>
  <c r="C702" i="4"/>
  <c r="F701" i="4"/>
  <c r="E701" i="4"/>
  <c r="C701" i="4"/>
  <c r="F700" i="4"/>
  <c r="E700" i="4"/>
  <c r="C700" i="4"/>
  <c r="F699" i="4"/>
  <c r="E699" i="4"/>
  <c r="C699" i="4"/>
  <c r="F698" i="4"/>
  <c r="E698" i="4"/>
  <c r="C698" i="4"/>
  <c r="F697" i="4"/>
  <c r="E697" i="4"/>
  <c r="C697" i="4"/>
  <c r="F696" i="4"/>
  <c r="E696" i="4"/>
  <c r="C696" i="4"/>
  <c r="F695" i="4"/>
  <c r="E695" i="4"/>
  <c r="C695" i="4"/>
  <c r="F694" i="4"/>
  <c r="E694" i="4"/>
  <c r="C694" i="4"/>
  <c r="F693" i="4"/>
  <c r="E693" i="4"/>
  <c r="C693" i="4"/>
  <c r="F692" i="4"/>
  <c r="E692" i="4"/>
  <c r="C692" i="4"/>
  <c r="F691" i="4"/>
  <c r="E691" i="4"/>
  <c r="C691" i="4"/>
  <c r="F690" i="4"/>
  <c r="E690" i="4"/>
  <c r="C690" i="4"/>
  <c r="F689" i="4"/>
  <c r="E689" i="4"/>
  <c r="C689" i="4"/>
  <c r="F688" i="4"/>
  <c r="E688" i="4"/>
  <c r="C688" i="4"/>
  <c r="F687" i="4"/>
  <c r="E687" i="4"/>
  <c r="C687" i="4"/>
  <c r="F686" i="4"/>
  <c r="E686" i="4"/>
  <c r="C686" i="4"/>
  <c r="F685" i="4"/>
  <c r="E685" i="4"/>
  <c r="C685" i="4"/>
  <c r="F684" i="4"/>
  <c r="E684" i="4"/>
  <c r="C684" i="4"/>
  <c r="F683" i="4"/>
  <c r="E683" i="4"/>
  <c r="C683" i="4"/>
  <c r="F682" i="4"/>
  <c r="E682" i="4"/>
  <c r="C682" i="4"/>
  <c r="F681" i="4"/>
  <c r="E681" i="4"/>
  <c r="C681" i="4"/>
  <c r="F680" i="4"/>
  <c r="E680" i="4"/>
  <c r="C680" i="4"/>
  <c r="F679" i="4"/>
  <c r="E679" i="4"/>
  <c r="C679" i="4"/>
  <c r="F678" i="4"/>
  <c r="E678" i="4"/>
  <c r="C678" i="4"/>
  <c r="F677" i="4"/>
  <c r="E677" i="4"/>
  <c r="C677" i="4"/>
  <c r="F676" i="4"/>
  <c r="E676" i="4"/>
  <c r="C676" i="4"/>
  <c r="F675" i="4"/>
  <c r="E675" i="4"/>
  <c r="C675" i="4"/>
  <c r="F674" i="4"/>
  <c r="E674" i="4"/>
  <c r="C674" i="4"/>
  <c r="F673" i="4"/>
  <c r="E673" i="4"/>
  <c r="C673" i="4"/>
  <c r="F672" i="4"/>
  <c r="E672" i="4"/>
  <c r="C672" i="4"/>
  <c r="F671" i="4"/>
  <c r="E671" i="4"/>
  <c r="C671" i="4"/>
  <c r="F670" i="4"/>
  <c r="E670" i="4"/>
  <c r="C670" i="4"/>
  <c r="F669" i="4"/>
  <c r="E669" i="4"/>
  <c r="C669" i="4"/>
  <c r="F668" i="4"/>
  <c r="E668" i="4"/>
  <c r="C668" i="4"/>
  <c r="F667" i="4"/>
  <c r="E667" i="4"/>
  <c r="C667" i="4"/>
  <c r="F666" i="4"/>
  <c r="E666" i="4"/>
  <c r="C666" i="4"/>
  <c r="F665" i="4"/>
  <c r="E665" i="4"/>
  <c r="C665" i="4"/>
  <c r="F664" i="4"/>
  <c r="E664" i="4"/>
  <c r="C664" i="4"/>
  <c r="F663" i="4"/>
  <c r="E663" i="4"/>
  <c r="C663" i="4"/>
  <c r="F662" i="4"/>
  <c r="E662" i="4"/>
  <c r="C662" i="4"/>
  <c r="F661" i="4"/>
  <c r="E661" i="4"/>
  <c r="C661" i="4"/>
  <c r="F660" i="4"/>
  <c r="E660" i="4"/>
  <c r="C660" i="4"/>
  <c r="F659" i="4"/>
  <c r="E659" i="4"/>
  <c r="C659" i="4"/>
  <c r="F658" i="4"/>
  <c r="E658" i="4"/>
  <c r="C658" i="4"/>
  <c r="F657" i="4"/>
  <c r="E657" i="4"/>
  <c r="C657" i="4"/>
  <c r="F656" i="4"/>
  <c r="E656" i="4"/>
  <c r="C656" i="4"/>
  <c r="F655" i="4"/>
  <c r="E655" i="4"/>
  <c r="C655" i="4"/>
  <c r="F654" i="4"/>
  <c r="E654" i="4"/>
  <c r="C654" i="4"/>
  <c r="F653" i="4"/>
  <c r="E653" i="4"/>
  <c r="C653" i="4"/>
  <c r="F652" i="4"/>
  <c r="E652" i="4"/>
  <c r="C652" i="4"/>
  <c r="F651" i="4"/>
  <c r="E651" i="4"/>
  <c r="C651" i="4"/>
  <c r="F650" i="4"/>
  <c r="E650" i="4"/>
  <c r="C650" i="4"/>
  <c r="F649" i="4"/>
  <c r="E649" i="4"/>
  <c r="C649" i="4"/>
  <c r="F648" i="4"/>
  <c r="E648" i="4"/>
  <c r="C648" i="4"/>
  <c r="F647" i="4"/>
  <c r="E647" i="4"/>
  <c r="C647" i="4"/>
  <c r="F646" i="4"/>
  <c r="E646" i="4"/>
  <c r="C646" i="4"/>
  <c r="F645" i="4"/>
  <c r="E645" i="4"/>
  <c r="C645" i="4"/>
  <c r="F644" i="4"/>
  <c r="E644" i="4"/>
  <c r="C644" i="4"/>
  <c r="F643" i="4"/>
  <c r="E643" i="4"/>
  <c r="C643" i="4"/>
  <c r="F642" i="4"/>
  <c r="E642" i="4"/>
  <c r="C642" i="4"/>
  <c r="F641" i="4"/>
  <c r="E641" i="4"/>
  <c r="C641" i="4"/>
  <c r="F640" i="4"/>
  <c r="E640" i="4"/>
  <c r="C640" i="4"/>
  <c r="F639" i="4"/>
  <c r="E639" i="4"/>
  <c r="C639" i="4"/>
  <c r="F638" i="4"/>
  <c r="E638" i="4"/>
  <c r="C638" i="4"/>
  <c r="F637" i="4"/>
  <c r="E637" i="4"/>
  <c r="C637" i="4"/>
  <c r="F636" i="4"/>
  <c r="E636" i="4"/>
  <c r="C636" i="4"/>
  <c r="F635" i="4"/>
  <c r="E635" i="4"/>
  <c r="C635" i="4"/>
  <c r="F634" i="4"/>
  <c r="E634" i="4"/>
  <c r="C634" i="4"/>
  <c r="F633" i="4"/>
  <c r="E633" i="4"/>
  <c r="C633" i="4"/>
  <c r="F632" i="4"/>
  <c r="E632" i="4"/>
  <c r="C632" i="4"/>
  <c r="F631" i="4"/>
  <c r="E631" i="4"/>
  <c r="C631" i="4"/>
  <c r="F630" i="4"/>
  <c r="E630" i="4"/>
  <c r="C630" i="4"/>
  <c r="F629" i="4"/>
  <c r="E629" i="4"/>
  <c r="C629" i="4"/>
  <c r="F628" i="4"/>
  <c r="E628" i="4"/>
  <c r="C628" i="4"/>
  <c r="F627" i="4"/>
  <c r="E627" i="4"/>
  <c r="C627" i="4"/>
  <c r="F626" i="4"/>
  <c r="E626" i="4"/>
  <c r="C626" i="4"/>
  <c r="F625" i="4"/>
  <c r="E625" i="4"/>
  <c r="C625" i="4"/>
  <c r="F624" i="4"/>
  <c r="E624" i="4"/>
  <c r="C624" i="4"/>
  <c r="F623" i="4"/>
  <c r="E623" i="4"/>
  <c r="C623" i="4"/>
  <c r="F622" i="4"/>
  <c r="E622" i="4"/>
  <c r="C622" i="4"/>
  <c r="F621" i="4"/>
  <c r="E621" i="4"/>
  <c r="C621" i="4"/>
  <c r="F620" i="4"/>
  <c r="E620" i="4"/>
  <c r="C620" i="4"/>
  <c r="F619" i="4"/>
  <c r="E619" i="4"/>
  <c r="C619" i="4"/>
  <c r="F618" i="4"/>
  <c r="E618" i="4"/>
  <c r="C618" i="4"/>
  <c r="F617" i="4"/>
  <c r="E617" i="4"/>
  <c r="C617" i="4"/>
  <c r="F616" i="4"/>
  <c r="E616" i="4"/>
  <c r="C616" i="4"/>
  <c r="F615" i="4"/>
  <c r="E615" i="4"/>
  <c r="C615" i="4"/>
  <c r="F614" i="4"/>
  <c r="E614" i="4"/>
  <c r="C614" i="4"/>
  <c r="F613" i="4"/>
  <c r="E613" i="4"/>
  <c r="C613" i="4"/>
  <c r="F612" i="4"/>
  <c r="E612" i="4"/>
  <c r="C612" i="4"/>
  <c r="F611" i="4"/>
  <c r="E611" i="4"/>
  <c r="C611" i="4"/>
  <c r="F610" i="4"/>
  <c r="E610" i="4"/>
  <c r="C610" i="4"/>
  <c r="F609" i="4"/>
  <c r="E609" i="4"/>
  <c r="C609" i="4"/>
  <c r="F608" i="4"/>
  <c r="E608" i="4"/>
  <c r="C608" i="4"/>
  <c r="F607" i="4"/>
  <c r="E607" i="4"/>
  <c r="C607" i="4"/>
  <c r="F606" i="4"/>
  <c r="E606" i="4"/>
  <c r="C606" i="4"/>
  <c r="F605" i="4"/>
  <c r="E605" i="4"/>
  <c r="C605" i="4"/>
  <c r="F604" i="4"/>
  <c r="E604" i="4"/>
  <c r="C604" i="4"/>
  <c r="F603" i="4"/>
  <c r="E603" i="4"/>
  <c r="C603" i="4"/>
  <c r="F602" i="4"/>
  <c r="E602" i="4"/>
  <c r="C602" i="4"/>
  <c r="F601" i="4"/>
  <c r="E601" i="4"/>
  <c r="C601" i="4"/>
  <c r="F600" i="4"/>
  <c r="E600" i="4"/>
  <c r="C600" i="4"/>
  <c r="F599" i="4"/>
  <c r="E599" i="4"/>
  <c r="C599" i="4"/>
  <c r="F598" i="4"/>
  <c r="E598" i="4"/>
  <c r="C598" i="4"/>
  <c r="F597" i="4"/>
  <c r="E597" i="4"/>
  <c r="C597" i="4"/>
  <c r="F596" i="4"/>
  <c r="E596" i="4"/>
  <c r="C596" i="4"/>
  <c r="F595" i="4"/>
  <c r="E595" i="4"/>
  <c r="C595" i="4"/>
  <c r="F594" i="4"/>
  <c r="E594" i="4"/>
  <c r="C594" i="4"/>
  <c r="F593" i="4"/>
  <c r="E593" i="4"/>
  <c r="C593" i="4"/>
  <c r="F592" i="4"/>
  <c r="E592" i="4"/>
  <c r="C592" i="4"/>
  <c r="F591" i="4"/>
  <c r="E591" i="4"/>
  <c r="C591" i="4"/>
  <c r="F590" i="4"/>
  <c r="E590" i="4"/>
  <c r="C590" i="4"/>
  <c r="F589" i="4"/>
  <c r="E589" i="4"/>
  <c r="C589" i="4"/>
  <c r="F588" i="4"/>
  <c r="E588" i="4"/>
  <c r="C588" i="4"/>
  <c r="F587" i="4"/>
  <c r="E587" i="4"/>
  <c r="C587" i="4"/>
  <c r="F586" i="4"/>
  <c r="E586" i="4"/>
  <c r="C586" i="4"/>
  <c r="F585" i="4"/>
  <c r="E585" i="4"/>
  <c r="C585" i="4"/>
  <c r="F584" i="4"/>
  <c r="E584" i="4"/>
  <c r="C584" i="4"/>
  <c r="F583" i="4"/>
  <c r="E583" i="4"/>
  <c r="C583" i="4"/>
  <c r="F582" i="4"/>
  <c r="E582" i="4"/>
  <c r="C582" i="4"/>
  <c r="F581" i="4"/>
  <c r="E581" i="4"/>
  <c r="C581" i="4"/>
  <c r="F580" i="4"/>
  <c r="E580" i="4"/>
  <c r="C580" i="4"/>
  <c r="F579" i="4"/>
  <c r="E579" i="4"/>
  <c r="C579" i="4"/>
  <c r="F578" i="4"/>
  <c r="E578" i="4"/>
  <c r="C578" i="4"/>
  <c r="F577" i="4"/>
  <c r="E577" i="4"/>
  <c r="C577" i="4"/>
  <c r="F576" i="4"/>
  <c r="E576" i="4"/>
  <c r="C576" i="4"/>
  <c r="F575" i="4"/>
  <c r="E575" i="4"/>
  <c r="C575" i="4"/>
  <c r="F574" i="4"/>
  <c r="E574" i="4"/>
  <c r="C574" i="4"/>
  <c r="F573" i="4"/>
  <c r="E573" i="4"/>
  <c r="C573" i="4"/>
  <c r="F572" i="4"/>
  <c r="E572" i="4"/>
  <c r="C572" i="4"/>
  <c r="F571" i="4"/>
  <c r="E571" i="4"/>
  <c r="C571" i="4"/>
  <c r="F570" i="4"/>
  <c r="E570" i="4"/>
  <c r="C570" i="4"/>
  <c r="F569" i="4"/>
  <c r="E569" i="4"/>
  <c r="C569" i="4"/>
  <c r="F568" i="4"/>
  <c r="E568" i="4"/>
  <c r="C568" i="4"/>
  <c r="F567" i="4"/>
  <c r="E567" i="4"/>
  <c r="C567" i="4"/>
  <c r="F566" i="4"/>
  <c r="E566" i="4"/>
  <c r="C566" i="4"/>
  <c r="F565" i="4"/>
  <c r="E565" i="4"/>
  <c r="C565" i="4"/>
  <c r="F564" i="4"/>
  <c r="E564" i="4"/>
  <c r="C564" i="4"/>
  <c r="F563" i="4"/>
  <c r="E563" i="4"/>
  <c r="C563" i="4"/>
  <c r="F562" i="4"/>
  <c r="E562" i="4"/>
  <c r="C562" i="4"/>
  <c r="F561" i="4"/>
  <c r="E561" i="4"/>
  <c r="C561" i="4"/>
  <c r="F560" i="4"/>
  <c r="E560" i="4"/>
  <c r="C560" i="4"/>
  <c r="F559" i="4"/>
  <c r="E559" i="4"/>
  <c r="C559" i="4"/>
  <c r="F558" i="4"/>
  <c r="E558" i="4"/>
  <c r="C558" i="4"/>
  <c r="F557" i="4"/>
  <c r="E557" i="4"/>
  <c r="C557" i="4"/>
  <c r="F556" i="4"/>
  <c r="E556" i="4"/>
  <c r="C556" i="4"/>
  <c r="F555" i="4"/>
  <c r="E555" i="4"/>
  <c r="C555" i="4"/>
  <c r="F554" i="4"/>
  <c r="E554" i="4"/>
  <c r="C554" i="4"/>
  <c r="F553" i="4"/>
  <c r="E553" i="4"/>
  <c r="C553" i="4"/>
  <c r="F552" i="4"/>
  <c r="E552" i="4"/>
  <c r="C552" i="4"/>
  <c r="F551" i="4"/>
  <c r="E551" i="4"/>
  <c r="C551" i="4"/>
  <c r="F550" i="4"/>
  <c r="E550" i="4"/>
  <c r="C550" i="4"/>
  <c r="F549" i="4"/>
  <c r="E549" i="4"/>
  <c r="C549" i="4"/>
  <c r="F548" i="4"/>
  <c r="E548" i="4"/>
  <c r="C548" i="4"/>
  <c r="F547" i="4"/>
  <c r="E547" i="4"/>
  <c r="C547" i="4"/>
  <c r="F546" i="4"/>
  <c r="E546" i="4"/>
  <c r="C546" i="4"/>
  <c r="F545" i="4"/>
  <c r="E545" i="4"/>
  <c r="C545" i="4"/>
  <c r="F544" i="4"/>
  <c r="E544" i="4"/>
  <c r="C544" i="4"/>
  <c r="F543" i="4"/>
  <c r="E543" i="4"/>
  <c r="C543" i="4"/>
  <c r="F542" i="4"/>
  <c r="E542" i="4"/>
  <c r="C542" i="4"/>
  <c r="F541" i="4"/>
  <c r="E541" i="4"/>
  <c r="C541" i="4"/>
  <c r="F540" i="4"/>
  <c r="E540" i="4"/>
  <c r="C540" i="4"/>
  <c r="F539" i="4"/>
  <c r="E539" i="4"/>
  <c r="C539" i="4"/>
  <c r="F538" i="4"/>
  <c r="E538" i="4"/>
  <c r="C538" i="4"/>
  <c r="F537" i="4"/>
  <c r="E537" i="4"/>
  <c r="C537" i="4"/>
  <c r="F536" i="4"/>
  <c r="E536" i="4"/>
  <c r="C536" i="4"/>
  <c r="F535" i="4"/>
  <c r="E535" i="4"/>
  <c r="C535" i="4"/>
  <c r="F534" i="4"/>
  <c r="E534" i="4"/>
  <c r="C534" i="4"/>
  <c r="F533" i="4"/>
  <c r="E533" i="4"/>
  <c r="C533" i="4"/>
  <c r="F532" i="4"/>
  <c r="E532" i="4"/>
  <c r="C532" i="4"/>
  <c r="F531" i="4"/>
  <c r="E531" i="4"/>
  <c r="C531" i="4"/>
  <c r="F530" i="4"/>
  <c r="E530" i="4"/>
  <c r="C530" i="4"/>
  <c r="F529" i="4"/>
  <c r="E529" i="4"/>
  <c r="C529" i="4"/>
  <c r="F528" i="4"/>
  <c r="E528" i="4"/>
  <c r="C528" i="4"/>
  <c r="F527" i="4"/>
  <c r="E527" i="4"/>
  <c r="C527" i="4"/>
  <c r="F526" i="4"/>
  <c r="E526" i="4"/>
  <c r="C526" i="4"/>
  <c r="F525" i="4"/>
  <c r="E525" i="4"/>
  <c r="C525" i="4"/>
  <c r="F524" i="4"/>
  <c r="E524" i="4"/>
  <c r="C524" i="4"/>
  <c r="F523" i="4"/>
  <c r="E523" i="4"/>
  <c r="C523" i="4"/>
  <c r="F1196" i="2"/>
  <c r="E1196" i="2"/>
  <c r="F1195" i="2"/>
  <c r="E1195" i="2"/>
  <c r="F1194" i="2"/>
  <c r="E1194" i="2"/>
  <c r="F1193" i="2"/>
  <c r="E1193" i="2"/>
  <c r="F1192" i="2"/>
  <c r="E1192" i="2"/>
  <c r="F1191" i="2"/>
  <c r="E1191" i="2"/>
  <c r="F1190" i="2"/>
  <c r="E1190" i="2"/>
  <c r="F1189" i="2"/>
  <c r="E1189" i="2"/>
  <c r="F1188" i="2"/>
  <c r="E1188" i="2"/>
  <c r="F1187" i="2"/>
  <c r="E1187" i="2"/>
  <c r="F1186" i="2"/>
  <c r="E1186" i="2"/>
  <c r="F1185" i="2"/>
  <c r="E1185" i="2"/>
  <c r="F1184" i="2"/>
  <c r="E1184" i="2"/>
  <c r="F1183" i="2"/>
  <c r="E1183" i="2"/>
  <c r="F1182" i="2"/>
  <c r="E1182" i="2"/>
  <c r="F1181" i="2"/>
  <c r="E1181" i="2"/>
  <c r="F1180" i="2"/>
  <c r="E1180" i="2"/>
  <c r="F1179" i="2"/>
  <c r="E1179" i="2"/>
  <c r="F1178" i="2"/>
  <c r="E1178" i="2"/>
  <c r="F1177" i="2"/>
  <c r="E1177" i="2"/>
  <c r="F1176" i="2"/>
  <c r="E1176" i="2"/>
  <c r="F1175" i="2"/>
  <c r="E1175" i="2"/>
  <c r="F1174" i="2"/>
  <c r="E1174" i="2"/>
  <c r="F1173" i="2"/>
  <c r="E1173" i="2"/>
  <c r="F1172" i="2"/>
  <c r="E1172" i="2"/>
  <c r="F1171" i="2"/>
  <c r="E1171" i="2"/>
  <c r="F1170" i="2"/>
  <c r="E1170" i="2"/>
  <c r="F1169" i="2"/>
  <c r="E1169" i="2"/>
  <c r="F1168" i="2"/>
  <c r="E1168" i="2"/>
  <c r="F1167" i="2"/>
  <c r="E1167" i="2"/>
  <c r="F1166" i="2"/>
  <c r="E1166" i="2"/>
  <c r="F1165" i="2"/>
  <c r="E1165" i="2"/>
  <c r="F1164" i="2"/>
  <c r="E1164" i="2"/>
  <c r="F1163" i="2"/>
  <c r="E1163" i="2"/>
  <c r="F1162" i="2"/>
  <c r="E1162" i="2"/>
  <c r="F1161" i="2"/>
  <c r="E1161" i="2"/>
  <c r="F1160" i="2"/>
  <c r="E1160" i="2"/>
  <c r="F1159" i="2"/>
  <c r="E1159" i="2"/>
  <c r="F1158" i="2"/>
  <c r="E1158" i="2"/>
  <c r="F1157" i="2"/>
  <c r="E1157" i="2"/>
  <c r="F1156" i="2"/>
  <c r="E1156" i="2"/>
  <c r="F1155" i="2"/>
  <c r="E1155" i="2"/>
  <c r="F1154" i="2"/>
  <c r="E1154" i="2"/>
  <c r="F1153" i="2"/>
  <c r="E1153" i="2"/>
  <c r="F1152" i="2"/>
  <c r="E1152" i="2"/>
  <c r="F1151" i="2"/>
  <c r="E1151" i="2"/>
  <c r="F1150" i="2"/>
  <c r="E1150" i="2"/>
  <c r="F1149" i="2"/>
  <c r="E1149" i="2"/>
  <c r="F1148" i="2"/>
  <c r="E1148" i="2"/>
  <c r="F1147" i="2"/>
  <c r="E1147" i="2"/>
  <c r="F1146" i="2"/>
  <c r="E1146" i="2"/>
  <c r="F1145" i="2"/>
  <c r="E1145" i="2"/>
  <c r="F1144" i="2"/>
  <c r="E1144" i="2"/>
  <c r="F1143" i="2"/>
  <c r="E1143" i="2"/>
  <c r="F1142" i="2"/>
  <c r="E1142" i="2"/>
  <c r="F1141" i="2"/>
  <c r="E1141" i="2"/>
  <c r="F1140" i="2"/>
  <c r="E1140" i="2"/>
  <c r="F1139" i="2"/>
  <c r="E1139" i="2"/>
  <c r="F1138" i="2"/>
  <c r="E1138" i="2"/>
  <c r="F1137" i="2"/>
  <c r="E1137" i="2"/>
  <c r="F1136" i="2"/>
  <c r="E1136" i="2"/>
  <c r="F1135" i="2"/>
  <c r="E1135" i="2"/>
  <c r="F1134" i="2"/>
  <c r="E1134" i="2"/>
  <c r="F1133" i="2"/>
  <c r="E1133" i="2"/>
  <c r="F1132" i="2"/>
  <c r="E1132" i="2"/>
  <c r="F1131" i="2"/>
  <c r="E1131" i="2"/>
  <c r="F1130" i="2"/>
  <c r="E1130" i="2"/>
  <c r="F1129" i="2"/>
  <c r="E1129" i="2"/>
  <c r="F1128" i="2"/>
  <c r="E1128" i="2"/>
  <c r="F1127" i="2"/>
  <c r="E1127" i="2"/>
  <c r="F1126" i="2"/>
  <c r="E1126" i="2"/>
  <c r="F1125" i="2"/>
  <c r="E1125" i="2"/>
  <c r="F1124" i="2"/>
  <c r="E1124" i="2"/>
  <c r="F1123" i="2"/>
  <c r="E1123" i="2"/>
  <c r="F1122" i="2"/>
  <c r="E1122" i="2"/>
  <c r="F1121" i="2"/>
  <c r="E1121" i="2"/>
  <c r="F1120" i="2"/>
  <c r="E1120" i="2"/>
  <c r="F1119" i="2"/>
  <c r="E1119" i="2"/>
  <c r="F1118" i="2"/>
  <c r="E1118" i="2"/>
  <c r="F1117" i="2"/>
  <c r="E1117" i="2"/>
  <c r="F1116" i="2"/>
  <c r="E1116" i="2"/>
  <c r="F1115" i="2"/>
  <c r="E1115" i="2"/>
  <c r="F1114" i="2"/>
  <c r="E1114" i="2"/>
  <c r="F1113" i="2"/>
  <c r="E1113" i="2"/>
  <c r="F1112" i="2"/>
  <c r="E1112" i="2"/>
  <c r="F1111" i="2"/>
  <c r="E1111" i="2"/>
  <c r="F1110" i="2"/>
  <c r="E1110" i="2"/>
  <c r="F1109" i="2"/>
  <c r="E1109" i="2"/>
  <c r="F1108" i="2"/>
  <c r="E1108" i="2"/>
  <c r="F1107" i="2"/>
  <c r="E1107" i="2"/>
  <c r="F1106" i="2"/>
  <c r="E1106" i="2"/>
  <c r="F1105" i="2"/>
  <c r="E1105" i="2"/>
  <c r="F1104" i="2"/>
  <c r="E1104" i="2"/>
  <c r="F1103" i="2"/>
  <c r="E1103" i="2"/>
  <c r="F1102" i="2"/>
  <c r="E1102" i="2"/>
  <c r="F1101" i="2"/>
  <c r="E1101" i="2"/>
  <c r="F1100" i="2"/>
  <c r="E1100" i="2"/>
  <c r="F1099" i="2"/>
  <c r="E1099" i="2"/>
  <c r="F1098" i="2"/>
  <c r="E1098" i="2"/>
  <c r="F1097" i="2"/>
  <c r="E1097" i="2"/>
  <c r="F1096" i="2"/>
  <c r="E1096" i="2"/>
  <c r="F1095" i="2"/>
  <c r="E1095" i="2"/>
  <c r="F1094" i="2"/>
  <c r="E1094" i="2"/>
  <c r="F1093" i="2"/>
  <c r="E1093" i="2"/>
  <c r="F1092" i="2"/>
  <c r="E1092" i="2"/>
  <c r="F1091" i="2"/>
  <c r="E1091" i="2"/>
  <c r="F1090" i="2"/>
  <c r="E1090" i="2"/>
  <c r="F1089" i="2"/>
  <c r="E1089" i="2"/>
  <c r="F1088" i="2"/>
  <c r="E1088" i="2"/>
  <c r="F1087" i="2"/>
  <c r="E1087" i="2"/>
  <c r="F1086" i="2"/>
  <c r="E1086" i="2"/>
  <c r="F1085" i="2"/>
  <c r="E1085" i="2"/>
  <c r="F1084" i="2"/>
  <c r="E1084" i="2"/>
  <c r="F1083" i="2"/>
  <c r="E1083" i="2"/>
  <c r="F1082" i="2"/>
  <c r="E1082" i="2"/>
  <c r="F1081" i="2"/>
  <c r="E1081" i="2"/>
  <c r="F1080" i="2"/>
  <c r="E1080" i="2"/>
  <c r="F1079" i="2"/>
  <c r="E1079" i="2"/>
  <c r="F1078" i="2"/>
  <c r="E1078" i="2"/>
  <c r="F1077" i="2"/>
  <c r="E1077" i="2"/>
  <c r="F1076" i="2"/>
  <c r="E1076" i="2"/>
  <c r="F1075" i="2"/>
  <c r="E1075" i="2"/>
  <c r="F1074" i="2"/>
  <c r="E1074" i="2"/>
  <c r="F1073" i="2"/>
  <c r="E1073" i="2"/>
  <c r="F1072" i="2"/>
  <c r="E1072" i="2"/>
  <c r="F1071" i="2"/>
  <c r="E1071" i="2"/>
  <c r="F1070" i="2"/>
  <c r="E1070" i="2"/>
  <c r="F1069" i="2"/>
  <c r="E1069" i="2"/>
  <c r="F1068" i="2"/>
  <c r="E1068" i="2"/>
  <c r="F1067" i="2"/>
  <c r="E1067" i="2"/>
  <c r="F1066" i="2"/>
  <c r="E1066" i="2"/>
  <c r="F1065" i="2"/>
  <c r="E1065" i="2"/>
  <c r="F1064" i="2"/>
  <c r="E1064" i="2"/>
  <c r="F1063" i="2"/>
  <c r="E1063" i="2"/>
  <c r="F1062" i="2"/>
  <c r="E1062" i="2"/>
  <c r="F1061" i="2"/>
  <c r="E1061" i="2"/>
  <c r="F1060" i="2"/>
  <c r="E1060" i="2"/>
  <c r="F1059" i="2"/>
  <c r="E1059" i="2"/>
  <c r="F1058" i="2"/>
  <c r="E1058" i="2"/>
  <c r="F1057" i="2"/>
  <c r="E1057" i="2"/>
  <c r="F1056" i="2"/>
  <c r="E1056" i="2"/>
  <c r="F1055" i="2"/>
  <c r="E1055" i="2"/>
  <c r="F1054" i="2"/>
  <c r="E1054" i="2"/>
  <c r="F1053" i="2"/>
  <c r="E1053" i="2"/>
  <c r="F1052" i="2"/>
  <c r="E1052" i="2"/>
  <c r="F1051" i="2"/>
  <c r="E1051" i="2"/>
  <c r="F1050" i="2"/>
  <c r="E1050" i="2"/>
  <c r="F1049" i="2"/>
  <c r="E1049" i="2"/>
  <c r="F1048" i="2"/>
  <c r="E1048" i="2"/>
  <c r="F1047" i="2"/>
  <c r="E1047" i="2"/>
  <c r="F1046" i="2"/>
  <c r="E1046" i="2"/>
  <c r="F1045" i="2"/>
  <c r="E1045" i="2"/>
  <c r="F1044" i="2"/>
  <c r="E1044" i="2"/>
  <c r="F1043" i="2"/>
  <c r="E1043" i="2"/>
  <c r="F1042" i="2"/>
  <c r="E1042" i="2"/>
  <c r="F1041" i="2"/>
  <c r="E1041" i="2"/>
  <c r="F1040" i="2"/>
  <c r="E1040" i="2"/>
  <c r="F1039" i="2"/>
  <c r="E1039" i="2"/>
  <c r="F1038" i="2"/>
  <c r="E1038" i="2"/>
  <c r="F1037" i="2"/>
  <c r="E1037" i="2"/>
  <c r="F1036" i="2"/>
  <c r="E1036" i="2"/>
  <c r="F1035" i="2"/>
  <c r="E1035" i="2"/>
  <c r="F1034" i="2"/>
  <c r="E1034" i="2"/>
  <c r="F1033" i="2"/>
  <c r="E1033" i="2"/>
  <c r="F1032" i="2"/>
  <c r="E1032" i="2"/>
  <c r="F1031" i="2"/>
  <c r="E1031" i="2"/>
  <c r="F1030" i="2"/>
  <c r="E1030" i="2"/>
  <c r="F1029" i="2"/>
  <c r="E1029" i="2"/>
  <c r="F1028" i="2"/>
  <c r="E1028" i="2"/>
  <c r="F1027" i="2"/>
  <c r="E1027" i="2"/>
  <c r="F1026" i="2"/>
  <c r="E1026" i="2"/>
  <c r="F1025" i="2"/>
  <c r="E1025" i="2"/>
  <c r="F1024" i="2"/>
  <c r="E1024" i="2"/>
  <c r="F1023" i="2"/>
  <c r="E1023" i="2"/>
  <c r="F1022" i="2"/>
  <c r="E1022" i="2"/>
  <c r="F1021" i="2"/>
  <c r="E1021" i="2"/>
  <c r="F1020" i="2"/>
  <c r="E1020" i="2"/>
  <c r="F1019" i="2"/>
  <c r="E1019" i="2"/>
  <c r="F1018" i="2"/>
  <c r="E1018" i="2"/>
  <c r="F1017" i="2"/>
  <c r="E1017" i="2"/>
  <c r="F1016" i="2"/>
  <c r="E1016" i="2"/>
  <c r="F1015" i="2"/>
  <c r="E1015" i="2"/>
  <c r="F1014" i="2"/>
  <c r="E1014" i="2"/>
  <c r="F1013" i="2"/>
  <c r="E1013" i="2"/>
  <c r="F992" i="2"/>
  <c r="E992" i="2"/>
  <c r="F991" i="2"/>
  <c r="E991" i="2"/>
  <c r="F990" i="2"/>
  <c r="E990" i="2"/>
  <c r="F989" i="2"/>
  <c r="E989" i="2"/>
  <c r="F988" i="2"/>
  <c r="E988" i="2"/>
  <c r="F987" i="2"/>
  <c r="E987" i="2"/>
  <c r="F986" i="2"/>
  <c r="E986" i="2"/>
  <c r="F985" i="2"/>
  <c r="E985" i="2"/>
  <c r="F984" i="2"/>
  <c r="E984" i="2"/>
  <c r="F983" i="2"/>
  <c r="E983" i="2"/>
  <c r="F982" i="2"/>
  <c r="E982" i="2"/>
  <c r="F981" i="2"/>
  <c r="E981" i="2"/>
  <c r="F980" i="2"/>
  <c r="E980" i="2"/>
  <c r="F979" i="2"/>
  <c r="E979" i="2"/>
  <c r="F978" i="2"/>
  <c r="E978" i="2"/>
  <c r="F977" i="2"/>
  <c r="E977" i="2"/>
  <c r="F976" i="2"/>
  <c r="E976" i="2"/>
  <c r="F975" i="2"/>
  <c r="E975" i="2"/>
  <c r="F974" i="2"/>
  <c r="E974" i="2"/>
  <c r="F973" i="2"/>
  <c r="E973" i="2"/>
  <c r="F972" i="2"/>
  <c r="E972" i="2"/>
  <c r="F971" i="2"/>
  <c r="E971" i="2"/>
  <c r="F970" i="2"/>
  <c r="E970" i="2"/>
  <c r="F969" i="2"/>
  <c r="E969" i="2"/>
  <c r="F968" i="2"/>
  <c r="E968" i="2"/>
  <c r="F967" i="2"/>
  <c r="E967" i="2"/>
  <c r="F966" i="2"/>
  <c r="E966" i="2"/>
  <c r="F965" i="2"/>
  <c r="E965" i="2"/>
  <c r="F964" i="2"/>
  <c r="E964" i="2"/>
  <c r="F963" i="2"/>
  <c r="E963" i="2"/>
  <c r="F962" i="2"/>
  <c r="E962" i="2"/>
  <c r="F961" i="2"/>
  <c r="E961" i="2"/>
  <c r="F960" i="2"/>
  <c r="E960" i="2"/>
  <c r="F959" i="2"/>
  <c r="E959" i="2"/>
  <c r="F958" i="2"/>
  <c r="E958" i="2"/>
  <c r="F957" i="2"/>
  <c r="E957" i="2"/>
  <c r="F956" i="2"/>
  <c r="E956" i="2"/>
  <c r="F955" i="2"/>
  <c r="E955" i="2"/>
  <c r="F954" i="2"/>
  <c r="E954" i="2"/>
  <c r="F953" i="2"/>
  <c r="E953" i="2"/>
  <c r="F952" i="2"/>
  <c r="E952" i="2"/>
  <c r="F951" i="2"/>
  <c r="E951" i="2"/>
  <c r="F950" i="2"/>
  <c r="E950" i="2"/>
  <c r="F949" i="2"/>
  <c r="E949" i="2"/>
  <c r="F948" i="2"/>
  <c r="E948" i="2"/>
  <c r="F947" i="2"/>
  <c r="E947" i="2"/>
  <c r="F946" i="2"/>
  <c r="E946" i="2"/>
  <c r="F945" i="2"/>
  <c r="E945" i="2"/>
  <c r="F944" i="2"/>
  <c r="E944" i="2"/>
  <c r="F943" i="2"/>
  <c r="E943" i="2"/>
  <c r="F942" i="2"/>
  <c r="E942" i="2"/>
  <c r="F941" i="2"/>
  <c r="E941" i="2"/>
  <c r="F940" i="2"/>
  <c r="E940" i="2"/>
  <c r="F939" i="2"/>
  <c r="E939" i="2"/>
  <c r="F938" i="2"/>
  <c r="E938" i="2"/>
  <c r="F937" i="2"/>
  <c r="E937" i="2"/>
  <c r="F936" i="2"/>
  <c r="E936" i="2"/>
  <c r="F935" i="2"/>
  <c r="E935" i="2"/>
  <c r="F934" i="2"/>
  <c r="E934" i="2"/>
  <c r="F933" i="2"/>
  <c r="E933" i="2"/>
  <c r="F932" i="2"/>
  <c r="E932" i="2"/>
  <c r="F931" i="2"/>
  <c r="E931" i="2"/>
  <c r="F930" i="2"/>
  <c r="E930" i="2"/>
  <c r="F929" i="2"/>
  <c r="E929" i="2"/>
  <c r="F928" i="2"/>
  <c r="E928" i="2"/>
  <c r="F927" i="2"/>
  <c r="E927" i="2"/>
  <c r="F926" i="2"/>
  <c r="E926" i="2"/>
  <c r="F925" i="2"/>
  <c r="E925" i="2"/>
  <c r="F924" i="2"/>
  <c r="E924" i="2"/>
  <c r="F923" i="2"/>
  <c r="E923" i="2"/>
  <c r="F922" i="2"/>
  <c r="E922" i="2"/>
  <c r="F921" i="2"/>
  <c r="E921" i="2"/>
  <c r="F920" i="2"/>
  <c r="E920" i="2"/>
  <c r="F919" i="2"/>
  <c r="E919" i="2"/>
  <c r="F918" i="2"/>
  <c r="E918" i="2"/>
  <c r="F917" i="2"/>
  <c r="E917" i="2"/>
  <c r="F916" i="2"/>
  <c r="E916" i="2"/>
  <c r="F915" i="2"/>
  <c r="E915" i="2"/>
  <c r="F914" i="2"/>
  <c r="E914" i="2"/>
  <c r="F913" i="2"/>
  <c r="E913" i="2"/>
  <c r="F912" i="2"/>
  <c r="E912" i="2"/>
  <c r="F911" i="2"/>
  <c r="E911" i="2"/>
  <c r="F910" i="2"/>
  <c r="E910" i="2"/>
  <c r="F909" i="2"/>
  <c r="E909" i="2"/>
  <c r="F908" i="2"/>
  <c r="E908" i="2"/>
  <c r="F907" i="2"/>
  <c r="E907" i="2"/>
  <c r="F906" i="2"/>
  <c r="E906" i="2"/>
  <c r="F905" i="2"/>
  <c r="E905" i="2"/>
  <c r="F904" i="2"/>
  <c r="E904" i="2"/>
  <c r="F903" i="2"/>
  <c r="E903" i="2"/>
  <c r="F902" i="2"/>
  <c r="E902" i="2"/>
  <c r="F901" i="2"/>
  <c r="E901" i="2"/>
  <c r="F900" i="2"/>
  <c r="E900" i="2"/>
  <c r="F899" i="2"/>
  <c r="E899" i="2"/>
  <c r="F898" i="2"/>
  <c r="E898" i="2"/>
  <c r="F897" i="2"/>
  <c r="E897" i="2"/>
  <c r="F896" i="2"/>
  <c r="E896" i="2"/>
  <c r="F895" i="2"/>
  <c r="E895" i="2"/>
  <c r="F894" i="2"/>
  <c r="E894" i="2"/>
  <c r="F893" i="2"/>
  <c r="E893" i="2"/>
  <c r="F892" i="2"/>
  <c r="E892" i="2"/>
  <c r="F891" i="2"/>
  <c r="E891" i="2"/>
  <c r="F890" i="2"/>
  <c r="E890" i="2"/>
  <c r="F889" i="2"/>
  <c r="E889" i="2"/>
  <c r="F888" i="2"/>
  <c r="E888" i="2"/>
  <c r="F887" i="2"/>
  <c r="E887" i="2"/>
  <c r="F886" i="2"/>
  <c r="E886" i="2"/>
  <c r="F885" i="2"/>
  <c r="E885" i="2"/>
  <c r="F884" i="2"/>
  <c r="E884" i="2"/>
  <c r="F883" i="2"/>
  <c r="E883" i="2"/>
  <c r="F882" i="2"/>
  <c r="E882" i="2"/>
  <c r="F881" i="2"/>
  <c r="E881" i="2"/>
  <c r="F880" i="2"/>
  <c r="E880" i="2"/>
  <c r="F879" i="2"/>
  <c r="E879" i="2"/>
  <c r="F878" i="2"/>
  <c r="E878" i="2"/>
  <c r="F877" i="2"/>
  <c r="E877" i="2"/>
  <c r="F876" i="2"/>
  <c r="E876" i="2"/>
  <c r="F875" i="2"/>
  <c r="E875" i="2"/>
  <c r="F874" i="2"/>
  <c r="E874" i="2"/>
  <c r="F873" i="2"/>
  <c r="E873" i="2"/>
  <c r="F872" i="2"/>
  <c r="E872" i="2"/>
  <c r="F871" i="2"/>
  <c r="E871" i="2"/>
  <c r="F870" i="2"/>
  <c r="E870" i="2"/>
  <c r="F869" i="2"/>
  <c r="E869" i="2"/>
  <c r="F868" i="2"/>
  <c r="E868" i="2"/>
  <c r="F867" i="2"/>
  <c r="E867" i="2"/>
  <c r="F866" i="2"/>
  <c r="E866" i="2"/>
  <c r="F865" i="2"/>
  <c r="E865" i="2"/>
  <c r="F864" i="2"/>
  <c r="E864" i="2"/>
  <c r="F863" i="2"/>
  <c r="E863" i="2"/>
  <c r="F862" i="2"/>
  <c r="E862" i="2"/>
  <c r="F861" i="2"/>
  <c r="E861" i="2"/>
  <c r="F860" i="2"/>
  <c r="E860" i="2"/>
  <c r="F859" i="2"/>
  <c r="E859" i="2"/>
  <c r="F857" i="2"/>
  <c r="E857" i="2"/>
  <c r="F856" i="2"/>
  <c r="E856" i="2"/>
  <c r="F855" i="2"/>
  <c r="E855" i="2"/>
  <c r="F854" i="2"/>
  <c r="E854" i="2"/>
  <c r="F853" i="2"/>
  <c r="E853" i="2"/>
  <c r="F852" i="2"/>
  <c r="E852" i="2"/>
  <c r="F851" i="2"/>
  <c r="E851" i="2"/>
  <c r="F850" i="2"/>
  <c r="E850" i="2"/>
  <c r="F849" i="2"/>
  <c r="E849" i="2"/>
  <c r="F848" i="2"/>
  <c r="E848" i="2"/>
  <c r="F847" i="2"/>
  <c r="E847" i="2"/>
  <c r="F846" i="2"/>
  <c r="E846" i="2"/>
  <c r="F845" i="2"/>
  <c r="E845" i="2"/>
  <c r="F844" i="2"/>
  <c r="E844" i="2"/>
  <c r="F843" i="2"/>
  <c r="E843" i="2"/>
  <c r="F842" i="2"/>
  <c r="E842" i="2"/>
  <c r="F841" i="2"/>
  <c r="E841" i="2"/>
  <c r="F840" i="2"/>
  <c r="E840" i="2"/>
  <c r="F839" i="2"/>
  <c r="E839" i="2"/>
  <c r="F838" i="2"/>
  <c r="E838" i="2"/>
  <c r="F837" i="2"/>
  <c r="E837" i="2"/>
  <c r="F836" i="2"/>
  <c r="E836" i="2"/>
  <c r="F835" i="2"/>
  <c r="E835" i="2"/>
  <c r="F834" i="2"/>
  <c r="E834" i="2"/>
  <c r="F833" i="2"/>
  <c r="E833" i="2"/>
  <c r="F832" i="2"/>
  <c r="E832" i="2"/>
  <c r="F831" i="2"/>
  <c r="E831" i="2"/>
  <c r="F830" i="2"/>
  <c r="E830" i="2"/>
  <c r="F829" i="2"/>
  <c r="E829" i="2"/>
  <c r="F828" i="2"/>
  <c r="E828" i="2"/>
  <c r="F827" i="2"/>
  <c r="E827" i="2"/>
  <c r="F826" i="2"/>
  <c r="E826" i="2"/>
  <c r="F825" i="2"/>
  <c r="E825" i="2"/>
  <c r="F824" i="2"/>
  <c r="E824" i="2"/>
  <c r="F823" i="2"/>
  <c r="E823" i="2"/>
  <c r="F822" i="2"/>
  <c r="E822" i="2"/>
  <c r="F821" i="2"/>
  <c r="E821" i="2"/>
  <c r="F820" i="2"/>
  <c r="E820" i="2"/>
  <c r="F819" i="2"/>
  <c r="E819" i="2"/>
  <c r="F818" i="2"/>
  <c r="E818" i="2"/>
  <c r="F817" i="2"/>
  <c r="E817" i="2"/>
  <c r="F816" i="2"/>
  <c r="E816" i="2"/>
  <c r="F815" i="2"/>
  <c r="E815" i="2"/>
  <c r="F814" i="2"/>
  <c r="E814" i="2"/>
  <c r="F813" i="2"/>
  <c r="E813" i="2"/>
  <c r="F812" i="2"/>
  <c r="E812" i="2"/>
  <c r="F811" i="2"/>
  <c r="E811" i="2"/>
  <c r="F810" i="2"/>
  <c r="E810" i="2"/>
  <c r="F809" i="2"/>
  <c r="E809" i="2"/>
  <c r="F808" i="2"/>
  <c r="E808" i="2"/>
  <c r="F807" i="2"/>
  <c r="E807" i="2"/>
  <c r="F806" i="2"/>
  <c r="E806" i="2"/>
  <c r="F805" i="2"/>
  <c r="E805" i="2"/>
  <c r="F804" i="2"/>
  <c r="E804" i="2"/>
  <c r="F803" i="2"/>
  <c r="E803" i="2"/>
  <c r="F802" i="2"/>
  <c r="E802" i="2"/>
  <c r="F801" i="2"/>
  <c r="E801" i="2"/>
  <c r="F800" i="2"/>
  <c r="E800" i="2"/>
  <c r="F799" i="2"/>
  <c r="E799" i="2"/>
  <c r="F798" i="2"/>
  <c r="E798" i="2"/>
  <c r="F797" i="2"/>
  <c r="E797" i="2"/>
  <c r="F796" i="2"/>
  <c r="E796" i="2"/>
  <c r="F795" i="2"/>
  <c r="E795" i="2"/>
  <c r="F794" i="2"/>
  <c r="E794" i="2"/>
  <c r="F793" i="2"/>
  <c r="E793" i="2"/>
  <c r="F792" i="2"/>
  <c r="E792" i="2"/>
  <c r="F791" i="2"/>
  <c r="E791" i="2"/>
  <c r="F790" i="2"/>
  <c r="E790" i="2"/>
  <c r="F789" i="2"/>
  <c r="E789" i="2"/>
  <c r="F788" i="2"/>
  <c r="E788" i="2"/>
  <c r="F787" i="2"/>
  <c r="E787" i="2"/>
  <c r="F786" i="2"/>
  <c r="E786" i="2"/>
  <c r="F785" i="2"/>
  <c r="E785" i="2"/>
  <c r="F784" i="2"/>
  <c r="E784" i="2"/>
  <c r="F783" i="2"/>
  <c r="E783" i="2"/>
  <c r="F782" i="2"/>
  <c r="E782" i="2"/>
  <c r="F781" i="2"/>
  <c r="E781" i="2"/>
  <c r="F780" i="2"/>
  <c r="E780" i="2"/>
  <c r="F779" i="2"/>
  <c r="E779" i="2"/>
  <c r="F778" i="2"/>
  <c r="E778" i="2"/>
  <c r="F777" i="2"/>
  <c r="E777" i="2"/>
  <c r="F776" i="2"/>
  <c r="E776" i="2"/>
  <c r="F775" i="2"/>
  <c r="E775" i="2"/>
  <c r="F774" i="2"/>
  <c r="E774" i="2"/>
  <c r="F773" i="2"/>
  <c r="E773" i="2"/>
  <c r="F772" i="2"/>
  <c r="E772" i="2"/>
  <c r="F771" i="2"/>
  <c r="E771" i="2"/>
  <c r="F770" i="2"/>
  <c r="E770" i="2"/>
  <c r="F769" i="2"/>
  <c r="E769" i="2"/>
  <c r="F768" i="2"/>
  <c r="E768" i="2"/>
  <c r="F767" i="2"/>
  <c r="E767" i="2"/>
  <c r="F766" i="2"/>
  <c r="E766" i="2"/>
  <c r="F765" i="2"/>
  <c r="E765" i="2"/>
  <c r="F764" i="2"/>
  <c r="E764" i="2"/>
  <c r="F763" i="2"/>
  <c r="E763" i="2"/>
  <c r="F762" i="2"/>
  <c r="E762" i="2"/>
  <c r="F761" i="2"/>
  <c r="E761" i="2"/>
  <c r="F760" i="2"/>
  <c r="E760" i="2"/>
  <c r="F759" i="2"/>
  <c r="E759" i="2"/>
  <c r="F758" i="2"/>
  <c r="E758" i="2"/>
  <c r="F757" i="2"/>
  <c r="E757" i="2"/>
  <c r="F756" i="2"/>
  <c r="E756" i="2"/>
  <c r="F755" i="2"/>
  <c r="E755" i="2"/>
  <c r="F754" i="2"/>
  <c r="E754" i="2"/>
  <c r="F753" i="2"/>
  <c r="E753" i="2"/>
  <c r="F752" i="2"/>
  <c r="E752" i="2"/>
  <c r="F751" i="2"/>
  <c r="E751" i="2"/>
  <c r="F750" i="2"/>
  <c r="E750" i="2"/>
  <c r="F749" i="2"/>
  <c r="E749" i="2"/>
  <c r="F748" i="2"/>
  <c r="E748" i="2"/>
  <c r="F747" i="2"/>
  <c r="E747" i="2"/>
  <c r="F746" i="2"/>
  <c r="E746" i="2"/>
  <c r="F745" i="2"/>
  <c r="E745" i="2"/>
  <c r="F744" i="2"/>
  <c r="E744" i="2"/>
  <c r="F743" i="2"/>
  <c r="E743" i="2"/>
  <c r="F742" i="2"/>
  <c r="E742" i="2"/>
  <c r="F741" i="2"/>
  <c r="E741" i="2"/>
  <c r="F740" i="2"/>
  <c r="E740" i="2"/>
  <c r="F739" i="2"/>
  <c r="E739" i="2"/>
  <c r="F738" i="2"/>
  <c r="E738" i="2"/>
  <c r="F737" i="2"/>
  <c r="E737" i="2"/>
  <c r="F736" i="2"/>
  <c r="E736" i="2"/>
  <c r="F735" i="2"/>
  <c r="E735" i="2"/>
  <c r="F734" i="2"/>
  <c r="E734" i="2"/>
  <c r="F733" i="2"/>
  <c r="E733" i="2"/>
  <c r="F732" i="2"/>
  <c r="E732" i="2"/>
  <c r="F731" i="2"/>
  <c r="E731" i="2"/>
  <c r="F730" i="2"/>
  <c r="E730" i="2"/>
  <c r="F729" i="2"/>
  <c r="E729" i="2"/>
  <c r="F728" i="2"/>
  <c r="E728" i="2"/>
  <c r="F727" i="2"/>
  <c r="E727" i="2"/>
  <c r="F726" i="2"/>
  <c r="E726" i="2"/>
  <c r="F725" i="2"/>
  <c r="E725" i="2"/>
  <c r="F724" i="2"/>
  <c r="E724" i="2"/>
  <c r="F723" i="2"/>
  <c r="E723" i="2"/>
  <c r="F722" i="2"/>
  <c r="E722" i="2"/>
  <c r="F721" i="2"/>
  <c r="E721" i="2"/>
  <c r="F720" i="2"/>
  <c r="E720" i="2"/>
  <c r="F719" i="2"/>
  <c r="E719" i="2"/>
  <c r="F718" i="2"/>
  <c r="E718" i="2"/>
  <c r="F717" i="2"/>
  <c r="E717" i="2"/>
  <c r="F716" i="2"/>
  <c r="E716" i="2"/>
  <c r="F715" i="2"/>
  <c r="E715" i="2"/>
  <c r="F714" i="2"/>
  <c r="E714" i="2"/>
  <c r="F713" i="2"/>
  <c r="E713" i="2"/>
  <c r="F712" i="2"/>
  <c r="E712" i="2"/>
  <c r="F711" i="2"/>
  <c r="E711" i="2"/>
  <c r="F710" i="2"/>
  <c r="E710" i="2"/>
  <c r="F709" i="2"/>
  <c r="E709" i="2"/>
  <c r="F708" i="2"/>
  <c r="E708" i="2"/>
  <c r="F707" i="2"/>
  <c r="E707" i="2"/>
  <c r="F706" i="2"/>
  <c r="E706" i="2"/>
  <c r="F705" i="2"/>
  <c r="E705" i="2"/>
  <c r="F704" i="2"/>
  <c r="E704" i="2"/>
  <c r="F703" i="2"/>
  <c r="E703" i="2"/>
  <c r="F702" i="2"/>
  <c r="E702" i="2"/>
  <c r="F701" i="2"/>
  <c r="E701" i="2"/>
  <c r="F700" i="2"/>
  <c r="E700" i="2"/>
  <c r="F699" i="2"/>
  <c r="E699" i="2"/>
  <c r="F698" i="2"/>
  <c r="E698" i="2"/>
  <c r="F697" i="2"/>
  <c r="E697" i="2"/>
  <c r="F696" i="2"/>
  <c r="E696" i="2"/>
  <c r="F695" i="2"/>
  <c r="E695" i="2"/>
  <c r="F694" i="2"/>
  <c r="E694" i="2"/>
  <c r="F693" i="2"/>
  <c r="E693" i="2"/>
  <c r="F692" i="2"/>
  <c r="E692" i="2"/>
  <c r="F691" i="2"/>
  <c r="E691" i="2"/>
  <c r="F690" i="2"/>
  <c r="E690" i="2"/>
  <c r="F689" i="2"/>
  <c r="E689" i="2"/>
  <c r="F688" i="2"/>
  <c r="E688" i="2"/>
  <c r="F687" i="2"/>
  <c r="E687" i="2"/>
  <c r="F686" i="2"/>
  <c r="E686" i="2"/>
  <c r="F685" i="2"/>
  <c r="E685" i="2"/>
  <c r="F684" i="2"/>
  <c r="E684" i="2"/>
  <c r="F683" i="2"/>
  <c r="E683" i="2"/>
  <c r="F682" i="2"/>
  <c r="E682" i="2"/>
  <c r="F681" i="2"/>
  <c r="E681" i="2"/>
  <c r="F680" i="2"/>
  <c r="E680" i="2"/>
  <c r="F679" i="2"/>
  <c r="F678" i="2"/>
  <c r="E679" i="2"/>
  <c r="F544" i="2"/>
  <c r="E544" i="2"/>
  <c r="F543" i="2"/>
  <c r="E543" i="2"/>
  <c r="F542" i="2"/>
  <c r="E542" i="2"/>
  <c r="F541" i="2"/>
  <c r="E541" i="2"/>
  <c r="F540" i="2"/>
  <c r="E540" i="2"/>
  <c r="F539" i="2"/>
  <c r="E539" i="2"/>
  <c r="F538" i="2"/>
  <c r="E538" i="2"/>
  <c r="F537" i="2"/>
  <c r="E537" i="2"/>
  <c r="F536" i="2"/>
  <c r="E536" i="2"/>
  <c r="F535" i="2"/>
  <c r="E535" i="2"/>
  <c r="F534" i="2"/>
  <c r="E534" i="2"/>
  <c r="F533" i="2"/>
  <c r="E533" i="2"/>
  <c r="F532" i="2"/>
  <c r="E532" i="2"/>
  <c r="F531" i="2"/>
  <c r="E531" i="2"/>
  <c r="F530" i="2"/>
  <c r="E530" i="2"/>
  <c r="F529" i="2"/>
  <c r="E529" i="2"/>
  <c r="F528" i="2"/>
  <c r="E528" i="2"/>
  <c r="F527" i="2"/>
  <c r="E527" i="2"/>
  <c r="F526" i="2"/>
  <c r="E526" i="2"/>
  <c r="F525" i="2"/>
  <c r="E525" i="2"/>
  <c r="E678" i="2"/>
  <c r="F677" i="2"/>
  <c r="E677" i="2"/>
  <c r="F676" i="2"/>
  <c r="E676" i="2"/>
  <c r="F675" i="2"/>
  <c r="E675" i="2"/>
  <c r="F674" i="2"/>
  <c r="E674" i="2"/>
  <c r="F673" i="2"/>
  <c r="E673" i="2"/>
  <c r="F672" i="2"/>
  <c r="E672" i="2"/>
  <c r="F671" i="2"/>
  <c r="E671" i="2"/>
  <c r="F670" i="2"/>
  <c r="E670" i="2"/>
  <c r="F669" i="2"/>
  <c r="E669" i="2"/>
  <c r="F668" i="2"/>
  <c r="E668" i="2"/>
  <c r="F667" i="2"/>
  <c r="E667" i="2"/>
  <c r="F666" i="2"/>
  <c r="E666" i="2"/>
  <c r="F665" i="2"/>
  <c r="E665" i="2"/>
  <c r="F664" i="2"/>
  <c r="E664" i="2"/>
  <c r="F663" i="2"/>
  <c r="E663" i="2"/>
  <c r="F662" i="2"/>
  <c r="E662" i="2"/>
  <c r="F661" i="2"/>
  <c r="E661" i="2"/>
  <c r="F660" i="2"/>
  <c r="E660" i="2"/>
  <c r="F659" i="2"/>
  <c r="E659" i="2"/>
  <c r="F658" i="2"/>
  <c r="E658" i="2"/>
  <c r="F657" i="2"/>
  <c r="E657" i="2"/>
  <c r="F656" i="2"/>
  <c r="E656" i="2"/>
  <c r="F655" i="2"/>
  <c r="E655" i="2"/>
  <c r="F654" i="2"/>
  <c r="E654" i="2"/>
  <c r="F653" i="2"/>
  <c r="E653" i="2"/>
  <c r="F652" i="2"/>
  <c r="E652" i="2"/>
  <c r="F651" i="2"/>
  <c r="E651" i="2"/>
  <c r="F650" i="2"/>
  <c r="E650" i="2"/>
  <c r="F649" i="2"/>
  <c r="E649" i="2"/>
  <c r="F648" i="2"/>
  <c r="E648" i="2"/>
  <c r="F647" i="2"/>
  <c r="E647" i="2"/>
  <c r="F646" i="2"/>
  <c r="E646" i="2"/>
  <c r="F645" i="2"/>
  <c r="E645" i="2"/>
  <c r="F644" i="2"/>
  <c r="E644" i="2"/>
  <c r="F643" i="2"/>
  <c r="E643" i="2"/>
  <c r="F642" i="2"/>
  <c r="E642" i="2"/>
  <c r="F641" i="2"/>
  <c r="E641" i="2"/>
  <c r="F640" i="2"/>
  <c r="E640" i="2"/>
  <c r="F639" i="2"/>
  <c r="E639" i="2"/>
  <c r="F638" i="2"/>
  <c r="E638" i="2"/>
  <c r="F637" i="2"/>
  <c r="E637" i="2"/>
  <c r="F636" i="2"/>
  <c r="E636" i="2"/>
  <c r="F635" i="2"/>
  <c r="E635" i="2"/>
  <c r="F634" i="2"/>
  <c r="E634" i="2"/>
  <c r="F633" i="2"/>
  <c r="E633" i="2"/>
  <c r="F632" i="2"/>
  <c r="E632" i="2"/>
  <c r="F631" i="2"/>
  <c r="E631" i="2"/>
  <c r="F630" i="2"/>
  <c r="E630" i="2"/>
  <c r="F629" i="2"/>
  <c r="E629" i="2"/>
  <c r="F628" i="2"/>
  <c r="E628" i="2"/>
  <c r="F627" i="2"/>
  <c r="E627" i="2"/>
  <c r="F626" i="2"/>
  <c r="E626" i="2"/>
  <c r="F625" i="2"/>
  <c r="E625" i="2"/>
  <c r="F624" i="2"/>
  <c r="E624" i="2"/>
  <c r="F623" i="2"/>
  <c r="E623" i="2"/>
  <c r="F622" i="2"/>
  <c r="E622" i="2"/>
  <c r="F621" i="2"/>
  <c r="E621" i="2"/>
  <c r="F620" i="2"/>
  <c r="E620" i="2"/>
  <c r="F619" i="2"/>
  <c r="E619" i="2"/>
  <c r="F618" i="2"/>
  <c r="E618" i="2"/>
  <c r="F617" i="2"/>
  <c r="E617" i="2"/>
  <c r="F616" i="2"/>
  <c r="E616" i="2"/>
  <c r="F615" i="2"/>
  <c r="E615" i="2"/>
  <c r="F614" i="2"/>
  <c r="E614" i="2"/>
  <c r="F613" i="2"/>
  <c r="E613" i="2"/>
  <c r="F612" i="2"/>
  <c r="E612" i="2"/>
  <c r="F611" i="2"/>
  <c r="E611" i="2"/>
  <c r="F610" i="2"/>
  <c r="E610" i="2"/>
  <c r="F609" i="2"/>
  <c r="E609" i="2"/>
  <c r="F608" i="2"/>
  <c r="E608" i="2"/>
  <c r="F607" i="2"/>
  <c r="E607" i="2"/>
  <c r="F606" i="2"/>
  <c r="E606" i="2"/>
  <c r="F605" i="2"/>
  <c r="E605" i="2"/>
  <c r="F604" i="2"/>
  <c r="E604" i="2"/>
  <c r="F603" i="2"/>
  <c r="E603" i="2"/>
  <c r="F602" i="2"/>
  <c r="E602" i="2"/>
  <c r="F601" i="2"/>
  <c r="E601" i="2"/>
  <c r="F600" i="2"/>
  <c r="E600" i="2"/>
  <c r="F599" i="2"/>
  <c r="E599" i="2"/>
  <c r="F598" i="2"/>
  <c r="E598" i="2"/>
  <c r="F597" i="2"/>
  <c r="E597" i="2"/>
  <c r="F596" i="2"/>
  <c r="E596" i="2"/>
  <c r="F595" i="2"/>
  <c r="E595" i="2"/>
  <c r="F594" i="2"/>
  <c r="E594" i="2"/>
  <c r="F593" i="2"/>
  <c r="E593" i="2"/>
  <c r="F592" i="2"/>
  <c r="E592" i="2"/>
  <c r="F591" i="2"/>
  <c r="E591" i="2"/>
  <c r="F590" i="2"/>
  <c r="E590" i="2"/>
  <c r="F589" i="2"/>
  <c r="E589" i="2"/>
  <c r="F588" i="2"/>
  <c r="E588" i="2"/>
  <c r="F587" i="2"/>
  <c r="E587" i="2"/>
  <c r="F586" i="2"/>
  <c r="E586" i="2"/>
  <c r="F585" i="2"/>
  <c r="E585" i="2"/>
  <c r="F584" i="2"/>
  <c r="E584" i="2"/>
  <c r="F583" i="2"/>
  <c r="E583" i="2"/>
  <c r="F582" i="2"/>
  <c r="E582" i="2"/>
  <c r="F581" i="2"/>
  <c r="E581" i="2"/>
  <c r="F580" i="2"/>
  <c r="E580" i="2"/>
  <c r="F579" i="2"/>
  <c r="E579" i="2"/>
  <c r="F578" i="2"/>
  <c r="E578" i="2"/>
  <c r="F577" i="2"/>
  <c r="E577" i="2"/>
  <c r="F576" i="2"/>
  <c r="E576" i="2"/>
  <c r="F575" i="2"/>
  <c r="E575" i="2"/>
  <c r="F574" i="2"/>
  <c r="E574" i="2"/>
  <c r="F573" i="2"/>
  <c r="E573" i="2"/>
  <c r="F572" i="2"/>
  <c r="E572" i="2"/>
  <c r="F571" i="2"/>
  <c r="E571" i="2"/>
  <c r="F570" i="2"/>
  <c r="E570" i="2"/>
  <c r="F569" i="2"/>
  <c r="E569" i="2"/>
  <c r="F568" i="2"/>
  <c r="E568" i="2"/>
  <c r="F567" i="2"/>
  <c r="E567" i="2"/>
  <c r="F566" i="2"/>
  <c r="E566" i="2"/>
  <c r="F565" i="2"/>
  <c r="E565" i="2"/>
  <c r="F564" i="2"/>
  <c r="E564" i="2"/>
  <c r="F563" i="2"/>
  <c r="E563" i="2"/>
  <c r="F562" i="2"/>
  <c r="E562" i="2"/>
  <c r="F561" i="2"/>
  <c r="E561" i="2"/>
  <c r="F560" i="2"/>
  <c r="E560" i="2"/>
  <c r="F559" i="2"/>
  <c r="E559" i="2"/>
  <c r="F558" i="2"/>
  <c r="E558" i="2"/>
  <c r="F557" i="2"/>
  <c r="E557" i="2"/>
  <c r="F556" i="2"/>
  <c r="E556" i="2"/>
  <c r="F555" i="2"/>
  <c r="E555" i="2"/>
  <c r="F554" i="2"/>
  <c r="E554" i="2"/>
  <c r="F553" i="2"/>
  <c r="E553" i="2"/>
  <c r="F552" i="2"/>
  <c r="E552" i="2"/>
  <c r="F551" i="2"/>
  <c r="E551" i="2"/>
  <c r="F550" i="2"/>
  <c r="E550" i="2"/>
  <c r="F549" i="2"/>
  <c r="E549" i="2"/>
  <c r="F548" i="2"/>
  <c r="E548" i="2"/>
  <c r="F547" i="2"/>
  <c r="E547" i="2"/>
  <c r="F546" i="2"/>
  <c r="E546" i="2"/>
  <c r="F545" i="2"/>
  <c r="E545" i="2"/>
  <c r="C210" i="5"/>
  <c r="C209" i="5"/>
  <c r="C208" i="5"/>
  <c r="C207" i="5"/>
  <c r="C206" i="5"/>
  <c r="E205" i="5"/>
  <c r="E206" i="5" s="1"/>
  <c r="C205" i="5"/>
  <c r="F204" i="5"/>
  <c r="F205" i="5" s="1"/>
  <c r="E204" i="5"/>
  <c r="E207" i="5" s="1"/>
  <c r="C204" i="5"/>
  <c r="V203" i="5"/>
  <c r="O203" i="5"/>
  <c r="C203" i="5"/>
  <c r="V202" i="5"/>
  <c r="O202" i="5"/>
  <c r="C202" i="5"/>
  <c r="V201" i="5"/>
  <c r="O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C188" i="5"/>
  <c r="C187" i="5"/>
  <c r="C186" i="5"/>
  <c r="C185" i="5"/>
  <c r="C184" i="5"/>
  <c r="C183" i="5"/>
  <c r="C182" i="5"/>
  <c r="C181" i="5"/>
  <c r="C180" i="5"/>
  <c r="C179" i="5"/>
  <c r="C178"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C1462" i="2"/>
  <c r="C1461" i="2"/>
  <c r="C1460" i="2"/>
  <c r="C1459" i="2"/>
  <c r="C1458" i="2"/>
  <c r="F1457" i="2"/>
  <c r="F1458" i="2" s="1"/>
  <c r="E1457" i="2"/>
  <c r="E1458" i="2" s="1"/>
  <c r="C1457" i="2"/>
  <c r="C1456" i="2"/>
  <c r="F1456" i="2"/>
  <c r="E1456" i="2"/>
  <c r="O1455" i="2"/>
  <c r="O1454" i="2"/>
  <c r="O1453" i="2"/>
  <c r="V1455" i="2"/>
  <c r="V1454" i="2"/>
  <c r="V1453" i="2"/>
  <c r="C1455" i="2"/>
  <c r="C1454" i="2"/>
  <c r="C1453" i="2"/>
  <c r="F1452" i="2"/>
  <c r="E1452" i="2"/>
  <c r="C1452" i="2"/>
  <c r="F1451" i="2"/>
  <c r="E1451" i="2"/>
  <c r="C1451" i="2"/>
  <c r="F1450" i="2"/>
  <c r="E1450" i="2"/>
  <c r="C1450" i="2"/>
  <c r="F1449" i="2"/>
  <c r="E1449" i="2"/>
  <c r="C1449" i="2"/>
  <c r="F1448" i="2"/>
  <c r="E1448" i="2"/>
  <c r="C1448" i="2"/>
  <c r="F1447" i="2"/>
  <c r="E1447" i="2"/>
  <c r="C1447" i="2"/>
  <c r="C1446" i="2"/>
  <c r="C1445" i="2"/>
  <c r="C1444" i="2"/>
  <c r="C1443" i="2"/>
  <c r="C1442" i="2"/>
  <c r="C1441" i="2"/>
  <c r="F1446" i="2"/>
  <c r="E1446" i="2"/>
  <c r="F1445" i="2"/>
  <c r="E1445" i="2"/>
  <c r="F1444" i="2"/>
  <c r="E1444" i="2"/>
  <c r="F1443" i="2"/>
  <c r="E1443" i="2"/>
  <c r="F1442" i="2"/>
  <c r="E1442" i="2"/>
  <c r="F1441" i="2"/>
  <c r="E1441" i="2"/>
  <c r="C1440" i="2"/>
  <c r="C1439" i="2"/>
  <c r="C1438" i="2"/>
  <c r="C1437" i="2"/>
  <c r="C1436" i="2"/>
  <c r="C1435" i="2"/>
  <c r="C1430" i="2"/>
  <c r="C1431" i="2"/>
  <c r="C1432" i="2"/>
  <c r="C1433" i="2"/>
  <c r="C1434" i="2"/>
  <c r="C1429" i="2"/>
  <c r="F1428" i="2"/>
  <c r="E1428" i="2"/>
  <c r="F1427" i="2"/>
  <c r="E1427" i="2"/>
  <c r="F1426" i="2"/>
  <c r="E1426" i="2"/>
  <c r="F1425" i="2"/>
  <c r="E1425" i="2"/>
  <c r="F1424" i="2"/>
  <c r="E1424" i="2"/>
  <c r="F1423" i="2"/>
  <c r="E1423" i="2"/>
  <c r="F1422" i="2"/>
  <c r="E1422" i="2"/>
  <c r="F1421" i="2"/>
  <c r="E1421" i="2"/>
  <c r="F1420" i="2"/>
  <c r="E1420" i="2"/>
  <c r="F1419" i="2"/>
  <c r="E1419" i="2"/>
  <c r="C1420" i="2"/>
  <c r="C1421" i="2"/>
  <c r="C1422" i="2"/>
  <c r="C1423" i="2"/>
  <c r="C1424" i="2"/>
  <c r="C1425" i="2"/>
  <c r="C1426" i="2"/>
  <c r="C1427" i="2"/>
  <c r="C1428" i="2"/>
  <c r="C1419" i="2"/>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O1402" i="2"/>
  <c r="N1402" i="2"/>
  <c r="M1402" i="2"/>
  <c r="C1402" i="2"/>
  <c r="O1401" i="2"/>
  <c r="N1401" i="2"/>
  <c r="M1401" i="2"/>
  <c r="C1401" i="2"/>
  <c r="O1400" i="2"/>
  <c r="N1400" i="2"/>
  <c r="M1400" i="2"/>
  <c r="C1400" i="2"/>
  <c r="O1399" i="2"/>
  <c r="N1399" i="2"/>
  <c r="M1399" i="2"/>
  <c r="C1399" i="2"/>
  <c r="O1398" i="2"/>
  <c r="N1398" i="2"/>
  <c r="M1398" i="2"/>
  <c r="C1398" i="2"/>
  <c r="O1397" i="2"/>
  <c r="N1397" i="2"/>
  <c r="M1397" i="2"/>
  <c r="C1397" i="2"/>
  <c r="O1396" i="2"/>
  <c r="N1396" i="2"/>
  <c r="M1396" i="2"/>
  <c r="C1396" i="2"/>
  <c r="O1395" i="2"/>
  <c r="N1395" i="2"/>
  <c r="M1395" i="2"/>
  <c r="C1395" i="2"/>
  <c r="O1394" i="2"/>
  <c r="N1394" i="2"/>
  <c r="M1394"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M1361" i="2"/>
  <c r="C1361" i="2"/>
  <c r="M1360" i="2"/>
  <c r="C1360" i="2"/>
  <c r="M1359" i="2"/>
  <c r="C1359" i="2"/>
  <c r="M1358" i="2"/>
  <c r="C1358" i="2"/>
  <c r="M1357" i="2"/>
  <c r="C1357" i="2"/>
  <c r="M1356" i="2"/>
  <c r="C1356" i="2"/>
  <c r="M1355" i="2"/>
  <c r="C1355" i="2"/>
  <c r="M1354" i="2"/>
  <c r="C1354" i="2"/>
  <c r="M1353" i="2"/>
  <c r="C1353" i="2"/>
  <c r="M1352" i="2"/>
  <c r="C1352" i="2"/>
  <c r="M1351" i="2"/>
  <c r="C1351" i="2"/>
  <c r="O1254" i="4"/>
  <c r="N1254" i="4"/>
  <c r="M1254" i="4"/>
  <c r="C1254" i="4"/>
  <c r="O1253" i="4"/>
  <c r="N1253" i="4"/>
  <c r="M1253" i="4"/>
  <c r="C1253" i="4"/>
  <c r="O1252" i="4"/>
  <c r="N1252" i="4"/>
  <c r="M1252" i="4"/>
  <c r="C1252" i="4"/>
  <c r="O1251" i="4"/>
  <c r="N1251" i="4"/>
  <c r="M1251" i="4"/>
  <c r="C1251" i="4"/>
  <c r="O1250" i="4"/>
  <c r="N1250" i="4"/>
  <c r="M1250" i="4"/>
  <c r="C1250" i="4"/>
  <c r="O1249" i="4"/>
  <c r="N1249" i="4"/>
  <c r="M1249" i="4"/>
  <c r="C1249" i="4"/>
  <c r="O1248" i="4"/>
  <c r="N1248" i="4"/>
  <c r="M1248" i="4"/>
  <c r="C1248" i="4"/>
  <c r="O1247" i="4"/>
  <c r="N1247" i="4"/>
  <c r="M1247" i="4"/>
  <c r="C1247" i="4"/>
  <c r="O1246" i="4"/>
  <c r="N1246" i="4"/>
  <c r="M1246"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M1213" i="4"/>
  <c r="C1213" i="4"/>
  <c r="M1212" i="4"/>
  <c r="C1212" i="4"/>
  <c r="M1211" i="4"/>
  <c r="C1211" i="4"/>
  <c r="M1210" i="4"/>
  <c r="C1210" i="4"/>
  <c r="M1209" i="4"/>
  <c r="C1209" i="4"/>
  <c r="M1208" i="4"/>
  <c r="C1208" i="4"/>
  <c r="M1207" i="4"/>
  <c r="C1207" i="4"/>
  <c r="M1206" i="4"/>
  <c r="C1206" i="4"/>
  <c r="M1205" i="4"/>
  <c r="C1205" i="4"/>
  <c r="M1204" i="4"/>
  <c r="C1204" i="4"/>
  <c r="M1203" i="4"/>
  <c r="C1203" i="4"/>
  <c r="F1418" i="2"/>
  <c r="E1418" i="2"/>
  <c r="C1418" i="2"/>
  <c r="F1417" i="2"/>
  <c r="F1416" i="2"/>
  <c r="F1415" i="2"/>
  <c r="F1414" i="2"/>
  <c r="F1413" i="2"/>
  <c r="F1412" i="2"/>
  <c r="F1411" i="2"/>
  <c r="F1410" i="2"/>
  <c r="F1409" i="2"/>
  <c r="F1408" i="2"/>
  <c r="F1407" i="2"/>
  <c r="F1406" i="2"/>
  <c r="F1405" i="2"/>
  <c r="E1417" i="2"/>
  <c r="E1416" i="2"/>
  <c r="E1415" i="2"/>
  <c r="E1414" i="2"/>
  <c r="E1413" i="2"/>
  <c r="E1412" i="2"/>
  <c r="E1411" i="2"/>
  <c r="E1410" i="2"/>
  <c r="E1409" i="2"/>
  <c r="E1408" i="2"/>
  <c r="E1407" i="2"/>
  <c r="E1406" i="2"/>
  <c r="E1405" i="2"/>
  <c r="F1404" i="2"/>
  <c r="E1404" i="2"/>
  <c r="F1403" i="2"/>
  <c r="E1403" i="2"/>
  <c r="C1417" i="2"/>
  <c r="C1416" i="2"/>
  <c r="C1415" i="2"/>
  <c r="C1414" i="2"/>
  <c r="C1413" i="2"/>
  <c r="C1412" i="2"/>
  <c r="C1411" i="2"/>
  <c r="C1410" i="2"/>
  <c r="C1409" i="2"/>
  <c r="C1408" i="2"/>
  <c r="C1407" i="2"/>
  <c r="C1406" i="2"/>
  <c r="C1405" i="2"/>
  <c r="C1404" i="2"/>
  <c r="C1403" i="2"/>
  <c r="M133" i="2"/>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1242" i="2"/>
  <c r="C1241" i="2"/>
  <c r="C1240" i="2"/>
  <c r="C1239" i="2"/>
  <c r="C1238" i="2"/>
  <c r="C1237"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4" i="2"/>
  <c r="C1245" i="2"/>
  <c r="C1246" i="2"/>
  <c r="C1247" i="2"/>
  <c r="C1248" i="2"/>
  <c r="C1243" i="2"/>
  <c r="C1236" i="2"/>
  <c r="C1235" i="2"/>
  <c r="C1234" i="2"/>
  <c r="C1233" i="2"/>
  <c r="C1232" i="2"/>
  <c r="C1231" i="2"/>
  <c r="C1230" i="2"/>
  <c r="C1222" i="2"/>
  <c r="C1223" i="2"/>
  <c r="C1224" i="2"/>
  <c r="C1225" i="2"/>
  <c r="C1226" i="2"/>
  <c r="C1227" i="2"/>
  <c r="C1228" i="2"/>
  <c r="C1229" i="2"/>
  <c r="C1221" i="2"/>
  <c r="C1213" i="2"/>
  <c r="C1214" i="2"/>
  <c r="C1215" i="2"/>
  <c r="C1216" i="2"/>
  <c r="C1217" i="2"/>
  <c r="C1218" i="2"/>
  <c r="C1219" i="2"/>
  <c r="C1220" i="2"/>
  <c r="C1212" i="2"/>
  <c r="C1211" i="2"/>
  <c r="C1210" i="2"/>
  <c r="C1209" i="2"/>
  <c r="C1208" i="2"/>
  <c r="C1207" i="2"/>
  <c r="C1206" i="2"/>
  <c r="C1205" i="2"/>
  <c r="F522" i="4"/>
  <c r="E522" i="4"/>
  <c r="C522" i="4"/>
  <c r="F521" i="4"/>
  <c r="E521" i="4"/>
  <c r="C521" i="4"/>
  <c r="F520" i="4"/>
  <c r="E520" i="4"/>
  <c r="C520" i="4"/>
  <c r="F519" i="4"/>
  <c r="E519" i="4"/>
  <c r="C519" i="4"/>
  <c r="F518" i="4"/>
  <c r="E518" i="4"/>
  <c r="C518" i="4"/>
  <c r="F517" i="4"/>
  <c r="E517" i="4"/>
  <c r="C517" i="4"/>
  <c r="F516" i="4"/>
  <c r="E516" i="4"/>
  <c r="C516" i="4"/>
  <c r="F515" i="4"/>
  <c r="E515" i="4"/>
  <c r="C515" i="4"/>
  <c r="F514" i="4"/>
  <c r="E514" i="4"/>
  <c r="C514" i="4"/>
  <c r="F513" i="4"/>
  <c r="E513" i="4"/>
  <c r="C513" i="4"/>
  <c r="F512" i="4"/>
  <c r="E512" i="4"/>
  <c r="C512" i="4"/>
  <c r="F511" i="4"/>
  <c r="E511" i="4"/>
  <c r="C511" i="4"/>
  <c r="F510" i="4"/>
  <c r="E510" i="4"/>
  <c r="C510" i="4"/>
  <c r="F509" i="4"/>
  <c r="E509" i="4"/>
  <c r="C509" i="4"/>
  <c r="F508" i="4"/>
  <c r="E508" i="4"/>
  <c r="C508" i="4"/>
  <c r="F507" i="4"/>
  <c r="E507" i="4"/>
  <c r="C507" i="4"/>
  <c r="F506" i="4"/>
  <c r="E506" i="4"/>
  <c r="C506" i="4"/>
  <c r="F505" i="4"/>
  <c r="E505" i="4"/>
  <c r="C505" i="4"/>
  <c r="F504" i="4"/>
  <c r="E504" i="4"/>
  <c r="C504" i="4"/>
  <c r="F503" i="4"/>
  <c r="E503" i="4"/>
  <c r="C503" i="4"/>
  <c r="F502" i="4"/>
  <c r="E502" i="4"/>
  <c r="C502" i="4"/>
  <c r="F501" i="4"/>
  <c r="E501" i="4"/>
  <c r="C501" i="4"/>
  <c r="F500" i="4"/>
  <c r="E500" i="4"/>
  <c r="C500" i="4"/>
  <c r="F499" i="4"/>
  <c r="E499" i="4"/>
  <c r="C499" i="4"/>
  <c r="F498" i="4"/>
  <c r="E498" i="4"/>
  <c r="C498" i="4"/>
  <c r="F497" i="4"/>
  <c r="E497" i="4"/>
  <c r="C497" i="4"/>
  <c r="F496" i="4"/>
  <c r="E496" i="4"/>
  <c r="C496" i="4"/>
  <c r="F495" i="4"/>
  <c r="E495" i="4"/>
  <c r="C495" i="4"/>
  <c r="F494" i="4"/>
  <c r="E494" i="4"/>
  <c r="C494" i="4"/>
  <c r="F493" i="4"/>
  <c r="E493" i="4"/>
  <c r="C493" i="4"/>
  <c r="F492" i="4"/>
  <c r="E492" i="4"/>
  <c r="C492" i="4"/>
  <c r="F491" i="4"/>
  <c r="E491" i="4"/>
  <c r="C491" i="4"/>
  <c r="F490" i="4"/>
  <c r="E490" i="4"/>
  <c r="C490" i="4"/>
  <c r="F489" i="4"/>
  <c r="E489" i="4"/>
  <c r="C489" i="4"/>
  <c r="F488" i="4"/>
  <c r="E488" i="4"/>
  <c r="C488" i="4"/>
  <c r="F487" i="4"/>
  <c r="E487" i="4"/>
  <c r="C487" i="4"/>
  <c r="F486" i="4"/>
  <c r="E486" i="4"/>
  <c r="C486" i="4"/>
  <c r="F485" i="4"/>
  <c r="E485" i="4"/>
  <c r="C485" i="4"/>
  <c r="F484" i="4"/>
  <c r="E484" i="4"/>
  <c r="C484" i="4"/>
  <c r="F483" i="4"/>
  <c r="E483" i="4"/>
  <c r="C483" i="4"/>
  <c r="F482" i="4"/>
  <c r="E482" i="4"/>
  <c r="C482" i="4"/>
  <c r="F481" i="4"/>
  <c r="E481" i="4"/>
  <c r="C481" i="4"/>
  <c r="F480" i="4"/>
  <c r="E480" i="4"/>
  <c r="C480" i="4"/>
  <c r="F479" i="4"/>
  <c r="E479" i="4"/>
  <c r="C479" i="4"/>
  <c r="F478" i="4"/>
  <c r="E478" i="4"/>
  <c r="C478" i="4"/>
  <c r="F477" i="4"/>
  <c r="E477" i="4"/>
  <c r="C477" i="4"/>
  <c r="F476" i="4"/>
  <c r="E476" i="4"/>
  <c r="C476" i="4"/>
  <c r="F475" i="4"/>
  <c r="E475" i="4"/>
  <c r="C475" i="4"/>
  <c r="F474" i="4"/>
  <c r="E474" i="4"/>
  <c r="C474" i="4"/>
  <c r="F473" i="4"/>
  <c r="E473" i="4"/>
  <c r="C473" i="4"/>
  <c r="F472" i="4"/>
  <c r="E472" i="4"/>
  <c r="C472" i="4"/>
  <c r="F471" i="4"/>
  <c r="E471" i="4"/>
  <c r="C471" i="4"/>
  <c r="F470" i="4"/>
  <c r="E470" i="4"/>
  <c r="C470" i="4"/>
  <c r="F469" i="4"/>
  <c r="E469" i="4"/>
  <c r="C469" i="4"/>
  <c r="F468" i="4"/>
  <c r="E468" i="4"/>
  <c r="C468" i="4"/>
  <c r="F467" i="4"/>
  <c r="E467" i="4"/>
  <c r="C467" i="4"/>
  <c r="F466" i="4"/>
  <c r="E466" i="4"/>
  <c r="C466" i="4"/>
  <c r="F465" i="4"/>
  <c r="E465" i="4"/>
  <c r="C465" i="4"/>
  <c r="F464" i="4"/>
  <c r="E464" i="4"/>
  <c r="C464" i="4"/>
  <c r="F463" i="4"/>
  <c r="E463" i="4"/>
  <c r="C463" i="4"/>
  <c r="F462" i="4"/>
  <c r="E462" i="4"/>
  <c r="C462" i="4"/>
  <c r="F461" i="4"/>
  <c r="E461" i="4"/>
  <c r="C461" i="4"/>
  <c r="F460" i="4"/>
  <c r="E460" i="4"/>
  <c r="C460" i="4"/>
  <c r="F459" i="4"/>
  <c r="E459" i="4"/>
  <c r="C459" i="4"/>
  <c r="F458" i="4"/>
  <c r="E458" i="4"/>
  <c r="C458" i="4"/>
  <c r="F457" i="4"/>
  <c r="E457" i="4"/>
  <c r="C457" i="4"/>
  <c r="F456" i="4"/>
  <c r="E456" i="4"/>
  <c r="C456" i="4"/>
  <c r="F455" i="4"/>
  <c r="E455" i="4"/>
  <c r="C455" i="4"/>
  <c r="F454" i="4"/>
  <c r="E454" i="4"/>
  <c r="C454" i="4"/>
  <c r="F453" i="4"/>
  <c r="E453" i="4"/>
  <c r="C453" i="4"/>
  <c r="F452" i="4"/>
  <c r="E452" i="4"/>
  <c r="C452" i="4"/>
  <c r="F451" i="4"/>
  <c r="E451" i="4"/>
  <c r="C451" i="4"/>
  <c r="F450" i="4"/>
  <c r="E450" i="4"/>
  <c r="C450" i="4"/>
  <c r="F449" i="4"/>
  <c r="E449" i="4"/>
  <c r="C449" i="4"/>
  <c r="F448" i="4"/>
  <c r="E448" i="4"/>
  <c r="C448" i="4"/>
  <c r="F447" i="4"/>
  <c r="E447" i="4"/>
  <c r="C447" i="4"/>
  <c r="F446" i="4"/>
  <c r="E446" i="4"/>
  <c r="C446" i="4"/>
  <c r="F445" i="4"/>
  <c r="E445" i="4"/>
  <c r="C445" i="4"/>
  <c r="F444" i="4"/>
  <c r="E444" i="4"/>
  <c r="C444" i="4"/>
  <c r="F443" i="4"/>
  <c r="E443" i="4"/>
  <c r="C443" i="4"/>
  <c r="F442" i="4"/>
  <c r="E442" i="4"/>
  <c r="C442" i="4"/>
  <c r="F441" i="4"/>
  <c r="E441" i="4"/>
  <c r="C441" i="4"/>
  <c r="F440" i="4"/>
  <c r="E440" i="4"/>
  <c r="C440" i="4"/>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442" i="2"/>
  <c r="E442" i="2"/>
  <c r="F442" i="2"/>
  <c r="C443" i="2"/>
  <c r="E443" i="2"/>
  <c r="F443" i="2"/>
  <c r="C444" i="2"/>
  <c r="E444" i="2"/>
  <c r="F444" i="2"/>
  <c r="C445" i="2"/>
  <c r="E445" i="2"/>
  <c r="F445" i="2"/>
  <c r="C446" i="2"/>
  <c r="E446" i="2"/>
  <c r="F446" i="2"/>
  <c r="C447" i="2"/>
  <c r="E447" i="2"/>
  <c r="F447" i="2"/>
  <c r="C448" i="2"/>
  <c r="E448" i="2"/>
  <c r="F448" i="2"/>
  <c r="C449" i="2"/>
  <c r="E449" i="2"/>
  <c r="F449" i="2"/>
  <c r="C450" i="2"/>
  <c r="E450" i="2"/>
  <c r="F450" i="2"/>
  <c r="C451" i="2"/>
  <c r="E451" i="2"/>
  <c r="F451" i="2"/>
  <c r="C452" i="2"/>
  <c r="E452" i="2"/>
  <c r="F452" i="2"/>
  <c r="C453" i="2"/>
  <c r="E453" i="2"/>
  <c r="F453" i="2"/>
  <c r="C454" i="2"/>
  <c r="E454" i="2"/>
  <c r="F454" i="2"/>
  <c r="C455" i="2"/>
  <c r="E455" i="2"/>
  <c r="F455" i="2"/>
  <c r="C456" i="2"/>
  <c r="E456" i="2"/>
  <c r="F456" i="2"/>
  <c r="C457" i="2"/>
  <c r="E457" i="2"/>
  <c r="F457" i="2"/>
  <c r="C458" i="2"/>
  <c r="E458" i="2"/>
  <c r="F458" i="2"/>
  <c r="C459" i="2"/>
  <c r="E459" i="2"/>
  <c r="F459" i="2"/>
  <c r="C460" i="2"/>
  <c r="E460" i="2"/>
  <c r="F460" i="2"/>
  <c r="C461" i="2"/>
  <c r="E461" i="2"/>
  <c r="F461" i="2"/>
  <c r="C462" i="2"/>
  <c r="E462" i="2"/>
  <c r="F462" i="2"/>
  <c r="C463" i="2"/>
  <c r="E463" i="2"/>
  <c r="F463" i="2"/>
  <c r="C464" i="2"/>
  <c r="E464" i="2"/>
  <c r="F464" i="2"/>
  <c r="C465" i="2"/>
  <c r="E465" i="2"/>
  <c r="F465" i="2"/>
  <c r="C466" i="2"/>
  <c r="E466" i="2"/>
  <c r="F466" i="2"/>
  <c r="C467" i="2"/>
  <c r="E467" i="2"/>
  <c r="F467" i="2"/>
  <c r="C468" i="2"/>
  <c r="E468" i="2"/>
  <c r="F468" i="2"/>
  <c r="C469" i="2"/>
  <c r="E469" i="2"/>
  <c r="F469" i="2"/>
  <c r="C470" i="2"/>
  <c r="E470" i="2"/>
  <c r="F470" i="2"/>
  <c r="C471" i="2"/>
  <c r="E471" i="2"/>
  <c r="F471" i="2"/>
  <c r="C472" i="2"/>
  <c r="E472" i="2"/>
  <c r="F472" i="2"/>
  <c r="C473" i="2"/>
  <c r="E473" i="2"/>
  <c r="F473" i="2"/>
  <c r="C474" i="2"/>
  <c r="E474" i="2"/>
  <c r="F474" i="2"/>
  <c r="C475" i="2"/>
  <c r="E475" i="2"/>
  <c r="F475" i="2"/>
  <c r="C476" i="2"/>
  <c r="E476" i="2"/>
  <c r="F476" i="2"/>
  <c r="C477" i="2"/>
  <c r="E477" i="2"/>
  <c r="F477" i="2"/>
  <c r="C478" i="2"/>
  <c r="E478" i="2"/>
  <c r="F478" i="2"/>
  <c r="C479" i="2"/>
  <c r="E479" i="2"/>
  <c r="F479" i="2"/>
  <c r="C480" i="2"/>
  <c r="E480" i="2"/>
  <c r="F480" i="2"/>
  <c r="C481" i="2"/>
  <c r="E481" i="2"/>
  <c r="F481" i="2"/>
  <c r="C482" i="2"/>
  <c r="E482" i="2"/>
  <c r="F482" i="2"/>
  <c r="C483" i="2"/>
  <c r="E483" i="2"/>
  <c r="F483" i="2"/>
  <c r="C484" i="2"/>
  <c r="E484" i="2"/>
  <c r="F484" i="2"/>
  <c r="C485" i="2"/>
  <c r="E485" i="2"/>
  <c r="F485" i="2"/>
  <c r="C486" i="2"/>
  <c r="E486" i="2"/>
  <c r="F486" i="2"/>
  <c r="C487" i="2"/>
  <c r="E487" i="2"/>
  <c r="F487" i="2"/>
  <c r="C488" i="2"/>
  <c r="E488" i="2"/>
  <c r="F488" i="2"/>
  <c r="C489" i="2"/>
  <c r="E489" i="2"/>
  <c r="F489" i="2"/>
  <c r="C490" i="2"/>
  <c r="E490" i="2"/>
  <c r="F490" i="2"/>
  <c r="C491" i="2"/>
  <c r="E491" i="2"/>
  <c r="F491" i="2"/>
  <c r="C492" i="2"/>
  <c r="E492" i="2"/>
  <c r="F492" i="2"/>
  <c r="C493" i="2"/>
  <c r="E493" i="2"/>
  <c r="F493" i="2"/>
  <c r="C494" i="2"/>
  <c r="E494" i="2"/>
  <c r="F494" i="2"/>
  <c r="C495" i="2"/>
  <c r="E495" i="2"/>
  <c r="F495" i="2"/>
  <c r="C496" i="2"/>
  <c r="E496" i="2"/>
  <c r="F496" i="2"/>
  <c r="C497" i="2"/>
  <c r="E497" i="2"/>
  <c r="F497" i="2"/>
  <c r="C498" i="2"/>
  <c r="E498" i="2"/>
  <c r="F498" i="2"/>
  <c r="C499" i="2"/>
  <c r="E499" i="2"/>
  <c r="F499" i="2"/>
  <c r="C500" i="2"/>
  <c r="E500" i="2"/>
  <c r="F500" i="2"/>
  <c r="C501" i="2"/>
  <c r="E501" i="2"/>
  <c r="F501" i="2"/>
  <c r="C502" i="2"/>
  <c r="E502" i="2"/>
  <c r="F502" i="2"/>
  <c r="C503" i="2"/>
  <c r="E503" i="2"/>
  <c r="F503" i="2"/>
  <c r="C504" i="2"/>
  <c r="E504" i="2"/>
  <c r="F504" i="2"/>
  <c r="C505" i="2"/>
  <c r="E505" i="2"/>
  <c r="F505" i="2"/>
  <c r="C506" i="2"/>
  <c r="E506" i="2"/>
  <c r="F506" i="2"/>
  <c r="C507" i="2"/>
  <c r="E507" i="2"/>
  <c r="F507" i="2"/>
  <c r="C508" i="2"/>
  <c r="E508" i="2"/>
  <c r="F508" i="2"/>
  <c r="C509" i="2"/>
  <c r="E509" i="2"/>
  <c r="F509" i="2"/>
  <c r="C510" i="2"/>
  <c r="E510" i="2"/>
  <c r="F510" i="2"/>
  <c r="C511" i="2"/>
  <c r="E511" i="2"/>
  <c r="F511" i="2"/>
  <c r="C512" i="2"/>
  <c r="E512" i="2"/>
  <c r="F512" i="2"/>
  <c r="C513" i="2"/>
  <c r="E513" i="2"/>
  <c r="F513" i="2"/>
  <c r="C514" i="2"/>
  <c r="E514" i="2"/>
  <c r="F514" i="2"/>
  <c r="C515" i="2"/>
  <c r="E515" i="2"/>
  <c r="F515" i="2"/>
  <c r="C516" i="2"/>
  <c r="E516" i="2"/>
  <c r="F516" i="2"/>
  <c r="C517" i="2"/>
  <c r="E517" i="2"/>
  <c r="F517" i="2"/>
  <c r="C518" i="2"/>
  <c r="E518" i="2"/>
  <c r="F518" i="2"/>
  <c r="C519" i="2"/>
  <c r="E519" i="2"/>
  <c r="F519" i="2"/>
  <c r="C520" i="2"/>
  <c r="E520" i="2"/>
  <c r="F520" i="2"/>
  <c r="C521" i="2"/>
  <c r="E521" i="2"/>
  <c r="F521" i="2"/>
  <c r="C522" i="2"/>
  <c r="E522" i="2"/>
  <c r="F522" i="2"/>
  <c r="C523" i="2"/>
  <c r="E523" i="2"/>
  <c r="F523" i="2"/>
  <c r="C524" i="2"/>
  <c r="E524" i="2"/>
  <c r="F524" i="2"/>
  <c r="C4" i="5"/>
  <c r="C441" i="2"/>
  <c r="F3" i="5"/>
  <c r="E3" i="5"/>
  <c r="C3" i="5"/>
  <c r="N439" i="4"/>
  <c r="M439" i="4"/>
  <c r="C439" i="4"/>
  <c r="N438" i="4"/>
  <c r="M438" i="4"/>
  <c r="C438" i="4"/>
  <c r="N437" i="4"/>
  <c r="M437" i="4"/>
  <c r="C437" i="4"/>
  <c r="C436" i="4"/>
  <c r="C435" i="4"/>
  <c r="C434" i="4"/>
  <c r="C433" i="4"/>
  <c r="C432" i="4"/>
  <c r="C431" i="4"/>
  <c r="C430" i="4"/>
  <c r="C429" i="4"/>
  <c r="C428" i="4"/>
  <c r="C427" i="4"/>
  <c r="C426" i="4"/>
  <c r="C425" i="4"/>
  <c r="C424" i="4"/>
  <c r="C423" i="4"/>
  <c r="C422" i="4"/>
  <c r="C421" i="4"/>
  <c r="C420" i="4"/>
  <c r="C419" i="4"/>
  <c r="C418" i="4"/>
  <c r="C417" i="4"/>
  <c r="C416" i="4"/>
  <c r="N415" i="4"/>
  <c r="M415" i="4"/>
  <c r="C415" i="4"/>
  <c r="N414" i="4"/>
  <c r="M414" i="4"/>
  <c r="C414" i="4"/>
  <c r="N413" i="4"/>
  <c r="M413" i="4"/>
  <c r="C413" i="4"/>
  <c r="C412" i="4"/>
  <c r="C411" i="4"/>
  <c r="C410" i="4"/>
  <c r="C409" i="4"/>
  <c r="C408" i="4"/>
  <c r="C407" i="4"/>
  <c r="C406" i="4"/>
  <c r="C405" i="4"/>
  <c r="C404" i="4"/>
  <c r="C403" i="4"/>
  <c r="C402" i="4"/>
  <c r="C401" i="4"/>
  <c r="C400" i="4"/>
  <c r="C399" i="4"/>
  <c r="C398" i="4"/>
  <c r="C397" i="4"/>
  <c r="C396" i="4"/>
  <c r="F395" i="4"/>
  <c r="E395" i="4"/>
  <c r="C395" i="4"/>
  <c r="C394" i="4"/>
  <c r="C393" i="4"/>
  <c r="C392" i="4"/>
  <c r="C391" i="4"/>
  <c r="C390" i="4"/>
  <c r="N389" i="4"/>
  <c r="M389" i="4"/>
  <c r="C389" i="4"/>
  <c r="N388" i="4"/>
  <c r="M388" i="4"/>
  <c r="C388" i="4"/>
  <c r="N387" i="4"/>
  <c r="M387" i="4"/>
  <c r="C387" i="4"/>
  <c r="N386" i="4"/>
  <c r="M386" i="4"/>
  <c r="C386" i="4"/>
  <c r="N385" i="4"/>
  <c r="M385" i="4"/>
  <c r="C385" i="4"/>
  <c r="N384" i="4"/>
  <c r="M384" i="4"/>
  <c r="C384" i="4"/>
  <c r="C383" i="4"/>
  <c r="C382" i="4"/>
  <c r="C381" i="4"/>
  <c r="C380" i="4"/>
  <c r="C379" i="4"/>
  <c r="C378" i="4"/>
  <c r="C377" i="4"/>
  <c r="C376" i="4"/>
  <c r="C375" i="4"/>
  <c r="C374" i="4"/>
  <c r="C373" i="4"/>
  <c r="N372" i="4"/>
  <c r="M372" i="4"/>
  <c r="C372" i="4"/>
  <c r="C371" i="4"/>
  <c r="C370" i="4"/>
  <c r="C369" i="4"/>
  <c r="C368" i="4"/>
  <c r="C367" i="4"/>
  <c r="C366" i="4"/>
  <c r="C365" i="4"/>
  <c r="C364" i="4"/>
  <c r="C363" i="4"/>
  <c r="N362" i="4"/>
  <c r="C362" i="4"/>
  <c r="C361" i="4"/>
  <c r="N360" i="4"/>
  <c r="C360" i="4"/>
  <c r="N359" i="4"/>
  <c r="C359" i="4"/>
  <c r="C358" i="4"/>
  <c r="C357" i="4"/>
  <c r="C356" i="4"/>
  <c r="N355" i="4"/>
  <c r="C355" i="4"/>
  <c r="N354" i="4"/>
  <c r="C354" i="4"/>
  <c r="N353" i="4"/>
  <c r="C353" i="4"/>
  <c r="N352" i="4"/>
  <c r="C352" i="4"/>
  <c r="N351" i="4"/>
  <c r="C351" i="4"/>
  <c r="C350" i="4"/>
  <c r="N349" i="4"/>
  <c r="C349" i="4"/>
  <c r="N348" i="4"/>
  <c r="C348" i="4"/>
  <c r="N347" i="4"/>
  <c r="C347" i="4"/>
  <c r="M346" i="4"/>
  <c r="N346" i="4" s="1"/>
  <c r="C346" i="4"/>
  <c r="M345" i="4"/>
  <c r="N345" i="4" s="1"/>
  <c r="C345" i="4"/>
  <c r="M344" i="4"/>
  <c r="N344" i="4" s="1"/>
  <c r="C344" i="4"/>
  <c r="M343" i="4"/>
  <c r="N343" i="4" s="1"/>
  <c r="C343" i="4"/>
  <c r="M342" i="4"/>
  <c r="N342" i="4" s="1"/>
  <c r="C342" i="4"/>
  <c r="C341" i="4"/>
  <c r="C340" i="4"/>
  <c r="C339" i="4"/>
  <c r="C338" i="4"/>
  <c r="C337" i="4"/>
  <c r="C336" i="4"/>
  <c r="C335" i="4"/>
  <c r="C334" i="4"/>
  <c r="C333" i="4"/>
  <c r="C332" i="4"/>
  <c r="N331" i="4"/>
  <c r="C331" i="4"/>
  <c r="N330" i="4"/>
  <c r="C330" i="4"/>
  <c r="C329" i="4"/>
  <c r="N328" i="4"/>
  <c r="C328" i="4"/>
  <c r="C327" i="4"/>
  <c r="N326" i="4"/>
  <c r="C326" i="4"/>
  <c r="N325" i="4"/>
  <c r="C325" i="4"/>
  <c r="C324" i="4"/>
  <c r="C323" i="4"/>
  <c r="N322" i="4"/>
  <c r="C322" i="4"/>
  <c r="C321" i="4"/>
  <c r="N320" i="4"/>
  <c r="C320" i="4"/>
  <c r="N319" i="4"/>
  <c r="C319" i="4"/>
  <c r="N318" i="4"/>
  <c r="C318" i="4"/>
  <c r="C317" i="4"/>
  <c r="C316" i="4"/>
  <c r="C315" i="4"/>
  <c r="C314" i="4"/>
  <c r="F313" i="4"/>
  <c r="E313" i="4"/>
  <c r="C313" i="4"/>
  <c r="E312" i="4"/>
  <c r="C312" i="4"/>
  <c r="E311" i="4"/>
  <c r="C311" i="4"/>
  <c r="F310" i="4"/>
  <c r="E310" i="4"/>
  <c r="C310" i="4"/>
  <c r="F309" i="4"/>
  <c r="E309" i="4"/>
  <c r="C309" i="4"/>
  <c r="C308" i="4"/>
  <c r="F307" i="4"/>
  <c r="E307" i="4"/>
  <c r="C307" i="4"/>
  <c r="V306" i="4"/>
  <c r="F306" i="4"/>
  <c r="E306" i="4"/>
  <c r="C306" i="4"/>
  <c r="C305" i="4"/>
  <c r="F304" i="4"/>
  <c r="E304" i="4"/>
  <c r="C304" i="4"/>
  <c r="F303" i="4"/>
  <c r="E303" i="4"/>
  <c r="C303" i="4"/>
  <c r="F302" i="4"/>
  <c r="E302" i="4"/>
  <c r="C302" i="4"/>
  <c r="C301" i="4"/>
  <c r="F300" i="4"/>
  <c r="E300" i="4"/>
  <c r="C300" i="4"/>
  <c r="F299" i="4"/>
  <c r="E299" i="4"/>
  <c r="C299" i="4"/>
  <c r="F298" i="4"/>
  <c r="E298" i="4"/>
  <c r="C298" i="4"/>
  <c r="E297" i="4"/>
  <c r="C297" i="4"/>
  <c r="F296" i="4"/>
  <c r="E296" i="4"/>
  <c r="C296" i="4"/>
  <c r="E295" i="4"/>
  <c r="C295" i="4"/>
  <c r="C294" i="4"/>
  <c r="C293" i="4"/>
  <c r="F292" i="4"/>
  <c r="E292" i="4"/>
  <c r="C292" i="4"/>
  <c r="F291" i="4"/>
  <c r="E291" i="4"/>
  <c r="C291" i="4"/>
  <c r="F290" i="4"/>
  <c r="E290" i="4"/>
  <c r="C290" i="4"/>
  <c r="F289" i="4"/>
  <c r="E289" i="4"/>
  <c r="C289" i="4"/>
  <c r="F288" i="4"/>
  <c r="E288" i="4"/>
  <c r="C288" i="4"/>
  <c r="F287" i="4"/>
  <c r="E287" i="4"/>
  <c r="C287" i="4"/>
  <c r="F286" i="4"/>
  <c r="E286" i="4"/>
  <c r="C286" i="4"/>
  <c r="V285" i="4"/>
  <c r="F285" i="4"/>
  <c r="E285" i="4"/>
  <c r="C285" i="4"/>
  <c r="F284" i="4"/>
  <c r="E284" i="4"/>
  <c r="C284" i="4"/>
  <c r="F283" i="4"/>
  <c r="E283" i="4"/>
  <c r="C283" i="4"/>
  <c r="F282" i="4"/>
  <c r="E282" i="4"/>
  <c r="C282" i="4"/>
  <c r="F281" i="4"/>
  <c r="E281" i="4"/>
  <c r="C281" i="4"/>
  <c r="F280" i="4"/>
  <c r="E280" i="4"/>
  <c r="C280" i="4"/>
  <c r="F279" i="4"/>
  <c r="E279" i="4"/>
  <c r="C279" i="4"/>
  <c r="F278" i="4"/>
  <c r="E278" i="4"/>
  <c r="C278" i="4"/>
  <c r="E277" i="4"/>
  <c r="C277" i="4"/>
  <c r="F276" i="4"/>
  <c r="E276" i="4"/>
  <c r="C276" i="4"/>
  <c r="V275" i="4"/>
  <c r="F275" i="4"/>
  <c r="E275" i="4"/>
  <c r="C275" i="4"/>
  <c r="C274" i="4"/>
  <c r="C273" i="4"/>
  <c r="F272" i="4"/>
  <c r="E272" i="4"/>
  <c r="C272" i="4"/>
  <c r="C271" i="4"/>
  <c r="C270" i="4"/>
  <c r="C269" i="4"/>
  <c r="C268" i="4"/>
  <c r="C267" i="4"/>
  <c r="C266" i="4"/>
  <c r="C265" i="4"/>
  <c r="F264" i="4"/>
  <c r="E264" i="4"/>
  <c r="C264" i="4"/>
  <c r="F263" i="4"/>
  <c r="E263" i="4"/>
  <c r="C263" i="4"/>
  <c r="C262" i="4"/>
  <c r="C261" i="4"/>
  <c r="C260" i="4"/>
  <c r="C259" i="4"/>
  <c r="C258" i="4"/>
  <c r="F257" i="4"/>
  <c r="E257" i="4"/>
  <c r="C257" i="4"/>
  <c r="F256" i="4"/>
  <c r="E256" i="4"/>
  <c r="C256" i="4"/>
  <c r="F255" i="4"/>
  <c r="E255" i="4"/>
  <c r="C255" i="4"/>
  <c r="F254" i="4"/>
  <c r="E254" i="4"/>
  <c r="C254" i="4"/>
  <c r="M253" i="4"/>
  <c r="F253" i="4"/>
  <c r="E253" i="4"/>
  <c r="C253" i="4"/>
  <c r="M252" i="4"/>
  <c r="F252" i="4"/>
  <c r="E252" i="4"/>
  <c r="C252" i="4"/>
  <c r="F251" i="4"/>
  <c r="E251" i="4"/>
  <c r="C251" i="4"/>
  <c r="C250" i="4"/>
  <c r="C249" i="4"/>
  <c r="C248" i="4"/>
  <c r="F247" i="4"/>
  <c r="F248" i="4" s="1"/>
  <c r="F249" i="4" s="1"/>
  <c r="C247" i="4"/>
  <c r="C246" i="4"/>
  <c r="C245" i="4"/>
  <c r="C244" i="4"/>
  <c r="F243" i="4"/>
  <c r="F244" i="4" s="1"/>
  <c r="F245" i="4" s="1"/>
  <c r="C243" i="4"/>
  <c r="C242" i="4"/>
  <c r="C241" i="4"/>
  <c r="C240" i="4"/>
  <c r="F239" i="4"/>
  <c r="F240" i="4" s="1"/>
  <c r="F241" i="4" s="1"/>
  <c r="C239" i="4"/>
  <c r="C238" i="4"/>
  <c r="C237" i="4"/>
  <c r="C236" i="4"/>
  <c r="F235" i="4"/>
  <c r="F236" i="4" s="1"/>
  <c r="F237" i="4" s="1"/>
  <c r="C235" i="4"/>
  <c r="C234" i="4"/>
  <c r="C233" i="4"/>
  <c r="C232" i="4"/>
  <c r="F231" i="4"/>
  <c r="F232" i="4" s="1"/>
  <c r="F233" i="4" s="1"/>
  <c r="C231" i="4"/>
  <c r="C230" i="4"/>
  <c r="C229" i="4"/>
  <c r="F228" i="4"/>
  <c r="F229" i="4" s="1"/>
  <c r="C228" i="4"/>
  <c r="C227" i="4"/>
  <c r="C226" i="4"/>
  <c r="C225" i="4"/>
  <c r="C224" i="4"/>
  <c r="C223" i="4"/>
  <c r="F222" i="4"/>
  <c r="E222"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E185" i="4"/>
  <c r="E186" i="4" s="1"/>
  <c r="E187" i="4" s="1"/>
  <c r="E188" i="4" s="1"/>
  <c r="E189" i="4" s="1"/>
  <c r="E190" i="4" s="1"/>
  <c r="E191" i="4" s="1"/>
  <c r="E192" i="4" s="1"/>
  <c r="E193" i="4" s="1"/>
  <c r="E194" i="4" s="1"/>
  <c r="E195" i="4" s="1"/>
  <c r="E196" i="4" s="1"/>
  <c r="E197" i="4" s="1"/>
  <c r="E198" i="4" s="1"/>
  <c r="E199" i="4" s="1"/>
  <c r="E200" i="4" s="1"/>
  <c r="E201" i="4" s="1"/>
  <c r="E202" i="4" s="1"/>
  <c r="E203" i="4" s="1"/>
  <c r="C185" i="4"/>
  <c r="E184" i="4"/>
  <c r="C184" i="4"/>
  <c r="F183" i="4"/>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E183" i="4"/>
  <c r="C183" i="4"/>
  <c r="F182" i="4"/>
  <c r="E182" i="4"/>
  <c r="C182" i="4"/>
  <c r="F181" i="4"/>
  <c r="E181" i="4"/>
  <c r="C181" i="4"/>
  <c r="F180" i="4"/>
  <c r="E180" i="4"/>
  <c r="C180" i="4"/>
  <c r="F179" i="4"/>
  <c r="E179" i="4"/>
  <c r="C179" i="4"/>
  <c r="F178" i="4"/>
  <c r="E178" i="4"/>
  <c r="C178" i="4"/>
  <c r="F177" i="4"/>
  <c r="E177" i="4"/>
  <c r="C177" i="4"/>
  <c r="F176" i="4"/>
  <c r="E176" i="4"/>
  <c r="C176" i="4"/>
  <c r="F175" i="4"/>
  <c r="E175" i="4"/>
  <c r="C175" i="4"/>
  <c r="F174" i="4"/>
  <c r="E174" i="4"/>
  <c r="C174" i="4"/>
  <c r="F173" i="4"/>
  <c r="E173" i="4"/>
  <c r="C173" i="4"/>
  <c r="F172" i="4"/>
  <c r="E172" i="4"/>
  <c r="C172" i="4"/>
  <c r="F171" i="4"/>
  <c r="E171" i="4"/>
  <c r="C171" i="4"/>
  <c r="F170" i="4"/>
  <c r="E170" i="4"/>
  <c r="C170" i="4"/>
  <c r="F169" i="4"/>
  <c r="E169" i="4"/>
  <c r="C169" i="4"/>
  <c r="F168" i="4"/>
  <c r="E168" i="4"/>
  <c r="C168" i="4"/>
  <c r="F167" i="4"/>
  <c r="E167" i="4"/>
  <c r="C167" i="4"/>
  <c r="F166" i="4"/>
  <c r="E166" i="4"/>
  <c r="C166" i="4"/>
  <c r="F165" i="4"/>
  <c r="E165" i="4"/>
  <c r="C165" i="4"/>
  <c r="F164" i="4"/>
  <c r="E164" i="4"/>
  <c r="C164" i="4"/>
  <c r="F163" i="4"/>
  <c r="E163" i="4"/>
  <c r="C163" i="4"/>
  <c r="F162" i="4"/>
  <c r="E162" i="4"/>
  <c r="C162" i="4"/>
  <c r="F161" i="4"/>
  <c r="E161" i="4"/>
  <c r="C161" i="4"/>
  <c r="F160" i="4"/>
  <c r="E160" i="4"/>
  <c r="C160" i="4"/>
  <c r="F159" i="4"/>
  <c r="E159" i="4"/>
  <c r="C159" i="4"/>
  <c r="F158" i="4"/>
  <c r="E158" i="4"/>
  <c r="C158" i="4"/>
  <c r="F157" i="4"/>
  <c r="E157" i="4"/>
  <c r="C157" i="4"/>
  <c r="F156" i="4"/>
  <c r="E156" i="4"/>
  <c r="C156" i="4"/>
  <c r="F155" i="4"/>
  <c r="E155" i="4"/>
  <c r="C155" i="4"/>
  <c r="F154" i="4"/>
  <c r="E154" i="4"/>
  <c r="C154" i="4"/>
  <c r="O153" i="4"/>
  <c r="N153" i="4"/>
  <c r="M153" i="4"/>
  <c r="F153" i="4"/>
  <c r="E153" i="4"/>
  <c r="C153" i="4"/>
  <c r="O152" i="4"/>
  <c r="N152" i="4"/>
  <c r="M152" i="4"/>
  <c r="F152" i="4"/>
  <c r="E152" i="4"/>
  <c r="C152" i="4"/>
  <c r="O151" i="4"/>
  <c r="N151" i="4"/>
  <c r="M151" i="4"/>
  <c r="F151" i="4"/>
  <c r="E151" i="4"/>
  <c r="C151" i="4"/>
  <c r="O150" i="4"/>
  <c r="N150" i="4"/>
  <c r="M150" i="4"/>
  <c r="F150" i="4"/>
  <c r="E150" i="4"/>
  <c r="C150" i="4"/>
  <c r="O149" i="4"/>
  <c r="N149" i="4"/>
  <c r="M149" i="4"/>
  <c r="F149" i="4"/>
  <c r="E149" i="4"/>
  <c r="C149" i="4"/>
  <c r="O148" i="4"/>
  <c r="N148" i="4"/>
  <c r="M148" i="4"/>
  <c r="F148" i="4"/>
  <c r="E148" i="4"/>
  <c r="C148" i="4"/>
  <c r="O147" i="4"/>
  <c r="N147" i="4"/>
  <c r="M147" i="4"/>
  <c r="F147" i="4"/>
  <c r="E147" i="4"/>
  <c r="C147" i="4"/>
  <c r="O146" i="4"/>
  <c r="N146" i="4"/>
  <c r="M146" i="4"/>
  <c r="F146" i="4"/>
  <c r="E146" i="4"/>
  <c r="C146" i="4"/>
  <c r="O145" i="4"/>
  <c r="N145" i="4"/>
  <c r="M145" i="4"/>
  <c r="F145" i="4"/>
  <c r="E145" i="4"/>
  <c r="C145" i="4"/>
  <c r="O144" i="4"/>
  <c r="N144" i="4"/>
  <c r="M144" i="4"/>
  <c r="F144" i="4"/>
  <c r="E144" i="4"/>
  <c r="C144" i="4"/>
  <c r="O143" i="4"/>
  <c r="N143" i="4"/>
  <c r="M143" i="4"/>
  <c r="F143" i="4"/>
  <c r="E143" i="4"/>
  <c r="C143" i="4"/>
  <c r="O142" i="4"/>
  <c r="N142" i="4"/>
  <c r="M142" i="4"/>
  <c r="F142" i="4"/>
  <c r="E142" i="4"/>
  <c r="C142" i="4"/>
  <c r="O141" i="4"/>
  <c r="N141" i="4"/>
  <c r="M141" i="4"/>
  <c r="F141" i="4"/>
  <c r="E141" i="4"/>
  <c r="C141" i="4"/>
  <c r="O140" i="4"/>
  <c r="N140" i="4"/>
  <c r="M140" i="4"/>
  <c r="F140" i="4"/>
  <c r="E140" i="4"/>
  <c r="C140" i="4"/>
  <c r="N139" i="4"/>
  <c r="M139" i="4"/>
  <c r="F139" i="4"/>
  <c r="E139" i="4"/>
  <c r="C139" i="4"/>
  <c r="O138" i="4"/>
  <c r="N138" i="4"/>
  <c r="M138" i="4"/>
  <c r="F138" i="4"/>
  <c r="E138" i="4"/>
  <c r="C138" i="4"/>
  <c r="O137" i="4"/>
  <c r="N137" i="4"/>
  <c r="M137" i="4"/>
  <c r="F137" i="4"/>
  <c r="E137" i="4"/>
  <c r="C137" i="4"/>
  <c r="O136" i="4"/>
  <c r="N136" i="4"/>
  <c r="M136" i="4"/>
  <c r="F136" i="4"/>
  <c r="E136" i="4"/>
  <c r="C136" i="4"/>
  <c r="M135" i="4"/>
  <c r="C135" i="4"/>
  <c r="O134" i="4"/>
  <c r="N134" i="4"/>
  <c r="M134" i="4"/>
  <c r="F134" i="4"/>
  <c r="E134" i="4"/>
  <c r="C134" i="4"/>
  <c r="O133" i="4"/>
  <c r="N133" i="4"/>
  <c r="M133" i="4"/>
  <c r="F133" i="4"/>
  <c r="E133" i="4"/>
  <c r="C133" i="4"/>
  <c r="O132" i="4"/>
  <c r="M132" i="4"/>
  <c r="F132" i="4"/>
  <c r="E132" i="4"/>
  <c r="C132" i="4"/>
  <c r="F131" i="4"/>
  <c r="E131" i="4"/>
  <c r="C131" i="4"/>
  <c r="O130" i="4"/>
  <c r="N130" i="4"/>
  <c r="M130" i="4"/>
  <c r="F130" i="4"/>
  <c r="E130" i="4"/>
  <c r="C130" i="4"/>
  <c r="O129" i="4"/>
  <c r="M129" i="4"/>
  <c r="F129" i="4"/>
  <c r="E129" i="4"/>
  <c r="C129" i="4"/>
  <c r="N128" i="4"/>
  <c r="F128" i="4"/>
  <c r="E128" i="4"/>
  <c r="C128" i="4"/>
  <c r="N127" i="4"/>
  <c r="M127" i="4"/>
  <c r="F127" i="4"/>
  <c r="E127" i="4"/>
  <c r="C127" i="4"/>
  <c r="N126" i="4"/>
  <c r="F126" i="4"/>
  <c r="E126" i="4"/>
  <c r="C126" i="4"/>
  <c r="O125" i="4"/>
  <c r="N125" i="4"/>
  <c r="M125" i="4"/>
  <c r="F125" i="4"/>
  <c r="E125" i="4"/>
  <c r="C125" i="4"/>
  <c r="O124" i="4"/>
  <c r="M124" i="4"/>
  <c r="F124" i="4"/>
  <c r="E124" i="4"/>
  <c r="C124" i="4"/>
  <c r="O123" i="4"/>
  <c r="F123" i="4"/>
  <c r="E123" i="4"/>
  <c r="C123" i="4"/>
  <c r="O122" i="4"/>
  <c r="N122" i="4"/>
  <c r="F122" i="4"/>
  <c r="E122" i="4"/>
  <c r="C122" i="4"/>
  <c r="O121" i="4"/>
  <c r="N121" i="4"/>
  <c r="F121" i="4"/>
  <c r="E121" i="4"/>
  <c r="C121" i="4"/>
  <c r="O120" i="4"/>
  <c r="N120" i="4"/>
  <c r="F120" i="4"/>
  <c r="E120" i="4"/>
  <c r="C120" i="4"/>
  <c r="O119" i="4"/>
  <c r="N119" i="4"/>
  <c r="F119" i="4"/>
  <c r="E119" i="4"/>
  <c r="C119" i="4"/>
  <c r="O118" i="4"/>
  <c r="F118" i="4"/>
  <c r="E118" i="4"/>
  <c r="C118" i="4"/>
  <c r="O117" i="4"/>
  <c r="N117" i="4"/>
  <c r="M117" i="4"/>
  <c r="F117" i="4"/>
  <c r="E117" i="4"/>
  <c r="C117" i="4"/>
  <c r="O116" i="4"/>
  <c r="F116" i="4"/>
  <c r="E116" i="4"/>
  <c r="C116" i="4"/>
  <c r="O115" i="4"/>
  <c r="N115" i="4"/>
  <c r="M115" i="4"/>
  <c r="F115" i="4"/>
  <c r="E115" i="4"/>
  <c r="C115" i="4"/>
  <c r="O114" i="4"/>
  <c r="N114" i="4"/>
  <c r="M114" i="4"/>
  <c r="F114" i="4"/>
  <c r="E114" i="4"/>
  <c r="C114" i="4"/>
  <c r="O113" i="4"/>
  <c r="N113" i="4"/>
  <c r="M113" i="4"/>
  <c r="F113" i="4"/>
  <c r="E113" i="4"/>
  <c r="C113" i="4"/>
  <c r="O112" i="4"/>
  <c r="N112" i="4"/>
  <c r="F112" i="4"/>
  <c r="E112" i="4"/>
  <c r="C112" i="4"/>
  <c r="O111" i="4"/>
  <c r="N111" i="4"/>
  <c r="M111" i="4"/>
  <c r="F111" i="4"/>
  <c r="E111" i="4"/>
  <c r="C111" i="4"/>
  <c r="O110" i="4"/>
  <c r="M110" i="4"/>
  <c r="F110" i="4"/>
  <c r="E110" i="4"/>
  <c r="C110" i="4"/>
  <c r="O109" i="4"/>
  <c r="N109" i="4"/>
  <c r="M109" i="4"/>
  <c r="F109" i="4"/>
  <c r="E109" i="4"/>
  <c r="C109" i="4"/>
  <c r="O108" i="4"/>
  <c r="N108" i="4"/>
  <c r="M108" i="4"/>
  <c r="F108" i="4"/>
  <c r="E108" i="4"/>
  <c r="C108" i="4"/>
  <c r="O107" i="4"/>
  <c r="N107" i="4"/>
  <c r="F107" i="4"/>
  <c r="E107" i="4"/>
  <c r="C107" i="4"/>
  <c r="O106" i="4"/>
  <c r="N106" i="4"/>
  <c r="M106" i="4"/>
  <c r="F106" i="4"/>
  <c r="E106" i="4"/>
  <c r="C106" i="4"/>
  <c r="O105" i="4"/>
  <c r="N105" i="4"/>
  <c r="F105" i="4"/>
  <c r="E105" i="4"/>
  <c r="C105" i="4"/>
  <c r="O104" i="4"/>
  <c r="N104" i="4"/>
  <c r="M104" i="4"/>
  <c r="F104" i="4"/>
  <c r="E104" i="4"/>
  <c r="C104" i="4"/>
  <c r="O103" i="4"/>
  <c r="N103" i="4"/>
  <c r="F103" i="4"/>
  <c r="E103" i="4"/>
  <c r="C103" i="4"/>
  <c r="O102" i="4"/>
  <c r="N102" i="4"/>
  <c r="F102" i="4"/>
  <c r="E102" i="4"/>
  <c r="C102" i="4"/>
  <c r="O101" i="4"/>
  <c r="F101" i="4"/>
  <c r="E101" i="4"/>
  <c r="C101" i="4"/>
  <c r="O100" i="4"/>
  <c r="M100" i="4"/>
  <c r="F100" i="4"/>
  <c r="E100" i="4"/>
  <c r="C100" i="4"/>
  <c r="O99" i="4"/>
  <c r="F99" i="4"/>
  <c r="E99" i="4"/>
  <c r="C99" i="4"/>
  <c r="O98" i="4"/>
  <c r="N98" i="4"/>
  <c r="F98" i="4"/>
  <c r="E98" i="4"/>
  <c r="C98" i="4"/>
  <c r="O97" i="4"/>
  <c r="N97" i="4"/>
  <c r="F97" i="4"/>
  <c r="E97" i="4"/>
  <c r="C97" i="4"/>
  <c r="O96" i="4"/>
  <c r="N96" i="4"/>
  <c r="F96" i="4"/>
  <c r="E96" i="4"/>
  <c r="C96" i="4"/>
  <c r="O95" i="4"/>
  <c r="N95" i="4"/>
  <c r="M95" i="4"/>
  <c r="F95" i="4"/>
  <c r="E95" i="4"/>
  <c r="C95" i="4"/>
  <c r="O94" i="4"/>
  <c r="N94" i="4"/>
  <c r="M94" i="4"/>
  <c r="F94" i="4"/>
  <c r="E94" i="4"/>
  <c r="C94" i="4"/>
  <c r="O93" i="4"/>
  <c r="N93" i="4"/>
  <c r="M93" i="4"/>
  <c r="F93" i="4"/>
  <c r="E93" i="4"/>
  <c r="C93" i="4"/>
  <c r="N92" i="4"/>
  <c r="M92" i="4"/>
  <c r="F92" i="4"/>
  <c r="E92" i="4"/>
  <c r="C92" i="4"/>
  <c r="O91" i="4"/>
  <c r="N91" i="4"/>
  <c r="M91" i="4"/>
  <c r="F91" i="4"/>
  <c r="E91" i="4"/>
  <c r="C91" i="4"/>
  <c r="O90" i="4"/>
  <c r="N90" i="4"/>
  <c r="M90" i="4"/>
  <c r="F90" i="4"/>
  <c r="E90" i="4"/>
  <c r="C90" i="4"/>
  <c r="O89" i="4"/>
  <c r="N89" i="4"/>
  <c r="M89" i="4"/>
  <c r="F89" i="4"/>
  <c r="E89" i="4"/>
  <c r="C89" i="4"/>
  <c r="O88" i="4"/>
  <c r="N88" i="4"/>
  <c r="M88" i="4"/>
  <c r="F88" i="4"/>
  <c r="E88" i="4"/>
  <c r="C88" i="4"/>
  <c r="O87" i="4"/>
  <c r="N87" i="4"/>
  <c r="M87" i="4"/>
  <c r="F87" i="4"/>
  <c r="E87" i="4"/>
  <c r="C87" i="4"/>
  <c r="O86" i="4"/>
  <c r="N86" i="4"/>
  <c r="M86" i="4"/>
  <c r="F86" i="4"/>
  <c r="E86" i="4"/>
  <c r="C86" i="4"/>
  <c r="O85" i="4"/>
  <c r="N85" i="4"/>
  <c r="M85" i="4"/>
  <c r="F85" i="4"/>
  <c r="E85" i="4"/>
  <c r="C85" i="4"/>
  <c r="O84" i="4"/>
  <c r="N84" i="4"/>
  <c r="M84" i="4"/>
  <c r="F84" i="4"/>
  <c r="E84" i="4"/>
  <c r="C84" i="4"/>
  <c r="O83" i="4"/>
  <c r="N83" i="4"/>
  <c r="M83" i="4"/>
  <c r="F83" i="4"/>
  <c r="E83" i="4"/>
  <c r="C83" i="4"/>
  <c r="O82" i="4"/>
  <c r="N82" i="4"/>
  <c r="M82" i="4"/>
  <c r="F82" i="4"/>
  <c r="E82" i="4"/>
  <c r="C82" i="4"/>
  <c r="O81" i="4"/>
  <c r="N81" i="4"/>
  <c r="M81" i="4"/>
  <c r="F81" i="4"/>
  <c r="E81" i="4"/>
  <c r="C81" i="4"/>
  <c r="O80" i="4"/>
  <c r="N80" i="4"/>
  <c r="M80" i="4"/>
  <c r="F80" i="4"/>
  <c r="E80" i="4"/>
  <c r="C80" i="4"/>
  <c r="O79" i="4"/>
  <c r="N79" i="4"/>
  <c r="M79" i="4"/>
  <c r="F79" i="4"/>
  <c r="E79" i="4"/>
  <c r="C79" i="4"/>
  <c r="O78" i="4"/>
  <c r="N78" i="4"/>
  <c r="M78" i="4"/>
  <c r="F78" i="4"/>
  <c r="E78" i="4"/>
  <c r="C78" i="4"/>
  <c r="O77" i="4"/>
  <c r="N77" i="4"/>
  <c r="M77" i="4"/>
  <c r="F77" i="4"/>
  <c r="E77" i="4"/>
  <c r="C77" i="4"/>
  <c r="O76" i="4"/>
  <c r="N76" i="4"/>
  <c r="M76" i="4"/>
  <c r="F76" i="4"/>
  <c r="E76" i="4"/>
  <c r="C76" i="4"/>
  <c r="O75" i="4"/>
  <c r="N75" i="4"/>
  <c r="M75" i="4"/>
  <c r="F75" i="4"/>
  <c r="E75" i="4"/>
  <c r="C75" i="4"/>
  <c r="O74" i="4"/>
  <c r="N74" i="4"/>
  <c r="M74" i="4"/>
  <c r="F74" i="4"/>
  <c r="E74" i="4"/>
  <c r="C74" i="4"/>
  <c r="N73" i="4"/>
  <c r="M73" i="4"/>
  <c r="F73" i="4"/>
  <c r="E73" i="4"/>
  <c r="C73" i="4"/>
  <c r="O72" i="4"/>
  <c r="N72" i="4"/>
  <c r="M72" i="4"/>
  <c r="F72" i="4"/>
  <c r="E72" i="4"/>
  <c r="C72" i="4"/>
  <c r="O71" i="4"/>
  <c r="N71" i="4"/>
  <c r="M71" i="4"/>
  <c r="F71" i="4"/>
  <c r="E71" i="4"/>
  <c r="C71" i="4"/>
  <c r="O70" i="4"/>
  <c r="N70" i="4"/>
  <c r="M70" i="4"/>
  <c r="F70" i="4"/>
  <c r="E70" i="4"/>
  <c r="C70" i="4"/>
  <c r="O69" i="4"/>
  <c r="N69" i="4"/>
  <c r="M69" i="4"/>
  <c r="F69" i="4"/>
  <c r="E69" i="4"/>
  <c r="C69" i="4"/>
  <c r="O68" i="4"/>
  <c r="N68" i="4"/>
  <c r="M68" i="4"/>
  <c r="F68" i="4"/>
  <c r="E68" i="4"/>
  <c r="C68" i="4"/>
  <c r="O67" i="4"/>
  <c r="N67" i="4"/>
  <c r="M67" i="4"/>
  <c r="F67" i="4"/>
  <c r="E67" i="4"/>
  <c r="C67" i="4"/>
  <c r="O66" i="4"/>
  <c r="N66" i="4"/>
  <c r="M66" i="4"/>
  <c r="F66" i="4"/>
  <c r="E66" i="4"/>
  <c r="C66" i="4"/>
  <c r="O65" i="4"/>
  <c r="N65" i="4"/>
  <c r="M65" i="4"/>
  <c r="F65" i="4"/>
  <c r="E65" i="4"/>
  <c r="C65" i="4"/>
  <c r="O64" i="4"/>
  <c r="N64" i="4"/>
  <c r="M64" i="4"/>
  <c r="F64" i="4"/>
  <c r="E64" i="4"/>
  <c r="C64" i="4"/>
  <c r="O63" i="4"/>
  <c r="N63" i="4"/>
  <c r="M63" i="4"/>
  <c r="F63" i="4"/>
  <c r="E63" i="4"/>
  <c r="C63" i="4"/>
  <c r="O62" i="4"/>
  <c r="N62" i="4"/>
  <c r="M62" i="4"/>
  <c r="F62" i="4"/>
  <c r="E62" i="4"/>
  <c r="C62" i="4"/>
  <c r="O61" i="4"/>
  <c r="N61" i="4"/>
  <c r="M61" i="4"/>
  <c r="F61" i="4"/>
  <c r="E61" i="4"/>
  <c r="C61" i="4"/>
  <c r="O60" i="4"/>
  <c r="N60" i="4"/>
  <c r="M60" i="4"/>
  <c r="F60" i="4"/>
  <c r="E60" i="4"/>
  <c r="C60" i="4"/>
  <c r="N59" i="4"/>
  <c r="M59" i="4"/>
  <c r="F59" i="4"/>
  <c r="E59" i="4"/>
  <c r="C59" i="4"/>
  <c r="N58" i="4"/>
  <c r="M58" i="4"/>
  <c r="F58" i="4"/>
  <c r="E58" i="4"/>
  <c r="C58" i="4"/>
  <c r="O57" i="4"/>
  <c r="N57" i="4"/>
  <c r="M57" i="4"/>
  <c r="F57" i="4"/>
  <c r="E57" i="4"/>
  <c r="C57" i="4"/>
  <c r="O56" i="4"/>
  <c r="N56" i="4"/>
  <c r="M56" i="4"/>
  <c r="F56" i="4"/>
  <c r="E56" i="4"/>
  <c r="C56" i="4"/>
  <c r="O55" i="4"/>
  <c r="N55" i="4"/>
  <c r="M55" i="4"/>
  <c r="F55" i="4"/>
  <c r="E55" i="4"/>
  <c r="C55" i="4"/>
  <c r="O54" i="4"/>
  <c r="N54" i="4"/>
  <c r="M54" i="4"/>
  <c r="F54" i="4"/>
  <c r="E54" i="4"/>
  <c r="C54" i="4"/>
  <c r="O53" i="4"/>
  <c r="N53" i="4"/>
  <c r="M53" i="4"/>
  <c r="F53" i="4"/>
  <c r="E53" i="4"/>
  <c r="C53" i="4"/>
  <c r="O52" i="4"/>
  <c r="N52" i="4"/>
  <c r="M52" i="4"/>
  <c r="F52" i="4"/>
  <c r="E52" i="4"/>
  <c r="C52" i="4"/>
  <c r="O51" i="4"/>
  <c r="N51" i="4"/>
  <c r="M51" i="4"/>
  <c r="F51" i="4"/>
  <c r="E51" i="4"/>
  <c r="C51" i="4"/>
  <c r="O50" i="4"/>
  <c r="N50" i="4"/>
  <c r="M50" i="4"/>
  <c r="F50" i="4"/>
  <c r="E50" i="4"/>
  <c r="C50" i="4"/>
  <c r="O49" i="4"/>
  <c r="N49" i="4"/>
  <c r="M49" i="4"/>
  <c r="F49" i="4"/>
  <c r="E49" i="4"/>
  <c r="C49" i="4"/>
  <c r="O48" i="4"/>
  <c r="N48" i="4"/>
  <c r="M48" i="4"/>
  <c r="F48" i="4"/>
  <c r="E48" i="4"/>
  <c r="C48" i="4"/>
  <c r="O47" i="4"/>
  <c r="N47" i="4"/>
  <c r="M47" i="4"/>
  <c r="F47" i="4"/>
  <c r="E47" i="4"/>
  <c r="C47" i="4"/>
  <c r="O46" i="4"/>
  <c r="N46" i="4"/>
  <c r="M46" i="4"/>
  <c r="F46" i="4"/>
  <c r="E46" i="4"/>
  <c r="C46" i="4"/>
  <c r="O45" i="4"/>
  <c r="N45" i="4"/>
  <c r="M45" i="4"/>
  <c r="F45" i="4"/>
  <c r="E45" i="4"/>
  <c r="C45" i="4"/>
  <c r="O44" i="4"/>
  <c r="N44" i="4"/>
  <c r="M44" i="4"/>
  <c r="F44" i="4"/>
  <c r="E44" i="4"/>
  <c r="C44" i="4"/>
  <c r="O43" i="4"/>
  <c r="N43" i="4"/>
  <c r="M43" i="4"/>
  <c r="F43" i="4"/>
  <c r="E43" i="4"/>
  <c r="C43" i="4"/>
  <c r="O42" i="4"/>
  <c r="N42" i="4"/>
  <c r="M42" i="4"/>
  <c r="F42" i="4"/>
  <c r="E42" i="4"/>
  <c r="C42" i="4"/>
  <c r="O41" i="4"/>
  <c r="N41" i="4"/>
  <c r="M41" i="4"/>
  <c r="F41" i="4"/>
  <c r="E41" i="4"/>
  <c r="C41" i="4"/>
  <c r="O40" i="4"/>
  <c r="N40" i="4"/>
  <c r="M40" i="4"/>
  <c r="F40" i="4"/>
  <c r="E40" i="4"/>
  <c r="C40" i="4"/>
  <c r="O39" i="4"/>
  <c r="N39" i="4"/>
  <c r="M39" i="4"/>
  <c r="F39" i="4"/>
  <c r="E39" i="4"/>
  <c r="C39" i="4"/>
  <c r="O38" i="4"/>
  <c r="N38" i="4"/>
  <c r="M38" i="4"/>
  <c r="F38" i="4"/>
  <c r="E38" i="4"/>
  <c r="C38" i="4"/>
  <c r="O37" i="4"/>
  <c r="N37" i="4"/>
  <c r="M37" i="4"/>
  <c r="F37" i="4"/>
  <c r="E37" i="4"/>
  <c r="C37" i="4"/>
  <c r="O36" i="4"/>
  <c r="N36" i="4"/>
  <c r="M36" i="4"/>
  <c r="F36" i="4"/>
  <c r="E36" i="4"/>
  <c r="C36" i="4"/>
  <c r="O35" i="4"/>
  <c r="N35" i="4"/>
  <c r="M35" i="4"/>
  <c r="F35" i="4"/>
  <c r="E35" i="4"/>
  <c r="C35" i="4"/>
  <c r="O34" i="4"/>
  <c r="N34" i="4"/>
  <c r="M34" i="4"/>
  <c r="F34" i="4"/>
  <c r="E34" i="4"/>
  <c r="C34" i="4"/>
  <c r="O33" i="4"/>
  <c r="N33" i="4"/>
  <c r="M33" i="4"/>
  <c r="F33" i="4"/>
  <c r="E33" i="4"/>
  <c r="C33" i="4"/>
  <c r="O32" i="4"/>
  <c r="N32" i="4"/>
  <c r="M32" i="4"/>
  <c r="F32" i="4"/>
  <c r="E32" i="4"/>
  <c r="C32" i="4"/>
  <c r="O31" i="4"/>
  <c r="N31" i="4"/>
  <c r="M31" i="4"/>
  <c r="F31" i="4"/>
  <c r="E31" i="4"/>
  <c r="C31" i="4"/>
  <c r="O30" i="4"/>
  <c r="N30" i="4"/>
  <c r="M30" i="4"/>
  <c r="F30" i="4"/>
  <c r="E30" i="4"/>
  <c r="C30" i="4"/>
  <c r="O29" i="4"/>
  <c r="N29" i="4"/>
  <c r="M29" i="4"/>
  <c r="F29" i="4"/>
  <c r="E29" i="4"/>
  <c r="C29" i="4"/>
  <c r="O28" i="4"/>
  <c r="N28" i="4"/>
  <c r="M28" i="4"/>
  <c r="F28" i="4"/>
  <c r="E28" i="4"/>
  <c r="C28" i="4"/>
  <c r="O27" i="4"/>
  <c r="N27" i="4"/>
  <c r="M27" i="4"/>
  <c r="F27" i="4"/>
  <c r="E27" i="4"/>
  <c r="C27" i="4"/>
  <c r="O26" i="4"/>
  <c r="N26" i="4"/>
  <c r="M26" i="4"/>
  <c r="F26" i="4"/>
  <c r="E26" i="4"/>
  <c r="C26" i="4"/>
  <c r="O25" i="4"/>
  <c r="N25" i="4"/>
  <c r="M25" i="4"/>
  <c r="F25" i="4"/>
  <c r="E25" i="4"/>
  <c r="C25" i="4"/>
  <c r="O24" i="4"/>
  <c r="N24" i="4"/>
  <c r="M24" i="4"/>
  <c r="F24" i="4"/>
  <c r="E24" i="4"/>
  <c r="C24" i="4"/>
  <c r="V23" i="4"/>
  <c r="P23" i="4"/>
  <c r="O23" i="4"/>
  <c r="N23" i="4"/>
  <c r="M23" i="4"/>
  <c r="F23" i="4"/>
  <c r="E23" i="4"/>
  <c r="C23" i="4"/>
  <c r="V22" i="4"/>
  <c r="P22" i="4"/>
  <c r="O22" i="4"/>
  <c r="N22" i="4"/>
  <c r="M22" i="4"/>
  <c r="F22" i="4"/>
  <c r="E22" i="4"/>
  <c r="C22" i="4"/>
  <c r="V21" i="4"/>
  <c r="P21" i="4"/>
  <c r="O21" i="4"/>
  <c r="N21" i="4"/>
  <c r="M21" i="4"/>
  <c r="F21" i="4"/>
  <c r="E21" i="4"/>
  <c r="C21" i="4"/>
  <c r="V20" i="4"/>
  <c r="P20" i="4"/>
  <c r="O20" i="4"/>
  <c r="N20" i="4"/>
  <c r="M20" i="4"/>
  <c r="F20" i="4"/>
  <c r="E20" i="4"/>
  <c r="C20" i="4"/>
  <c r="V19" i="4"/>
  <c r="P19" i="4"/>
  <c r="O19" i="4"/>
  <c r="N19" i="4"/>
  <c r="M19" i="4"/>
  <c r="F19" i="4"/>
  <c r="E19" i="4"/>
  <c r="C19" i="4"/>
  <c r="V18" i="4"/>
  <c r="P18" i="4"/>
  <c r="O18" i="4"/>
  <c r="N18" i="4"/>
  <c r="M18" i="4"/>
  <c r="F18" i="4"/>
  <c r="E18" i="4"/>
  <c r="C18" i="4"/>
  <c r="V17" i="4"/>
  <c r="P17" i="4"/>
  <c r="O17" i="4"/>
  <c r="N17" i="4"/>
  <c r="M17" i="4"/>
  <c r="F17" i="4"/>
  <c r="E17" i="4"/>
  <c r="C17" i="4"/>
  <c r="V16" i="4"/>
  <c r="P16" i="4"/>
  <c r="O16" i="4"/>
  <c r="N16" i="4"/>
  <c r="M16" i="4"/>
  <c r="F16" i="4"/>
  <c r="E16" i="4"/>
  <c r="C16" i="4"/>
  <c r="C15" i="4"/>
  <c r="C14" i="4"/>
  <c r="C13" i="4"/>
  <c r="C12" i="4"/>
  <c r="C11" i="4"/>
  <c r="C10" i="4"/>
  <c r="C9" i="4"/>
  <c r="C8" i="4"/>
  <c r="C7" i="4"/>
  <c r="C6" i="4"/>
  <c r="C5" i="4"/>
  <c r="C4" i="4"/>
  <c r="C3" i="4"/>
  <c r="N440" i="2"/>
  <c r="M440" i="2"/>
  <c r="N439" i="2"/>
  <c r="M439" i="2"/>
  <c r="N438" i="2"/>
  <c r="M438" i="2"/>
  <c r="C440" i="2"/>
  <c r="C439" i="2"/>
  <c r="C438" i="2"/>
  <c r="C418" i="2"/>
  <c r="C419" i="2"/>
  <c r="C420" i="2"/>
  <c r="C421" i="2"/>
  <c r="C422" i="2"/>
  <c r="C423" i="2"/>
  <c r="C424" i="2"/>
  <c r="C425" i="2"/>
  <c r="C426" i="2"/>
  <c r="C427" i="2"/>
  <c r="C428" i="2"/>
  <c r="C429" i="2"/>
  <c r="C430" i="2"/>
  <c r="C431" i="2"/>
  <c r="C432" i="2"/>
  <c r="C433" i="2"/>
  <c r="C434" i="2"/>
  <c r="C435" i="2"/>
  <c r="C436" i="2"/>
  <c r="C437" i="2"/>
  <c r="C417" i="2"/>
  <c r="C401" i="2"/>
  <c r="C402" i="2"/>
  <c r="C403" i="2"/>
  <c r="C404" i="2"/>
  <c r="C405" i="2"/>
  <c r="C406" i="2"/>
  <c r="C407" i="2"/>
  <c r="C408" i="2"/>
  <c r="C409" i="2"/>
  <c r="C410" i="2"/>
  <c r="C411" i="2"/>
  <c r="C412" i="2"/>
  <c r="C413" i="2"/>
  <c r="C400" i="2"/>
  <c r="C399" i="2"/>
  <c r="C398" i="2"/>
  <c r="C397" i="2"/>
  <c r="N416" i="2"/>
  <c r="M416" i="2"/>
  <c r="N415" i="2"/>
  <c r="M415" i="2"/>
  <c r="N414" i="2"/>
  <c r="M414" i="2"/>
  <c r="C416" i="2"/>
  <c r="C415" i="2"/>
  <c r="C414" i="2"/>
  <c r="F396" i="2"/>
  <c r="E396" i="2"/>
  <c r="C396" i="2"/>
  <c r="C395" i="2"/>
  <c r="C394" i="2"/>
  <c r="C393" i="2"/>
  <c r="C392" i="2"/>
  <c r="C391" i="2"/>
  <c r="N389" i="2"/>
  <c r="M389" i="2"/>
  <c r="N390" i="2"/>
  <c r="M390" i="2"/>
  <c r="C390" i="2"/>
  <c r="C389" i="2"/>
  <c r="M388" i="2"/>
  <c r="N388" i="2"/>
  <c r="N387" i="2"/>
  <c r="M387" i="2"/>
  <c r="C388" i="2"/>
  <c r="C387" i="2"/>
  <c r="N385" i="2"/>
  <c r="M385" i="2"/>
  <c r="N386" i="2"/>
  <c r="C385" i="2"/>
  <c r="C386" i="2"/>
  <c r="M386" i="2"/>
  <c r="C318" i="2"/>
  <c r="N373" i="2"/>
  <c r="M373" i="2"/>
  <c r="C37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4" i="2"/>
  <c r="C375" i="2"/>
  <c r="C376" i="2"/>
  <c r="C377" i="2"/>
  <c r="C378" i="2"/>
  <c r="C379" i="2"/>
  <c r="C380" i="2"/>
  <c r="C381" i="2"/>
  <c r="C382" i="2"/>
  <c r="C383" i="2"/>
  <c r="C384" i="2"/>
  <c r="C3" i="2"/>
  <c r="N332" i="2"/>
  <c r="N331" i="2"/>
  <c r="N329" i="2"/>
  <c r="N327" i="2"/>
  <c r="N323" i="2"/>
  <c r="N321" i="2"/>
  <c r="N320" i="2"/>
  <c r="N326" i="2"/>
  <c r="N319" i="2"/>
  <c r="M254" i="2"/>
  <c r="M253" i="2"/>
  <c r="F254" i="2"/>
  <c r="E254" i="2"/>
  <c r="F253" i="2"/>
  <c r="E253" i="2"/>
  <c r="F252" i="2"/>
  <c r="E252" i="2"/>
  <c r="F255" i="2"/>
  <c r="E255" i="2"/>
  <c r="F257" i="2"/>
  <c r="E257" i="2"/>
  <c r="F256" i="2"/>
  <c r="E256" i="2"/>
  <c r="F258" i="2"/>
  <c r="E258" i="2"/>
  <c r="N363" i="2"/>
  <c r="N361" i="2"/>
  <c r="N360" i="2"/>
  <c r="N356" i="2"/>
  <c r="N355" i="2"/>
  <c r="N353" i="2"/>
  <c r="N352" i="2"/>
  <c r="N350" i="2"/>
  <c r="N349" i="2"/>
  <c r="N348" i="2"/>
  <c r="N354" i="2"/>
  <c r="M347" i="2"/>
  <c r="N347" i="2" s="1"/>
  <c r="M346" i="2"/>
  <c r="N346" i="2" s="1"/>
  <c r="M345" i="2"/>
  <c r="N345" i="2" s="1"/>
  <c r="M344" i="2"/>
  <c r="N344" i="2" s="1"/>
  <c r="M343" i="2"/>
  <c r="N343" i="2" s="1"/>
  <c r="F251" i="2"/>
  <c r="E251" i="2"/>
  <c r="F235" i="2"/>
  <c r="F236" i="2" s="1"/>
  <c r="F237" i="2" s="1"/>
  <c r="F239" i="2"/>
  <c r="F240" i="2" s="1"/>
  <c r="F241" i="2" s="1"/>
  <c r="F243" i="2"/>
  <c r="F244" i="2" s="1"/>
  <c r="F245" i="2" s="1"/>
  <c r="F247" i="2"/>
  <c r="F248" i="2" s="1"/>
  <c r="F249" i="2" s="1"/>
  <c r="F231" i="2"/>
  <c r="F232" i="2" s="1"/>
  <c r="F233" i="2" s="1"/>
  <c r="F228" i="2"/>
  <c r="F229" i="2" s="1"/>
  <c r="F222" i="2"/>
  <c r="E222" i="2"/>
  <c r="F206" i="5" l="1"/>
  <c r="F207" i="5"/>
  <c r="E209" i="5"/>
  <c r="E210" i="5" s="1"/>
  <c r="E208" i="5"/>
  <c r="E1459" i="2"/>
  <c r="E1461" i="2" s="1"/>
  <c r="F1459" i="2"/>
  <c r="E1460" i="2"/>
  <c r="E210" i="4"/>
  <c r="E207" i="4"/>
  <c r="F207" i="4"/>
  <c r="F204" i="4"/>
  <c r="F212" i="4"/>
  <c r="E294" i="4"/>
  <c r="E314" i="4" s="1"/>
  <c r="E205" i="4"/>
  <c r="F210" i="4"/>
  <c r="E213" i="4"/>
  <c r="F205" i="4"/>
  <c r="E208" i="4"/>
  <c r="F213" i="4"/>
  <c r="F208" i="4"/>
  <c r="E211" i="4"/>
  <c r="F294" i="4"/>
  <c r="F316" i="4" s="1"/>
  <c r="E206" i="4"/>
  <c r="F211" i="4"/>
  <c r="F206" i="4"/>
  <c r="E209" i="4"/>
  <c r="E204" i="4"/>
  <c r="F209" i="4"/>
  <c r="E212" i="4"/>
  <c r="B16" i="3"/>
  <c r="F183" i="2"/>
  <c r="F184" i="2" s="1"/>
  <c r="F185" i="2" s="1"/>
  <c r="F186" i="2" s="1"/>
  <c r="F187" i="2" s="1"/>
  <c r="F188" i="2" s="1"/>
  <c r="F189" i="2" s="1"/>
  <c r="F190" i="2" s="1"/>
  <c r="F191" i="2" s="1"/>
  <c r="F192" i="2" s="1"/>
  <c r="F193" i="2" s="1"/>
  <c r="F194" i="2" s="1"/>
  <c r="F195" i="2" s="1"/>
  <c r="F196" i="2" s="1"/>
  <c r="F197" i="2" s="1"/>
  <c r="F198" i="2" s="1"/>
  <c r="F199" i="2" s="1"/>
  <c r="F200" i="2" s="1"/>
  <c r="F201" i="2" s="1"/>
  <c r="F202" i="2" s="1"/>
  <c r="F203" i="2" s="1"/>
  <c r="E185" i="2"/>
  <c r="E186" i="2" s="1"/>
  <c r="E187" i="2" s="1"/>
  <c r="E188" i="2" s="1"/>
  <c r="E189" i="2" s="1"/>
  <c r="E190" i="2" s="1"/>
  <c r="E191" i="2" s="1"/>
  <c r="E192" i="2" s="1"/>
  <c r="E193" i="2" s="1"/>
  <c r="E194" i="2" s="1"/>
  <c r="E195" i="2" s="1"/>
  <c r="E196" i="2" s="1"/>
  <c r="E197" i="2" s="1"/>
  <c r="E198" i="2" s="1"/>
  <c r="E199" i="2" s="1"/>
  <c r="E200" i="2" s="1"/>
  <c r="E201" i="2" s="1"/>
  <c r="E202" i="2" s="1"/>
  <c r="E203" i="2" s="1"/>
  <c r="E184" i="2"/>
  <c r="E183" i="2"/>
  <c r="F182" i="2"/>
  <c r="E182" i="2"/>
  <c r="F181" i="2"/>
  <c r="E181" i="2"/>
  <c r="F180" i="2"/>
  <c r="E180" i="2"/>
  <c r="F179" i="2"/>
  <c r="E179" i="2"/>
  <c r="F178" i="2"/>
  <c r="E178" i="2"/>
  <c r="F177" i="2"/>
  <c r="E177" i="2"/>
  <c r="F176" i="2"/>
  <c r="E176" i="2"/>
  <c r="F175" i="2"/>
  <c r="E175" i="2"/>
  <c r="F174" i="2"/>
  <c r="E174" i="2"/>
  <c r="F173" i="2"/>
  <c r="E173" i="2"/>
  <c r="F160" i="2"/>
  <c r="E160" i="2"/>
  <c r="F159" i="2"/>
  <c r="E159" i="2"/>
  <c r="F172" i="2"/>
  <c r="E172" i="2"/>
  <c r="F171" i="2"/>
  <c r="E171" i="2"/>
  <c r="F170" i="2"/>
  <c r="E170" i="2"/>
  <c r="F169" i="2"/>
  <c r="E169" i="2"/>
  <c r="F168" i="2"/>
  <c r="E168" i="2"/>
  <c r="F167" i="2"/>
  <c r="E167" i="2"/>
  <c r="F166" i="2"/>
  <c r="E166" i="2"/>
  <c r="F165" i="2"/>
  <c r="E165" i="2"/>
  <c r="F164" i="2"/>
  <c r="E164" i="2"/>
  <c r="F163" i="2"/>
  <c r="E163" i="2"/>
  <c r="F162" i="2"/>
  <c r="E162" i="2"/>
  <c r="F161" i="2"/>
  <c r="E161" i="2"/>
  <c r="F158" i="2"/>
  <c r="E158" i="2"/>
  <c r="F157" i="2"/>
  <c r="E157" i="2"/>
  <c r="F156" i="2"/>
  <c r="E156" i="2"/>
  <c r="F155" i="2"/>
  <c r="E155" i="2"/>
  <c r="F154" i="2"/>
  <c r="E154" i="2"/>
  <c r="F314" i="2"/>
  <c r="E314" i="2"/>
  <c r="E313" i="2"/>
  <c r="E312" i="2"/>
  <c r="F305" i="2"/>
  <c r="E305" i="2"/>
  <c r="F304" i="2"/>
  <c r="E304" i="2"/>
  <c r="F303" i="2"/>
  <c r="E303" i="2"/>
  <c r="F301" i="2"/>
  <c r="E301" i="2"/>
  <c r="F300" i="2"/>
  <c r="E300" i="2"/>
  <c r="F299" i="2"/>
  <c r="E299" i="2"/>
  <c r="E298" i="2"/>
  <c r="F297" i="2"/>
  <c r="E297" i="2"/>
  <c r="E296" i="2"/>
  <c r="F293" i="2"/>
  <c r="E293" i="2"/>
  <c r="F290" i="2"/>
  <c r="E290" i="2"/>
  <c r="F285" i="2"/>
  <c r="E285" i="2"/>
  <c r="F284" i="2"/>
  <c r="E284" i="2"/>
  <c r="F283" i="2"/>
  <c r="E283" i="2"/>
  <c r="F282" i="2"/>
  <c r="E282" i="2"/>
  <c r="F281" i="2"/>
  <c r="E281" i="2"/>
  <c r="F280" i="2"/>
  <c r="E280" i="2"/>
  <c r="F279" i="2"/>
  <c r="E279" i="2"/>
  <c r="E278" i="2"/>
  <c r="F277" i="2"/>
  <c r="E277" i="2"/>
  <c r="F308" i="2"/>
  <c r="E308" i="2"/>
  <c r="F292" i="2"/>
  <c r="E292" i="2"/>
  <c r="F311" i="2"/>
  <c r="E311" i="2"/>
  <c r="F310" i="2"/>
  <c r="E310" i="2"/>
  <c r="F287" i="2"/>
  <c r="E287" i="2"/>
  <c r="F276" i="2"/>
  <c r="E276" i="2"/>
  <c r="F307" i="2"/>
  <c r="E307" i="2"/>
  <c r="F291" i="2"/>
  <c r="E291" i="2"/>
  <c r="F286" i="2"/>
  <c r="E286" i="2"/>
  <c r="F289" i="2"/>
  <c r="E289" i="2"/>
  <c r="F288" i="2"/>
  <c r="E288" i="2"/>
  <c r="V276" i="2"/>
  <c r="V307" i="2"/>
  <c r="V286" i="2"/>
  <c r="F273" i="2"/>
  <c r="E273" i="2"/>
  <c r="F265" i="2"/>
  <c r="E265" i="2"/>
  <c r="F264" i="2"/>
  <c r="E264" i="2"/>
  <c r="F208" i="5" l="1"/>
  <c r="F210" i="5" s="1"/>
  <c r="F209" i="5"/>
  <c r="E1462" i="2"/>
  <c r="F1460" i="2"/>
  <c r="E305" i="4"/>
  <c r="E316" i="4"/>
  <c r="E301" i="4"/>
  <c r="F305" i="4"/>
  <c r="F314" i="4"/>
  <c r="F301" i="4"/>
  <c r="E210" i="2"/>
  <c r="F206" i="2"/>
  <c r="F213" i="2"/>
  <c r="E209" i="2"/>
  <c r="F209" i="2"/>
  <c r="E205" i="2"/>
  <c r="E211" i="2"/>
  <c r="E295" i="2"/>
  <c r="E317" i="2" s="1"/>
  <c r="F205" i="2"/>
  <c r="F211" i="2"/>
  <c r="E206" i="2"/>
  <c r="E212" i="2"/>
  <c r="E207" i="2"/>
  <c r="F295" i="2"/>
  <c r="F306" i="2" s="1"/>
  <c r="F208" i="2"/>
  <c r="F210" i="2"/>
  <c r="E204" i="2"/>
  <c r="F204" i="2"/>
  <c r="F207" i="2"/>
  <c r="E208" i="2"/>
  <c r="F212" i="2"/>
  <c r="E213" i="2"/>
  <c r="F144" i="2"/>
  <c r="E144" i="2"/>
  <c r="F136" i="2"/>
  <c r="E136" i="2"/>
  <c r="F145" i="2"/>
  <c r="E145" i="2"/>
  <c r="F133" i="2"/>
  <c r="E133" i="2"/>
  <c r="O153" i="2"/>
  <c r="O152" i="2"/>
  <c r="O151" i="2"/>
  <c r="O150" i="2"/>
  <c r="O149" i="2"/>
  <c r="O148" i="2"/>
  <c r="O147" i="2"/>
  <c r="O146" i="2"/>
  <c r="O145" i="2"/>
  <c r="O144" i="2"/>
  <c r="N153" i="2"/>
  <c r="N152" i="2"/>
  <c r="N151" i="2"/>
  <c r="N150" i="2"/>
  <c r="N149" i="2"/>
  <c r="N148" i="2"/>
  <c r="N147" i="2"/>
  <c r="N146" i="2"/>
  <c r="N145" i="2"/>
  <c r="N144" i="2"/>
  <c r="M153" i="2"/>
  <c r="M152" i="2"/>
  <c r="M151" i="2"/>
  <c r="M150" i="2"/>
  <c r="M149" i="2"/>
  <c r="M148" i="2"/>
  <c r="M147" i="2"/>
  <c r="M146" i="2"/>
  <c r="M145" i="2"/>
  <c r="M144" i="2"/>
  <c r="M143" i="2"/>
  <c r="O143" i="2"/>
  <c r="O142" i="2"/>
  <c r="O141" i="2"/>
  <c r="O140" i="2"/>
  <c r="O138" i="2"/>
  <c r="O137" i="2"/>
  <c r="O136" i="2"/>
  <c r="O134" i="2"/>
  <c r="O133" i="2"/>
  <c r="N143" i="2"/>
  <c r="N142" i="2"/>
  <c r="N141" i="2"/>
  <c r="N140" i="2"/>
  <c r="N139" i="2"/>
  <c r="N138" i="2"/>
  <c r="N137" i="2"/>
  <c r="N136" i="2"/>
  <c r="N134" i="2"/>
  <c r="N133" i="2"/>
  <c r="M142" i="2"/>
  <c r="M141" i="2"/>
  <c r="M140" i="2"/>
  <c r="M139" i="2"/>
  <c r="M138" i="2"/>
  <c r="M137" i="2"/>
  <c r="M136" i="2"/>
  <c r="M135" i="2"/>
  <c r="M134" i="2"/>
  <c r="M114" i="2"/>
  <c r="F153" i="2"/>
  <c r="E153" i="2"/>
  <c r="F152" i="2"/>
  <c r="E152" i="2"/>
  <c r="F151" i="2"/>
  <c r="E151" i="2"/>
  <c r="F150" i="2"/>
  <c r="E150" i="2"/>
  <c r="F149" i="2"/>
  <c r="E149" i="2"/>
  <c r="F148" i="2"/>
  <c r="E148" i="2"/>
  <c r="F147" i="2"/>
  <c r="E147" i="2"/>
  <c r="F146" i="2"/>
  <c r="E146" i="2"/>
  <c r="F134" i="2"/>
  <c r="E134" i="2"/>
  <c r="F143" i="2"/>
  <c r="E143" i="2"/>
  <c r="F142" i="2"/>
  <c r="E142" i="2"/>
  <c r="F141" i="2"/>
  <c r="E141" i="2"/>
  <c r="F140" i="2"/>
  <c r="E140" i="2"/>
  <c r="F139" i="2"/>
  <c r="E139" i="2"/>
  <c r="F138" i="2"/>
  <c r="E138" i="2"/>
  <c r="F137" i="2"/>
  <c r="E137" i="2"/>
  <c r="O132" i="2"/>
  <c r="O130" i="2"/>
  <c r="O129" i="2"/>
  <c r="O125" i="2"/>
  <c r="O124" i="2"/>
  <c r="N130" i="2"/>
  <c r="N128" i="2"/>
  <c r="N127" i="2"/>
  <c r="N126" i="2"/>
  <c r="N125" i="2"/>
  <c r="M132" i="2"/>
  <c r="M130" i="2"/>
  <c r="M129" i="2"/>
  <c r="M127" i="2"/>
  <c r="M125" i="2"/>
  <c r="M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N122" i="2"/>
  <c r="N121" i="2"/>
  <c r="N120" i="2"/>
  <c r="N119" i="2"/>
  <c r="N117" i="2"/>
  <c r="N115" i="2"/>
  <c r="N114" i="2"/>
  <c r="N113" i="2"/>
  <c r="N112" i="2"/>
  <c r="N111" i="2"/>
  <c r="N109" i="2"/>
  <c r="N108" i="2"/>
  <c r="N107" i="2"/>
  <c r="N106" i="2"/>
  <c r="N105" i="2"/>
  <c r="N104" i="2"/>
  <c r="N103" i="2"/>
  <c r="N102" i="2"/>
  <c r="N98" i="2"/>
  <c r="N97" i="2"/>
  <c r="N96" i="2"/>
  <c r="M117" i="2"/>
  <c r="M115" i="2"/>
  <c r="M113" i="2"/>
  <c r="M111" i="2"/>
  <c r="M110" i="2"/>
  <c r="M109" i="2"/>
  <c r="M108" i="2"/>
  <c r="M106" i="2"/>
  <c r="M104" i="2"/>
  <c r="M100" i="2"/>
  <c r="M95" i="2"/>
  <c r="F132" i="2"/>
  <c r="E132" i="2"/>
  <c r="F131" i="2"/>
  <c r="E131" i="2"/>
  <c r="F130" i="2"/>
  <c r="E130" i="2"/>
  <c r="F129" i="2"/>
  <c r="E129" i="2"/>
  <c r="F128" i="2"/>
  <c r="E128" i="2"/>
  <c r="F127" i="2"/>
  <c r="E127" i="2"/>
  <c r="F126" i="2"/>
  <c r="E126" i="2"/>
  <c r="F125" i="2"/>
  <c r="E125" i="2"/>
  <c r="F124" i="2"/>
  <c r="E124" i="2"/>
  <c r="F123" i="2"/>
  <c r="E123" i="2"/>
  <c r="F122" i="2"/>
  <c r="E122" i="2"/>
  <c r="F121" i="2"/>
  <c r="E121" i="2"/>
  <c r="F120" i="2"/>
  <c r="E120" i="2"/>
  <c r="F119" i="2"/>
  <c r="E119" i="2"/>
  <c r="F118" i="2"/>
  <c r="E118" i="2"/>
  <c r="F117" i="2"/>
  <c r="E117" i="2"/>
  <c r="F116" i="2"/>
  <c r="E116" i="2"/>
  <c r="F115" i="2"/>
  <c r="E115" i="2"/>
  <c r="F114" i="2"/>
  <c r="E114" i="2"/>
  <c r="F113" i="2"/>
  <c r="E113" i="2"/>
  <c r="F112" i="2"/>
  <c r="E112" i="2"/>
  <c r="F111" i="2"/>
  <c r="E111" i="2"/>
  <c r="F110" i="2"/>
  <c r="E110" i="2"/>
  <c r="F109" i="2"/>
  <c r="E109" i="2"/>
  <c r="F108" i="2"/>
  <c r="E108" i="2"/>
  <c r="F107" i="2"/>
  <c r="E107" i="2"/>
  <c r="F106" i="2"/>
  <c r="E106" i="2"/>
  <c r="F105" i="2"/>
  <c r="E105" i="2"/>
  <c r="F104" i="2"/>
  <c r="E104" i="2"/>
  <c r="F103" i="2"/>
  <c r="E103" i="2"/>
  <c r="F102" i="2"/>
  <c r="E102" i="2"/>
  <c r="F101" i="2"/>
  <c r="E101" i="2"/>
  <c r="F100" i="2"/>
  <c r="E100" i="2"/>
  <c r="F99" i="2"/>
  <c r="E99" i="2"/>
  <c r="F98" i="2"/>
  <c r="E98" i="2"/>
  <c r="F97" i="2"/>
  <c r="E97" i="2"/>
  <c r="F96" i="2"/>
  <c r="E96" i="2"/>
  <c r="O91" i="2"/>
  <c r="O90" i="2"/>
  <c r="O89" i="2"/>
  <c r="O88" i="2"/>
  <c r="O87" i="2"/>
  <c r="O86" i="2"/>
  <c r="O85" i="2"/>
  <c r="O84" i="2"/>
  <c r="O83" i="2"/>
  <c r="O82" i="2"/>
  <c r="O81" i="2"/>
  <c r="O80" i="2"/>
  <c r="O79" i="2"/>
  <c r="O78" i="2"/>
  <c r="O77" i="2"/>
  <c r="O76" i="2"/>
  <c r="O75" i="2"/>
  <c r="O74" i="2"/>
  <c r="O72" i="2"/>
  <c r="O71" i="2"/>
  <c r="O70" i="2"/>
  <c r="O69" i="2"/>
  <c r="N92" i="2"/>
  <c r="N91" i="2"/>
  <c r="N90" i="2"/>
  <c r="N89" i="2"/>
  <c r="N88" i="2"/>
  <c r="N87" i="2"/>
  <c r="N86" i="2"/>
  <c r="N85" i="2"/>
  <c r="N84" i="2"/>
  <c r="N83" i="2"/>
  <c r="N82" i="2"/>
  <c r="N81" i="2"/>
  <c r="N80" i="2"/>
  <c r="N79" i="2"/>
  <c r="N78" i="2"/>
  <c r="N77" i="2"/>
  <c r="N76" i="2"/>
  <c r="N75" i="2"/>
  <c r="N74" i="2"/>
  <c r="N73" i="2"/>
  <c r="N72" i="2"/>
  <c r="N71" i="2"/>
  <c r="N70" i="2"/>
  <c r="N69" i="2"/>
  <c r="M92" i="2"/>
  <c r="M91" i="2"/>
  <c r="M90" i="2"/>
  <c r="M89" i="2"/>
  <c r="M88" i="2"/>
  <c r="M87" i="2"/>
  <c r="M86" i="2"/>
  <c r="M85" i="2"/>
  <c r="M84" i="2"/>
  <c r="M83" i="2"/>
  <c r="M82" i="2"/>
  <c r="M81" i="2"/>
  <c r="M80" i="2"/>
  <c r="M79" i="2"/>
  <c r="M78" i="2"/>
  <c r="M77" i="2"/>
  <c r="M76" i="2"/>
  <c r="M75" i="2"/>
  <c r="M74" i="2"/>
  <c r="M73" i="2"/>
  <c r="M72" i="2"/>
  <c r="M71" i="2"/>
  <c r="M70" i="2"/>
  <c r="M69"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 r="F73" i="2"/>
  <c r="E73" i="2"/>
  <c r="F72" i="2"/>
  <c r="E72" i="2"/>
  <c r="F71" i="2"/>
  <c r="E71" i="2"/>
  <c r="F70" i="2"/>
  <c r="E70" i="2"/>
  <c r="F69" i="2"/>
  <c r="E69" i="2"/>
  <c r="O68" i="2"/>
  <c r="O67" i="2"/>
  <c r="O66" i="2"/>
  <c r="O65" i="2"/>
  <c r="O64" i="2"/>
  <c r="O63" i="2"/>
  <c r="O62" i="2"/>
  <c r="O61" i="2"/>
  <c r="O60" i="2"/>
  <c r="N68" i="2"/>
  <c r="N67" i="2"/>
  <c r="N66" i="2"/>
  <c r="N65" i="2"/>
  <c r="N64" i="2"/>
  <c r="N63" i="2"/>
  <c r="N62" i="2"/>
  <c r="N61" i="2"/>
  <c r="N60" i="2"/>
  <c r="M68" i="2"/>
  <c r="M67" i="2"/>
  <c r="M66" i="2"/>
  <c r="M65" i="2"/>
  <c r="M64" i="2"/>
  <c r="M63" i="2"/>
  <c r="M62" i="2"/>
  <c r="M61" i="2"/>
  <c r="M60" i="2"/>
  <c r="O57" i="2"/>
  <c r="O56" i="2"/>
  <c r="O55" i="2"/>
  <c r="O54" i="2"/>
  <c r="O53" i="2"/>
  <c r="O52" i="2"/>
  <c r="O51" i="2"/>
  <c r="O50" i="2"/>
  <c r="O49" i="2"/>
  <c r="N59" i="2"/>
  <c r="N58" i="2"/>
  <c r="N57" i="2"/>
  <c r="N56" i="2"/>
  <c r="N55" i="2"/>
  <c r="N54" i="2"/>
  <c r="N53" i="2"/>
  <c r="N52" i="2"/>
  <c r="N51" i="2"/>
  <c r="N50" i="2"/>
  <c r="N49" i="2"/>
  <c r="M59" i="2"/>
  <c r="M58" i="2"/>
  <c r="M57" i="2"/>
  <c r="M56" i="2"/>
  <c r="M55" i="2"/>
  <c r="M54" i="2"/>
  <c r="M53" i="2"/>
  <c r="M52" i="2"/>
  <c r="M51" i="2"/>
  <c r="M50" i="2"/>
  <c r="M49" i="2"/>
  <c r="O48" i="2"/>
  <c r="O47" i="2"/>
  <c r="O46" i="2"/>
  <c r="O45" i="2"/>
  <c r="O44" i="2"/>
  <c r="O43" i="2"/>
  <c r="O42" i="2"/>
  <c r="O41" i="2"/>
  <c r="O40" i="2"/>
  <c r="O39" i="2"/>
  <c r="N48" i="2"/>
  <c r="N47" i="2"/>
  <c r="N46" i="2"/>
  <c r="N45" i="2"/>
  <c r="N44" i="2"/>
  <c r="N43" i="2"/>
  <c r="N42" i="2"/>
  <c r="N41" i="2"/>
  <c r="N40" i="2"/>
  <c r="N39" i="2"/>
  <c r="M48" i="2"/>
  <c r="M47" i="2"/>
  <c r="M46" i="2"/>
  <c r="M45" i="2"/>
  <c r="M44" i="2"/>
  <c r="M43" i="2"/>
  <c r="M42" i="2"/>
  <c r="M41" i="2"/>
  <c r="M40" i="2"/>
  <c r="M39" i="2"/>
  <c r="O38" i="2"/>
  <c r="O37" i="2"/>
  <c r="O36" i="2"/>
  <c r="O35" i="2"/>
  <c r="O34" i="2"/>
  <c r="O33" i="2"/>
  <c r="O32" i="2"/>
  <c r="O31" i="2"/>
  <c r="O30" i="2"/>
  <c r="O29" i="2"/>
  <c r="O28" i="2"/>
  <c r="N38" i="2"/>
  <c r="N37" i="2"/>
  <c r="N36" i="2"/>
  <c r="N35" i="2"/>
  <c r="N34" i="2"/>
  <c r="N33" i="2"/>
  <c r="N32" i="2"/>
  <c r="N31" i="2"/>
  <c r="N30" i="2"/>
  <c r="N29" i="2"/>
  <c r="N28" i="2"/>
  <c r="M38" i="2"/>
  <c r="M37" i="2"/>
  <c r="M36" i="2"/>
  <c r="M35" i="2"/>
  <c r="M34" i="2"/>
  <c r="M33" i="2"/>
  <c r="M32" i="2"/>
  <c r="M31" i="2"/>
  <c r="M30" i="2"/>
  <c r="M29" i="2"/>
  <c r="M28" i="2"/>
  <c r="F68" i="2"/>
  <c r="E68" i="2"/>
  <c r="F67" i="2"/>
  <c r="E67" i="2"/>
  <c r="F66" i="2"/>
  <c r="E66" i="2"/>
  <c r="F65" i="2"/>
  <c r="E65" i="2"/>
  <c r="F64" i="2"/>
  <c r="E64" i="2"/>
  <c r="F63" i="2"/>
  <c r="E63" i="2"/>
  <c r="F62" i="2"/>
  <c r="E62" i="2"/>
  <c r="F61" i="2"/>
  <c r="E61" i="2"/>
  <c r="F60" i="2"/>
  <c r="E60" i="2"/>
  <c r="F59" i="2"/>
  <c r="E59" i="2"/>
  <c r="F58" i="2"/>
  <c r="E58" i="2"/>
  <c r="F57" i="2"/>
  <c r="E57" i="2"/>
  <c r="F56" i="2"/>
  <c r="E56" i="2"/>
  <c r="F55" i="2"/>
  <c r="E55" i="2"/>
  <c r="F54" i="2"/>
  <c r="E54" i="2"/>
  <c r="F53" i="2"/>
  <c r="E53" i="2"/>
  <c r="F52" i="2"/>
  <c r="E52" i="2"/>
  <c r="F51" i="2"/>
  <c r="E51" i="2"/>
  <c r="F50" i="2"/>
  <c r="E50" i="2"/>
  <c r="F49" i="2"/>
  <c r="E49" i="2"/>
  <c r="F48" i="2"/>
  <c r="E48" i="2"/>
  <c r="F47" i="2"/>
  <c r="E47" i="2"/>
  <c r="F46" i="2"/>
  <c r="E46" i="2"/>
  <c r="F45" i="2"/>
  <c r="E45" i="2"/>
  <c r="F44" i="2"/>
  <c r="E44" i="2"/>
  <c r="F43" i="2"/>
  <c r="E43" i="2"/>
  <c r="F42" i="2"/>
  <c r="E42" i="2"/>
  <c r="F41" i="2"/>
  <c r="E41" i="2"/>
  <c r="F40" i="2"/>
  <c r="E40" i="2"/>
  <c r="F39" i="2"/>
  <c r="E39" i="2"/>
  <c r="F38" i="2"/>
  <c r="E38" i="2"/>
  <c r="F37" i="2"/>
  <c r="E37" i="2"/>
  <c r="F36" i="2"/>
  <c r="E36" i="2"/>
  <c r="F35" i="2"/>
  <c r="E35" i="2"/>
  <c r="F34" i="2"/>
  <c r="E34" i="2"/>
  <c r="F33" i="2"/>
  <c r="E33" i="2"/>
  <c r="F32" i="2"/>
  <c r="E32" i="2"/>
  <c r="F31" i="2"/>
  <c r="E31" i="2"/>
  <c r="F30" i="2"/>
  <c r="E30" i="2"/>
  <c r="F29" i="2"/>
  <c r="E29" i="2"/>
  <c r="F28" i="2"/>
  <c r="E28" i="2"/>
  <c r="F1461" i="2" l="1"/>
  <c r="F1462" i="2" s="1"/>
  <c r="E315" i="2"/>
  <c r="F302" i="2"/>
  <c r="F315" i="2"/>
  <c r="E306" i="2"/>
  <c r="E302" i="2"/>
  <c r="F317" i="2"/>
  <c r="O95" i="2"/>
  <c r="N95" i="2"/>
  <c r="F95" i="2"/>
  <c r="E95" i="2"/>
  <c r="O94" i="2"/>
  <c r="O93" i="2"/>
  <c r="N94" i="2"/>
  <c r="N93" i="2"/>
  <c r="M94" i="2"/>
  <c r="M93" i="2"/>
  <c r="F94" i="2"/>
  <c r="E94" i="2"/>
  <c r="F93" i="2"/>
  <c r="E93" i="2"/>
  <c r="V23" i="2"/>
  <c r="V22" i="2"/>
  <c r="V21" i="2"/>
  <c r="V20" i="2"/>
  <c r="V19" i="2"/>
  <c r="V18" i="2"/>
  <c r="V17" i="2"/>
  <c r="V16" i="2"/>
  <c r="P23" i="2"/>
  <c r="P22" i="2"/>
  <c r="P21" i="2"/>
  <c r="P20" i="2"/>
  <c r="P19" i="2"/>
  <c r="P18" i="2"/>
  <c r="P17" i="2"/>
  <c r="P16" i="2"/>
  <c r="O27" i="2"/>
  <c r="O26" i="2"/>
  <c r="O25" i="2"/>
  <c r="O24" i="2"/>
  <c r="O23" i="2"/>
  <c r="O22" i="2"/>
  <c r="O21" i="2"/>
  <c r="O20" i="2"/>
  <c r="O19" i="2"/>
  <c r="O18" i="2"/>
  <c r="O17" i="2"/>
  <c r="O16" i="2"/>
  <c r="N27" i="2"/>
  <c r="N26" i="2"/>
  <c r="N25" i="2"/>
  <c r="N24" i="2"/>
  <c r="N23" i="2"/>
  <c r="N22" i="2"/>
  <c r="N21" i="2"/>
  <c r="N20" i="2"/>
  <c r="N19" i="2"/>
  <c r="N18" i="2"/>
  <c r="N17" i="2"/>
  <c r="N16" i="2"/>
  <c r="M27" i="2"/>
  <c r="M26" i="2"/>
  <c r="M25" i="2"/>
  <c r="M24" i="2"/>
  <c r="M23" i="2"/>
  <c r="M22" i="2"/>
  <c r="M21" i="2"/>
  <c r="M20" i="2"/>
  <c r="M19" i="2"/>
  <c r="M18" i="2"/>
  <c r="M17" i="2"/>
  <c r="M16" i="2"/>
  <c r="F27" i="2"/>
  <c r="E27" i="2"/>
  <c r="F26" i="2"/>
  <c r="E26" i="2"/>
  <c r="F25" i="2"/>
  <c r="E25" i="2"/>
  <c r="F24" i="2"/>
  <c r="E24" i="2"/>
  <c r="F23" i="2"/>
  <c r="E23" i="2"/>
  <c r="F22" i="2"/>
  <c r="E22" i="2"/>
  <c r="F21" i="2"/>
  <c r="E21" i="2"/>
  <c r="F20" i="2"/>
  <c r="F19" i="2"/>
  <c r="E20" i="2"/>
  <c r="E19" i="2"/>
  <c r="F18" i="2"/>
  <c r="E18" i="2"/>
  <c r="F17" i="2"/>
  <c r="E17" i="2"/>
  <c r="F16" i="2"/>
  <c r="E16" i="2"/>
</calcChain>
</file>

<file path=xl/sharedStrings.xml><?xml version="1.0" encoding="utf-8"?>
<sst xmlns="http://schemas.openxmlformats.org/spreadsheetml/2006/main" count="18296" uniqueCount="435">
  <si>
    <t>Kpeglo et al 2016</t>
  </si>
  <si>
    <t>Produced water</t>
  </si>
  <si>
    <t>Bq/l or Bq/kg</t>
  </si>
  <si>
    <t>Type</t>
  </si>
  <si>
    <t>Date</t>
  </si>
  <si>
    <t>Long</t>
  </si>
  <si>
    <t>Lat</t>
  </si>
  <si>
    <t>Station</t>
  </si>
  <si>
    <t>Unique ID</t>
  </si>
  <si>
    <t>Reference ID</t>
  </si>
  <si>
    <t>Reference</t>
  </si>
  <si>
    <t>Ghana</t>
  </si>
  <si>
    <t>Ocean</t>
  </si>
  <si>
    <t>Atlantic</t>
  </si>
  <si>
    <t>nd</t>
  </si>
  <si>
    <t>USA</t>
  </si>
  <si>
    <t>Country</t>
  </si>
  <si>
    <t>Gulf of Mexico</t>
  </si>
  <si>
    <t>Ambient seawater</t>
  </si>
  <si>
    <t>Produced sand</t>
  </si>
  <si>
    <t>Sediment</t>
  </si>
  <si>
    <t>Distance</t>
  </si>
  <si>
    <t>m</t>
  </si>
  <si>
    <t>Interstitial Water</t>
  </si>
  <si>
    <t>Shell Fish</t>
  </si>
  <si>
    <t>Fish</t>
  </si>
  <si>
    <t>Roe 1998</t>
  </si>
  <si>
    <t>Notes</t>
  </si>
  <si>
    <t>Oct 2013 is the surway date. Date column is estimated</t>
  </si>
  <si>
    <t>Apr 2014 is the surway date. Date column is estimated</t>
  </si>
  <si>
    <t>Table 6.3; date here is estimated</t>
  </si>
  <si>
    <t>Table 6.4; date here is estimated</t>
  </si>
  <si>
    <t>Table 6.5 to 6.7</t>
  </si>
  <si>
    <t>Table 6.8</t>
  </si>
  <si>
    <t>Table 6.9 to 6.11</t>
  </si>
  <si>
    <t>Table 6.12 to 6.14; used average</t>
  </si>
  <si>
    <t>Table 6.15; used average; used the mid point if a range is given</t>
  </si>
  <si>
    <t>Table 6.15; used average; used the mid point if a range is given; lat and long as estimated based on sites 6 and 8 because they may be close to site 15 because they have the same initial in site name</t>
  </si>
  <si>
    <t>Table 6.16; used average; used the mid point if a range is given</t>
  </si>
  <si>
    <t>North Sea</t>
  </si>
  <si>
    <t>Lat and Long is from wikipedia "Brage oil field"; Can't find the document; extracted these data from NRPA 2004 Table 3.3; dates are estimates</t>
  </si>
  <si>
    <t>Lat and Long is from wikipedia "Oseberg oil field"; Can't find the document; extracted these data from NRPA 2004 Table 3.3; dates are estimates</t>
  </si>
  <si>
    <t>Lat and Long is from wikipedia "Troll gas field"; Can't find the document; extracted these data from NRPA 2004 Table 3.3; dates are estimates</t>
  </si>
  <si>
    <t>NRPA 2004</t>
  </si>
  <si>
    <t>Lat and Long is from wikipedia "Gullfaks oil field";dates are estimates; data are estimates from figure 4.3 for Gullfaks ABC</t>
  </si>
  <si>
    <t>Lat and Long is from wikipedia "Sleipner gas field"; dates are estimates; data are estimates from figure 4.4 for Sleipner A and T</t>
  </si>
  <si>
    <t>Lat and Long is from wikipedia "Gullfaks oil field";dates are estimates; data are estimates from table 5.1 for Ula</t>
  </si>
  <si>
    <t>Norwegian Sea</t>
  </si>
  <si>
    <t>Lat and Long is from google earth for 140 km west of the Sogne Fjord; dates are estimates; data are estimates from table 5.1 for Visund</t>
  </si>
  <si>
    <t>Lat and Long is from google earth - between site 2 and 3; dates are estimates; data are estimates from table 5.1 for Vigdis</t>
  </si>
  <si>
    <t>Lat and Long is from wikipedia "Heidrum oil field";dates are estimates; data are estimates from table 5.1 for Heidrun; distance is added to differenciate similar platforms</t>
  </si>
  <si>
    <t>Lat and Long is from wikipedia "Statfjord oil field"; dates are estimates; data are estimates from figures 5.3 and  5.2 for Statfjord A; distance is added to differenciate similar platforms</t>
  </si>
  <si>
    <t>Lat and Long is from wikipedia "Troll oil field"; dates are estimates; data are estimates from figures 5.3 and 5.2 for Troll A; distance is added to differenciate similar platforms</t>
  </si>
  <si>
    <t>Lat and Long is from goodle earth; dates are estimates; data are estimates from Figure 5.2 and 5.3 for Eldfisk 2/7 FTP; distance is added to differenciate similar platforms</t>
  </si>
  <si>
    <t>Lat and Long is from wikipedia "Gullfaks oil field";dates are estimates; data are estimates from table 5.1 and Figures 5.2  5.3 for Gullfaks A; distance is added to differenciate similar platforms</t>
  </si>
  <si>
    <t>Lat and Long is from wikipedia "Statfjord oil field"; dates are estimates; data are estimates from table 5.1  figures 5.3 and 5.2 for Statfjord B; distance is added to differenciate similar platforms</t>
  </si>
  <si>
    <t>Lat and Long is from wikipedia "Statfjord oil field"; dates are estimates; data are estimates from table 5.1  figures 5.3 and 5.2 for Statfjord C; distance is added to differenciate similar platforms</t>
  </si>
  <si>
    <t>Lat and Long is from goodle earth; dates are estimates; data are estimates from Figures 5.3 and 5.2 for Veslefrikk; distance is added to differenciate similar platforms</t>
  </si>
  <si>
    <t>Lat and Long is from wikipedia "Ekofisk oil field"; dates are estimates; data are estimates from table 5.1  figures 5.3 and 5.2 for Ekofisk 2/4 J; distance is added to differenciate similar platforms</t>
  </si>
  <si>
    <t>Lat and Long is from wikipedia "Ekofisk oil field"; dates are estimates; data are estimates from table 5.1  figures 5.3 and 5.2 for Ekofisk 2/4 K; distance is added to differenciate similar platforms</t>
  </si>
  <si>
    <t>Lat and Long is from wikipedia "Snorre oil field";dates are estimates; data are estimates from table 5.1  Figures 5.2 5.3 for Snorre A ; distance is added to differenciate similar platforms</t>
  </si>
  <si>
    <t>Lat and Long is from goodle earth for Halten Bank; dates are estimates; data are estimates from table 5.1  Figures 5.2 5.3for Asgard B; distance is added to differenciate similar platforms</t>
  </si>
  <si>
    <t>Lat and Long is from wikipedia "Gullfaks oil field";dates are estimates; data are estimates from table 5.1 Figure 5.2 5.3 for Gullfaks B; distance is added to differenciate similar platforms</t>
  </si>
  <si>
    <t>Lat and Long is from wikipedia "Gullfaks oil field";dates are estimates; data are estimates from table 5.1 Figure 5.2 5.3 Gullfaks C; distance is added to differenciate ABC platforms</t>
  </si>
  <si>
    <t>Lat and Long is from wikipedia "Norne oil field";dates are estimates; data are estimates from Figure 5.2 5.3 Norne; distance is added to differenciate ABC platforms</t>
  </si>
  <si>
    <t>Lat and Long is from wikipedia "Snorre oil field";dates are estimates; data are estimates from table 5.1 Figure 5.2 5.3 for Snorre B; distance is added to differenciate similar platforms</t>
  </si>
  <si>
    <t>Lat and Long is from goodle earth for Halten Bank; dates are estimates; data are estimates from table 5.1 Figure 5.2 5.3 for Asgard A; distance is added to differenciate similar platforms</t>
  </si>
  <si>
    <t>Lat and Long is from wikipedia "Statfjord oil field"; dates are estimates; data are estimates from table 5.1  figures 5.3 and 5.2 for Statfjord (sat); distance is added to differenciate similar platforms</t>
  </si>
  <si>
    <t>Lat and Long is from wikipedia "Grane oil field"; dates are estimates; data are estimates from figures 5.3 and 5.2 for Grane; distance is added to differenciate similar platforms</t>
  </si>
  <si>
    <t>Lat and Long is from wikipedia "Balder oil field"; dates are estimates; data are estimates from figures 5.3 and 5.2 for Balder/Ringho; distance is added to differenciate similar platforms</t>
  </si>
  <si>
    <t>Lat and Long is from goodle earth; dates are estimates; data are estimates from Figure 5.2 5.3 for Huldra; distance is added to differenciate similar platforms</t>
  </si>
  <si>
    <t>Lat and Long is from wikipedia "Brage oil field"; dates are estimates; data are estimates from figures 5.3 and 5.2 for Brage; distance is added to differenciate similar platforms</t>
  </si>
  <si>
    <t>Lat and Long is from wikipedia "Gyda oil field"; dates are estimates; data are estimates from figures 5.3 and 5.2 for Gyda; distance is added to differenciate similar platforms</t>
  </si>
  <si>
    <t>Lat and Long is from goodle earth; dates are estimates; data are estimates from Figure 5.2 and 5.3 for Tor (Eldfisk); distance is added to differenciate similar platforms</t>
  </si>
  <si>
    <t>Lat and Long is from wikipedia "OSC oil field"; dates are estimates; data are estimates from figures 5.3 and 5.2 for OSC; distance is added to differenciate similar platforms</t>
  </si>
  <si>
    <t>Lat and Long is from goodle earth; dates are estimates; data are estimates from Figure 5.2 and 5.3 for Eldfish 2/7 B; distance is added to differenciate similar platforms</t>
  </si>
  <si>
    <t>Lat and Long is from goodle earth; dates are estimates; data are estimates from Figure 5.2 and 5.3 for Jotun; distance is added to differenciate similar platforms</t>
  </si>
  <si>
    <t>Lat and Long is from wikipedia "Valhall oil field"; dates are estimates; data are estimates from figures 5.3 and 5.2 for Valhall; distance is added to differenciate similar platforms</t>
  </si>
  <si>
    <t>Lat and Long is from wikipedia "Heidrun oil field"; dates are estimates; data are estimates from table 5.1 Figures 5.2 5.3 for Heidrun TLP; distance is added to differenciate similar platforms</t>
  </si>
  <si>
    <t>Lat and Long is from wikipedia "Sleipner gas field"; dates are estimates; data are estimates from figure 5.2 5.3 for Sleipner T</t>
  </si>
  <si>
    <t>Lat and Long is from wikipedia "Troll oil field"; dates are estimates; data are estimates from figures 5.3 and 5.2 for Troll B; distance is added to differenciate similar platforms</t>
  </si>
  <si>
    <t>Lat and Long is from wikipedia "Troll oil field"; dates are estimates; data are estimates from figures 5.3 and 5.2 for Troll C; distance is added to differenciate similar platforms</t>
  </si>
  <si>
    <t>Lat and Long is from google earth; dates are estimates; data are estimates from Figure 5.2 5.3 for Njord</t>
  </si>
  <si>
    <t>Lat and Long is from wikipedia "Sleipner gas field"; dates are estimates; data are estimates from figure 5.2 5.3 for Sleipner A</t>
  </si>
  <si>
    <t>TrueLatLong</t>
  </si>
  <si>
    <t>used to differenciate sites with the same LatLong</t>
  </si>
  <si>
    <t>Yes</t>
  </si>
  <si>
    <t>No</t>
  </si>
  <si>
    <t>Can't find lat and long for Vargfeltet; Figure 5.2 and 5.3; used the average lat and long of all stations that have lat and long in this study</t>
  </si>
  <si>
    <t>Can't find lat and long for Draugen; Figure 5.2 and 5.3; used the average lat and long of all stations that have lat and long in this study</t>
  </si>
  <si>
    <t>Can't find lat and long for OSO; Figure 5.2 and 5.3; used the average lat and long of all stations that have lat and long in this study</t>
  </si>
  <si>
    <t>Can't find lat and long for OSF; Figure 5.2 and 5.3; used the average lat and long of all stations that have lat and long in this study</t>
  </si>
  <si>
    <t>Can't find lat and long for OSS; Figure 5.2 and 5.3; used the average lat and long of all stations that have lat and long in this study</t>
  </si>
  <si>
    <t>nd: not detected / below detection limit</t>
  </si>
  <si>
    <t>produced water, water, sediment, scale, slurry, fish, biota, crude oil</t>
  </si>
  <si>
    <t>Brazil</t>
  </si>
  <si>
    <t>Pargo; Table 1; has Ba, V, Ni, Pb data too</t>
  </si>
  <si>
    <t>Pampo; Table 1; has Ba, V, Ni, Pb data too</t>
  </si>
  <si>
    <t>Nigeria</t>
  </si>
  <si>
    <t>Table 1; lat and long are estimated based on the range provided; Date is a guess; U238 and Th232 are listed in table for Ra226 and Ra228</t>
  </si>
  <si>
    <t>Lat:</t>
  </si>
  <si>
    <t>N is positive and S is negative</t>
  </si>
  <si>
    <t>Long:</t>
  </si>
  <si>
    <t>E is positive and W is negative</t>
  </si>
  <si>
    <r>
      <t>30</t>
    </r>
    <r>
      <rPr>
        <sz val="12"/>
        <color theme="1"/>
        <rFont val="Calibri"/>
        <family val="2"/>
      </rPr>
      <t>°20'10''</t>
    </r>
  </si>
  <si>
    <t>1 pci = 0.037 bq</t>
  </si>
  <si>
    <t>1 m3 = 1000 L</t>
  </si>
  <si>
    <t>leave empty if not measured</t>
  </si>
  <si>
    <t>Jerez Vegueria et al 2002a</t>
  </si>
  <si>
    <t>Date is an estimate; Table 3; there are different sampling points at the same distance; Jerez Vegueria et al 2002b has the same data as table 3 here</t>
  </si>
  <si>
    <t>Table 1; Some data in this table are also presented in table 1 of Jerez Veguarie et al 2002a; data logged here are from three platforms with unknown lat and long, so a mean lat and long from Jerez Veguarie et al 2002a is used</t>
  </si>
  <si>
    <t>how to use plot digitizer: go to "https://plotdigitizer.com/", click "free online app", upload the figure of interest, drag X1, X2, Y1, Y2 to the correct location, type in the numeric values of  X1, X2, Y1, Y2 (no need to include =), click any part of the figure, a pair of xy values will show up on the left for each click; click the "csv" icon when finished, and data file will be downloaded.</t>
  </si>
  <si>
    <t>Jerez Vegueria et al 2002b</t>
  </si>
  <si>
    <t xml:space="preserve">North Sea </t>
  </si>
  <si>
    <t>1/1/92-12/31/94</t>
  </si>
  <si>
    <t>Dowdall and Lepland 2012</t>
  </si>
  <si>
    <t xml:space="preserve">Table 1; Station 36 corresponds to station 1 in this dataset; Tables 2 and 3 display 226Ra, 228Ra, and 40K values and the mean of each were used; Cores were collected from 1992-1994 </t>
  </si>
  <si>
    <t xml:space="preserve">Table 1; Station 39 corresponds to station 2 in this dataset; Tables 2 and 3 display 226Ra, 228Ra, and 40K values and the mean of each were used; Cores were collected from 1992-1994 </t>
  </si>
  <si>
    <t xml:space="preserve">Table 1; Station 40 corresponds to station 3 in this dataset; Tables 2 and 3 display 226Ra, 228Ra, and 40K values and the mean of each were used; Cores were collected from 1992-1994 </t>
  </si>
  <si>
    <t xml:space="preserve">Table 1; Station 52 corresponds to station 4 in this dataset; Tables 2 and 3 display 226Ra, 228Ra, and 40K values and the mean of each were used; Cores were collected from 1992-1994 </t>
  </si>
  <si>
    <t xml:space="preserve">Table 1; Station 185 corresponds to station 5 in this dataset; Tables 2 and 3 display 226Ra, 228Ra, and 40K values and the mean of each were used; Cores were collected from 1992-1994 </t>
  </si>
  <si>
    <t xml:space="preserve">Table 1; Station 186 corresponds to station 6 in this dataset; Tables 2 and 3 display 226Ra, 228Ra, and 40K values and the mean of each were used; Cores were collected from 1992-1994 </t>
  </si>
  <si>
    <t xml:space="preserve">Table 1; Station 189 corresponds to station 7 in this dataset; Tables 2 and 3 display 226Ra, 228Ra, and 40K values and the mean of each were used; Cores were collected from 1992-1994 </t>
  </si>
  <si>
    <t xml:space="preserve">Table 1; Station 195 corresponds to station 8 in this dataset; Tables 2 and 3 display 226Ra, 228Ra, and 40K values and the mean of each were used; Cores were collected from 1992-1994 </t>
  </si>
  <si>
    <t>Testa et al 1993</t>
  </si>
  <si>
    <t>Scales</t>
  </si>
  <si>
    <t>Table 1 (only one row for off-shore); Lat and Long estimated on Google Earth (https://www.eni.com/en-NG/what-we-do/upstream/offshore.html). Date also estimated based on info from the same webpage.</t>
  </si>
  <si>
    <t>Italy</t>
  </si>
  <si>
    <t>Adriatic Sea</t>
  </si>
  <si>
    <t>Congo</t>
  </si>
  <si>
    <t>Water</t>
  </si>
  <si>
    <t>Table 3; Lat long date are estimates</t>
  </si>
  <si>
    <t>Bassignani et al 1991</t>
  </si>
  <si>
    <t>Table 4; Lat long date are estimates</t>
  </si>
  <si>
    <t>Africa</t>
  </si>
  <si>
    <t>Figure 1 and 3, plotdigitizer; lat and long are estimates</t>
  </si>
  <si>
    <t>Taylor 1993</t>
  </si>
  <si>
    <t>Egypt</t>
  </si>
  <si>
    <t>Gulf of Suez</t>
  </si>
  <si>
    <t>Table 2; Date is an estimate</t>
  </si>
  <si>
    <t>NRPA 2007</t>
  </si>
  <si>
    <t>Figure 4.10; Lat and long are estimates from the figure</t>
  </si>
  <si>
    <t>Figure 4.11; Lat and long are estimates from the figure</t>
  </si>
  <si>
    <t>Barents Sea</t>
  </si>
  <si>
    <t>Norway</t>
  </si>
  <si>
    <t>Table 3.1; date is an estimate; Lat and Long is from wikipedia "Statfjord oil field"; for Statfjord A; distance is added to differenciate similar platforms</t>
  </si>
  <si>
    <t>Table 3.1;date is an estimate; Lat and Long is from wikipedia "Valhall oil field";</t>
  </si>
  <si>
    <t>Table 3.1;date is an estimate; Lat and Long is from wikipedia "Brage oil field"</t>
  </si>
  <si>
    <t xml:space="preserve">Table 3.1;date is an estimate; Lat and Long is from wikipedia "Oseberg oil field"; </t>
  </si>
  <si>
    <t>Table 3.1;date is an estimate; Lat and Long is from wikipedia "Sleipner gas field";for Sleipner T</t>
  </si>
  <si>
    <t>Table 3.1; date is an estimate; Lat and Long is from goodle earth; Veslefrikk; distance is added to differenciate similar platforms</t>
  </si>
  <si>
    <t>Table 3.1; date is an estimate; Lat and Long is from wikipedia "Gullfaks oil field";for Gullfaks C; distance is added to differenciate similar platforms</t>
  </si>
  <si>
    <t>Table 3.1; date is an estimate; Lat and Long is from wikipedia "Gullfaks oil field";for Gullfaks B; distance is added to differenciate similar platforms</t>
  </si>
  <si>
    <t>Table 3.1; date is an estimate; Lat and Long is from wikipedia "Gullfaks oil field";for Gullfaks A; distance is added to differenciate similar platforms</t>
  </si>
  <si>
    <t>Table 3.1; date is an estimate; Lat and Long is from wikipedia "Statfjord oil field"; for Statfjord C; distance is added to differenciate similar platforms</t>
  </si>
  <si>
    <t>Table 3.1; date is an estimate; Lat and Long is from wikipedia "Statfjord oil field"; for Statfjord B; distance is added to differenciate similar platforms</t>
  </si>
  <si>
    <t>Strand et al 1997</t>
  </si>
  <si>
    <t>Discussion:</t>
  </si>
  <si>
    <t>Lat and Long: when to assign yes</t>
  </si>
  <si>
    <t>NRPA 2006</t>
  </si>
  <si>
    <t>Lat and long are estimates from the figure; Date is an estimate; Figure 4.13</t>
  </si>
  <si>
    <t>NRPA 2008</t>
  </si>
  <si>
    <t>Lat and long are estimates from the figure; Date is an estimate; Figure 4.9</t>
  </si>
  <si>
    <t>Produced Water</t>
  </si>
  <si>
    <t>Page 9 text; average for all platforms; lat and long are estimated</t>
  </si>
  <si>
    <t>NRPA 2005</t>
  </si>
  <si>
    <t>Page 12 text; average for all platforms; lat and long are estimated</t>
  </si>
  <si>
    <t>NRPA 2009</t>
  </si>
  <si>
    <t>Page 10 text; average for all platforms; lat and long are estimated</t>
  </si>
  <si>
    <t>NRPA 2011</t>
  </si>
  <si>
    <t>Skjerdal et al 2015</t>
  </si>
  <si>
    <t>Page 9 text and Figure 2.1; average for all platforms; lat and long are estimated</t>
  </si>
  <si>
    <t>Page 28 text; lat and long are averages of station 2-6</t>
  </si>
  <si>
    <t>Figure 4.13-4.15; lat and long are estimates</t>
  </si>
  <si>
    <t>Ra226</t>
  </si>
  <si>
    <t>Ra228</t>
  </si>
  <si>
    <t>Pb210</t>
  </si>
  <si>
    <t>Th228</t>
  </si>
  <si>
    <t>K40</t>
  </si>
  <si>
    <t>Ra224</t>
  </si>
  <si>
    <t>U234</t>
  </si>
  <si>
    <t>U238</t>
  </si>
  <si>
    <t>Po210</t>
  </si>
  <si>
    <t>Th230</t>
  </si>
  <si>
    <t>Th232</t>
  </si>
  <si>
    <t>Skjerdal et al 2017</t>
  </si>
  <si>
    <t>Page 7 text and Figure 2.1; average for all platforms; lat and long are estimated</t>
  </si>
  <si>
    <t>1/1/2012-2014</t>
  </si>
  <si>
    <t>Figure 4.14; lat and long are estimates</t>
  </si>
  <si>
    <t>Skjerdal et al 2020</t>
  </si>
  <si>
    <t>Figure 171; lat and long are estimates</t>
  </si>
  <si>
    <t>Page 4 text and Figure 1; average for all platforms; lat and long are estimated</t>
  </si>
  <si>
    <t>El Afifi et al 2020</t>
  </si>
  <si>
    <t>Section 2.2</t>
  </si>
  <si>
    <t>Attallah et al 2019</t>
  </si>
  <si>
    <t>Bi214</t>
  </si>
  <si>
    <t>Oil sludge</t>
  </si>
  <si>
    <t>De-Paula-Costa et al 2018</t>
  </si>
  <si>
    <t>Table 4, Lat and long are modified from lat and long of the Namorado oil field</t>
  </si>
  <si>
    <t>Cleaning water</t>
  </si>
  <si>
    <t>Table 5, Lat and long are modified from lat and long of the Namorado oil field</t>
  </si>
  <si>
    <t>Sand</t>
  </si>
  <si>
    <t>Table 3, Lat and long are modified from lat and long of the Namorado oil field</t>
  </si>
  <si>
    <t>Not available</t>
  </si>
  <si>
    <t>Rock</t>
  </si>
  <si>
    <t>Table 6, Lat and long from Google</t>
  </si>
  <si>
    <t>BALDER</t>
  </si>
  <si>
    <t>BRAGE</t>
  </si>
  <si>
    <t>DRAUGEN</t>
  </si>
  <si>
    <t>EKOFISK</t>
  </si>
  <si>
    <t>ELDFISK</t>
  </si>
  <si>
    <t>GLITNE</t>
  </si>
  <si>
    <t>GULLFAKS</t>
  </si>
  <si>
    <t>GYDA</t>
  </si>
  <si>
    <t>HEIDRUN</t>
  </si>
  <si>
    <t>JOTUN</t>
  </si>
  <si>
    <t>NJORD</t>
  </si>
  <si>
    <t>NORNE</t>
  </si>
  <si>
    <t>OSEBERG</t>
  </si>
  <si>
    <t>SLEIPNER VEST</t>
  </si>
  <si>
    <t>SNORRE</t>
  </si>
  <si>
    <t>TOR</t>
  </si>
  <si>
    <t>TROLL</t>
  </si>
  <si>
    <t>ULA</t>
  </si>
  <si>
    <t>VALHALL</t>
  </si>
  <si>
    <t>VESLEFRIKK</t>
  </si>
  <si>
    <t>VISUND</t>
  </si>
  <si>
    <t>GRANE</t>
  </si>
  <si>
    <t>HEIMDAL</t>
  </si>
  <si>
    <t>HULDRA</t>
  </si>
  <si>
    <t>STATFJORD</t>
  </si>
  <si>
    <t>VARG</t>
  </si>
  <si>
    <t>VIGDIS</t>
  </si>
  <si>
    <t>KRISTIN</t>
  </si>
  <si>
    <t>ALVHEIM</t>
  </si>
  <si>
    <t>VOLVE</t>
  </si>
  <si>
    <t>NYHAMNA LANDANLEGG</t>
  </si>
  <si>
    <t>SKARV</t>
  </si>
  <si>
    <t>GUDRUN</t>
  </si>
  <si>
    <t>KNARR</t>
  </si>
  <si>
    <t>VALEMON</t>
  </si>
  <si>
    <t>EDVARD GRIEG</t>
  </si>
  <si>
    <t>GOLIAT</t>
  </si>
  <si>
    <t>IVAR AASEN</t>
  </si>
  <si>
    <t>AASTA HANSTEEN</t>
  </si>
  <si>
    <t>GINA KROG</t>
  </si>
  <si>
    <t>MARTIN LINGE</t>
  </si>
  <si>
    <t>Personal communication with Shawn Christopher Apan (Shawn.Apan@Dsa.no)</t>
  </si>
  <si>
    <t>Unit change:</t>
  </si>
  <si>
    <t>Date: Oct 2003 = 10/1/2003; 2003 = 1/1/2003</t>
  </si>
  <si>
    <t>Table 1, station 1, lat and long from plotdigitizer</t>
  </si>
  <si>
    <t>Table 1, station 2, lat and long from plotdigitizer</t>
  </si>
  <si>
    <t>Table 1, station 3, lat and long from plotdigitizer</t>
  </si>
  <si>
    <t>Table 1, station 4, lat and long from plotdigitizer</t>
  </si>
  <si>
    <t>Table 1, station 5, lat and long from plotdigitizer</t>
  </si>
  <si>
    <t>Table 1, station 6, lat and long from plotdigitizer</t>
  </si>
  <si>
    <t>Table 1, station S, lat and long from plotdigitizer</t>
  </si>
  <si>
    <t>Table 1, station N, lat and long from plotdigitizer</t>
  </si>
  <si>
    <t>Arabian Gulf</t>
  </si>
  <si>
    <t>Kuwait</t>
  </si>
  <si>
    <t>Table 1, station 1, lat and long from plotdigitizer, date not provided</t>
  </si>
  <si>
    <t>Table 1, station 2, lat and long from plotdigitizer, date not provided</t>
  </si>
  <si>
    <t>Table 1, station 3, lat and long from plotdigitizer, date not provided</t>
  </si>
  <si>
    <t>Table 1, station 4, lat and long from plotdigitizer, date not provided</t>
  </si>
  <si>
    <t>Table 1, station 5, lat and long from plotdigitizer, date not provided</t>
  </si>
  <si>
    <t>Table 1, station 6, lat and long from plotdigitizer, date not provided</t>
  </si>
  <si>
    <t>Table 1, station S, lat and long from plotdigitizer, date not provided</t>
  </si>
  <si>
    <t>Table 1, station N, lat and long from plotdigitizer, date not provided</t>
  </si>
  <si>
    <t>Seawater</t>
  </si>
  <si>
    <t>U235</t>
  </si>
  <si>
    <t>Fish-Klunzinger mullet</t>
  </si>
  <si>
    <t>Yellowfin seabream</t>
  </si>
  <si>
    <t>Tigertooth croaker</t>
  </si>
  <si>
    <t>July 2012-June 2013</t>
  </si>
  <si>
    <t>Table 2, SW_1, lat and long from plotdigitizer</t>
  </si>
  <si>
    <t>Table 2, SW_2, lat and long from plotdigitizer</t>
  </si>
  <si>
    <t>Table 2, SW_3, lat and long from plotdigitizer</t>
  </si>
  <si>
    <t>Table 2, SW_4, lat and long from plotdigitizer</t>
  </si>
  <si>
    <t>Table 2, SW_5, lat and long from plotdigitizer</t>
  </si>
  <si>
    <t>Table 2, SW_6, lat and long from plotdigitizer</t>
  </si>
  <si>
    <t>Table 2, SW_7, lat and long from plotdigitizer</t>
  </si>
  <si>
    <t>Table 2, SW_8, lat and long from plotdigitizer</t>
  </si>
  <si>
    <t>Table 2, SW_9, lat and long from plotdigitizer</t>
  </si>
  <si>
    <t>Table 3, per dry weight, Lat and long average of the Gastropod and Bivalve (B) sites</t>
  </si>
  <si>
    <t>Fish-Yellowfin seabream</t>
  </si>
  <si>
    <t>Fish-Greenback mullet</t>
  </si>
  <si>
    <t>Fish-Gilthead seabream</t>
  </si>
  <si>
    <t>Fish-Tigertooth croaker</t>
  </si>
  <si>
    <t>Fish-Karenteen seabream</t>
  </si>
  <si>
    <t>Orange spotted grouper</t>
  </si>
  <si>
    <t>Fish-Orange spotted grouper</t>
  </si>
  <si>
    <t>Fish-Spanish mackerel</t>
  </si>
  <si>
    <t>Fish-Javelin grunter</t>
  </si>
  <si>
    <t>Fish-Silver pomfret</t>
  </si>
  <si>
    <t>Table 4, per wet weight, Lat and long average of the Gastropod and Bivalve (B) sites</t>
  </si>
  <si>
    <t>Haffara seabream</t>
  </si>
  <si>
    <t>Persian Gulf cuttlefish</t>
  </si>
  <si>
    <t>Yellowtip halfbeak</t>
  </si>
  <si>
    <t>Sea catfish</t>
  </si>
  <si>
    <t>Indian mackerel</t>
  </si>
  <si>
    <t>Southern pompano</t>
  </si>
  <si>
    <t>Spotted Scat</t>
  </si>
  <si>
    <t>Soldier bream</t>
  </si>
  <si>
    <t>Hilsa shad</t>
  </si>
  <si>
    <t>Moon fish</t>
  </si>
  <si>
    <t>White sardine</t>
  </si>
  <si>
    <t>Arabian smoothhound</t>
  </si>
  <si>
    <t>Organ</t>
  </si>
  <si>
    <t>Muscle</t>
  </si>
  <si>
    <t>Gills</t>
  </si>
  <si>
    <t>Liver</t>
  </si>
  <si>
    <t>Digestive system</t>
  </si>
  <si>
    <t xml:space="preserve"> </t>
  </si>
  <si>
    <t>Fecal matter</t>
  </si>
  <si>
    <t>Eggs</t>
  </si>
  <si>
    <t>Head</t>
  </si>
  <si>
    <t>Skin</t>
  </si>
  <si>
    <t>Spleen</t>
  </si>
  <si>
    <t>Table 6, per wet weight, Lat and long average of the Gastropod and Bivalve (B) sites</t>
  </si>
  <si>
    <t>Snail</t>
  </si>
  <si>
    <t>Clam</t>
  </si>
  <si>
    <t>Cockle</t>
  </si>
  <si>
    <t>Table 7, B_1, per dry weight, lat and long from plotdigitizer</t>
  </si>
  <si>
    <t>Table 7, B_2, per dry weight, lat and long from plotdigitizer</t>
  </si>
  <si>
    <t>Table 7, B_3, per dry weight, lat and long from plotdigitizer</t>
  </si>
  <si>
    <t>Table 7, B_4, per dry weight, lat and long from plotdigitizer</t>
  </si>
  <si>
    <t>Table 7, B_5, per dry weight, lat and long from plotdigitizer</t>
  </si>
  <si>
    <t>Table 7, B_6, per dry weight, lat and long from plotdigitizer</t>
  </si>
  <si>
    <t>Table 7, B_1, lat and long from plotdigitizer</t>
  </si>
  <si>
    <t>Table 7, B_2, lat and long from plotdigitizer</t>
  </si>
  <si>
    <t>Table 7, B_3, lat and long from plotdigitizer</t>
  </si>
  <si>
    <t>Table 7, B_4, lat and long from plotdigitizer</t>
  </si>
  <si>
    <t>Table 7, B_5, lat and long from plotdigitizer</t>
  </si>
  <si>
    <t>Table 7, B_6, lat and long from plotdigitizer</t>
  </si>
  <si>
    <t>Sargassum boveanum</t>
  </si>
  <si>
    <t>Sargassum oligocystum</t>
  </si>
  <si>
    <t>Table 9, S_1, lat and long from plotdigitizer</t>
  </si>
  <si>
    <t>Table 9, S_2, lat and long from plotdigitizer</t>
  </si>
  <si>
    <t>Table 9, S_3, lat and long from plotdigitizer</t>
  </si>
  <si>
    <t>Table 10, S_1, lat and long from plotdigitizer</t>
  </si>
  <si>
    <t>Brown microalgae</t>
  </si>
  <si>
    <t>Blue-green microalgae</t>
  </si>
  <si>
    <t>Table 12, MA_1, per dry weight, lat and long from plotdigitizer</t>
  </si>
  <si>
    <t>Table 12, MA_2, per dry weight, lat and long from plotdigitizer</t>
  </si>
  <si>
    <t>Sediments</t>
  </si>
  <si>
    <t>Table 13, SS_1, per dry weight, lat and long from plotdigitizer</t>
  </si>
  <si>
    <t>Table 13, SS_2, per dry weight, lat and long from plotdigitizer</t>
  </si>
  <si>
    <t>Table 13, SS_3, per dry weight, lat and long from plotdigitizer</t>
  </si>
  <si>
    <t>Table 13, SS_4, per dry weight, lat and long from plotdigitizer</t>
  </si>
  <si>
    <t>Table 13, SS_5, per dry weight, lat and long from plotdigitizer</t>
  </si>
  <si>
    <t>Table 14, SW_1, lat and long from plotdigitizer</t>
  </si>
  <si>
    <t>Table 14, SW_2, lat and long from plotdigitizer</t>
  </si>
  <si>
    <t>Table 14, SW_3, lat and long from plotdigitizer</t>
  </si>
  <si>
    <t>Table 14, SW_4, lat and long from plotdigitizer</t>
  </si>
  <si>
    <t>Table 14, SW_5, lat and long from plotdigitizer</t>
  </si>
  <si>
    <t>Table 14, SW_6, lat and long from plotdigitizer</t>
  </si>
  <si>
    <t>Uddin et al 2015a</t>
  </si>
  <si>
    <t>Uddin et al 2015a and 2015b</t>
  </si>
  <si>
    <t>Gregory et al 2013</t>
  </si>
  <si>
    <t>CSA 1999</t>
  </si>
  <si>
    <t>Hart et al 1995</t>
  </si>
  <si>
    <t>Table 1, lat and long from plotdigitizer</t>
  </si>
  <si>
    <t>Tables 2-4, lat and long from plotdigitizer</t>
  </si>
  <si>
    <t>Iron</t>
  </si>
  <si>
    <t>Persian Gulf</t>
  </si>
  <si>
    <t>Moatar et al 2010</t>
  </si>
  <si>
    <t>Table 8, lat and long from plotdigitizer</t>
  </si>
  <si>
    <t>Table 2, lat and long from estimates from Google Earth</t>
  </si>
  <si>
    <t>Sludge</t>
  </si>
  <si>
    <t>Malaysia</t>
  </si>
  <si>
    <t>Gulf of Thailand</t>
  </si>
  <si>
    <t>Omar et al 2004</t>
  </si>
  <si>
    <t>Table 1, lat and long from estimates from Google Earth</t>
  </si>
  <si>
    <t>Extra info about each platform</t>
  </si>
  <si>
    <t>https://factmaps.npd.no/factmaps/3_0/</t>
  </si>
  <si>
    <t>Data from Shawn Christopher Apan through email communication  (Shawn.Apan@Dsa.no)</t>
  </si>
  <si>
    <t>Uddin et al 2012a</t>
  </si>
  <si>
    <t>2011-2012</t>
  </si>
  <si>
    <t>Fish-Battan</t>
  </si>
  <si>
    <t>Fish-Zobaidy</t>
  </si>
  <si>
    <t>Fish-Beyah</t>
  </si>
  <si>
    <t>Fish-Meid</t>
  </si>
  <si>
    <t>Fish-Khubbat</t>
  </si>
  <si>
    <t>Fish-Sheaam</t>
  </si>
  <si>
    <t>Fish-Sobaity</t>
  </si>
  <si>
    <t>Fish-Nuwaibi</t>
  </si>
  <si>
    <t>Fish-Nagroor</t>
  </si>
  <si>
    <t>Fish-Hamoor</t>
  </si>
  <si>
    <t>Iran</t>
  </si>
  <si>
    <t>Uddin et al 2012b</t>
  </si>
  <si>
    <t>Table 2, lat and long from estimates from Google Earth, only area is provided</t>
  </si>
  <si>
    <t>Gastropod-Snail</t>
  </si>
  <si>
    <t>Bivalve-Clam</t>
  </si>
  <si>
    <t>Bivalve-Cockle</t>
  </si>
  <si>
    <t>Uddin et al 2014</t>
  </si>
  <si>
    <t>Table 2, lat and long from plotdigitizer</t>
  </si>
  <si>
    <t>Table 3, lat and long from plotdigitizer</t>
  </si>
  <si>
    <t>Uddin et al 2017a</t>
  </si>
  <si>
    <t>Uddin et al 2015a and 2014</t>
  </si>
  <si>
    <t>Uddin et al 2018a</t>
  </si>
  <si>
    <t>Diatoms-Thalassiosira spp.</t>
  </si>
  <si>
    <t>Diatoms-Chaetoceros spp.</t>
  </si>
  <si>
    <t>Diatoms-Rhizosolenia spp.</t>
  </si>
  <si>
    <t>Dinoflagellates-Gymnodinium spp.</t>
  </si>
  <si>
    <t>Dinoflagellates-Noctiluca spp.</t>
  </si>
  <si>
    <t>Dinoflagellates-Karenia spp.</t>
  </si>
  <si>
    <t>Uddin et al 2018b</t>
  </si>
  <si>
    <t>Copepod-Euterpina acutifrons</t>
  </si>
  <si>
    <t>Copepod-Acrocalanus gibber</t>
  </si>
  <si>
    <t>Copepod-Calanopia elliptica</t>
  </si>
  <si>
    <t>Copepod-Acartia pacifica</t>
  </si>
  <si>
    <t>Copepod-Parvocalanus crassirostis</t>
  </si>
  <si>
    <t>Copepod-Subeucalanus flemingeri</t>
  </si>
  <si>
    <t>Uddin et al 2018c</t>
  </si>
  <si>
    <t>Uddin et al 2019</t>
  </si>
  <si>
    <t>Table 2, lat and long from average of the other 3 sites</t>
  </si>
  <si>
    <t>Macroalgae-Sargassum boveanum</t>
  </si>
  <si>
    <t>Macroalgae-Sargassum oligocystum</t>
  </si>
  <si>
    <t>Macroalgae-Ulva flexuosa</t>
  </si>
  <si>
    <t>Macroalgae-Ulva rigida</t>
  </si>
  <si>
    <t>Macroalgae-Ulva intestinalis</t>
  </si>
  <si>
    <t>Macroalgae-Ulva prolifera</t>
  </si>
  <si>
    <t>Macroalgae-Cladophora nitellopsis</t>
  </si>
  <si>
    <t>GJØA</t>
  </si>
  <si>
    <t>ÅSGARD</t>
  </si>
  <si>
    <t>Search the platform name in the search box on the top right corner</t>
  </si>
  <si>
    <t>KVITEBJØRN</t>
  </si>
  <si>
    <t>Chevron Texaco Norge AS</t>
  </si>
  <si>
    <t>OSEBERG ØST</t>
  </si>
  <si>
    <t>OSEBERG SØR</t>
  </si>
  <si>
    <t>OSEBERG TRANSPORT SYSTEM</t>
  </si>
  <si>
    <t>SLEIPNER ØST</t>
  </si>
  <si>
    <t>SNØHVIT</t>
  </si>
  <si>
    <t>If a data point is extracted from a figure, plotdigitizer was used.</t>
  </si>
  <si>
    <t>Offshore, oil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</si>
</sst>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2" x14ac:knownFonts="1">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2"/>
      <color theme="1"/>
      <name val="Calibri"/>
      <family val="2"/>
    </font>
    <font>
      <sz val="12"/>
      <color rgb="FFFF0000"/>
      <name val="Calibri"/>
      <family val="2"/>
      <scheme val="minor"/>
    </font>
    <font>
      <sz val="12"/>
      <color rgb="FF000000"/>
      <name val="Calibri"/>
      <family val="2"/>
      <scheme val="minor"/>
    </font>
    <font>
      <sz val="10"/>
      <color theme="1"/>
      <name val="Arial"/>
      <family val="2"/>
    </font>
    <font>
      <sz val="8"/>
      <name val="Calibri"/>
      <family val="2"/>
      <scheme val="minor"/>
    </font>
    <font>
      <u/>
      <sz val="12"/>
      <color theme="10"/>
      <name val="Calibri"/>
      <family val="2"/>
      <scheme val="minor"/>
    </font>
    <font>
      <b/>
      <sz val="12"/>
      <name val="Calibri"/>
      <family val="2"/>
    </font>
    <font>
      <sz val="12"/>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0" fillId="0" borderId="0" xfId="0" applyAlignment="1">
      <alignment horizontal="center" vertical="center"/>
    </xf>
    <xf numFmtId="1" fontId="0" fillId="0" borderId="0" xfId="0" applyNumberFormat="1"/>
    <xf numFmtId="0" fontId="0" fillId="0" borderId="0" xfId="0" applyAlignment="1">
      <alignment horizontal="center"/>
    </xf>
    <xf numFmtId="14" fontId="0" fillId="0" borderId="0" xfId="0" applyNumberFormat="1"/>
    <xf numFmtId="2" fontId="0" fillId="0" borderId="0" xfId="0" applyNumberForma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2"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2" fillId="0" borderId="0" xfId="0" applyNumberFormat="1" applyFont="1"/>
    <xf numFmtId="0" fontId="2" fillId="0" borderId="0" xfId="0" applyFont="1"/>
    <xf numFmtId="0" fontId="5" fillId="0" borderId="0" xfId="0" applyFont="1"/>
    <xf numFmtId="1" fontId="6" fillId="0" borderId="0" xfId="0" applyNumberFormat="1" applyFont="1"/>
    <xf numFmtId="0" fontId="0" fillId="0" borderId="0" xfId="0" applyAlignment="1">
      <alignment vertical="center" wrapText="1"/>
    </xf>
    <xf numFmtId="0" fontId="1" fillId="0" borderId="0" xfId="0" applyFont="1"/>
    <xf numFmtId="164" fontId="3" fillId="0" borderId="0" xfId="0" applyNumberFormat="1" applyFont="1"/>
    <xf numFmtId="0" fontId="3" fillId="0" borderId="0" xfId="0" applyFont="1"/>
    <xf numFmtId="1" fontId="1" fillId="0" borderId="0" xfId="0" applyNumberFormat="1" applyFont="1"/>
    <xf numFmtId="164" fontId="0" fillId="0" borderId="0" xfId="0" applyNumberFormat="1" applyAlignment="1">
      <alignment horizontal="center" vertical="center"/>
    </xf>
    <xf numFmtId="0" fontId="2" fillId="0" borderId="0" xfId="0" applyFont="1" applyAlignment="1">
      <alignment horizontal="center"/>
    </xf>
    <xf numFmtId="1" fontId="2" fillId="0" borderId="0" xfId="0" applyNumberFormat="1" applyFont="1"/>
    <xf numFmtId="2" fontId="2" fillId="0" borderId="0" xfId="0" applyNumberFormat="1" applyFont="1" applyAlignment="1">
      <alignment horizontal="center" vertical="center"/>
    </xf>
    <xf numFmtId="2" fontId="2" fillId="0" borderId="0" xfId="0" applyNumberFormat="1" applyFont="1" applyAlignment="1">
      <alignment horizontal="center"/>
    </xf>
    <xf numFmtId="0" fontId="2" fillId="0" borderId="0" xfId="0" applyFont="1" applyAlignment="1">
      <alignment horizontal="center" vertical="center"/>
    </xf>
    <xf numFmtId="14" fontId="2" fillId="0" borderId="0" xfId="0" applyNumberFormat="1" applyFont="1"/>
    <xf numFmtId="0" fontId="7" fillId="0" borderId="0" xfId="0" applyFont="1"/>
    <xf numFmtId="0" fontId="0" fillId="0" borderId="0" xfId="0" applyAlignment="1">
      <alignment vertical="center"/>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164" fontId="0" fillId="0" borderId="0" xfId="0" applyNumberFormat="1" applyAlignment="1">
      <alignment horizontal="center"/>
    </xf>
    <xf numFmtId="164" fontId="2" fillId="0" borderId="0" xfId="0" applyNumberFormat="1" applyFont="1" applyAlignment="1">
      <alignment horizontal="center"/>
    </xf>
    <xf numFmtId="164" fontId="0" fillId="0" borderId="0" xfId="0" applyNumberFormat="1"/>
    <xf numFmtId="165" fontId="0" fillId="0" borderId="0" xfId="0" applyNumberFormat="1" applyAlignment="1">
      <alignment horizontal="center"/>
    </xf>
    <xf numFmtId="0" fontId="10" fillId="0" borderId="0" xfId="0" applyFont="1"/>
    <xf numFmtId="0" fontId="9" fillId="0" borderId="0" xfId="1"/>
    <xf numFmtId="0" fontId="11" fillId="0" borderId="0" xfId="0" applyFont="1"/>
    <xf numFmtId="0" fontId="0" fillId="0" borderId="0" xfId="0" applyAlignment="1">
      <alignment horizontal="right"/>
    </xf>
    <xf numFmtId="166"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actmaps.npd.no/factmaps/3_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0E6DA-8837-46EC-B23B-296E17DF5869}">
  <dimension ref="A1:AA1462"/>
  <sheetViews>
    <sheetView zoomScale="120" zoomScaleNormal="120" workbookViewId="0">
      <pane xSplit="11" ySplit="2" topLeftCell="Y1461" activePane="bottomRight" state="frozen"/>
      <selection activeCell="G1214" sqref="G1214"/>
      <selection pane="topRight" activeCell="G1214" sqref="G1214"/>
      <selection pane="bottomLeft" activeCell="G1214" sqref="G1214"/>
      <selection pane="bottomRight" activeCell="F1478" sqref="F1478"/>
    </sheetView>
  </sheetViews>
  <sheetFormatPr defaultColWidth="8.875" defaultRowHeight="15.75" x14ac:dyDescent="0.25"/>
  <cols>
    <col min="1" max="1" width="6.625" customWidth="1"/>
    <col min="2" max="2" width="6.5" customWidth="1"/>
    <col min="4" max="4" width="6.625" style="3" customWidth="1"/>
    <col min="5" max="5" width="11.125" style="11" customWidth="1"/>
    <col min="6" max="6" width="11.5" style="11" customWidth="1"/>
    <col min="7" max="7" width="10.5" customWidth="1"/>
    <col min="8" max="8" width="13.375" style="12" customWidth="1"/>
    <col min="9" max="9" width="17.875" customWidth="1"/>
    <col min="10" max="10" width="20" customWidth="1"/>
    <col min="11" max="12" width="8.125" style="2" customWidth="1"/>
    <col min="13" max="14" width="13" style="20" customWidth="1"/>
    <col min="15" max="15" width="12.125" style="8" customWidth="1"/>
    <col min="16" max="18" width="13" style="1" customWidth="1"/>
    <col min="19" max="25" width="13" style="3" customWidth="1"/>
    <col min="26" max="26" width="27.875" customWidth="1"/>
    <col min="27" max="27" width="104.125" customWidth="1"/>
  </cols>
  <sheetData>
    <row r="1" spans="1:27" s="16" customFormat="1" x14ac:dyDescent="0.25">
      <c r="A1" s="16" t="s">
        <v>9</v>
      </c>
      <c r="B1" s="16" t="s">
        <v>7</v>
      </c>
      <c r="C1" s="16" t="s">
        <v>8</v>
      </c>
      <c r="D1" s="10" t="s">
        <v>84</v>
      </c>
      <c r="E1" s="17" t="s">
        <v>6</v>
      </c>
      <c r="F1" s="17" t="s">
        <v>5</v>
      </c>
      <c r="G1" s="16" t="s">
        <v>16</v>
      </c>
      <c r="H1" s="18" t="s">
        <v>12</v>
      </c>
      <c r="I1" s="16" t="s">
        <v>4</v>
      </c>
      <c r="J1" s="16" t="s">
        <v>3</v>
      </c>
      <c r="K1" s="19" t="s">
        <v>21</v>
      </c>
      <c r="L1" s="19" t="s">
        <v>307</v>
      </c>
      <c r="M1" s="29" t="s">
        <v>174</v>
      </c>
      <c r="N1" s="29" t="s">
        <v>175</v>
      </c>
      <c r="O1" s="7" t="s">
        <v>176</v>
      </c>
      <c r="P1" s="6" t="s">
        <v>177</v>
      </c>
      <c r="Q1" s="6" t="s">
        <v>178</v>
      </c>
      <c r="R1" s="6" t="s">
        <v>179</v>
      </c>
      <c r="S1" s="6" t="s">
        <v>180</v>
      </c>
      <c r="T1" s="6" t="s">
        <v>269</v>
      </c>
      <c r="U1" s="6" t="s">
        <v>181</v>
      </c>
      <c r="V1" s="6" t="s">
        <v>182</v>
      </c>
      <c r="W1" s="6" t="s">
        <v>183</v>
      </c>
      <c r="X1" s="6" t="s">
        <v>184</v>
      </c>
      <c r="Y1" s="6" t="s">
        <v>195</v>
      </c>
      <c r="Z1" s="16" t="s">
        <v>10</v>
      </c>
      <c r="AA1" s="16" t="s">
        <v>27</v>
      </c>
    </row>
    <row r="2" spans="1:27" x14ac:dyDescent="0.25">
      <c r="K2" s="2" t="s">
        <v>22</v>
      </c>
      <c r="M2" s="20" t="s">
        <v>2</v>
      </c>
      <c r="N2" s="20" t="s">
        <v>2</v>
      </c>
      <c r="O2" s="5" t="s">
        <v>2</v>
      </c>
      <c r="P2" s="1" t="s">
        <v>2</v>
      </c>
      <c r="Q2" s="1" t="s">
        <v>2</v>
      </c>
      <c r="R2" s="1" t="s">
        <v>2</v>
      </c>
      <c r="S2" s="1" t="s">
        <v>2</v>
      </c>
      <c r="T2" s="1" t="s">
        <v>2</v>
      </c>
      <c r="U2" s="1" t="s">
        <v>2</v>
      </c>
      <c r="V2" s="1" t="s">
        <v>2</v>
      </c>
      <c r="W2" s="1" t="s">
        <v>2</v>
      </c>
      <c r="X2" s="1" t="s">
        <v>2</v>
      </c>
      <c r="Y2" s="1" t="s">
        <v>2</v>
      </c>
    </row>
    <row r="3" spans="1:27" x14ac:dyDescent="0.25">
      <c r="A3">
        <v>100</v>
      </c>
      <c r="B3">
        <v>1</v>
      </c>
      <c r="C3">
        <f t="shared" ref="C3:C66" si="0">A3*100+B3</f>
        <v>10001</v>
      </c>
      <c r="D3" s="3" t="s">
        <v>86</v>
      </c>
      <c r="E3" s="11">
        <v>5.05</v>
      </c>
      <c r="F3" s="11">
        <v>-1.0669999999999999</v>
      </c>
      <c r="G3" t="s">
        <v>11</v>
      </c>
      <c r="H3" s="12" t="s">
        <v>13</v>
      </c>
      <c r="I3" s="4">
        <v>41562</v>
      </c>
      <c r="J3" t="s">
        <v>1</v>
      </c>
      <c r="K3" s="2">
        <v>0</v>
      </c>
      <c r="M3" s="20">
        <v>6.7</v>
      </c>
      <c r="N3" s="20">
        <v>6.6</v>
      </c>
      <c r="P3" s="1">
        <v>0.82</v>
      </c>
      <c r="Q3" s="1">
        <v>6.3</v>
      </c>
      <c r="R3" s="1">
        <v>0.82</v>
      </c>
      <c r="S3" s="1">
        <v>6.1</v>
      </c>
      <c r="T3" s="1"/>
      <c r="U3" s="1">
        <v>5.5</v>
      </c>
      <c r="V3" s="1">
        <v>22</v>
      </c>
      <c r="W3" s="1">
        <v>6.4</v>
      </c>
      <c r="X3" s="1">
        <v>2.1</v>
      </c>
      <c r="Y3" s="1"/>
      <c r="Z3" t="s">
        <v>0</v>
      </c>
      <c r="AA3" s="9" t="s">
        <v>28</v>
      </c>
    </row>
    <row r="4" spans="1:27" x14ac:dyDescent="0.25">
      <c r="A4">
        <v>100</v>
      </c>
      <c r="B4">
        <v>2</v>
      </c>
      <c r="C4">
        <f t="shared" si="0"/>
        <v>10002</v>
      </c>
      <c r="D4" s="3" t="s">
        <v>86</v>
      </c>
      <c r="E4" s="11">
        <v>5.05</v>
      </c>
      <c r="F4" s="11">
        <v>-1.0669999999999999</v>
      </c>
      <c r="G4" t="s">
        <v>11</v>
      </c>
      <c r="H4" s="12" t="s">
        <v>13</v>
      </c>
      <c r="I4" s="4">
        <v>41562</v>
      </c>
      <c r="J4" t="s">
        <v>1</v>
      </c>
      <c r="K4" s="2">
        <v>50</v>
      </c>
      <c r="M4" s="20">
        <v>7.6</v>
      </c>
      <c r="N4" s="20">
        <v>6.9</v>
      </c>
      <c r="P4" s="1">
        <v>1.22</v>
      </c>
      <c r="Q4" s="1">
        <v>8.3000000000000007</v>
      </c>
      <c r="R4" s="1">
        <v>1.43</v>
      </c>
      <c r="S4" s="1">
        <v>2.5</v>
      </c>
      <c r="T4" s="1"/>
      <c r="U4" s="1">
        <v>2.2999999999999998</v>
      </c>
      <c r="V4" s="1">
        <v>43</v>
      </c>
      <c r="W4" s="1">
        <v>4.5999999999999996</v>
      </c>
      <c r="X4" s="1">
        <v>1.7</v>
      </c>
      <c r="Y4" s="1"/>
      <c r="Z4" t="s">
        <v>0</v>
      </c>
      <c r="AA4" s="9" t="s">
        <v>28</v>
      </c>
    </row>
    <row r="5" spans="1:27" x14ac:dyDescent="0.25">
      <c r="A5">
        <v>100</v>
      </c>
      <c r="B5">
        <v>3</v>
      </c>
      <c r="C5">
        <f t="shared" si="0"/>
        <v>10003</v>
      </c>
      <c r="D5" s="3" t="s">
        <v>86</v>
      </c>
      <c r="E5" s="11">
        <v>5.05</v>
      </c>
      <c r="F5" s="11">
        <v>-1.0669999999999999</v>
      </c>
      <c r="G5" t="s">
        <v>11</v>
      </c>
      <c r="H5" s="12" t="s">
        <v>13</v>
      </c>
      <c r="I5" s="4">
        <v>41562</v>
      </c>
      <c r="J5" t="s">
        <v>1</v>
      </c>
      <c r="K5" s="2">
        <v>100</v>
      </c>
      <c r="M5" s="20">
        <v>6.2</v>
      </c>
      <c r="N5" s="20">
        <v>6.4</v>
      </c>
      <c r="P5" s="1">
        <v>0.71</v>
      </c>
      <c r="Q5" s="1">
        <v>7.7</v>
      </c>
      <c r="R5" s="1">
        <v>0.69</v>
      </c>
      <c r="S5" s="1">
        <v>1.6</v>
      </c>
      <c r="T5" s="1"/>
      <c r="U5" s="1">
        <v>1.5</v>
      </c>
      <c r="V5" s="1">
        <v>39</v>
      </c>
      <c r="W5" s="1">
        <v>8</v>
      </c>
      <c r="X5" s="1">
        <v>1.6</v>
      </c>
      <c r="Y5" s="1"/>
      <c r="Z5" t="s">
        <v>0</v>
      </c>
      <c r="AA5" s="9" t="s">
        <v>28</v>
      </c>
    </row>
    <row r="6" spans="1:27" x14ac:dyDescent="0.25">
      <c r="A6">
        <v>100</v>
      </c>
      <c r="B6">
        <v>4</v>
      </c>
      <c r="C6">
        <f t="shared" si="0"/>
        <v>10004</v>
      </c>
      <c r="D6" s="3" t="s">
        <v>86</v>
      </c>
      <c r="E6" s="11">
        <v>5.05</v>
      </c>
      <c r="F6" s="11">
        <v>-1.0669999999999999</v>
      </c>
      <c r="G6" t="s">
        <v>11</v>
      </c>
      <c r="H6" s="12" t="s">
        <v>13</v>
      </c>
      <c r="I6" s="4">
        <v>41562</v>
      </c>
      <c r="J6" t="s">
        <v>1</v>
      </c>
      <c r="K6" s="2">
        <v>150</v>
      </c>
      <c r="M6" s="20">
        <v>6.6</v>
      </c>
      <c r="N6" s="20">
        <v>6.6</v>
      </c>
      <c r="P6" s="1">
        <v>0.81</v>
      </c>
      <c r="Q6" s="1">
        <v>5.9</v>
      </c>
      <c r="R6" s="1">
        <v>0.78</v>
      </c>
      <c r="S6" s="1">
        <v>5.5</v>
      </c>
      <c r="T6" s="1"/>
      <c r="U6" s="1">
        <v>5</v>
      </c>
      <c r="V6" s="1">
        <v>40</v>
      </c>
      <c r="W6" s="1">
        <v>6.8</v>
      </c>
      <c r="X6" s="1">
        <v>5.6</v>
      </c>
      <c r="Y6" s="1"/>
      <c r="Z6" t="s">
        <v>0</v>
      </c>
      <c r="AA6" s="9" t="s">
        <v>28</v>
      </c>
    </row>
    <row r="7" spans="1:27" x14ac:dyDescent="0.25">
      <c r="A7">
        <v>100</v>
      </c>
      <c r="B7">
        <v>5</v>
      </c>
      <c r="C7">
        <f t="shared" si="0"/>
        <v>10005</v>
      </c>
      <c r="D7" s="3" t="s">
        <v>86</v>
      </c>
      <c r="E7" s="11">
        <v>5.05</v>
      </c>
      <c r="F7" s="11">
        <v>-1.0669999999999999</v>
      </c>
      <c r="G7" t="s">
        <v>11</v>
      </c>
      <c r="H7" s="12" t="s">
        <v>13</v>
      </c>
      <c r="I7" s="4">
        <v>41562</v>
      </c>
      <c r="J7" t="s">
        <v>1</v>
      </c>
      <c r="K7" s="2">
        <v>200</v>
      </c>
      <c r="M7" s="20">
        <v>6.8</v>
      </c>
      <c r="N7" s="20">
        <v>6.7</v>
      </c>
      <c r="P7" s="1">
        <v>0.92</v>
      </c>
      <c r="Q7" s="1">
        <v>7.3</v>
      </c>
      <c r="R7" s="1">
        <v>0.92</v>
      </c>
      <c r="S7" s="1">
        <v>4.8</v>
      </c>
      <c r="T7" s="1"/>
      <c r="U7" s="1">
        <v>4.3</v>
      </c>
      <c r="V7" s="1">
        <v>48</v>
      </c>
      <c r="W7" s="1">
        <v>5.6</v>
      </c>
      <c r="X7" s="1">
        <v>2.7</v>
      </c>
      <c r="Y7" s="1"/>
      <c r="Z7" t="s">
        <v>0</v>
      </c>
      <c r="AA7" s="9" t="s">
        <v>28</v>
      </c>
    </row>
    <row r="8" spans="1:27" x14ac:dyDescent="0.25">
      <c r="A8">
        <v>100</v>
      </c>
      <c r="B8">
        <v>6</v>
      </c>
      <c r="C8">
        <f t="shared" si="0"/>
        <v>10006</v>
      </c>
      <c r="D8" s="3" t="s">
        <v>86</v>
      </c>
      <c r="E8" s="11">
        <v>5.05</v>
      </c>
      <c r="F8" s="11">
        <v>-1.0669999999999999</v>
      </c>
      <c r="G8" t="s">
        <v>11</v>
      </c>
      <c r="H8" s="12" t="s">
        <v>13</v>
      </c>
      <c r="I8" s="4">
        <v>41562</v>
      </c>
      <c r="J8" t="s">
        <v>1</v>
      </c>
      <c r="K8" s="2">
        <v>250</v>
      </c>
      <c r="M8" s="20">
        <v>20.100000000000001</v>
      </c>
      <c r="N8" s="20">
        <v>33.5</v>
      </c>
      <c r="P8" s="1">
        <v>5.7</v>
      </c>
      <c r="Q8" s="1">
        <v>23.4</v>
      </c>
      <c r="R8" s="1">
        <v>5.8</v>
      </c>
      <c r="S8" s="3" t="s">
        <v>14</v>
      </c>
      <c r="U8" s="1">
        <v>2.9</v>
      </c>
      <c r="V8" s="1">
        <v>82</v>
      </c>
      <c r="W8" s="1">
        <v>5.6</v>
      </c>
      <c r="X8" s="1">
        <v>4.2</v>
      </c>
      <c r="Y8" s="1"/>
      <c r="Z8" t="s">
        <v>0</v>
      </c>
      <c r="AA8" s="9" t="s">
        <v>28</v>
      </c>
    </row>
    <row r="9" spans="1:27" x14ac:dyDescent="0.25">
      <c r="A9">
        <v>100</v>
      </c>
      <c r="B9">
        <v>7</v>
      </c>
      <c r="C9">
        <f t="shared" si="0"/>
        <v>10007</v>
      </c>
      <c r="D9" s="3" t="s">
        <v>86</v>
      </c>
      <c r="E9" s="11">
        <v>5.05</v>
      </c>
      <c r="F9" s="11">
        <v>-1.0669999999999999</v>
      </c>
      <c r="G9" t="s">
        <v>11</v>
      </c>
      <c r="H9" s="12" t="s">
        <v>13</v>
      </c>
      <c r="I9" s="4">
        <v>41562</v>
      </c>
      <c r="J9" t="s">
        <v>1</v>
      </c>
      <c r="K9" s="2">
        <v>300</v>
      </c>
      <c r="M9" s="20">
        <v>22.2</v>
      </c>
      <c r="N9" s="20">
        <v>34.200000000000003</v>
      </c>
      <c r="P9" s="1">
        <v>5.5</v>
      </c>
      <c r="Q9" s="1">
        <v>22.3</v>
      </c>
      <c r="R9" s="1">
        <v>5.4</v>
      </c>
      <c r="S9" s="1">
        <v>2.8</v>
      </c>
      <c r="T9" s="1"/>
      <c r="U9" s="1">
        <v>4.2</v>
      </c>
      <c r="V9" s="1">
        <v>46</v>
      </c>
      <c r="W9" s="1">
        <v>4.7</v>
      </c>
      <c r="X9" s="1">
        <v>3.6</v>
      </c>
      <c r="Y9" s="1"/>
      <c r="Z9" t="s">
        <v>0</v>
      </c>
      <c r="AA9" s="9" t="s">
        <v>28</v>
      </c>
    </row>
    <row r="10" spans="1:27" x14ac:dyDescent="0.25">
      <c r="A10">
        <v>100</v>
      </c>
      <c r="B10">
        <v>8</v>
      </c>
      <c r="C10">
        <f t="shared" si="0"/>
        <v>10008</v>
      </c>
      <c r="D10" s="3" t="s">
        <v>86</v>
      </c>
      <c r="E10" s="11">
        <v>5.05</v>
      </c>
      <c r="F10" s="11">
        <v>-1.0669999999999999</v>
      </c>
      <c r="G10" t="s">
        <v>11</v>
      </c>
      <c r="H10" s="12" t="s">
        <v>13</v>
      </c>
      <c r="I10" s="4">
        <v>41562</v>
      </c>
      <c r="J10" t="s">
        <v>1</v>
      </c>
      <c r="K10" s="2">
        <v>350</v>
      </c>
      <c r="M10" s="20">
        <v>19.5</v>
      </c>
      <c r="N10" s="20">
        <v>32.299999999999997</v>
      </c>
      <c r="P10" s="1">
        <v>5</v>
      </c>
      <c r="Q10" s="1">
        <v>22.1</v>
      </c>
      <c r="R10" s="1">
        <v>5.0999999999999996</v>
      </c>
      <c r="S10" s="1">
        <v>2.5</v>
      </c>
      <c r="T10" s="1"/>
      <c r="U10" s="3" t="s">
        <v>14</v>
      </c>
      <c r="V10" s="1">
        <v>35</v>
      </c>
      <c r="W10" s="1">
        <v>2.9</v>
      </c>
      <c r="X10" s="1">
        <v>2.4</v>
      </c>
      <c r="Y10" s="1"/>
      <c r="Z10" t="s">
        <v>0</v>
      </c>
      <c r="AA10" s="9" t="s">
        <v>28</v>
      </c>
    </row>
    <row r="11" spans="1:27" x14ac:dyDescent="0.25">
      <c r="A11">
        <v>100</v>
      </c>
      <c r="B11">
        <v>9</v>
      </c>
      <c r="C11">
        <f t="shared" si="0"/>
        <v>10009</v>
      </c>
      <c r="D11" s="3" t="s">
        <v>86</v>
      </c>
      <c r="E11" s="11">
        <v>5.05</v>
      </c>
      <c r="F11" s="11">
        <v>-1.0669999999999999</v>
      </c>
      <c r="G11" t="s">
        <v>11</v>
      </c>
      <c r="H11" s="12" t="s">
        <v>13</v>
      </c>
      <c r="I11" s="4">
        <v>41562</v>
      </c>
      <c r="J11" t="s">
        <v>1</v>
      </c>
      <c r="K11" s="2">
        <v>400</v>
      </c>
      <c r="M11" s="20">
        <v>22.1</v>
      </c>
      <c r="N11" s="20">
        <v>33.6</v>
      </c>
      <c r="P11" s="1">
        <v>5.4</v>
      </c>
      <c r="Q11" s="1">
        <v>22.2</v>
      </c>
      <c r="R11" s="1">
        <v>5.6</v>
      </c>
      <c r="S11" s="1">
        <v>2.1</v>
      </c>
      <c r="T11" s="1"/>
      <c r="U11" s="3" t="s">
        <v>14</v>
      </c>
      <c r="V11" s="1">
        <v>82</v>
      </c>
      <c r="W11" s="1">
        <v>8</v>
      </c>
      <c r="X11" s="1">
        <v>3.4</v>
      </c>
      <c r="Y11" s="1"/>
      <c r="Z11" t="s">
        <v>0</v>
      </c>
      <c r="AA11" s="9" t="s">
        <v>28</v>
      </c>
    </row>
    <row r="12" spans="1:27" x14ac:dyDescent="0.25">
      <c r="A12">
        <v>100</v>
      </c>
      <c r="B12">
        <v>10</v>
      </c>
      <c r="C12">
        <f t="shared" si="0"/>
        <v>10010</v>
      </c>
      <c r="D12" s="3" t="s">
        <v>86</v>
      </c>
      <c r="E12" s="11">
        <v>5.05</v>
      </c>
      <c r="F12" s="11">
        <v>-1.0669999999999999</v>
      </c>
      <c r="G12" t="s">
        <v>11</v>
      </c>
      <c r="H12" s="12" t="s">
        <v>13</v>
      </c>
      <c r="I12" s="4">
        <v>41744</v>
      </c>
      <c r="J12" t="s">
        <v>1</v>
      </c>
      <c r="K12" s="2">
        <v>450</v>
      </c>
      <c r="M12" s="20">
        <v>19.7</v>
      </c>
      <c r="N12" s="20">
        <v>33.1</v>
      </c>
      <c r="P12" s="1">
        <v>6</v>
      </c>
      <c r="Q12" s="1">
        <v>22.3</v>
      </c>
      <c r="R12" s="1">
        <v>6</v>
      </c>
      <c r="S12" s="1">
        <v>3.2</v>
      </c>
      <c r="T12" s="1"/>
      <c r="U12" s="1">
        <v>2.9</v>
      </c>
      <c r="V12" s="1">
        <v>135</v>
      </c>
      <c r="W12" s="1">
        <v>11.9</v>
      </c>
      <c r="X12" s="1">
        <v>2.1</v>
      </c>
      <c r="Y12" s="1"/>
      <c r="Z12" t="s">
        <v>0</v>
      </c>
      <c r="AA12" s="9" t="s">
        <v>29</v>
      </c>
    </row>
    <row r="13" spans="1:27" x14ac:dyDescent="0.25">
      <c r="A13">
        <v>100</v>
      </c>
      <c r="B13">
        <v>11</v>
      </c>
      <c r="C13">
        <f t="shared" si="0"/>
        <v>10011</v>
      </c>
      <c r="D13" s="3" t="s">
        <v>86</v>
      </c>
      <c r="E13" s="11">
        <v>5.05</v>
      </c>
      <c r="F13" s="11">
        <v>-1.0669999999999999</v>
      </c>
      <c r="G13" t="s">
        <v>11</v>
      </c>
      <c r="H13" s="12" t="s">
        <v>13</v>
      </c>
      <c r="I13" s="4">
        <v>41744</v>
      </c>
      <c r="J13" t="s">
        <v>1</v>
      </c>
      <c r="K13" s="2">
        <v>500</v>
      </c>
      <c r="M13" s="20">
        <v>22.3</v>
      </c>
      <c r="N13" s="20">
        <v>35.5</v>
      </c>
      <c r="P13" s="1">
        <v>6.4</v>
      </c>
      <c r="Q13" s="1">
        <v>23.9</v>
      </c>
      <c r="R13" s="1">
        <v>7</v>
      </c>
      <c r="S13" s="3" t="s">
        <v>14</v>
      </c>
      <c r="U13" s="1">
        <v>2.7</v>
      </c>
      <c r="V13" s="1">
        <v>139</v>
      </c>
      <c r="W13" s="1">
        <v>12</v>
      </c>
      <c r="X13" s="1">
        <v>3</v>
      </c>
      <c r="Y13" s="1"/>
      <c r="Z13" t="s">
        <v>0</v>
      </c>
      <c r="AA13" s="9" t="s">
        <v>29</v>
      </c>
    </row>
    <row r="14" spans="1:27" x14ac:dyDescent="0.25">
      <c r="A14">
        <v>100</v>
      </c>
      <c r="B14">
        <v>12</v>
      </c>
      <c r="C14">
        <f t="shared" si="0"/>
        <v>10012</v>
      </c>
      <c r="D14" s="3" t="s">
        <v>86</v>
      </c>
      <c r="E14" s="11">
        <v>5.05</v>
      </c>
      <c r="F14" s="11">
        <v>-1.0669999999999999</v>
      </c>
      <c r="G14" t="s">
        <v>11</v>
      </c>
      <c r="H14" s="12" t="s">
        <v>13</v>
      </c>
      <c r="I14" s="4">
        <v>41744</v>
      </c>
      <c r="J14" t="s">
        <v>1</v>
      </c>
      <c r="K14" s="2">
        <v>550</v>
      </c>
      <c r="M14" s="20">
        <v>19.600000000000001</v>
      </c>
      <c r="N14" s="20">
        <v>32.5</v>
      </c>
      <c r="P14" s="1">
        <v>4.7</v>
      </c>
      <c r="Q14" s="1">
        <v>22.2</v>
      </c>
      <c r="R14" s="1">
        <v>4.7</v>
      </c>
      <c r="S14" s="1">
        <v>4.0999999999999996</v>
      </c>
      <c r="T14" s="1"/>
      <c r="U14" s="1">
        <v>3.8</v>
      </c>
      <c r="V14" s="1">
        <v>145</v>
      </c>
      <c r="W14" s="1">
        <v>15</v>
      </c>
      <c r="X14" s="1">
        <v>5.0999999999999996</v>
      </c>
      <c r="Y14" s="1"/>
      <c r="Z14" t="s">
        <v>0</v>
      </c>
      <c r="AA14" s="9" t="s">
        <v>29</v>
      </c>
    </row>
    <row r="15" spans="1:27" x14ac:dyDescent="0.25">
      <c r="A15">
        <v>100</v>
      </c>
      <c r="B15">
        <v>13</v>
      </c>
      <c r="C15">
        <f t="shared" si="0"/>
        <v>10013</v>
      </c>
      <c r="D15" s="3" t="s">
        <v>86</v>
      </c>
      <c r="E15" s="11">
        <v>5.05</v>
      </c>
      <c r="F15" s="11">
        <v>-1.0669999999999999</v>
      </c>
      <c r="G15" t="s">
        <v>11</v>
      </c>
      <c r="H15" s="12" t="s">
        <v>13</v>
      </c>
      <c r="I15" s="4">
        <v>41744</v>
      </c>
      <c r="J15" t="s">
        <v>1</v>
      </c>
      <c r="K15" s="2">
        <v>600</v>
      </c>
      <c r="M15" s="20">
        <v>18.7</v>
      </c>
      <c r="N15" s="20">
        <v>31.6</v>
      </c>
      <c r="P15" s="1">
        <v>5.7</v>
      </c>
      <c r="Q15" s="1">
        <v>22.5</v>
      </c>
      <c r="R15" s="1">
        <v>5.8</v>
      </c>
      <c r="S15" s="1">
        <v>2.5</v>
      </c>
      <c r="T15" s="1"/>
      <c r="U15" s="1">
        <v>2.7</v>
      </c>
      <c r="V15" s="1">
        <v>55</v>
      </c>
      <c r="W15" s="1">
        <v>7</v>
      </c>
      <c r="X15" s="1">
        <v>3.4</v>
      </c>
      <c r="Y15" s="1"/>
      <c r="Z15" t="s">
        <v>0</v>
      </c>
      <c r="AA15" s="9" t="s">
        <v>29</v>
      </c>
    </row>
    <row r="16" spans="1:27" x14ac:dyDescent="0.25">
      <c r="A16">
        <v>101</v>
      </c>
      <c r="B16">
        <v>1</v>
      </c>
      <c r="C16">
        <f t="shared" si="0"/>
        <v>10101</v>
      </c>
      <c r="D16" s="3" t="s">
        <v>86</v>
      </c>
      <c r="E16" s="11">
        <f>29+20/60+5/3600</f>
        <v>29.334722222222222</v>
      </c>
      <c r="F16" s="11">
        <f>-(92+44/3600)</f>
        <v>-92.012222222222221</v>
      </c>
      <c r="G16" t="s">
        <v>15</v>
      </c>
      <c r="H16" s="12" t="s">
        <v>17</v>
      </c>
      <c r="I16" s="4">
        <v>34151</v>
      </c>
      <c r="J16" t="s">
        <v>1</v>
      </c>
      <c r="K16" s="2">
        <v>0</v>
      </c>
      <c r="M16" s="20">
        <f>91*37</f>
        <v>3367</v>
      </c>
      <c r="N16" s="20">
        <f>239*37</f>
        <v>8843</v>
      </c>
      <c r="O16" s="8">
        <f>12.3*37</f>
        <v>455.1</v>
      </c>
      <c r="P16" s="1">
        <f>81.7*37</f>
        <v>3022.9</v>
      </c>
      <c r="V16" s="3">
        <f>1.3*37</f>
        <v>48.1</v>
      </c>
      <c r="Z16" t="s">
        <v>359</v>
      </c>
      <c r="AA16" s="9" t="s">
        <v>30</v>
      </c>
    </row>
    <row r="17" spans="1:27" x14ac:dyDescent="0.25">
      <c r="A17">
        <v>101</v>
      </c>
      <c r="B17">
        <v>2</v>
      </c>
      <c r="C17">
        <f t="shared" si="0"/>
        <v>10102</v>
      </c>
      <c r="D17" s="3" t="s">
        <v>86</v>
      </c>
      <c r="E17" s="11">
        <f>28+41/60+50/3600</f>
        <v>28.697222222222223</v>
      </c>
      <c r="F17" s="11">
        <f>-(92+15/60+45/3600)</f>
        <v>-92.262500000000003</v>
      </c>
      <c r="G17" t="s">
        <v>15</v>
      </c>
      <c r="H17" s="12" t="s">
        <v>17</v>
      </c>
      <c r="I17" s="4">
        <v>34151</v>
      </c>
      <c r="J17" t="s">
        <v>1</v>
      </c>
      <c r="K17" s="2">
        <v>0</v>
      </c>
      <c r="M17" s="20">
        <f>300*37</f>
        <v>11100</v>
      </c>
      <c r="N17" s="20">
        <f>228*37</f>
        <v>8436</v>
      </c>
      <c r="O17" s="8">
        <f>7.7*37</f>
        <v>284.90000000000003</v>
      </c>
      <c r="P17" s="1">
        <f>77.6*37</f>
        <v>2871.2</v>
      </c>
      <c r="V17" s="3">
        <f>1.3*37</f>
        <v>48.1</v>
      </c>
      <c r="Z17" t="s">
        <v>359</v>
      </c>
      <c r="AA17" s="9" t="s">
        <v>30</v>
      </c>
    </row>
    <row r="18" spans="1:27" x14ac:dyDescent="0.25">
      <c r="A18">
        <v>101</v>
      </c>
      <c r="B18">
        <v>3</v>
      </c>
      <c r="C18">
        <f t="shared" si="0"/>
        <v>10103</v>
      </c>
      <c r="D18" s="3" t="s">
        <v>86</v>
      </c>
      <c r="E18" s="11">
        <f>28+17/60+53/3600</f>
        <v>28.298055555555557</v>
      </c>
      <c r="F18" s="11">
        <f>-(92+43/3600)</f>
        <v>-92.011944444444438</v>
      </c>
      <c r="G18" t="s">
        <v>15</v>
      </c>
      <c r="H18" s="12" t="s">
        <v>17</v>
      </c>
      <c r="I18" s="4">
        <v>34151</v>
      </c>
      <c r="J18" t="s">
        <v>1</v>
      </c>
      <c r="K18" s="2">
        <v>0</v>
      </c>
      <c r="M18" s="20">
        <f>362*37</f>
        <v>13394</v>
      </c>
      <c r="N18" s="20">
        <f>164*37</f>
        <v>6068</v>
      </c>
      <c r="O18" s="8">
        <f>5.6*37</f>
        <v>207.2</v>
      </c>
      <c r="P18" s="1">
        <f>43.1*37</f>
        <v>1594.7</v>
      </c>
      <c r="V18" s="3">
        <f>2*37</f>
        <v>74</v>
      </c>
      <c r="Z18" t="s">
        <v>359</v>
      </c>
      <c r="AA18" s="9" t="s">
        <v>30</v>
      </c>
    </row>
    <row r="19" spans="1:27" x14ac:dyDescent="0.25">
      <c r="A19">
        <v>101</v>
      </c>
      <c r="B19">
        <v>4</v>
      </c>
      <c r="C19">
        <f t="shared" si="0"/>
        <v>10104</v>
      </c>
      <c r="D19" s="3" t="s">
        <v>86</v>
      </c>
      <c r="E19" s="11">
        <f>27+52/60+5/3600</f>
        <v>27.868055555555557</v>
      </c>
      <c r="F19" s="11">
        <f>-(93+59/60+30/3600)</f>
        <v>-93.991666666666674</v>
      </c>
      <c r="G19" t="s">
        <v>15</v>
      </c>
      <c r="H19" s="12" t="s">
        <v>17</v>
      </c>
      <c r="I19" s="4">
        <v>34151</v>
      </c>
      <c r="J19" t="s">
        <v>1</v>
      </c>
      <c r="K19" s="2">
        <v>0</v>
      </c>
      <c r="M19" s="20">
        <f>1494*37</f>
        <v>55278</v>
      </c>
      <c r="N19" s="20">
        <f>356*37</f>
        <v>13172</v>
      </c>
      <c r="O19" s="8">
        <f>12.5*37</f>
        <v>462.5</v>
      </c>
      <c r="P19" s="1">
        <f>79*37</f>
        <v>2923</v>
      </c>
      <c r="V19" s="3">
        <f>1*37</f>
        <v>37</v>
      </c>
      <c r="Z19" t="s">
        <v>359</v>
      </c>
      <c r="AA19" s="9" t="s">
        <v>30</v>
      </c>
    </row>
    <row r="20" spans="1:27" x14ac:dyDescent="0.25">
      <c r="A20">
        <v>101</v>
      </c>
      <c r="B20">
        <v>5</v>
      </c>
      <c r="C20">
        <f t="shared" si="0"/>
        <v>10105</v>
      </c>
      <c r="D20" s="3" t="s">
        <v>86</v>
      </c>
      <c r="E20" s="11">
        <f>27+53/60+44/3600</f>
        <v>27.895555555555553</v>
      </c>
      <c r="F20" s="11">
        <f>-(96+25/60+41/3600)</f>
        <v>-96.428055555555559</v>
      </c>
      <c r="G20" t="s">
        <v>15</v>
      </c>
      <c r="H20" s="12" t="s">
        <v>17</v>
      </c>
      <c r="I20" s="4">
        <v>34151</v>
      </c>
      <c r="J20" t="s">
        <v>1</v>
      </c>
      <c r="K20" s="2">
        <v>0</v>
      </c>
      <c r="M20" s="20">
        <f>56*37</f>
        <v>2072</v>
      </c>
      <c r="N20" s="20">
        <f>69*37</f>
        <v>2553</v>
      </c>
      <c r="O20" s="8">
        <f>2.6*37</f>
        <v>96.2</v>
      </c>
      <c r="P20" s="1">
        <f>11.4*37</f>
        <v>421.8</v>
      </c>
      <c r="V20" s="3">
        <f>0.7*37</f>
        <v>25.9</v>
      </c>
      <c r="Z20" t="s">
        <v>359</v>
      </c>
      <c r="AA20" s="9" t="s">
        <v>30</v>
      </c>
    </row>
    <row r="21" spans="1:27" x14ac:dyDescent="0.25">
      <c r="A21">
        <v>101</v>
      </c>
      <c r="B21">
        <v>6</v>
      </c>
      <c r="C21">
        <f t="shared" si="0"/>
        <v>10106</v>
      </c>
      <c r="D21" s="3" t="s">
        <v>86</v>
      </c>
      <c r="E21" s="11">
        <f>28+10/60+3/3600</f>
        <v>28.1675</v>
      </c>
      <c r="F21" s="11">
        <f>-93-46/60-4/3600</f>
        <v>-93.767777777777781</v>
      </c>
      <c r="G21" t="s">
        <v>15</v>
      </c>
      <c r="H21" s="12" t="s">
        <v>17</v>
      </c>
      <c r="I21" s="4">
        <v>34151</v>
      </c>
      <c r="J21" t="s">
        <v>1</v>
      </c>
      <c r="K21" s="2">
        <v>0</v>
      </c>
      <c r="M21" s="20">
        <f>112*37</f>
        <v>4144</v>
      </c>
      <c r="N21" s="20">
        <f>162*37</f>
        <v>5994</v>
      </c>
      <c r="O21" s="8">
        <f>5.2*37</f>
        <v>192.4</v>
      </c>
      <c r="P21" s="1">
        <f>29*37</f>
        <v>1073</v>
      </c>
      <c r="V21" s="3">
        <f>0.6*37</f>
        <v>22.2</v>
      </c>
      <c r="Z21" t="s">
        <v>359</v>
      </c>
      <c r="AA21" s="9" t="s">
        <v>30</v>
      </c>
    </row>
    <row r="22" spans="1:27" x14ac:dyDescent="0.25">
      <c r="A22">
        <v>101</v>
      </c>
      <c r="B22">
        <v>7</v>
      </c>
      <c r="C22">
        <f t="shared" si="0"/>
        <v>10107</v>
      </c>
      <c r="D22" s="3" t="s">
        <v>86</v>
      </c>
      <c r="E22" s="11">
        <f>28+15/60+27/3600</f>
        <v>28.2575</v>
      </c>
      <c r="F22" s="11">
        <f>-91-46/60-4/3600</f>
        <v>-91.767777777777781</v>
      </c>
      <c r="G22" t="s">
        <v>15</v>
      </c>
      <c r="H22" s="12" t="s">
        <v>17</v>
      </c>
      <c r="I22" s="4">
        <v>34151</v>
      </c>
      <c r="J22" t="s">
        <v>1</v>
      </c>
      <c r="K22" s="2">
        <v>0</v>
      </c>
      <c r="M22" s="20">
        <f>270*37</f>
        <v>9990</v>
      </c>
      <c r="N22" s="20">
        <f>388*37</f>
        <v>14356</v>
      </c>
      <c r="O22" s="8">
        <f>13.8*37</f>
        <v>510.6</v>
      </c>
      <c r="P22" s="1">
        <f>62.6*37</f>
        <v>2316.2000000000003</v>
      </c>
      <c r="V22" s="3">
        <f>2.3*37</f>
        <v>85.1</v>
      </c>
      <c r="Z22" t="s">
        <v>359</v>
      </c>
      <c r="AA22" s="9" t="s">
        <v>30</v>
      </c>
    </row>
    <row r="23" spans="1:27" x14ac:dyDescent="0.25">
      <c r="A23">
        <v>101</v>
      </c>
      <c r="B23">
        <v>8</v>
      </c>
      <c r="C23">
        <f t="shared" si="0"/>
        <v>10108</v>
      </c>
      <c r="D23" s="3" t="s">
        <v>86</v>
      </c>
      <c r="E23" s="11">
        <f>27+54/60+48/3600</f>
        <v>27.91333333333333</v>
      </c>
      <c r="F23" s="11">
        <f>-93-56/60-6/3600</f>
        <v>-93.935000000000002</v>
      </c>
      <c r="G23" t="s">
        <v>15</v>
      </c>
      <c r="H23" s="12" t="s">
        <v>17</v>
      </c>
      <c r="I23" s="4">
        <v>34151</v>
      </c>
      <c r="J23" t="s">
        <v>1</v>
      </c>
      <c r="K23" s="2">
        <v>0</v>
      </c>
      <c r="M23" s="20">
        <f>255*37</f>
        <v>9435</v>
      </c>
      <c r="N23" s="20">
        <f>600*37</f>
        <v>22200</v>
      </c>
      <c r="O23" s="8">
        <f>16.7*37</f>
        <v>617.9</v>
      </c>
      <c r="P23" s="1">
        <f>120.7*37</f>
        <v>4465.9000000000005</v>
      </c>
      <c r="V23" s="3">
        <f>1.9*37</f>
        <v>70.3</v>
      </c>
      <c r="Z23" t="s">
        <v>359</v>
      </c>
      <c r="AA23" s="9" t="s">
        <v>30</v>
      </c>
    </row>
    <row r="24" spans="1:27" x14ac:dyDescent="0.25">
      <c r="A24">
        <v>101</v>
      </c>
      <c r="B24">
        <v>9</v>
      </c>
      <c r="C24">
        <f t="shared" si="0"/>
        <v>10109</v>
      </c>
      <c r="D24" s="3" t="s">
        <v>86</v>
      </c>
      <c r="E24" s="11">
        <f>28+36/60+17/3600</f>
        <v>28.604722222222225</v>
      </c>
      <c r="F24" s="11">
        <f>-93-24/60-58/3600</f>
        <v>-93.416111111111121</v>
      </c>
      <c r="G24" t="s">
        <v>15</v>
      </c>
      <c r="H24" s="12" t="s">
        <v>17</v>
      </c>
      <c r="I24" s="4">
        <v>34151</v>
      </c>
      <c r="J24" t="s">
        <v>18</v>
      </c>
      <c r="K24" s="2">
        <v>0</v>
      </c>
      <c r="M24" s="20">
        <f>0.3*37</f>
        <v>11.1</v>
      </c>
      <c r="N24" s="20">
        <f>0.15*37</f>
        <v>5.55</v>
      </c>
      <c r="O24" s="8">
        <f>0.37*37</f>
        <v>13.69</v>
      </c>
      <c r="Z24" t="s">
        <v>359</v>
      </c>
      <c r="AA24" s="9" t="s">
        <v>30</v>
      </c>
    </row>
    <row r="25" spans="1:27" x14ac:dyDescent="0.25">
      <c r="A25">
        <v>101</v>
      </c>
      <c r="B25">
        <v>10</v>
      </c>
      <c r="C25">
        <f t="shared" si="0"/>
        <v>10110</v>
      </c>
      <c r="D25" s="3" t="s">
        <v>86</v>
      </c>
      <c r="E25" s="11">
        <f>28+20/60+24/3600</f>
        <v>28.34</v>
      </c>
      <c r="F25" s="11">
        <f>-94-59/60</f>
        <v>-94.983333333333334</v>
      </c>
      <c r="G25" t="s">
        <v>15</v>
      </c>
      <c r="H25" s="12" t="s">
        <v>17</v>
      </c>
      <c r="I25" s="4">
        <v>34151</v>
      </c>
      <c r="J25" t="s">
        <v>18</v>
      </c>
      <c r="K25" s="2">
        <v>0</v>
      </c>
      <c r="M25" s="20">
        <f>0.07*37</f>
        <v>2.5900000000000003</v>
      </c>
      <c r="N25" s="20">
        <f>0.7*37</f>
        <v>25.9</v>
      </c>
      <c r="O25" s="8">
        <f>0.23*37</f>
        <v>8.51</v>
      </c>
      <c r="Z25" t="s">
        <v>359</v>
      </c>
      <c r="AA25" s="9" t="s">
        <v>30</v>
      </c>
    </row>
    <row r="26" spans="1:27" x14ac:dyDescent="0.25">
      <c r="A26">
        <v>101</v>
      </c>
      <c r="B26">
        <v>11</v>
      </c>
      <c r="C26">
        <f t="shared" si="0"/>
        <v>10111</v>
      </c>
      <c r="D26" s="3" t="s">
        <v>86</v>
      </c>
      <c r="E26" s="11">
        <f>27+59/60+8/3600</f>
        <v>27.985555555555557</v>
      </c>
      <c r="F26" s="11">
        <f>-92-2/60-53/3600</f>
        <v>-92.04805555555555</v>
      </c>
      <c r="G26" t="s">
        <v>15</v>
      </c>
      <c r="H26" s="12" t="s">
        <v>17</v>
      </c>
      <c r="I26" s="4">
        <v>34151</v>
      </c>
      <c r="J26" t="s">
        <v>18</v>
      </c>
      <c r="K26" s="2">
        <v>0</v>
      </c>
      <c r="M26" s="20">
        <f>0.13*37</f>
        <v>4.8100000000000005</v>
      </c>
      <c r="N26" s="20">
        <f>0.6*37</f>
        <v>22.2</v>
      </c>
      <c r="O26" s="8">
        <f>0.03*37</f>
        <v>1.1099999999999999</v>
      </c>
      <c r="Z26" t="s">
        <v>359</v>
      </c>
      <c r="AA26" s="9" t="s">
        <v>30</v>
      </c>
    </row>
    <row r="27" spans="1:27" x14ac:dyDescent="0.25">
      <c r="A27">
        <v>101</v>
      </c>
      <c r="B27">
        <v>12</v>
      </c>
      <c r="C27">
        <f t="shared" si="0"/>
        <v>10112</v>
      </c>
      <c r="D27" s="3" t="s">
        <v>86</v>
      </c>
      <c r="E27" s="11">
        <f>28+5/3600</f>
        <v>28.00138888888889</v>
      </c>
      <c r="F27" s="11">
        <f>-95-14/60-18/3600</f>
        <v>-95.23833333333333</v>
      </c>
      <c r="G27" t="s">
        <v>15</v>
      </c>
      <c r="H27" s="12" t="s">
        <v>17</v>
      </c>
      <c r="I27" s="4">
        <v>34151</v>
      </c>
      <c r="J27" t="s">
        <v>18</v>
      </c>
      <c r="K27" s="2">
        <v>0</v>
      </c>
      <c r="M27" s="20">
        <f>0.13*37</f>
        <v>4.8100000000000005</v>
      </c>
      <c r="N27" s="20">
        <f>0.93*37</f>
        <v>34.410000000000004</v>
      </c>
      <c r="O27" s="8">
        <f>0.3*37</f>
        <v>11.1</v>
      </c>
      <c r="Z27" t="s">
        <v>359</v>
      </c>
      <c r="AA27" s="9" t="s">
        <v>30</v>
      </c>
    </row>
    <row r="28" spans="1:27" x14ac:dyDescent="0.25">
      <c r="A28">
        <v>101</v>
      </c>
      <c r="B28">
        <v>1</v>
      </c>
      <c r="C28">
        <f t="shared" si="0"/>
        <v>10101</v>
      </c>
      <c r="D28" s="3" t="s">
        <v>86</v>
      </c>
      <c r="E28" s="11">
        <f t="shared" ref="E28:E38" si="1">29+20/60+5/3600</f>
        <v>29.334722222222222</v>
      </c>
      <c r="F28" s="11">
        <f t="shared" ref="F28:F38" si="2">-(92+44/3600)</f>
        <v>-92.012222222222221</v>
      </c>
      <c r="G28" t="s">
        <v>15</v>
      </c>
      <c r="H28" s="12" t="s">
        <v>17</v>
      </c>
      <c r="I28" s="4">
        <v>34151</v>
      </c>
      <c r="J28" t="s">
        <v>1</v>
      </c>
      <c r="K28" s="2">
        <v>0</v>
      </c>
      <c r="M28" s="20">
        <f>91*37</f>
        <v>3367</v>
      </c>
      <c r="N28" s="20">
        <f>239*37</f>
        <v>8843</v>
      </c>
      <c r="O28" s="8">
        <f>12*37</f>
        <v>444</v>
      </c>
      <c r="Z28" t="s">
        <v>359</v>
      </c>
      <c r="AA28" s="9" t="s">
        <v>31</v>
      </c>
    </row>
    <row r="29" spans="1:27" x14ac:dyDescent="0.25">
      <c r="A29">
        <v>101</v>
      </c>
      <c r="B29">
        <v>1</v>
      </c>
      <c r="C29">
        <f t="shared" si="0"/>
        <v>10101</v>
      </c>
      <c r="D29" s="3" t="s">
        <v>86</v>
      </c>
      <c r="E29" s="11">
        <f t="shared" si="1"/>
        <v>29.334722222222222</v>
      </c>
      <c r="F29" s="11">
        <f t="shared" si="2"/>
        <v>-92.012222222222221</v>
      </c>
      <c r="G29" t="s">
        <v>15</v>
      </c>
      <c r="H29" s="12" t="s">
        <v>17</v>
      </c>
      <c r="I29" s="4">
        <v>34152</v>
      </c>
      <c r="J29" t="s">
        <v>1</v>
      </c>
      <c r="K29" s="2">
        <v>0</v>
      </c>
      <c r="M29" s="20">
        <f>70*37</f>
        <v>2590</v>
      </c>
      <c r="N29" s="20">
        <f>138*37</f>
        <v>5106</v>
      </c>
      <c r="O29" s="8">
        <f>13*37</f>
        <v>481</v>
      </c>
      <c r="Z29" t="s">
        <v>359</v>
      </c>
      <c r="AA29" s="9" t="s">
        <v>31</v>
      </c>
    </row>
    <row r="30" spans="1:27" x14ac:dyDescent="0.25">
      <c r="A30">
        <v>101</v>
      </c>
      <c r="B30">
        <v>1</v>
      </c>
      <c r="C30">
        <f t="shared" si="0"/>
        <v>10101</v>
      </c>
      <c r="D30" s="3" t="s">
        <v>86</v>
      </c>
      <c r="E30" s="11">
        <f t="shared" si="1"/>
        <v>29.334722222222222</v>
      </c>
      <c r="F30" s="11">
        <f t="shared" si="2"/>
        <v>-92.012222222222221</v>
      </c>
      <c r="G30" t="s">
        <v>15</v>
      </c>
      <c r="H30" s="12" t="s">
        <v>17</v>
      </c>
      <c r="I30" s="4">
        <v>34153</v>
      </c>
      <c r="J30" t="s">
        <v>1</v>
      </c>
      <c r="K30" s="2">
        <v>0</v>
      </c>
      <c r="M30" s="20">
        <f>66*37</f>
        <v>2442</v>
      </c>
      <c r="N30" s="20">
        <f>307*37</f>
        <v>11359</v>
      </c>
      <c r="O30" s="8">
        <f>16*37</f>
        <v>592</v>
      </c>
      <c r="Z30" t="s">
        <v>359</v>
      </c>
      <c r="AA30" s="9" t="s">
        <v>31</v>
      </c>
    </row>
    <row r="31" spans="1:27" x14ac:dyDescent="0.25">
      <c r="A31">
        <v>101</v>
      </c>
      <c r="B31">
        <v>1</v>
      </c>
      <c r="C31">
        <f t="shared" si="0"/>
        <v>10101</v>
      </c>
      <c r="D31" s="3" t="s">
        <v>86</v>
      </c>
      <c r="E31" s="11">
        <f t="shared" si="1"/>
        <v>29.334722222222222</v>
      </c>
      <c r="F31" s="11">
        <f t="shared" si="2"/>
        <v>-92.012222222222221</v>
      </c>
      <c r="G31" t="s">
        <v>15</v>
      </c>
      <c r="H31" s="12" t="s">
        <v>17</v>
      </c>
      <c r="I31" s="4">
        <v>34154</v>
      </c>
      <c r="J31" t="s">
        <v>1</v>
      </c>
      <c r="K31" s="2">
        <v>0</v>
      </c>
      <c r="M31" s="20">
        <f>47*37</f>
        <v>1739</v>
      </c>
      <c r="N31" s="20">
        <f>126*37</f>
        <v>4662</v>
      </c>
      <c r="O31" s="8">
        <f>12*37</f>
        <v>444</v>
      </c>
      <c r="Z31" t="s">
        <v>359</v>
      </c>
      <c r="AA31" s="9" t="s">
        <v>31</v>
      </c>
    </row>
    <row r="32" spans="1:27" x14ac:dyDescent="0.25">
      <c r="A32">
        <v>101</v>
      </c>
      <c r="B32">
        <v>1</v>
      </c>
      <c r="C32">
        <f t="shared" si="0"/>
        <v>10101</v>
      </c>
      <c r="D32" s="3" t="s">
        <v>86</v>
      </c>
      <c r="E32" s="11">
        <f t="shared" si="1"/>
        <v>29.334722222222222</v>
      </c>
      <c r="F32" s="11">
        <f t="shared" si="2"/>
        <v>-92.012222222222221</v>
      </c>
      <c r="G32" t="s">
        <v>15</v>
      </c>
      <c r="H32" s="12" t="s">
        <v>17</v>
      </c>
      <c r="I32" s="4">
        <v>34155</v>
      </c>
      <c r="J32" t="s">
        <v>1</v>
      </c>
      <c r="K32" s="2">
        <v>0</v>
      </c>
      <c r="M32" s="20">
        <f>175*37</f>
        <v>6475</v>
      </c>
      <c r="N32" s="20">
        <f>187*37</f>
        <v>6919</v>
      </c>
      <c r="O32" s="8">
        <f>16*37</f>
        <v>592</v>
      </c>
      <c r="Z32" t="s">
        <v>359</v>
      </c>
      <c r="AA32" s="9" t="s">
        <v>31</v>
      </c>
    </row>
    <row r="33" spans="1:27" x14ac:dyDescent="0.25">
      <c r="A33">
        <v>101</v>
      </c>
      <c r="B33">
        <v>1</v>
      </c>
      <c r="C33">
        <f t="shared" si="0"/>
        <v>10101</v>
      </c>
      <c r="D33" s="3" t="s">
        <v>86</v>
      </c>
      <c r="E33" s="11">
        <f t="shared" si="1"/>
        <v>29.334722222222222</v>
      </c>
      <c r="F33" s="11">
        <f t="shared" si="2"/>
        <v>-92.012222222222221</v>
      </c>
      <c r="G33" t="s">
        <v>15</v>
      </c>
      <c r="H33" s="12" t="s">
        <v>17</v>
      </c>
      <c r="I33" s="4">
        <v>34156</v>
      </c>
      <c r="J33" t="s">
        <v>1</v>
      </c>
      <c r="K33" s="2">
        <v>0</v>
      </c>
      <c r="M33" s="20">
        <f>68*37</f>
        <v>2516</v>
      </c>
      <c r="N33" s="20">
        <f>166*37</f>
        <v>6142</v>
      </c>
      <c r="O33" s="8">
        <f>15*37</f>
        <v>555</v>
      </c>
      <c r="Z33" t="s">
        <v>359</v>
      </c>
      <c r="AA33" s="9" t="s">
        <v>31</v>
      </c>
    </row>
    <row r="34" spans="1:27" x14ac:dyDescent="0.25">
      <c r="A34">
        <v>101</v>
      </c>
      <c r="B34">
        <v>1</v>
      </c>
      <c r="C34">
        <f t="shared" si="0"/>
        <v>10101</v>
      </c>
      <c r="D34" s="3" t="s">
        <v>86</v>
      </c>
      <c r="E34" s="11">
        <f t="shared" si="1"/>
        <v>29.334722222222222</v>
      </c>
      <c r="F34" s="11">
        <f t="shared" si="2"/>
        <v>-92.012222222222221</v>
      </c>
      <c r="G34" t="s">
        <v>15</v>
      </c>
      <c r="H34" s="12" t="s">
        <v>17</v>
      </c>
      <c r="I34" s="4">
        <v>34182</v>
      </c>
      <c r="J34" t="s">
        <v>1</v>
      </c>
      <c r="K34" s="2">
        <v>0</v>
      </c>
      <c r="M34" s="20">
        <f>39*37</f>
        <v>1443</v>
      </c>
      <c r="N34" s="20">
        <f>119*37</f>
        <v>4403</v>
      </c>
      <c r="O34" s="8">
        <f>4*37</f>
        <v>148</v>
      </c>
      <c r="Z34" t="s">
        <v>359</v>
      </c>
      <c r="AA34" s="9" t="s">
        <v>31</v>
      </c>
    </row>
    <row r="35" spans="1:27" x14ac:dyDescent="0.25">
      <c r="A35">
        <v>101</v>
      </c>
      <c r="B35">
        <v>1</v>
      </c>
      <c r="C35">
        <f t="shared" si="0"/>
        <v>10101</v>
      </c>
      <c r="D35" s="3" t="s">
        <v>86</v>
      </c>
      <c r="E35" s="11">
        <f t="shared" si="1"/>
        <v>29.334722222222222</v>
      </c>
      <c r="F35" s="11">
        <f t="shared" si="2"/>
        <v>-92.012222222222221</v>
      </c>
      <c r="G35" t="s">
        <v>15</v>
      </c>
      <c r="H35" s="12" t="s">
        <v>17</v>
      </c>
      <c r="I35" s="4">
        <v>34213</v>
      </c>
      <c r="J35" t="s">
        <v>1</v>
      </c>
      <c r="K35" s="2">
        <v>0</v>
      </c>
      <c r="M35" s="20">
        <f>65*37</f>
        <v>2405</v>
      </c>
      <c r="N35" s="20">
        <f>277*37</f>
        <v>10249</v>
      </c>
      <c r="O35" s="8">
        <f>8*37</f>
        <v>296</v>
      </c>
      <c r="Z35" t="s">
        <v>359</v>
      </c>
      <c r="AA35" s="9" t="s">
        <v>31</v>
      </c>
    </row>
    <row r="36" spans="1:27" x14ac:dyDescent="0.25">
      <c r="A36">
        <v>101</v>
      </c>
      <c r="B36">
        <v>1</v>
      </c>
      <c r="C36">
        <f t="shared" si="0"/>
        <v>10101</v>
      </c>
      <c r="D36" s="3" t="s">
        <v>86</v>
      </c>
      <c r="E36" s="11">
        <f t="shared" si="1"/>
        <v>29.334722222222222</v>
      </c>
      <c r="F36" s="11">
        <f t="shared" si="2"/>
        <v>-92.012222222222221</v>
      </c>
      <c r="G36" t="s">
        <v>15</v>
      </c>
      <c r="H36" s="12" t="s">
        <v>17</v>
      </c>
      <c r="I36" s="4">
        <v>34243</v>
      </c>
      <c r="J36" t="s">
        <v>1</v>
      </c>
      <c r="K36" s="2">
        <v>0</v>
      </c>
      <c r="M36" s="20">
        <f>38*37</f>
        <v>1406</v>
      </c>
      <c r="N36" s="20">
        <f>126*37</f>
        <v>4662</v>
      </c>
      <c r="O36" s="8">
        <f>4*37</f>
        <v>148</v>
      </c>
      <c r="Z36" t="s">
        <v>359</v>
      </c>
      <c r="AA36" s="9" t="s">
        <v>31</v>
      </c>
    </row>
    <row r="37" spans="1:27" x14ac:dyDescent="0.25">
      <c r="A37">
        <v>101</v>
      </c>
      <c r="B37">
        <v>1</v>
      </c>
      <c r="C37">
        <f t="shared" si="0"/>
        <v>10101</v>
      </c>
      <c r="D37" s="3" t="s">
        <v>86</v>
      </c>
      <c r="E37" s="11">
        <f t="shared" si="1"/>
        <v>29.334722222222222</v>
      </c>
      <c r="F37" s="11">
        <f t="shared" si="2"/>
        <v>-92.012222222222221</v>
      </c>
      <c r="G37" t="s">
        <v>15</v>
      </c>
      <c r="H37" s="12" t="s">
        <v>17</v>
      </c>
      <c r="I37" s="4">
        <v>34274</v>
      </c>
      <c r="J37" t="s">
        <v>1</v>
      </c>
      <c r="K37" s="2">
        <v>0</v>
      </c>
      <c r="M37" s="20">
        <f>292*37</f>
        <v>10804</v>
      </c>
      <c r="N37" s="20">
        <f>274*37</f>
        <v>10138</v>
      </c>
      <c r="O37" s="8">
        <f>2*37</f>
        <v>74</v>
      </c>
      <c r="Z37" t="s">
        <v>359</v>
      </c>
      <c r="AA37" s="9" t="s">
        <v>31</v>
      </c>
    </row>
    <row r="38" spans="1:27" x14ac:dyDescent="0.25">
      <c r="A38">
        <v>101</v>
      </c>
      <c r="B38">
        <v>1</v>
      </c>
      <c r="C38">
        <f t="shared" si="0"/>
        <v>10101</v>
      </c>
      <c r="D38" s="3" t="s">
        <v>86</v>
      </c>
      <c r="E38" s="11">
        <f t="shared" si="1"/>
        <v>29.334722222222222</v>
      </c>
      <c r="F38" s="11">
        <f t="shared" si="2"/>
        <v>-92.012222222222221</v>
      </c>
      <c r="G38" t="s">
        <v>15</v>
      </c>
      <c r="H38" s="12" t="s">
        <v>17</v>
      </c>
      <c r="I38" s="4">
        <v>34304</v>
      </c>
      <c r="J38" t="s">
        <v>1</v>
      </c>
      <c r="K38" s="2">
        <v>0</v>
      </c>
      <c r="M38" s="20">
        <f>321*37</f>
        <v>11877</v>
      </c>
      <c r="N38" s="20">
        <f>306*37</f>
        <v>11322</v>
      </c>
      <c r="O38" s="8">
        <f>11*37</f>
        <v>407</v>
      </c>
      <c r="Z38" t="s">
        <v>359</v>
      </c>
      <c r="AA38" s="9" t="s">
        <v>31</v>
      </c>
    </row>
    <row r="39" spans="1:27" x14ac:dyDescent="0.25">
      <c r="A39">
        <v>101</v>
      </c>
      <c r="B39">
        <v>2</v>
      </c>
      <c r="C39">
        <f t="shared" si="0"/>
        <v>10102</v>
      </c>
      <c r="D39" s="3" t="s">
        <v>86</v>
      </c>
      <c r="E39" s="11">
        <f t="shared" ref="E39:E48" si="3">28+41/60+50/3600</f>
        <v>28.697222222222223</v>
      </c>
      <c r="F39" s="11">
        <f t="shared" ref="F39:F48" si="4">-(92+15/60+45/3600)</f>
        <v>-92.262500000000003</v>
      </c>
      <c r="G39" t="s">
        <v>15</v>
      </c>
      <c r="H39" s="12" t="s">
        <v>17</v>
      </c>
      <c r="I39" s="4">
        <v>34151</v>
      </c>
      <c r="J39" t="s">
        <v>1</v>
      </c>
      <c r="K39" s="2">
        <v>0</v>
      </c>
      <c r="M39" s="20">
        <f>300*37</f>
        <v>11100</v>
      </c>
      <c r="N39" s="20">
        <f>228*37</f>
        <v>8436</v>
      </c>
      <c r="O39" s="8">
        <f>8*37</f>
        <v>296</v>
      </c>
      <c r="Z39" t="s">
        <v>359</v>
      </c>
      <c r="AA39" s="9" t="s">
        <v>31</v>
      </c>
    </row>
    <row r="40" spans="1:27" x14ac:dyDescent="0.25">
      <c r="A40">
        <v>101</v>
      </c>
      <c r="B40">
        <v>2</v>
      </c>
      <c r="C40">
        <f t="shared" si="0"/>
        <v>10102</v>
      </c>
      <c r="D40" s="3" t="s">
        <v>86</v>
      </c>
      <c r="E40" s="11">
        <f t="shared" si="3"/>
        <v>28.697222222222223</v>
      </c>
      <c r="F40" s="11">
        <f t="shared" si="4"/>
        <v>-92.262500000000003</v>
      </c>
      <c r="G40" t="s">
        <v>15</v>
      </c>
      <c r="H40" s="12" t="s">
        <v>17</v>
      </c>
      <c r="I40" s="4">
        <v>34152</v>
      </c>
      <c r="J40" t="s">
        <v>1</v>
      </c>
      <c r="K40" s="2">
        <v>0</v>
      </c>
      <c r="M40" s="20">
        <f>400*37</f>
        <v>14800</v>
      </c>
      <c r="N40" s="20">
        <f>214*37</f>
        <v>7918</v>
      </c>
      <c r="O40" s="8">
        <f>8*37</f>
        <v>296</v>
      </c>
      <c r="Z40" t="s">
        <v>359</v>
      </c>
      <c r="AA40" s="9" t="s">
        <v>31</v>
      </c>
    </row>
    <row r="41" spans="1:27" x14ac:dyDescent="0.25">
      <c r="A41">
        <v>101</v>
      </c>
      <c r="B41">
        <v>2</v>
      </c>
      <c r="C41">
        <f t="shared" si="0"/>
        <v>10102</v>
      </c>
      <c r="D41" s="3" t="s">
        <v>86</v>
      </c>
      <c r="E41" s="11">
        <f t="shared" si="3"/>
        <v>28.697222222222223</v>
      </c>
      <c r="F41" s="11">
        <f t="shared" si="4"/>
        <v>-92.262500000000003</v>
      </c>
      <c r="G41" t="s">
        <v>15</v>
      </c>
      <c r="H41" s="12" t="s">
        <v>17</v>
      </c>
      <c r="I41" s="4">
        <v>34153</v>
      </c>
      <c r="J41" t="s">
        <v>1</v>
      </c>
      <c r="K41" s="2">
        <v>0</v>
      </c>
      <c r="M41" s="20">
        <f>347*37</f>
        <v>12839</v>
      </c>
      <c r="N41" s="20">
        <f>193*37</f>
        <v>7141</v>
      </c>
      <c r="O41" s="8">
        <f>5*37</f>
        <v>185</v>
      </c>
      <c r="Z41" t="s">
        <v>359</v>
      </c>
      <c r="AA41" s="9" t="s">
        <v>31</v>
      </c>
    </row>
    <row r="42" spans="1:27" x14ac:dyDescent="0.25">
      <c r="A42">
        <v>101</v>
      </c>
      <c r="B42">
        <v>2</v>
      </c>
      <c r="C42">
        <f t="shared" si="0"/>
        <v>10102</v>
      </c>
      <c r="D42" s="3" t="s">
        <v>86</v>
      </c>
      <c r="E42" s="11">
        <f t="shared" si="3"/>
        <v>28.697222222222223</v>
      </c>
      <c r="F42" s="11">
        <f t="shared" si="4"/>
        <v>-92.262500000000003</v>
      </c>
      <c r="G42" t="s">
        <v>15</v>
      </c>
      <c r="H42" s="12" t="s">
        <v>17</v>
      </c>
      <c r="I42" s="4">
        <v>34154</v>
      </c>
      <c r="J42" t="s">
        <v>1</v>
      </c>
      <c r="K42" s="2">
        <v>0</v>
      </c>
      <c r="M42" s="20">
        <f>441*37</f>
        <v>16317</v>
      </c>
      <c r="N42" s="20">
        <f>241*37</f>
        <v>8917</v>
      </c>
      <c r="O42" s="8">
        <f>7*37</f>
        <v>259</v>
      </c>
      <c r="Z42" t="s">
        <v>359</v>
      </c>
      <c r="AA42" s="9" t="s">
        <v>31</v>
      </c>
    </row>
    <row r="43" spans="1:27" x14ac:dyDescent="0.25">
      <c r="A43">
        <v>101</v>
      </c>
      <c r="B43">
        <v>2</v>
      </c>
      <c r="C43">
        <f t="shared" si="0"/>
        <v>10102</v>
      </c>
      <c r="D43" s="3" t="s">
        <v>86</v>
      </c>
      <c r="E43" s="11">
        <f t="shared" si="3"/>
        <v>28.697222222222223</v>
      </c>
      <c r="F43" s="11">
        <f t="shared" si="4"/>
        <v>-92.262500000000003</v>
      </c>
      <c r="G43" t="s">
        <v>15</v>
      </c>
      <c r="H43" s="12" t="s">
        <v>17</v>
      </c>
      <c r="I43" s="4">
        <v>34155</v>
      </c>
      <c r="J43" t="s">
        <v>1</v>
      </c>
      <c r="K43" s="2">
        <v>0</v>
      </c>
      <c r="M43" s="20">
        <f>373*37</f>
        <v>13801</v>
      </c>
      <c r="N43" s="20">
        <f>263*37</f>
        <v>9731</v>
      </c>
      <c r="O43" s="8">
        <f>11*37</f>
        <v>407</v>
      </c>
      <c r="Z43" t="s">
        <v>359</v>
      </c>
      <c r="AA43" s="9" t="s">
        <v>31</v>
      </c>
    </row>
    <row r="44" spans="1:27" x14ac:dyDescent="0.25">
      <c r="A44">
        <v>101</v>
      </c>
      <c r="B44">
        <v>2</v>
      </c>
      <c r="C44">
        <f t="shared" si="0"/>
        <v>10102</v>
      </c>
      <c r="D44" s="3" t="s">
        <v>86</v>
      </c>
      <c r="E44" s="11">
        <f t="shared" si="3"/>
        <v>28.697222222222223</v>
      </c>
      <c r="F44" s="11">
        <f t="shared" si="4"/>
        <v>-92.262500000000003</v>
      </c>
      <c r="G44" t="s">
        <v>15</v>
      </c>
      <c r="H44" s="12" t="s">
        <v>17</v>
      </c>
      <c r="I44" s="4">
        <v>34156</v>
      </c>
      <c r="J44" t="s">
        <v>1</v>
      </c>
      <c r="K44" s="2">
        <v>0</v>
      </c>
      <c r="M44" s="20">
        <f>344*37</f>
        <v>12728</v>
      </c>
      <c r="N44" s="20">
        <f>217*37</f>
        <v>8029</v>
      </c>
      <c r="O44" s="8">
        <f>14*37</f>
        <v>518</v>
      </c>
      <c r="Z44" t="s">
        <v>359</v>
      </c>
      <c r="AA44" s="9" t="s">
        <v>31</v>
      </c>
    </row>
    <row r="45" spans="1:27" x14ac:dyDescent="0.25">
      <c r="A45">
        <v>101</v>
      </c>
      <c r="B45">
        <v>2</v>
      </c>
      <c r="C45">
        <f t="shared" si="0"/>
        <v>10102</v>
      </c>
      <c r="D45" s="3" t="s">
        <v>86</v>
      </c>
      <c r="E45" s="11">
        <f t="shared" si="3"/>
        <v>28.697222222222223</v>
      </c>
      <c r="F45" s="11">
        <f t="shared" si="4"/>
        <v>-92.262500000000003</v>
      </c>
      <c r="G45" t="s">
        <v>15</v>
      </c>
      <c r="H45" s="12" t="s">
        <v>17</v>
      </c>
      <c r="I45" s="4">
        <v>34182</v>
      </c>
      <c r="J45" t="s">
        <v>1</v>
      </c>
      <c r="K45" s="2">
        <v>0</v>
      </c>
      <c r="M45" s="20">
        <f>60*37</f>
        <v>2220</v>
      </c>
      <c r="N45" s="20">
        <f>242*37</f>
        <v>8954</v>
      </c>
      <c r="O45" s="8">
        <f>6*37</f>
        <v>222</v>
      </c>
      <c r="Z45" t="s">
        <v>359</v>
      </c>
      <c r="AA45" s="9" t="s">
        <v>31</v>
      </c>
    </row>
    <row r="46" spans="1:27" x14ac:dyDescent="0.25">
      <c r="A46">
        <v>101</v>
      </c>
      <c r="B46">
        <v>2</v>
      </c>
      <c r="C46">
        <f t="shared" si="0"/>
        <v>10102</v>
      </c>
      <c r="D46" s="3" t="s">
        <v>86</v>
      </c>
      <c r="E46" s="11">
        <f t="shared" si="3"/>
        <v>28.697222222222223</v>
      </c>
      <c r="F46" s="11">
        <f t="shared" si="4"/>
        <v>-92.262500000000003</v>
      </c>
      <c r="G46" t="s">
        <v>15</v>
      </c>
      <c r="H46" s="12" t="s">
        <v>17</v>
      </c>
      <c r="I46" s="4">
        <v>34213</v>
      </c>
      <c r="J46" t="s">
        <v>1</v>
      </c>
      <c r="K46" s="2">
        <v>0</v>
      </c>
      <c r="M46" s="20">
        <f>77*37</f>
        <v>2849</v>
      </c>
      <c r="N46" s="20">
        <f>318*37</f>
        <v>11766</v>
      </c>
      <c r="O46" s="8">
        <f>7*37</f>
        <v>259</v>
      </c>
      <c r="Z46" t="s">
        <v>359</v>
      </c>
      <c r="AA46" s="9" t="s">
        <v>31</v>
      </c>
    </row>
    <row r="47" spans="1:27" x14ac:dyDescent="0.25">
      <c r="A47">
        <v>101</v>
      </c>
      <c r="B47">
        <v>2</v>
      </c>
      <c r="C47">
        <f t="shared" si="0"/>
        <v>10102</v>
      </c>
      <c r="D47" s="3" t="s">
        <v>86</v>
      </c>
      <c r="E47" s="11">
        <f t="shared" si="3"/>
        <v>28.697222222222223</v>
      </c>
      <c r="F47" s="11">
        <f t="shared" si="4"/>
        <v>-92.262500000000003</v>
      </c>
      <c r="G47" t="s">
        <v>15</v>
      </c>
      <c r="H47" s="12" t="s">
        <v>17</v>
      </c>
      <c r="I47" s="4">
        <v>34243</v>
      </c>
      <c r="J47" t="s">
        <v>1</v>
      </c>
      <c r="K47" s="2">
        <v>0</v>
      </c>
      <c r="M47" s="20">
        <f>90*37</f>
        <v>3330</v>
      </c>
      <c r="N47" s="20">
        <f>278*37</f>
        <v>10286</v>
      </c>
      <c r="O47" s="8">
        <f>6*37</f>
        <v>222</v>
      </c>
      <c r="Z47" t="s">
        <v>359</v>
      </c>
      <c r="AA47" s="9" t="s">
        <v>31</v>
      </c>
    </row>
    <row r="48" spans="1:27" x14ac:dyDescent="0.25">
      <c r="A48">
        <v>101</v>
      </c>
      <c r="B48">
        <v>2</v>
      </c>
      <c r="C48">
        <f t="shared" si="0"/>
        <v>10102</v>
      </c>
      <c r="D48" s="3" t="s">
        <v>86</v>
      </c>
      <c r="E48" s="11">
        <f t="shared" si="3"/>
        <v>28.697222222222223</v>
      </c>
      <c r="F48" s="11">
        <f t="shared" si="4"/>
        <v>-92.262500000000003</v>
      </c>
      <c r="G48" t="s">
        <v>15</v>
      </c>
      <c r="H48" s="12" t="s">
        <v>17</v>
      </c>
      <c r="I48" s="4">
        <v>34274</v>
      </c>
      <c r="J48" t="s">
        <v>1</v>
      </c>
      <c r="K48" s="2">
        <v>0</v>
      </c>
      <c r="M48" s="20">
        <f>238*37</f>
        <v>8806</v>
      </c>
      <c r="N48" s="20">
        <f>228*37</f>
        <v>8436</v>
      </c>
      <c r="O48" s="8">
        <f>4*37</f>
        <v>148</v>
      </c>
      <c r="Z48" t="s">
        <v>359</v>
      </c>
      <c r="AA48" s="9" t="s">
        <v>31</v>
      </c>
    </row>
    <row r="49" spans="1:27" x14ac:dyDescent="0.25">
      <c r="A49">
        <v>101</v>
      </c>
      <c r="B49">
        <v>3</v>
      </c>
      <c r="C49">
        <f t="shared" si="0"/>
        <v>10103</v>
      </c>
      <c r="D49" s="3" t="s">
        <v>86</v>
      </c>
      <c r="E49" s="11">
        <f t="shared" ref="E49:E59" si="5">28+17/60+53/3600</f>
        <v>28.298055555555557</v>
      </c>
      <c r="F49" s="11">
        <f t="shared" ref="F49:F59" si="6">-(92+43/3600)</f>
        <v>-92.011944444444438</v>
      </c>
      <c r="G49" t="s">
        <v>15</v>
      </c>
      <c r="H49" s="12" t="s">
        <v>17</v>
      </c>
      <c r="I49" s="4">
        <v>34151</v>
      </c>
      <c r="J49" t="s">
        <v>1</v>
      </c>
      <c r="K49" s="2">
        <v>0</v>
      </c>
      <c r="M49" s="20">
        <f>362*37</f>
        <v>13394</v>
      </c>
      <c r="N49" s="20">
        <f>164*37</f>
        <v>6068</v>
      </c>
      <c r="O49" s="8">
        <f>6*37</f>
        <v>222</v>
      </c>
      <c r="Z49" t="s">
        <v>359</v>
      </c>
      <c r="AA49" s="9" t="s">
        <v>31</v>
      </c>
    </row>
    <row r="50" spans="1:27" x14ac:dyDescent="0.25">
      <c r="A50">
        <v>101</v>
      </c>
      <c r="B50">
        <v>3</v>
      </c>
      <c r="C50">
        <f t="shared" si="0"/>
        <v>10103</v>
      </c>
      <c r="D50" s="3" t="s">
        <v>86</v>
      </c>
      <c r="E50" s="11">
        <f t="shared" si="5"/>
        <v>28.298055555555557</v>
      </c>
      <c r="F50" s="11">
        <f t="shared" si="6"/>
        <v>-92.011944444444438</v>
      </c>
      <c r="G50" t="s">
        <v>15</v>
      </c>
      <c r="H50" s="12" t="s">
        <v>17</v>
      </c>
      <c r="I50" s="4">
        <v>34152</v>
      </c>
      <c r="J50" t="s">
        <v>1</v>
      </c>
      <c r="K50" s="2">
        <v>0</v>
      </c>
      <c r="M50" s="20">
        <f>261*37</f>
        <v>9657</v>
      </c>
      <c r="N50" s="20">
        <f>130*37</f>
        <v>4810</v>
      </c>
      <c r="O50" s="8">
        <f>13*37</f>
        <v>481</v>
      </c>
      <c r="Z50" t="s">
        <v>359</v>
      </c>
      <c r="AA50" s="9" t="s">
        <v>31</v>
      </c>
    </row>
    <row r="51" spans="1:27" x14ac:dyDescent="0.25">
      <c r="A51">
        <v>101</v>
      </c>
      <c r="B51">
        <v>3</v>
      </c>
      <c r="C51">
        <f t="shared" si="0"/>
        <v>10103</v>
      </c>
      <c r="D51" s="3" t="s">
        <v>86</v>
      </c>
      <c r="E51" s="11">
        <f t="shared" si="5"/>
        <v>28.298055555555557</v>
      </c>
      <c r="F51" s="11">
        <f t="shared" si="6"/>
        <v>-92.011944444444438</v>
      </c>
      <c r="G51" t="s">
        <v>15</v>
      </c>
      <c r="H51" s="12" t="s">
        <v>17</v>
      </c>
      <c r="I51" s="4">
        <v>34153</v>
      </c>
      <c r="J51" t="s">
        <v>1</v>
      </c>
      <c r="K51" s="2">
        <v>0</v>
      </c>
      <c r="M51" s="20">
        <f>317*37</f>
        <v>11729</v>
      </c>
      <c r="N51" s="20">
        <f>113*37</f>
        <v>4181</v>
      </c>
      <c r="O51" s="8">
        <f>4*37</f>
        <v>148</v>
      </c>
      <c r="Z51" t="s">
        <v>359</v>
      </c>
      <c r="AA51" s="9" t="s">
        <v>31</v>
      </c>
    </row>
    <row r="52" spans="1:27" x14ac:dyDescent="0.25">
      <c r="A52">
        <v>101</v>
      </c>
      <c r="B52">
        <v>3</v>
      </c>
      <c r="C52">
        <f t="shared" si="0"/>
        <v>10103</v>
      </c>
      <c r="D52" s="3" t="s">
        <v>86</v>
      </c>
      <c r="E52" s="11">
        <f t="shared" si="5"/>
        <v>28.298055555555557</v>
      </c>
      <c r="F52" s="11">
        <f t="shared" si="6"/>
        <v>-92.011944444444438</v>
      </c>
      <c r="G52" t="s">
        <v>15</v>
      </c>
      <c r="H52" s="12" t="s">
        <v>17</v>
      </c>
      <c r="I52" s="4">
        <v>34154</v>
      </c>
      <c r="J52" t="s">
        <v>1</v>
      </c>
      <c r="K52" s="2">
        <v>0</v>
      </c>
      <c r="M52" s="20">
        <f>110*37</f>
        <v>4070</v>
      </c>
      <c r="N52" s="20">
        <f>43*37</f>
        <v>1591</v>
      </c>
      <c r="O52" s="8">
        <f>2*37</f>
        <v>74</v>
      </c>
      <c r="Z52" t="s">
        <v>359</v>
      </c>
      <c r="AA52" s="9" t="s">
        <v>31</v>
      </c>
    </row>
    <row r="53" spans="1:27" x14ac:dyDescent="0.25">
      <c r="A53">
        <v>101</v>
      </c>
      <c r="B53">
        <v>3</v>
      </c>
      <c r="C53">
        <f t="shared" si="0"/>
        <v>10103</v>
      </c>
      <c r="D53" s="3" t="s">
        <v>86</v>
      </c>
      <c r="E53" s="11">
        <f t="shared" si="5"/>
        <v>28.298055555555557</v>
      </c>
      <c r="F53" s="11">
        <f t="shared" si="6"/>
        <v>-92.011944444444438</v>
      </c>
      <c r="G53" t="s">
        <v>15</v>
      </c>
      <c r="H53" s="12" t="s">
        <v>17</v>
      </c>
      <c r="I53" s="4">
        <v>34155</v>
      </c>
      <c r="J53" t="s">
        <v>1</v>
      </c>
      <c r="K53" s="2">
        <v>0</v>
      </c>
      <c r="M53" s="20">
        <f>373*37</f>
        <v>13801</v>
      </c>
      <c r="N53" s="20">
        <f>187*37</f>
        <v>6919</v>
      </c>
      <c r="O53" s="8">
        <f>5*37</f>
        <v>185</v>
      </c>
      <c r="Z53" t="s">
        <v>359</v>
      </c>
      <c r="AA53" s="9" t="s">
        <v>31</v>
      </c>
    </row>
    <row r="54" spans="1:27" x14ac:dyDescent="0.25">
      <c r="A54">
        <v>101</v>
      </c>
      <c r="B54">
        <v>3</v>
      </c>
      <c r="C54">
        <f t="shared" si="0"/>
        <v>10103</v>
      </c>
      <c r="D54" s="3" t="s">
        <v>86</v>
      </c>
      <c r="E54" s="11">
        <f t="shared" si="5"/>
        <v>28.298055555555557</v>
      </c>
      <c r="F54" s="11">
        <f t="shared" si="6"/>
        <v>-92.011944444444438</v>
      </c>
      <c r="G54" t="s">
        <v>15</v>
      </c>
      <c r="H54" s="12" t="s">
        <v>17</v>
      </c>
      <c r="I54" s="4">
        <v>34156</v>
      </c>
      <c r="J54" t="s">
        <v>1</v>
      </c>
      <c r="K54" s="2">
        <v>0</v>
      </c>
      <c r="M54" s="20">
        <f>229*37</f>
        <v>8473</v>
      </c>
      <c r="N54" s="20">
        <f>279*37</f>
        <v>10323</v>
      </c>
      <c r="O54" s="8">
        <f>11*37</f>
        <v>407</v>
      </c>
      <c r="Z54" t="s">
        <v>359</v>
      </c>
      <c r="AA54" s="9" t="s">
        <v>31</v>
      </c>
    </row>
    <row r="55" spans="1:27" x14ac:dyDescent="0.25">
      <c r="A55">
        <v>101</v>
      </c>
      <c r="B55">
        <v>3</v>
      </c>
      <c r="C55">
        <f t="shared" si="0"/>
        <v>10103</v>
      </c>
      <c r="D55" s="3" t="s">
        <v>86</v>
      </c>
      <c r="E55" s="11">
        <f t="shared" si="5"/>
        <v>28.298055555555557</v>
      </c>
      <c r="F55" s="11">
        <f t="shared" si="6"/>
        <v>-92.011944444444438</v>
      </c>
      <c r="G55" t="s">
        <v>15</v>
      </c>
      <c r="H55" s="12" t="s">
        <v>17</v>
      </c>
      <c r="I55" s="4">
        <v>34182</v>
      </c>
      <c r="J55" t="s">
        <v>1</v>
      </c>
      <c r="K55" s="2">
        <v>0</v>
      </c>
      <c r="M55" s="20">
        <f>196*37</f>
        <v>7252</v>
      </c>
      <c r="N55" s="20">
        <f>193*37</f>
        <v>7141</v>
      </c>
      <c r="O55" s="8">
        <f>5*37</f>
        <v>185</v>
      </c>
      <c r="Z55" t="s">
        <v>359</v>
      </c>
      <c r="AA55" s="9" t="s">
        <v>31</v>
      </c>
    </row>
    <row r="56" spans="1:27" x14ac:dyDescent="0.25">
      <c r="A56">
        <v>101</v>
      </c>
      <c r="B56">
        <v>3</v>
      </c>
      <c r="C56">
        <f t="shared" si="0"/>
        <v>10103</v>
      </c>
      <c r="D56" s="3" t="s">
        <v>86</v>
      </c>
      <c r="E56" s="11">
        <f t="shared" si="5"/>
        <v>28.298055555555557</v>
      </c>
      <c r="F56" s="11">
        <f t="shared" si="6"/>
        <v>-92.011944444444438</v>
      </c>
      <c r="G56" t="s">
        <v>15</v>
      </c>
      <c r="H56" s="12" t="s">
        <v>17</v>
      </c>
      <c r="I56" s="4">
        <v>34213</v>
      </c>
      <c r="J56" t="s">
        <v>1</v>
      </c>
      <c r="K56" s="2">
        <v>0</v>
      </c>
      <c r="M56" s="20">
        <f>315*37</f>
        <v>11655</v>
      </c>
      <c r="N56" s="20">
        <f>188*37</f>
        <v>6956</v>
      </c>
      <c r="O56" s="8">
        <f>7*37</f>
        <v>259</v>
      </c>
      <c r="Z56" t="s">
        <v>359</v>
      </c>
      <c r="AA56" s="9" t="s">
        <v>31</v>
      </c>
    </row>
    <row r="57" spans="1:27" x14ac:dyDescent="0.25">
      <c r="A57">
        <v>101</v>
      </c>
      <c r="B57">
        <v>3</v>
      </c>
      <c r="C57">
        <f t="shared" si="0"/>
        <v>10103</v>
      </c>
      <c r="D57" s="3" t="s">
        <v>86</v>
      </c>
      <c r="E57" s="11">
        <f t="shared" si="5"/>
        <v>28.298055555555557</v>
      </c>
      <c r="F57" s="11">
        <f t="shared" si="6"/>
        <v>-92.011944444444438</v>
      </c>
      <c r="G57" t="s">
        <v>15</v>
      </c>
      <c r="H57" s="12" t="s">
        <v>17</v>
      </c>
      <c r="I57" s="4">
        <v>34243</v>
      </c>
      <c r="J57" t="s">
        <v>1</v>
      </c>
      <c r="K57" s="2">
        <v>0</v>
      </c>
      <c r="M57" s="20">
        <f>265*37</f>
        <v>9805</v>
      </c>
      <c r="N57" s="20">
        <f>156*37</f>
        <v>5772</v>
      </c>
      <c r="O57" s="8">
        <f>5*37</f>
        <v>185</v>
      </c>
      <c r="Z57" t="s">
        <v>359</v>
      </c>
      <c r="AA57" s="9" t="s">
        <v>31</v>
      </c>
    </row>
    <row r="58" spans="1:27" x14ac:dyDescent="0.25">
      <c r="A58">
        <v>101</v>
      </c>
      <c r="B58">
        <v>3</v>
      </c>
      <c r="C58">
        <f t="shared" si="0"/>
        <v>10103</v>
      </c>
      <c r="D58" s="3" t="s">
        <v>86</v>
      </c>
      <c r="E58" s="11">
        <f t="shared" si="5"/>
        <v>28.298055555555557</v>
      </c>
      <c r="F58" s="11">
        <f t="shared" si="6"/>
        <v>-92.011944444444438</v>
      </c>
      <c r="G58" t="s">
        <v>15</v>
      </c>
      <c r="H58" s="12" t="s">
        <v>17</v>
      </c>
      <c r="I58" s="4">
        <v>34274</v>
      </c>
      <c r="J58" t="s">
        <v>1</v>
      </c>
      <c r="K58" s="2">
        <v>0</v>
      </c>
      <c r="M58" s="20">
        <f>287*37</f>
        <v>10619</v>
      </c>
      <c r="N58" s="20">
        <f>196*37</f>
        <v>7252</v>
      </c>
      <c r="O58" s="8" t="s">
        <v>14</v>
      </c>
      <c r="Z58" t="s">
        <v>359</v>
      </c>
      <c r="AA58" s="9" t="s">
        <v>31</v>
      </c>
    </row>
    <row r="59" spans="1:27" x14ac:dyDescent="0.25">
      <c r="A59">
        <v>101</v>
      </c>
      <c r="B59">
        <v>3</v>
      </c>
      <c r="C59">
        <f t="shared" si="0"/>
        <v>10103</v>
      </c>
      <c r="D59" s="3" t="s">
        <v>86</v>
      </c>
      <c r="E59" s="11">
        <f t="shared" si="5"/>
        <v>28.298055555555557</v>
      </c>
      <c r="F59" s="11">
        <f t="shared" si="6"/>
        <v>-92.011944444444438</v>
      </c>
      <c r="G59" t="s">
        <v>15</v>
      </c>
      <c r="H59" s="12" t="s">
        <v>17</v>
      </c>
      <c r="I59" s="4">
        <v>34304</v>
      </c>
      <c r="J59" t="s">
        <v>1</v>
      </c>
      <c r="K59" s="2">
        <v>0</v>
      </c>
      <c r="M59" s="20">
        <f>286*37</f>
        <v>10582</v>
      </c>
      <c r="N59" s="20">
        <f>196*37</f>
        <v>7252</v>
      </c>
      <c r="O59" s="8" t="s">
        <v>14</v>
      </c>
      <c r="Z59" t="s">
        <v>359</v>
      </c>
      <c r="AA59" s="9" t="s">
        <v>31</v>
      </c>
    </row>
    <row r="60" spans="1:27" x14ac:dyDescent="0.25">
      <c r="A60">
        <v>101</v>
      </c>
      <c r="B60">
        <v>4</v>
      </c>
      <c r="C60">
        <f t="shared" si="0"/>
        <v>10104</v>
      </c>
      <c r="D60" s="3" t="s">
        <v>86</v>
      </c>
      <c r="E60" s="11">
        <f t="shared" ref="E60:E68" si="7">27+52/60+5/3600</f>
        <v>27.868055555555557</v>
      </c>
      <c r="F60" s="11">
        <f t="shared" ref="F60:F68" si="8">-(93+59/60+30/3600)</f>
        <v>-93.991666666666674</v>
      </c>
      <c r="G60" t="s">
        <v>15</v>
      </c>
      <c r="H60" s="12" t="s">
        <v>17</v>
      </c>
      <c r="I60" s="4">
        <v>34151</v>
      </c>
      <c r="J60" t="s">
        <v>1</v>
      </c>
      <c r="K60" s="2">
        <v>0</v>
      </c>
      <c r="M60" s="20">
        <f>1494*37</f>
        <v>55278</v>
      </c>
      <c r="N60" s="20">
        <f>356*37</f>
        <v>13172</v>
      </c>
      <c r="O60" s="8">
        <f>13*37</f>
        <v>481</v>
      </c>
      <c r="Z60" t="s">
        <v>359</v>
      </c>
      <c r="AA60" s="9" t="s">
        <v>31</v>
      </c>
    </row>
    <row r="61" spans="1:27" x14ac:dyDescent="0.25">
      <c r="A61">
        <v>101</v>
      </c>
      <c r="B61">
        <v>4</v>
      </c>
      <c r="C61">
        <f t="shared" si="0"/>
        <v>10104</v>
      </c>
      <c r="D61" s="3" t="s">
        <v>86</v>
      </c>
      <c r="E61" s="11">
        <f t="shared" si="7"/>
        <v>27.868055555555557</v>
      </c>
      <c r="F61" s="11">
        <f t="shared" si="8"/>
        <v>-93.991666666666674</v>
      </c>
      <c r="G61" t="s">
        <v>15</v>
      </c>
      <c r="H61" s="12" t="s">
        <v>17</v>
      </c>
      <c r="I61" s="4">
        <v>34152</v>
      </c>
      <c r="J61" t="s">
        <v>1</v>
      </c>
      <c r="K61" s="2">
        <v>0</v>
      </c>
      <c r="M61" s="20">
        <f>490*37</f>
        <v>18130</v>
      </c>
      <c r="N61" s="20">
        <f>409*37</f>
        <v>15133</v>
      </c>
      <c r="O61" s="8">
        <f>11*37</f>
        <v>407</v>
      </c>
      <c r="Z61" t="s">
        <v>359</v>
      </c>
      <c r="AA61" s="9" t="s">
        <v>31</v>
      </c>
    </row>
    <row r="62" spans="1:27" x14ac:dyDescent="0.25">
      <c r="A62">
        <v>101</v>
      </c>
      <c r="B62">
        <v>4</v>
      </c>
      <c r="C62">
        <f t="shared" si="0"/>
        <v>10104</v>
      </c>
      <c r="D62" s="3" t="s">
        <v>86</v>
      </c>
      <c r="E62" s="11">
        <f t="shared" si="7"/>
        <v>27.868055555555557</v>
      </c>
      <c r="F62" s="11">
        <f t="shared" si="8"/>
        <v>-93.991666666666674</v>
      </c>
      <c r="G62" t="s">
        <v>15</v>
      </c>
      <c r="H62" s="12" t="s">
        <v>17</v>
      </c>
      <c r="I62" s="4">
        <v>34153</v>
      </c>
      <c r="J62" t="s">
        <v>1</v>
      </c>
      <c r="K62" s="2">
        <v>0</v>
      </c>
      <c r="M62" s="20">
        <f>470*37</f>
        <v>17390</v>
      </c>
      <c r="N62" s="20">
        <f>362*37</f>
        <v>13394</v>
      </c>
      <c r="O62" s="8">
        <f>15*37</f>
        <v>555</v>
      </c>
      <c r="Z62" t="s">
        <v>359</v>
      </c>
      <c r="AA62" s="9" t="s">
        <v>31</v>
      </c>
    </row>
    <row r="63" spans="1:27" x14ac:dyDescent="0.25">
      <c r="A63">
        <v>101</v>
      </c>
      <c r="B63">
        <v>4</v>
      </c>
      <c r="C63">
        <f t="shared" si="0"/>
        <v>10104</v>
      </c>
      <c r="D63" s="3" t="s">
        <v>86</v>
      </c>
      <c r="E63" s="11">
        <f t="shared" si="7"/>
        <v>27.868055555555557</v>
      </c>
      <c r="F63" s="11">
        <f t="shared" si="8"/>
        <v>-93.991666666666674</v>
      </c>
      <c r="G63" t="s">
        <v>15</v>
      </c>
      <c r="H63" s="12" t="s">
        <v>17</v>
      </c>
      <c r="I63" s="4">
        <v>34154</v>
      </c>
      <c r="J63" t="s">
        <v>1</v>
      </c>
      <c r="K63" s="2">
        <v>0</v>
      </c>
      <c r="M63" s="20">
        <f>83*37</f>
        <v>3071</v>
      </c>
      <c r="N63" s="20">
        <f>291*37</f>
        <v>10767</v>
      </c>
      <c r="O63" s="8">
        <f>20*37</f>
        <v>740</v>
      </c>
      <c r="Z63" t="s">
        <v>359</v>
      </c>
      <c r="AA63" s="9" t="s">
        <v>31</v>
      </c>
    </row>
    <row r="64" spans="1:27" x14ac:dyDescent="0.25">
      <c r="A64">
        <v>101</v>
      </c>
      <c r="B64">
        <v>4</v>
      </c>
      <c r="C64">
        <f t="shared" si="0"/>
        <v>10104</v>
      </c>
      <c r="D64" s="3" t="s">
        <v>86</v>
      </c>
      <c r="E64" s="11">
        <f t="shared" si="7"/>
        <v>27.868055555555557</v>
      </c>
      <c r="F64" s="11">
        <f t="shared" si="8"/>
        <v>-93.991666666666674</v>
      </c>
      <c r="G64" t="s">
        <v>15</v>
      </c>
      <c r="H64" s="12" t="s">
        <v>17</v>
      </c>
      <c r="I64" s="4">
        <v>34155</v>
      </c>
      <c r="J64" t="s">
        <v>1</v>
      </c>
      <c r="K64" s="2">
        <v>0</v>
      </c>
      <c r="M64" s="20">
        <f>944*37</f>
        <v>34928</v>
      </c>
      <c r="N64" s="20">
        <f>220*37</f>
        <v>8140</v>
      </c>
      <c r="O64" s="8">
        <f>23*37</f>
        <v>851</v>
      </c>
      <c r="Z64" t="s">
        <v>359</v>
      </c>
      <c r="AA64" s="9" t="s">
        <v>31</v>
      </c>
    </row>
    <row r="65" spans="1:27" x14ac:dyDescent="0.25">
      <c r="A65">
        <v>101</v>
      </c>
      <c r="B65">
        <v>4</v>
      </c>
      <c r="C65">
        <f t="shared" si="0"/>
        <v>10104</v>
      </c>
      <c r="D65" s="3" t="s">
        <v>86</v>
      </c>
      <c r="E65" s="11">
        <f t="shared" si="7"/>
        <v>27.868055555555557</v>
      </c>
      <c r="F65" s="11">
        <f t="shared" si="8"/>
        <v>-93.991666666666674</v>
      </c>
      <c r="G65" t="s">
        <v>15</v>
      </c>
      <c r="H65" s="12" t="s">
        <v>17</v>
      </c>
      <c r="I65" s="4">
        <v>34156</v>
      </c>
      <c r="J65" t="s">
        <v>1</v>
      </c>
      <c r="K65" s="2">
        <v>0</v>
      </c>
      <c r="M65" s="20">
        <f>734*37</f>
        <v>27158</v>
      </c>
      <c r="N65" s="20">
        <f>257*37</f>
        <v>9509</v>
      </c>
      <c r="O65" s="8">
        <f>12*37</f>
        <v>444</v>
      </c>
      <c r="Z65" t="s">
        <v>359</v>
      </c>
      <c r="AA65" s="9" t="s">
        <v>31</v>
      </c>
    </row>
    <row r="66" spans="1:27" x14ac:dyDescent="0.25">
      <c r="A66">
        <v>101</v>
      </c>
      <c r="B66">
        <v>4</v>
      </c>
      <c r="C66">
        <f t="shared" si="0"/>
        <v>10104</v>
      </c>
      <c r="D66" s="3" t="s">
        <v>86</v>
      </c>
      <c r="E66" s="11">
        <f t="shared" si="7"/>
        <v>27.868055555555557</v>
      </c>
      <c r="F66" s="11">
        <f t="shared" si="8"/>
        <v>-93.991666666666674</v>
      </c>
      <c r="G66" t="s">
        <v>15</v>
      </c>
      <c r="H66" s="12" t="s">
        <v>17</v>
      </c>
      <c r="I66" s="4">
        <v>34213</v>
      </c>
      <c r="J66" t="s">
        <v>1</v>
      </c>
      <c r="K66" s="2">
        <v>0</v>
      </c>
      <c r="M66" s="20">
        <f>101*37</f>
        <v>3737</v>
      </c>
      <c r="N66" s="20">
        <f>276*37</f>
        <v>10212</v>
      </c>
      <c r="O66" s="8">
        <f>4*37</f>
        <v>148</v>
      </c>
      <c r="Z66" t="s">
        <v>359</v>
      </c>
      <c r="AA66" s="9" t="s">
        <v>31</v>
      </c>
    </row>
    <row r="67" spans="1:27" x14ac:dyDescent="0.25">
      <c r="A67">
        <v>101</v>
      </c>
      <c r="B67">
        <v>4</v>
      </c>
      <c r="C67">
        <f t="shared" ref="C67:C130" si="9">A67*100+B67</f>
        <v>10104</v>
      </c>
      <c r="D67" s="3" t="s">
        <v>86</v>
      </c>
      <c r="E67" s="11">
        <f t="shared" si="7"/>
        <v>27.868055555555557</v>
      </c>
      <c r="F67" s="11">
        <f t="shared" si="8"/>
        <v>-93.991666666666674</v>
      </c>
      <c r="G67" t="s">
        <v>15</v>
      </c>
      <c r="H67" s="12" t="s">
        <v>17</v>
      </c>
      <c r="I67" s="4">
        <v>34243</v>
      </c>
      <c r="J67" t="s">
        <v>1</v>
      </c>
      <c r="K67" s="2">
        <v>0</v>
      </c>
      <c r="M67" s="20">
        <f>165*37</f>
        <v>6105</v>
      </c>
      <c r="N67" s="20">
        <f>190*37</f>
        <v>7030</v>
      </c>
      <c r="O67" s="8">
        <f>8*37</f>
        <v>296</v>
      </c>
      <c r="Z67" t="s">
        <v>359</v>
      </c>
      <c r="AA67" s="9" t="s">
        <v>31</v>
      </c>
    </row>
    <row r="68" spans="1:27" x14ac:dyDescent="0.25">
      <c r="A68">
        <v>101</v>
      </c>
      <c r="B68">
        <v>4</v>
      </c>
      <c r="C68">
        <f t="shared" si="9"/>
        <v>10104</v>
      </c>
      <c r="D68" s="3" t="s">
        <v>86</v>
      </c>
      <c r="E68" s="11">
        <f t="shared" si="7"/>
        <v>27.868055555555557</v>
      </c>
      <c r="F68" s="11">
        <f t="shared" si="8"/>
        <v>-93.991666666666674</v>
      </c>
      <c r="G68" t="s">
        <v>15</v>
      </c>
      <c r="H68" s="12" t="s">
        <v>17</v>
      </c>
      <c r="I68" s="4">
        <v>34274</v>
      </c>
      <c r="J68" t="s">
        <v>1</v>
      </c>
      <c r="K68" s="2">
        <v>0</v>
      </c>
      <c r="M68" s="20">
        <f>434*37</f>
        <v>16058</v>
      </c>
      <c r="N68" s="20">
        <f>470*37</f>
        <v>17390</v>
      </c>
      <c r="O68" s="8">
        <f>9*37</f>
        <v>333</v>
      </c>
      <c r="Z68" t="s">
        <v>359</v>
      </c>
      <c r="AA68" s="9" t="s">
        <v>31</v>
      </c>
    </row>
    <row r="69" spans="1:27" x14ac:dyDescent="0.25">
      <c r="A69">
        <v>101</v>
      </c>
      <c r="B69">
        <v>1</v>
      </c>
      <c r="C69">
        <f t="shared" si="9"/>
        <v>10101</v>
      </c>
      <c r="D69" s="3" t="s">
        <v>86</v>
      </c>
      <c r="E69" s="11">
        <f t="shared" ref="E69:E74" si="10">29+20/60+5/3600</f>
        <v>29.334722222222222</v>
      </c>
      <c r="F69" s="11">
        <f t="shared" ref="F69:F74" si="11">-(92+44/3600)</f>
        <v>-92.012222222222221</v>
      </c>
      <c r="G69" t="s">
        <v>15</v>
      </c>
      <c r="H69" s="12" t="s">
        <v>17</v>
      </c>
      <c r="I69" s="4">
        <v>34151</v>
      </c>
      <c r="J69" t="s">
        <v>1</v>
      </c>
      <c r="K69" s="2">
        <v>5</v>
      </c>
      <c r="M69" s="20">
        <f>0.4*37</f>
        <v>14.8</v>
      </c>
      <c r="N69" s="20">
        <f>0.83*37</f>
        <v>30.709999999999997</v>
      </c>
      <c r="O69" s="8">
        <f>0.17*37</f>
        <v>6.29</v>
      </c>
      <c r="Z69" t="s">
        <v>359</v>
      </c>
      <c r="AA69" s="9" t="s">
        <v>32</v>
      </c>
    </row>
    <row r="70" spans="1:27" x14ac:dyDescent="0.25">
      <c r="A70">
        <v>101</v>
      </c>
      <c r="B70">
        <v>1</v>
      </c>
      <c r="C70">
        <f t="shared" si="9"/>
        <v>10101</v>
      </c>
      <c r="D70" s="3" t="s">
        <v>86</v>
      </c>
      <c r="E70" s="11">
        <f t="shared" si="10"/>
        <v>29.334722222222222</v>
      </c>
      <c r="F70" s="11">
        <f t="shared" si="11"/>
        <v>-92.012222222222221</v>
      </c>
      <c r="G70" t="s">
        <v>15</v>
      </c>
      <c r="H70" s="12" t="s">
        <v>17</v>
      </c>
      <c r="I70" s="4">
        <v>34151</v>
      </c>
      <c r="J70" t="s">
        <v>1</v>
      </c>
      <c r="K70" s="2">
        <v>10</v>
      </c>
      <c r="M70" s="20">
        <f>0.3*37</f>
        <v>11.1</v>
      </c>
      <c r="N70" s="20">
        <f>0.6*37</f>
        <v>22.2</v>
      </c>
      <c r="O70" s="8">
        <f>0.17*37</f>
        <v>6.29</v>
      </c>
      <c r="Z70" t="s">
        <v>359</v>
      </c>
      <c r="AA70" s="9" t="s">
        <v>32</v>
      </c>
    </row>
    <row r="71" spans="1:27" x14ac:dyDescent="0.25">
      <c r="A71">
        <v>101</v>
      </c>
      <c r="B71">
        <v>1</v>
      </c>
      <c r="C71">
        <f t="shared" si="9"/>
        <v>10101</v>
      </c>
      <c r="D71" s="3" t="s">
        <v>86</v>
      </c>
      <c r="E71" s="11">
        <f t="shared" si="10"/>
        <v>29.334722222222222</v>
      </c>
      <c r="F71" s="11">
        <f t="shared" si="11"/>
        <v>-92.012222222222221</v>
      </c>
      <c r="G71" t="s">
        <v>15</v>
      </c>
      <c r="H71" s="12" t="s">
        <v>17</v>
      </c>
      <c r="I71" s="4">
        <v>34151</v>
      </c>
      <c r="J71" t="s">
        <v>1</v>
      </c>
      <c r="K71" s="2">
        <v>30</v>
      </c>
      <c r="M71" s="20">
        <f>0.53*37</f>
        <v>19.61</v>
      </c>
      <c r="N71" s="20">
        <f>1.07*37</f>
        <v>39.590000000000003</v>
      </c>
      <c r="O71" s="8">
        <f>0.03*37</f>
        <v>1.1099999999999999</v>
      </c>
      <c r="Z71" t="s">
        <v>359</v>
      </c>
      <c r="AA71" s="9" t="s">
        <v>32</v>
      </c>
    </row>
    <row r="72" spans="1:27" x14ac:dyDescent="0.25">
      <c r="A72">
        <v>101</v>
      </c>
      <c r="B72">
        <v>1</v>
      </c>
      <c r="C72">
        <f t="shared" si="9"/>
        <v>10101</v>
      </c>
      <c r="D72" s="3" t="s">
        <v>86</v>
      </c>
      <c r="E72" s="11">
        <f t="shared" si="10"/>
        <v>29.334722222222222</v>
      </c>
      <c r="F72" s="11">
        <f t="shared" si="11"/>
        <v>-92.012222222222221</v>
      </c>
      <c r="G72" t="s">
        <v>15</v>
      </c>
      <c r="H72" s="12" t="s">
        <v>17</v>
      </c>
      <c r="I72" s="4">
        <v>34151</v>
      </c>
      <c r="J72" t="s">
        <v>1</v>
      </c>
      <c r="K72" s="2">
        <v>50</v>
      </c>
      <c r="M72" s="20">
        <f>0.5*37</f>
        <v>18.5</v>
      </c>
      <c r="N72" s="20">
        <f>3.6*37</f>
        <v>133.20000000000002</v>
      </c>
      <c r="O72" s="8">
        <f>0.13*37</f>
        <v>4.8100000000000005</v>
      </c>
      <c r="Z72" t="s">
        <v>359</v>
      </c>
      <c r="AA72" s="9" t="s">
        <v>32</v>
      </c>
    </row>
    <row r="73" spans="1:27" x14ac:dyDescent="0.25">
      <c r="A73">
        <v>101</v>
      </c>
      <c r="B73">
        <v>1</v>
      </c>
      <c r="C73">
        <f t="shared" si="9"/>
        <v>10101</v>
      </c>
      <c r="D73" s="3" t="s">
        <v>86</v>
      </c>
      <c r="E73" s="11">
        <f t="shared" si="10"/>
        <v>29.334722222222222</v>
      </c>
      <c r="F73" s="11">
        <f t="shared" si="11"/>
        <v>-92.012222222222221</v>
      </c>
      <c r="G73" t="s">
        <v>15</v>
      </c>
      <c r="H73" s="12" t="s">
        <v>17</v>
      </c>
      <c r="I73" s="4">
        <v>34151</v>
      </c>
      <c r="J73" t="s">
        <v>1</v>
      </c>
      <c r="K73" s="2">
        <v>100</v>
      </c>
      <c r="M73" s="20">
        <f>0.57*37</f>
        <v>21.09</v>
      </c>
      <c r="N73" s="20">
        <f>3.87*37</f>
        <v>143.19</v>
      </c>
      <c r="O73" s="8" t="s">
        <v>14</v>
      </c>
      <c r="Z73" t="s">
        <v>359</v>
      </c>
      <c r="AA73" s="9" t="s">
        <v>32</v>
      </c>
    </row>
    <row r="74" spans="1:27" x14ac:dyDescent="0.25">
      <c r="A74">
        <v>101</v>
      </c>
      <c r="B74">
        <v>1</v>
      </c>
      <c r="C74">
        <f t="shared" si="9"/>
        <v>10101</v>
      </c>
      <c r="D74" s="3" t="s">
        <v>86</v>
      </c>
      <c r="E74" s="11">
        <f t="shared" si="10"/>
        <v>29.334722222222222</v>
      </c>
      <c r="F74" s="11">
        <f t="shared" si="11"/>
        <v>-92.012222222222221</v>
      </c>
      <c r="G74" t="s">
        <v>15</v>
      </c>
      <c r="H74" s="12" t="s">
        <v>17</v>
      </c>
      <c r="I74" s="4">
        <v>34151</v>
      </c>
      <c r="J74" t="s">
        <v>1</v>
      </c>
      <c r="K74" s="2">
        <v>2000</v>
      </c>
      <c r="M74" s="20">
        <f>0.167*37</f>
        <v>6.1790000000000003</v>
      </c>
      <c r="N74" s="20">
        <f>1.633*37</f>
        <v>60.420999999999999</v>
      </c>
      <c r="O74" s="8">
        <f>0.2533*37</f>
        <v>9.3721000000000014</v>
      </c>
      <c r="Z74" t="s">
        <v>359</v>
      </c>
      <c r="AA74" s="9" t="s">
        <v>32</v>
      </c>
    </row>
    <row r="75" spans="1:27" x14ac:dyDescent="0.25">
      <c r="A75">
        <v>101</v>
      </c>
      <c r="B75">
        <v>2</v>
      </c>
      <c r="C75">
        <f t="shared" si="9"/>
        <v>10102</v>
      </c>
      <c r="D75" s="3" t="s">
        <v>86</v>
      </c>
      <c r="E75" s="11">
        <f t="shared" ref="E75:E80" si="12">28+41/60+50/3600</f>
        <v>28.697222222222223</v>
      </c>
      <c r="F75" s="11">
        <f t="shared" ref="F75:F80" si="13">-(92+15/60+45/3600)</f>
        <v>-92.262500000000003</v>
      </c>
      <c r="G75" t="s">
        <v>15</v>
      </c>
      <c r="H75" s="12" t="s">
        <v>17</v>
      </c>
      <c r="I75" s="4">
        <v>34151</v>
      </c>
      <c r="J75" t="s">
        <v>1</v>
      </c>
      <c r="K75" s="2">
        <v>5</v>
      </c>
      <c r="M75" s="20">
        <f>0.18*37</f>
        <v>6.66</v>
      </c>
      <c r="N75" s="20">
        <f>0.3*37</f>
        <v>11.1</v>
      </c>
      <c r="O75" s="8">
        <f>0.1*37</f>
        <v>3.7</v>
      </c>
      <c r="Z75" t="s">
        <v>359</v>
      </c>
      <c r="AA75" s="9" t="s">
        <v>32</v>
      </c>
    </row>
    <row r="76" spans="1:27" x14ac:dyDescent="0.25">
      <c r="A76">
        <v>101</v>
      </c>
      <c r="B76">
        <v>2</v>
      </c>
      <c r="C76">
        <f t="shared" si="9"/>
        <v>10102</v>
      </c>
      <c r="D76" s="3" t="s">
        <v>86</v>
      </c>
      <c r="E76" s="11">
        <f t="shared" si="12"/>
        <v>28.697222222222223</v>
      </c>
      <c r="F76" s="11">
        <f t="shared" si="13"/>
        <v>-92.262500000000003</v>
      </c>
      <c r="G76" t="s">
        <v>15</v>
      </c>
      <c r="H76" s="12" t="s">
        <v>17</v>
      </c>
      <c r="I76" s="4">
        <v>34151</v>
      </c>
      <c r="J76" t="s">
        <v>1</v>
      </c>
      <c r="K76" s="2">
        <v>10</v>
      </c>
      <c r="M76" s="20">
        <f>0.7*37</f>
        <v>25.9</v>
      </c>
      <c r="N76" s="20">
        <f>1.87*37</f>
        <v>69.19</v>
      </c>
      <c r="O76" s="8">
        <f>0.23*37</f>
        <v>8.51</v>
      </c>
      <c r="Z76" t="s">
        <v>359</v>
      </c>
      <c r="AA76" s="9" t="s">
        <v>32</v>
      </c>
    </row>
    <row r="77" spans="1:27" x14ac:dyDescent="0.25">
      <c r="A77">
        <v>101</v>
      </c>
      <c r="B77">
        <v>2</v>
      </c>
      <c r="C77">
        <f t="shared" si="9"/>
        <v>10102</v>
      </c>
      <c r="D77" s="3" t="s">
        <v>86</v>
      </c>
      <c r="E77" s="11">
        <f t="shared" si="12"/>
        <v>28.697222222222223</v>
      </c>
      <c r="F77" s="11">
        <f t="shared" si="13"/>
        <v>-92.262500000000003</v>
      </c>
      <c r="G77" t="s">
        <v>15</v>
      </c>
      <c r="H77" s="12" t="s">
        <v>17</v>
      </c>
      <c r="I77" s="4">
        <v>34151</v>
      </c>
      <c r="J77" t="s">
        <v>1</v>
      </c>
      <c r="K77" s="2">
        <v>30</v>
      </c>
      <c r="M77" s="20">
        <f>0.45*37</f>
        <v>16.650000000000002</v>
      </c>
      <c r="N77" s="20">
        <f>0.93*37</f>
        <v>34.410000000000004</v>
      </c>
      <c r="O77" s="8">
        <f>0.1*37</f>
        <v>3.7</v>
      </c>
      <c r="Z77" t="s">
        <v>359</v>
      </c>
      <c r="AA77" s="9" t="s">
        <v>32</v>
      </c>
    </row>
    <row r="78" spans="1:27" x14ac:dyDescent="0.25">
      <c r="A78">
        <v>101</v>
      </c>
      <c r="B78">
        <v>2</v>
      </c>
      <c r="C78">
        <f t="shared" si="9"/>
        <v>10102</v>
      </c>
      <c r="D78" s="3" t="s">
        <v>86</v>
      </c>
      <c r="E78" s="11">
        <f t="shared" si="12"/>
        <v>28.697222222222223</v>
      </c>
      <c r="F78" s="11">
        <f t="shared" si="13"/>
        <v>-92.262500000000003</v>
      </c>
      <c r="G78" t="s">
        <v>15</v>
      </c>
      <c r="H78" s="12" t="s">
        <v>17</v>
      </c>
      <c r="I78" s="4">
        <v>34151</v>
      </c>
      <c r="J78" t="s">
        <v>1</v>
      </c>
      <c r="K78" s="2">
        <v>50</v>
      </c>
      <c r="M78" s="20">
        <f>0.33*37</f>
        <v>12.21</v>
      </c>
      <c r="N78" s="20">
        <f>0.5*37</f>
        <v>18.5</v>
      </c>
      <c r="O78" s="8">
        <f>0.33*37</f>
        <v>12.21</v>
      </c>
      <c r="Z78" t="s">
        <v>359</v>
      </c>
      <c r="AA78" s="9" t="s">
        <v>32</v>
      </c>
    </row>
    <row r="79" spans="1:27" x14ac:dyDescent="0.25">
      <c r="A79">
        <v>101</v>
      </c>
      <c r="B79">
        <v>2</v>
      </c>
      <c r="C79">
        <f t="shared" si="9"/>
        <v>10102</v>
      </c>
      <c r="D79" s="3" t="s">
        <v>86</v>
      </c>
      <c r="E79" s="11">
        <f t="shared" si="12"/>
        <v>28.697222222222223</v>
      </c>
      <c r="F79" s="11">
        <f t="shared" si="13"/>
        <v>-92.262500000000003</v>
      </c>
      <c r="G79" t="s">
        <v>15</v>
      </c>
      <c r="H79" s="12" t="s">
        <v>17</v>
      </c>
      <c r="I79" s="4">
        <v>34151</v>
      </c>
      <c r="J79" t="s">
        <v>1</v>
      </c>
      <c r="K79" s="2">
        <v>100</v>
      </c>
      <c r="M79" s="20">
        <f>0.33*37</f>
        <v>12.21</v>
      </c>
      <c r="N79" s="20">
        <f>1.6*37</f>
        <v>59.2</v>
      </c>
      <c r="O79" s="8">
        <f>0.8*37</f>
        <v>29.6</v>
      </c>
      <c r="Z79" t="s">
        <v>359</v>
      </c>
      <c r="AA79" s="9" t="s">
        <v>32</v>
      </c>
    </row>
    <row r="80" spans="1:27" x14ac:dyDescent="0.25">
      <c r="A80">
        <v>101</v>
      </c>
      <c r="B80">
        <v>2</v>
      </c>
      <c r="C80">
        <f t="shared" si="9"/>
        <v>10102</v>
      </c>
      <c r="D80" s="3" t="s">
        <v>86</v>
      </c>
      <c r="E80" s="11">
        <f t="shared" si="12"/>
        <v>28.697222222222223</v>
      </c>
      <c r="F80" s="11">
        <f t="shared" si="13"/>
        <v>-92.262500000000003</v>
      </c>
      <c r="G80" t="s">
        <v>15</v>
      </c>
      <c r="H80" s="12" t="s">
        <v>17</v>
      </c>
      <c r="I80" s="4">
        <v>34151</v>
      </c>
      <c r="J80" t="s">
        <v>1</v>
      </c>
      <c r="K80" s="2">
        <v>2000</v>
      </c>
      <c r="M80" s="20">
        <f>0.08*37</f>
        <v>2.96</v>
      </c>
      <c r="N80" s="20">
        <f>0.6433*37</f>
        <v>23.802099999999999</v>
      </c>
      <c r="O80" s="8">
        <f>0.3867*37</f>
        <v>14.3079</v>
      </c>
      <c r="Z80" t="s">
        <v>359</v>
      </c>
      <c r="AA80" s="9" t="s">
        <v>32</v>
      </c>
    </row>
    <row r="81" spans="1:27" x14ac:dyDescent="0.25">
      <c r="A81">
        <v>101</v>
      </c>
      <c r="B81">
        <v>3</v>
      </c>
      <c r="C81">
        <f t="shared" si="9"/>
        <v>10103</v>
      </c>
      <c r="D81" s="3" t="s">
        <v>86</v>
      </c>
      <c r="E81" s="11">
        <f t="shared" ref="E81:E86" si="14">28+17/60+53/3600</f>
        <v>28.298055555555557</v>
      </c>
      <c r="F81" s="11">
        <f t="shared" ref="F81:F86" si="15">-(92+43/3600)</f>
        <v>-92.011944444444438</v>
      </c>
      <c r="G81" t="s">
        <v>15</v>
      </c>
      <c r="H81" s="12" t="s">
        <v>17</v>
      </c>
      <c r="I81" s="4">
        <v>34151</v>
      </c>
      <c r="J81" t="s">
        <v>1</v>
      </c>
      <c r="K81" s="2">
        <v>5</v>
      </c>
      <c r="M81" s="20">
        <f>0.53*37</f>
        <v>19.61</v>
      </c>
      <c r="N81" s="20">
        <f>0.63*37</f>
        <v>23.31</v>
      </c>
      <c r="O81" s="8">
        <f>0.07*37</f>
        <v>2.5900000000000003</v>
      </c>
      <c r="Z81" t="s">
        <v>359</v>
      </c>
      <c r="AA81" s="9" t="s">
        <v>32</v>
      </c>
    </row>
    <row r="82" spans="1:27" x14ac:dyDescent="0.25">
      <c r="A82">
        <v>101</v>
      </c>
      <c r="B82">
        <v>3</v>
      </c>
      <c r="C82">
        <f t="shared" si="9"/>
        <v>10103</v>
      </c>
      <c r="D82" s="3" t="s">
        <v>86</v>
      </c>
      <c r="E82" s="11">
        <f t="shared" si="14"/>
        <v>28.298055555555557</v>
      </c>
      <c r="F82" s="11">
        <f t="shared" si="15"/>
        <v>-92.011944444444438</v>
      </c>
      <c r="G82" t="s">
        <v>15</v>
      </c>
      <c r="H82" s="12" t="s">
        <v>17</v>
      </c>
      <c r="I82" s="4">
        <v>34151</v>
      </c>
      <c r="J82" t="s">
        <v>1</v>
      </c>
      <c r="K82" s="2">
        <v>10</v>
      </c>
      <c r="M82" s="20">
        <f>0.97*37</f>
        <v>35.89</v>
      </c>
      <c r="N82" s="20">
        <f>0.9*37</f>
        <v>33.300000000000004</v>
      </c>
      <c r="O82" s="8">
        <f>0.13*37</f>
        <v>4.8100000000000005</v>
      </c>
      <c r="Z82" t="s">
        <v>359</v>
      </c>
      <c r="AA82" s="9" t="s">
        <v>32</v>
      </c>
    </row>
    <row r="83" spans="1:27" x14ac:dyDescent="0.25">
      <c r="A83">
        <v>101</v>
      </c>
      <c r="B83">
        <v>3</v>
      </c>
      <c r="C83">
        <f t="shared" si="9"/>
        <v>10103</v>
      </c>
      <c r="D83" s="3" t="s">
        <v>86</v>
      </c>
      <c r="E83" s="11">
        <f t="shared" si="14"/>
        <v>28.298055555555557</v>
      </c>
      <c r="F83" s="11">
        <f t="shared" si="15"/>
        <v>-92.011944444444438</v>
      </c>
      <c r="G83" t="s">
        <v>15</v>
      </c>
      <c r="H83" s="12" t="s">
        <v>17</v>
      </c>
      <c r="I83" s="4">
        <v>34151</v>
      </c>
      <c r="J83" t="s">
        <v>1</v>
      </c>
      <c r="K83" s="2">
        <v>30</v>
      </c>
      <c r="M83" s="20">
        <f>0.57*37</f>
        <v>21.09</v>
      </c>
      <c r="N83" s="20">
        <f>0.33*37</f>
        <v>12.21</v>
      </c>
      <c r="O83" s="8">
        <f>0.07*37</f>
        <v>2.5900000000000003</v>
      </c>
      <c r="Z83" t="s">
        <v>359</v>
      </c>
      <c r="AA83" s="9" t="s">
        <v>32</v>
      </c>
    </row>
    <row r="84" spans="1:27" x14ac:dyDescent="0.25">
      <c r="A84">
        <v>101</v>
      </c>
      <c r="B84">
        <v>3</v>
      </c>
      <c r="C84">
        <f t="shared" si="9"/>
        <v>10103</v>
      </c>
      <c r="D84" s="3" t="s">
        <v>86</v>
      </c>
      <c r="E84" s="11">
        <f t="shared" si="14"/>
        <v>28.298055555555557</v>
      </c>
      <c r="F84" s="11">
        <f t="shared" si="15"/>
        <v>-92.011944444444438</v>
      </c>
      <c r="G84" t="s">
        <v>15</v>
      </c>
      <c r="H84" s="12" t="s">
        <v>17</v>
      </c>
      <c r="I84" s="4">
        <v>34151</v>
      </c>
      <c r="J84" t="s">
        <v>1</v>
      </c>
      <c r="K84" s="2">
        <v>50</v>
      </c>
      <c r="M84" s="20">
        <f>0.9*37</f>
        <v>33.300000000000004</v>
      </c>
      <c r="N84" s="20">
        <f>1.3*37</f>
        <v>48.1</v>
      </c>
      <c r="O84" s="8">
        <f>0.03*37</f>
        <v>1.1099999999999999</v>
      </c>
      <c r="Z84" t="s">
        <v>359</v>
      </c>
      <c r="AA84" s="9" t="s">
        <v>32</v>
      </c>
    </row>
    <row r="85" spans="1:27" x14ac:dyDescent="0.25">
      <c r="A85">
        <v>101</v>
      </c>
      <c r="B85">
        <v>3</v>
      </c>
      <c r="C85">
        <f t="shared" si="9"/>
        <v>10103</v>
      </c>
      <c r="D85" s="3" t="s">
        <v>86</v>
      </c>
      <c r="E85" s="11">
        <f t="shared" si="14"/>
        <v>28.298055555555557</v>
      </c>
      <c r="F85" s="11">
        <f t="shared" si="15"/>
        <v>-92.011944444444438</v>
      </c>
      <c r="G85" t="s">
        <v>15</v>
      </c>
      <c r="H85" s="12" t="s">
        <v>17</v>
      </c>
      <c r="I85" s="4">
        <v>34151</v>
      </c>
      <c r="J85" t="s">
        <v>1</v>
      </c>
      <c r="K85" s="2">
        <v>100</v>
      </c>
      <c r="M85" s="20">
        <f>0.07*37</f>
        <v>2.5900000000000003</v>
      </c>
      <c r="N85" s="20">
        <f>1.23*37</f>
        <v>45.51</v>
      </c>
      <c r="O85" s="8">
        <f>0.13*37</f>
        <v>4.8100000000000005</v>
      </c>
      <c r="Z85" t="s">
        <v>359</v>
      </c>
      <c r="AA85" s="9" t="s">
        <v>32</v>
      </c>
    </row>
    <row r="86" spans="1:27" x14ac:dyDescent="0.25">
      <c r="A86">
        <v>101</v>
      </c>
      <c r="B86">
        <v>3</v>
      </c>
      <c r="C86">
        <f t="shared" si="9"/>
        <v>10103</v>
      </c>
      <c r="D86" s="3" t="s">
        <v>86</v>
      </c>
      <c r="E86" s="11">
        <f t="shared" si="14"/>
        <v>28.298055555555557</v>
      </c>
      <c r="F86" s="11">
        <f t="shared" si="15"/>
        <v>-92.011944444444438</v>
      </c>
      <c r="G86" t="s">
        <v>15</v>
      </c>
      <c r="H86" s="12" t="s">
        <v>17</v>
      </c>
      <c r="I86" s="4">
        <v>34151</v>
      </c>
      <c r="J86" t="s">
        <v>1</v>
      </c>
      <c r="K86" s="2">
        <v>2000</v>
      </c>
      <c r="M86" s="20">
        <f>0.9*37</f>
        <v>33.300000000000004</v>
      </c>
      <c r="N86" s="20">
        <f>1.0233*37</f>
        <v>37.862100000000005</v>
      </c>
      <c r="O86" s="8">
        <f>0.0767*37</f>
        <v>2.8379000000000003</v>
      </c>
      <c r="Z86" t="s">
        <v>359</v>
      </c>
      <c r="AA86" s="9" t="s">
        <v>32</v>
      </c>
    </row>
    <row r="87" spans="1:27" x14ac:dyDescent="0.25">
      <c r="A87">
        <v>101</v>
      </c>
      <c r="B87">
        <v>4</v>
      </c>
      <c r="C87">
        <f t="shared" si="9"/>
        <v>10104</v>
      </c>
      <c r="D87" s="3" t="s">
        <v>86</v>
      </c>
      <c r="E87" s="11">
        <f t="shared" ref="E87:E92" si="16">27+52/60+5/3600</f>
        <v>27.868055555555557</v>
      </c>
      <c r="F87" s="11">
        <f t="shared" ref="F87:F92" si="17">-(93+59/60+30/3600)</f>
        <v>-93.991666666666674</v>
      </c>
      <c r="G87" t="s">
        <v>15</v>
      </c>
      <c r="H87" s="12" t="s">
        <v>17</v>
      </c>
      <c r="I87" s="4">
        <v>34151</v>
      </c>
      <c r="J87" t="s">
        <v>1</v>
      </c>
      <c r="K87" s="2">
        <v>5</v>
      </c>
      <c r="M87" s="20">
        <f>0.93*37</f>
        <v>34.410000000000004</v>
      </c>
      <c r="N87" s="20">
        <f>2.2*37</f>
        <v>81.400000000000006</v>
      </c>
      <c r="O87" s="8">
        <f>0.53*37</f>
        <v>19.61</v>
      </c>
      <c r="Z87" t="s">
        <v>359</v>
      </c>
      <c r="AA87" s="9" t="s">
        <v>32</v>
      </c>
    </row>
    <row r="88" spans="1:27" x14ac:dyDescent="0.25">
      <c r="A88">
        <v>101</v>
      </c>
      <c r="B88">
        <v>4</v>
      </c>
      <c r="C88">
        <f t="shared" si="9"/>
        <v>10104</v>
      </c>
      <c r="D88" s="3" t="s">
        <v>86</v>
      </c>
      <c r="E88" s="11">
        <f t="shared" si="16"/>
        <v>27.868055555555557</v>
      </c>
      <c r="F88" s="11">
        <f t="shared" si="17"/>
        <v>-93.991666666666674</v>
      </c>
      <c r="G88" t="s">
        <v>15</v>
      </c>
      <c r="H88" s="12" t="s">
        <v>17</v>
      </c>
      <c r="I88" s="4">
        <v>34151</v>
      </c>
      <c r="J88" t="s">
        <v>1</v>
      </c>
      <c r="K88" s="2">
        <v>10</v>
      </c>
      <c r="M88" s="20">
        <f>0.87*37</f>
        <v>32.19</v>
      </c>
      <c r="N88" s="20">
        <f>1.93*37</f>
        <v>71.41</v>
      </c>
      <c r="O88" s="8">
        <f>0.8*37</f>
        <v>29.6</v>
      </c>
      <c r="Z88" t="s">
        <v>359</v>
      </c>
      <c r="AA88" s="9" t="s">
        <v>32</v>
      </c>
    </row>
    <row r="89" spans="1:27" x14ac:dyDescent="0.25">
      <c r="A89">
        <v>101</v>
      </c>
      <c r="B89">
        <v>4</v>
      </c>
      <c r="C89">
        <f t="shared" si="9"/>
        <v>10104</v>
      </c>
      <c r="D89" s="3" t="s">
        <v>86</v>
      </c>
      <c r="E89" s="11">
        <f t="shared" si="16"/>
        <v>27.868055555555557</v>
      </c>
      <c r="F89" s="11">
        <f t="shared" si="17"/>
        <v>-93.991666666666674</v>
      </c>
      <c r="G89" t="s">
        <v>15</v>
      </c>
      <c r="H89" s="12" t="s">
        <v>17</v>
      </c>
      <c r="I89" s="4">
        <v>34151</v>
      </c>
      <c r="J89" t="s">
        <v>1</v>
      </c>
      <c r="K89" s="2">
        <v>30</v>
      </c>
      <c r="M89" s="20">
        <f>0.47*37</f>
        <v>17.39</v>
      </c>
      <c r="N89" s="20">
        <f>2.03*37</f>
        <v>75.11</v>
      </c>
      <c r="O89" s="8">
        <f>0.7*37</f>
        <v>25.9</v>
      </c>
      <c r="Z89" t="s">
        <v>359</v>
      </c>
      <c r="AA89" s="9" t="s">
        <v>32</v>
      </c>
    </row>
    <row r="90" spans="1:27" x14ac:dyDescent="0.25">
      <c r="A90">
        <v>101</v>
      </c>
      <c r="B90">
        <v>4</v>
      </c>
      <c r="C90">
        <f t="shared" si="9"/>
        <v>10104</v>
      </c>
      <c r="D90" s="3" t="s">
        <v>86</v>
      </c>
      <c r="E90" s="11">
        <f t="shared" si="16"/>
        <v>27.868055555555557</v>
      </c>
      <c r="F90" s="11">
        <f t="shared" si="17"/>
        <v>-93.991666666666674</v>
      </c>
      <c r="G90" t="s">
        <v>15</v>
      </c>
      <c r="H90" s="12" t="s">
        <v>17</v>
      </c>
      <c r="I90" s="4">
        <v>34151</v>
      </c>
      <c r="J90" t="s">
        <v>1</v>
      </c>
      <c r="K90" s="2">
        <v>50</v>
      </c>
      <c r="M90" s="20">
        <f>0.45*37</f>
        <v>16.650000000000002</v>
      </c>
      <c r="N90" s="20">
        <f>1.93*37</f>
        <v>71.41</v>
      </c>
      <c r="O90" s="8">
        <f>0.53*37</f>
        <v>19.61</v>
      </c>
      <c r="Z90" t="s">
        <v>359</v>
      </c>
      <c r="AA90" s="9" t="s">
        <v>32</v>
      </c>
    </row>
    <row r="91" spans="1:27" x14ac:dyDescent="0.25">
      <c r="A91">
        <v>101</v>
      </c>
      <c r="B91">
        <v>4</v>
      </c>
      <c r="C91">
        <f t="shared" si="9"/>
        <v>10104</v>
      </c>
      <c r="D91" s="3" t="s">
        <v>86</v>
      </c>
      <c r="E91" s="11">
        <f t="shared" si="16"/>
        <v>27.868055555555557</v>
      </c>
      <c r="F91" s="11">
        <f t="shared" si="17"/>
        <v>-93.991666666666674</v>
      </c>
      <c r="G91" t="s">
        <v>15</v>
      </c>
      <c r="H91" s="12" t="s">
        <v>17</v>
      </c>
      <c r="I91" s="4">
        <v>34151</v>
      </c>
      <c r="J91" t="s">
        <v>1</v>
      </c>
      <c r="K91" s="2">
        <v>100</v>
      </c>
      <c r="M91" s="20">
        <f>0.23*37</f>
        <v>8.51</v>
      </c>
      <c r="N91" s="20">
        <f>1.07*37</f>
        <v>39.590000000000003</v>
      </c>
      <c r="O91" s="8">
        <f>0.17*37</f>
        <v>6.29</v>
      </c>
      <c r="Z91" t="s">
        <v>359</v>
      </c>
      <c r="AA91" s="9" t="s">
        <v>32</v>
      </c>
    </row>
    <row r="92" spans="1:27" x14ac:dyDescent="0.25">
      <c r="A92">
        <v>101</v>
      </c>
      <c r="B92">
        <v>4</v>
      </c>
      <c r="C92">
        <f t="shared" si="9"/>
        <v>10104</v>
      </c>
      <c r="D92" s="3" t="s">
        <v>86</v>
      </c>
      <c r="E92" s="11">
        <f t="shared" si="16"/>
        <v>27.868055555555557</v>
      </c>
      <c r="F92" s="11">
        <f t="shared" si="17"/>
        <v>-93.991666666666674</v>
      </c>
      <c r="G92" t="s">
        <v>15</v>
      </c>
      <c r="H92" s="12" t="s">
        <v>17</v>
      </c>
      <c r="I92" s="4">
        <v>34151</v>
      </c>
      <c r="J92" t="s">
        <v>1</v>
      </c>
      <c r="K92" s="2">
        <v>2000</v>
      </c>
      <c r="M92" s="20">
        <f>0.03*37</f>
        <v>1.1099999999999999</v>
      </c>
      <c r="N92" s="20">
        <f>0.7867*37</f>
        <v>29.107899999999997</v>
      </c>
      <c r="O92" s="8" t="s">
        <v>14</v>
      </c>
      <c r="Z92" t="s">
        <v>359</v>
      </c>
      <c r="AA92" s="9" t="s">
        <v>32</v>
      </c>
    </row>
    <row r="93" spans="1:27" x14ac:dyDescent="0.25">
      <c r="A93">
        <v>101</v>
      </c>
      <c r="B93">
        <v>1</v>
      </c>
      <c r="C93">
        <f t="shared" si="9"/>
        <v>10101</v>
      </c>
      <c r="D93" s="3" t="s">
        <v>86</v>
      </c>
      <c r="E93" s="11">
        <f>29+20/60+5/3600</f>
        <v>29.334722222222222</v>
      </c>
      <c r="F93" s="11">
        <f>-(92+44/3600)</f>
        <v>-92.012222222222221</v>
      </c>
      <c r="G93" t="s">
        <v>15</v>
      </c>
      <c r="H93" s="12" t="s">
        <v>17</v>
      </c>
      <c r="I93" s="4">
        <v>34151</v>
      </c>
      <c r="J93" t="s">
        <v>19</v>
      </c>
      <c r="K93" s="2">
        <v>0</v>
      </c>
      <c r="M93" s="20">
        <f>1.49*37*1000</f>
        <v>55130</v>
      </c>
      <c r="N93" s="20">
        <f>0.8*37*1000</f>
        <v>29600</v>
      </c>
      <c r="O93" s="8">
        <f>0.91*37*1000</f>
        <v>33670</v>
      </c>
      <c r="Z93" t="s">
        <v>359</v>
      </c>
      <c r="AA93" t="s">
        <v>33</v>
      </c>
    </row>
    <row r="94" spans="1:27" x14ac:dyDescent="0.25">
      <c r="A94">
        <v>101</v>
      </c>
      <c r="B94">
        <v>3</v>
      </c>
      <c r="C94">
        <f t="shared" si="9"/>
        <v>10103</v>
      </c>
      <c r="D94" s="3" t="s">
        <v>86</v>
      </c>
      <c r="E94" s="11">
        <f>28+17/60+53/3600</f>
        <v>28.298055555555557</v>
      </c>
      <c r="F94" s="11">
        <f>-(92+43/3600)</f>
        <v>-92.011944444444438</v>
      </c>
      <c r="G94" t="s">
        <v>15</v>
      </c>
      <c r="H94" s="12" t="s">
        <v>17</v>
      </c>
      <c r="I94" s="4">
        <v>34151</v>
      </c>
      <c r="J94" t="s">
        <v>19</v>
      </c>
      <c r="K94" s="2">
        <v>0</v>
      </c>
      <c r="M94" s="20">
        <f>2.34*37*1000</f>
        <v>86580</v>
      </c>
      <c r="N94" s="20">
        <f>1.18*37*1000</f>
        <v>43660</v>
      </c>
      <c r="O94" s="8">
        <f>0.68*37*1000</f>
        <v>25160</v>
      </c>
      <c r="Z94" t="s">
        <v>359</v>
      </c>
      <c r="AA94" t="s">
        <v>33</v>
      </c>
    </row>
    <row r="95" spans="1:27" x14ac:dyDescent="0.25">
      <c r="A95">
        <v>101</v>
      </c>
      <c r="B95">
        <v>1</v>
      </c>
      <c r="C95">
        <f t="shared" si="9"/>
        <v>10101</v>
      </c>
      <c r="D95" s="3" t="s">
        <v>86</v>
      </c>
      <c r="E95" s="11">
        <f t="shared" ref="E95:E101" si="18">29+20/60+5/3600</f>
        <v>29.334722222222222</v>
      </c>
      <c r="F95" s="11">
        <f t="shared" ref="F95:F101" si="19">-(92+44/3600)</f>
        <v>-92.012222222222221</v>
      </c>
      <c r="G95" t="s">
        <v>15</v>
      </c>
      <c r="H95" s="12" t="s">
        <v>17</v>
      </c>
      <c r="I95" s="4">
        <v>34151</v>
      </c>
      <c r="J95" t="s">
        <v>20</v>
      </c>
      <c r="K95" s="2">
        <v>0</v>
      </c>
      <c r="M95" s="20">
        <f>3.1*37*1000</f>
        <v>114700</v>
      </c>
      <c r="N95" s="20">
        <f>2.3*37*1000</f>
        <v>85100</v>
      </c>
      <c r="O95" s="8">
        <f>1.77*37*1000</f>
        <v>65489.999999999993</v>
      </c>
      <c r="Z95" t="s">
        <v>359</v>
      </c>
      <c r="AA95" s="9" t="s">
        <v>34</v>
      </c>
    </row>
    <row r="96" spans="1:27" x14ac:dyDescent="0.25">
      <c r="A96">
        <v>101</v>
      </c>
      <c r="B96">
        <v>1</v>
      </c>
      <c r="C96">
        <f t="shared" si="9"/>
        <v>10101</v>
      </c>
      <c r="D96" s="3" t="s">
        <v>86</v>
      </c>
      <c r="E96" s="11">
        <f t="shared" si="18"/>
        <v>29.334722222222222</v>
      </c>
      <c r="F96" s="11">
        <f t="shared" si="19"/>
        <v>-92.012222222222221</v>
      </c>
      <c r="G96" t="s">
        <v>15</v>
      </c>
      <c r="H96" s="12" t="s">
        <v>17</v>
      </c>
      <c r="I96" s="4">
        <v>34151</v>
      </c>
      <c r="J96" t="s">
        <v>20</v>
      </c>
      <c r="K96" s="2">
        <v>20</v>
      </c>
      <c r="M96" s="20" t="s">
        <v>14</v>
      </c>
      <c r="N96" s="20">
        <f>1.17*37*1000</f>
        <v>43290</v>
      </c>
      <c r="O96" s="8">
        <f>1.3*37*1000</f>
        <v>48100</v>
      </c>
      <c r="Z96" t="s">
        <v>359</v>
      </c>
      <c r="AA96" s="9" t="s">
        <v>34</v>
      </c>
    </row>
    <row r="97" spans="1:27" x14ac:dyDescent="0.25">
      <c r="A97">
        <v>101</v>
      </c>
      <c r="B97">
        <v>1</v>
      </c>
      <c r="C97">
        <f t="shared" si="9"/>
        <v>10101</v>
      </c>
      <c r="D97" s="3" t="s">
        <v>86</v>
      </c>
      <c r="E97" s="11">
        <f t="shared" si="18"/>
        <v>29.334722222222222</v>
      </c>
      <c r="F97" s="11">
        <f t="shared" si="19"/>
        <v>-92.012222222222221</v>
      </c>
      <c r="G97" t="s">
        <v>15</v>
      </c>
      <c r="H97" s="12" t="s">
        <v>17</v>
      </c>
      <c r="I97" s="4">
        <v>34151</v>
      </c>
      <c r="J97" t="s">
        <v>20</v>
      </c>
      <c r="K97" s="2">
        <v>50</v>
      </c>
      <c r="M97" s="20" t="s">
        <v>14</v>
      </c>
      <c r="N97" s="20">
        <f>0.63*37*1000</f>
        <v>23310</v>
      </c>
      <c r="O97" s="8">
        <f>0.73*37*1000</f>
        <v>27009.999999999996</v>
      </c>
      <c r="Z97" t="s">
        <v>359</v>
      </c>
      <c r="AA97" s="9" t="s">
        <v>34</v>
      </c>
    </row>
    <row r="98" spans="1:27" x14ac:dyDescent="0.25">
      <c r="A98">
        <v>101</v>
      </c>
      <c r="B98">
        <v>1</v>
      </c>
      <c r="C98">
        <f t="shared" si="9"/>
        <v>10101</v>
      </c>
      <c r="D98" s="3" t="s">
        <v>86</v>
      </c>
      <c r="E98" s="11">
        <f t="shared" si="18"/>
        <v>29.334722222222222</v>
      </c>
      <c r="F98" s="11">
        <f t="shared" si="19"/>
        <v>-92.012222222222221</v>
      </c>
      <c r="G98" t="s">
        <v>15</v>
      </c>
      <c r="H98" s="12" t="s">
        <v>17</v>
      </c>
      <c r="I98" s="4">
        <v>34151</v>
      </c>
      <c r="J98" t="s">
        <v>20</v>
      </c>
      <c r="K98" s="2">
        <v>100</v>
      </c>
      <c r="M98" s="20" t="s">
        <v>14</v>
      </c>
      <c r="N98" s="20">
        <f>0.43*37*1000</f>
        <v>15910</v>
      </c>
      <c r="O98" s="8">
        <f>0.5*37*1000</f>
        <v>18500</v>
      </c>
      <c r="Z98" t="s">
        <v>359</v>
      </c>
      <c r="AA98" s="9" t="s">
        <v>34</v>
      </c>
    </row>
    <row r="99" spans="1:27" x14ac:dyDescent="0.25">
      <c r="A99">
        <v>101</v>
      </c>
      <c r="B99">
        <v>1</v>
      </c>
      <c r="C99">
        <f t="shared" si="9"/>
        <v>10101</v>
      </c>
      <c r="D99" s="3" t="s">
        <v>86</v>
      </c>
      <c r="E99" s="11">
        <f t="shared" si="18"/>
        <v>29.334722222222222</v>
      </c>
      <c r="F99" s="11">
        <f t="shared" si="19"/>
        <v>-92.012222222222221</v>
      </c>
      <c r="G99" t="s">
        <v>15</v>
      </c>
      <c r="H99" s="12" t="s">
        <v>17</v>
      </c>
      <c r="I99" s="4">
        <v>34151</v>
      </c>
      <c r="J99" t="s">
        <v>20</v>
      </c>
      <c r="K99" s="2">
        <v>150</v>
      </c>
      <c r="M99" s="20" t="s">
        <v>14</v>
      </c>
      <c r="N99" s="20" t="s">
        <v>14</v>
      </c>
      <c r="O99" s="8">
        <f>0.7*37*1000</f>
        <v>25900</v>
      </c>
      <c r="Z99" t="s">
        <v>359</v>
      </c>
      <c r="AA99" s="9" t="s">
        <v>34</v>
      </c>
    </row>
    <row r="100" spans="1:27" x14ac:dyDescent="0.25">
      <c r="A100">
        <v>101</v>
      </c>
      <c r="B100">
        <v>1</v>
      </c>
      <c r="C100">
        <f t="shared" si="9"/>
        <v>10101</v>
      </c>
      <c r="D100" s="3" t="s">
        <v>86</v>
      </c>
      <c r="E100" s="11">
        <f t="shared" si="18"/>
        <v>29.334722222222222</v>
      </c>
      <c r="F100" s="11">
        <f t="shared" si="19"/>
        <v>-92.012222222222221</v>
      </c>
      <c r="G100" t="s">
        <v>15</v>
      </c>
      <c r="H100" s="12" t="s">
        <v>17</v>
      </c>
      <c r="I100" s="4">
        <v>34151</v>
      </c>
      <c r="J100" t="s">
        <v>20</v>
      </c>
      <c r="K100" s="2">
        <v>300</v>
      </c>
      <c r="M100" s="20">
        <f>0.5*37*1000</f>
        <v>18500</v>
      </c>
      <c r="N100" s="20" t="s">
        <v>14</v>
      </c>
      <c r="O100" s="8">
        <f>0.93*37*1000</f>
        <v>34410.000000000007</v>
      </c>
      <c r="Z100" t="s">
        <v>359</v>
      </c>
      <c r="AA100" s="9" t="s">
        <v>34</v>
      </c>
    </row>
    <row r="101" spans="1:27" x14ac:dyDescent="0.25">
      <c r="A101">
        <v>101</v>
      </c>
      <c r="B101">
        <v>1</v>
      </c>
      <c r="C101">
        <f t="shared" si="9"/>
        <v>10101</v>
      </c>
      <c r="D101" s="3" t="s">
        <v>86</v>
      </c>
      <c r="E101" s="11">
        <f t="shared" si="18"/>
        <v>29.334722222222222</v>
      </c>
      <c r="F101" s="11">
        <f t="shared" si="19"/>
        <v>-92.012222222222221</v>
      </c>
      <c r="G101" t="s">
        <v>15</v>
      </c>
      <c r="H101" s="12" t="s">
        <v>17</v>
      </c>
      <c r="I101" s="4">
        <v>34151</v>
      </c>
      <c r="J101" t="s">
        <v>20</v>
      </c>
      <c r="K101" s="2">
        <v>2000</v>
      </c>
      <c r="M101" s="20" t="s">
        <v>14</v>
      </c>
      <c r="N101" s="20" t="s">
        <v>14</v>
      </c>
      <c r="O101" s="8">
        <f>1.53*37*1000</f>
        <v>56610</v>
      </c>
      <c r="Z101" t="s">
        <v>359</v>
      </c>
      <c r="AA101" s="9" t="s">
        <v>34</v>
      </c>
    </row>
    <row r="102" spans="1:27" x14ac:dyDescent="0.25">
      <c r="A102">
        <v>101</v>
      </c>
      <c r="B102">
        <v>2</v>
      </c>
      <c r="C102">
        <f t="shared" si="9"/>
        <v>10102</v>
      </c>
      <c r="D102" s="3" t="s">
        <v>86</v>
      </c>
      <c r="E102" s="11">
        <f t="shared" ref="E102:E107" si="20">28+41/60+50/3600</f>
        <v>28.697222222222223</v>
      </c>
      <c r="F102" s="11">
        <f t="shared" ref="F102:F107" si="21">-(92+15/60+45/3600)</f>
        <v>-92.262500000000003</v>
      </c>
      <c r="G102" t="s">
        <v>15</v>
      </c>
      <c r="H102" s="12" t="s">
        <v>17</v>
      </c>
      <c r="I102" s="4">
        <v>34151</v>
      </c>
      <c r="J102" t="s">
        <v>20</v>
      </c>
      <c r="K102" s="2">
        <v>20</v>
      </c>
      <c r="M102" s="20" t="s">
        <v>14</v>
      </c>
      <c r="N102" s="20">
        <f>2.1*37*1000</f>
        <v>77700</v>
      </c>
      <c r="O102" s="8">
        <f>2.27*37*1000</f>
        <v>83990</v>
      </c>
      <c r="Z102" t="s">
        <v>359</v>
      </c>
      <c r="AA102" s="9" t="s">
        <v>34</v>
      </c>
    </row>
    <row r="103" spans="1:27" x14ac:dyDescent="0.25">
      <c r="A103">
        <v>101</v>
      </c>
      <c r="B103">
        <v>2</v>
      </c>
      <c r="C103">
        <f t="shared" si="9"/>
        <v>10102</v>
      </c>
      <c r="D103" s="3" t="s">
        <v>86</v>
      </c>
      <c r="E103" s="11">
        <f t="shared" si="20"/>
        <v>28.697222222222223</v>
      </c>
      <c r="F103" s="11">
        <f t="shared" si="21"/>
        <v>-92.262500000000003</v>
      </c>
      <c r="G103" t="s">
        <v>15</v>
      </c>
      <c r="H103" s="12" t="s">
        <v>17</v>
      </c>
      <c r="I103" s="4">
        <v>34151</v>
      </c>
      <c r="J103" t="s">
        <v>20</v>
      </c>
      <c r="K103" s="2">
        <v>50</v>
      </c>
      <c r="M103" s="20" t="s">
        <v>14</v>
      </c>
      <c r="N103" s="20">
        <f>0.43*37*1000</f>
        <v>15910</v>
      </c>
      <c r="O103" s="8">
        <f>1.57*37*1000</f>
        <v>58090</v>
      </c>
      <c r="Z103" t="s">
        <v>359</v>
      </c>
      <c r="AA103" s="9" t="s">
        <v>34</v>
      </c>
    </row>
    <row r="104" spans="1:27" x14ac:dyDescent="0.25">
      <c r="A104">
        <v>101</v>
      </c>
      <c r="B104">
        <v>2</v>
      </c>
      <c r="C104">
        <f t="shared" si="9"/>
        <v>10102</v>
      </c>
      <c r="D104" s="3" t="s">
        <v>86</v>
      </c>
      <c r="E104" s="11">
        <f t="shared" si="20"/>
        <v>28.697222222222223</v>
      </c>
      <c r="F104" s="11">
        <f t="shared" si="21"/>
        <v>-92.262500000000003</v>
      </c>
      <c r="G104" t="s">
        <v>15</v>
      </c>
      <c r="H104" s="12" t="s">
        <v>17</v>
      </c>
      <c r="I104" s="4">
        <v>34151</v>
      </c>
      <c r="J104" t="s">
        <v>20</v>
      </c>
      <c r="K104" s="2">
        <v>100</v>
      </c>
      <c r="M104" s="20">
        <f>1.9*37*1000</f>
        <v>70300</v>
      </c>
      <c r="N104" s="20">
        <f>0.6*37*1000</f>
        <v>22200</v>
      </c>
      <c r="O104" s="8">
        <f>2.17*37*1000</f>
        <v>80289.999999999985</v>
      </c>
      <c r="Z104" t="s">
        <v>359</v>
      </c>
      <c r="AA104" s="9" t="s">
        <v>34</v>
      </c>
    </row>
    <row r="105" spans="1:27" x14ac:dyDescent="0.25">
      <c r="A105">
        <v>101</v>
      </c>
      <c r="B105">
        <v>2</v>
      </c>
      <c r="C105">
        <f t="shared" si="9"/>
        <v>10102</v>
      </c>
      <c r="D105" s="3" t="s">
        <v>86</v>
      </c>
      <c r="E105" s="11">
        <f t="shared" si="20"/>
        <v>28.697222222222223</v>
      </c>
      <c r="F105" s="11">
        <f t="shared" si="21"/>
        <v>-92.262500000000003</v>
      </c>
      <c r="G105" t="s">
        <v>15</v>
      </c>
      <c r="H105" s="12" t="s">
        <v>17</v>
      </c>
      <c r="I105" s="4">
        <v>34151</v>
      </c>
      <c r="J105" t="s">
        <v>20</v>
      </c>
      <c r="K105" s="2">
        <v>150</v>
      </c>
      <c r="M105" s="20" t="s">
        <v>14</v>
      </c>
      <c r="N105" s="20">
        <f>0.83*37*1000</f>
        <v>30709.999999999996</v>
      </c>
      <c r="O105" s="8">
        <f>2.57*37*1000</f>
        <v>95089.999999999985</v>
      </c>
      <c r="Z105" t="s">
        <v>359</v>
      </c>
      <c r="AA105" s="9" t="s">
        <v>34</v>
      </c>
    </row>
    <row r="106" spans="1:27" x14ac:dyDescent="0.25">
      <c r="A106">
        <v>101</v>
      </c>
      <c r="B106">
        <v>2</v>
      </c>
      <c r="C106">
        <f t="shared" si="9"/>
        <v>10102</v>
      </c>
      <c r="D106" s="3" t="s">
        <v>86</v>
      </c>
      <c r="E106" s="11">
        <f t="shared" si="20"/>
        <v>28.697222222222223</v>
      </c>
      <c r="F106" s="11">
        <f t="shared" si="21"/>
        <v>-92.262500000000003</v>
      </c>
      <c r="G106" t="s">
        <v>15</v>
      </c>
      <c r="H106" s="12" t="s">
        <v>17</v>
      </c>
      <c r="I106" s="4">
        <v>34151</v>
      </c>
      <c r="J106" t="s">
        <v>20</v>
      </c>
      <c r="K106" s="2">
        <v>300</v>
      </c>
      <c r="M106" s="20">
        <f>1.86*37*1000</f>
        <v>68820.000000000015</v>
      </c>
      <c r="N106" s="20">
        <f>0.3*37*1000</f>
        <v>11100</v>
      </c>
      <c r="O106" s="8">
        <f>2.7*37*1000</f>
        <v>99900</v>
      </c>
      <c r="Z106" t="s">
        <v>359</v>
      </c>
      <c r="AA106" s="9" t="s">
        <v>34</v>
      </c>
    </row>
    <row r="107" spans="1:27" x14ac:dyDescent="0.25">
      <c r="A107">
        <v>101</v>
      </c>
      <c r="B107">
        <v>2</v>
      </c>
      <c r="C107">
        <f t="shared" si="9"/>
        <v>10102</v>
      </c>
      <c r="D107" s="3" t="s">
        <v>86</v>
      </c>
      <c r="E107" s="11">
        <f t="shared" si="20"/>
        <v>28.697222222222223</v>
      </c>
      <c r="F107" s="11">
        <f t="shared" si="21"/>
        <v>-92.262500000000003</v>
      </c>
      <c r="G107" t="s">
        <v>15</v>
      </c>
      <c r="H107" s="12" t="s">
        <v>17</v>
      </c>
      <c r="I107" s="4">
        <v>34151</v>
      </c>
      <c r="J107" t="s">
        <v>20</v>
      </c>
      <c r="K107" s="2">
        <v>2000</v>
      </c>
      <c r="M107" s="20" t="s">
        <v>14</v>
      </c>
      <c r="N107" s="20">
        <f>0.37*37*1000</f>
        <v>13690</v>
      </c>
      <c r="O107" s="8">
        <f>3.23*37*1000</f>
        <v>119510</v>
      </c>
      <c r="Z107" t="s">
        <v>359</v>
      </c>
      <c r="AA107" s="9" t="s">
        <v>34</v>
      </c>
    </row>
    <row r="108" spans="1:27" x14ac:dyDescent="0.25">
      <c r="A108">
        <v>101</v>
      </c>
      <c r="B108">
        <v>3</v>
      </c>
      <c r="C108">
        <f t="shared" si="9"/>
        <v>10103</v>
      </c>
      <c r="D108" s="3" t="s">
        <v>86</v>
      </c>
      <c r="E108" s="11">
        <f t="shared" ref="E108:E113" si="22">28+17/60+53/3600</f>
        <v>28.298055555555557</v>
      </c>
      <c r="F108" s="11">
        <f t="shared" ref="F108:F113" si="23">-(92+43/3600)</f>
        <v>-92.011944444444438</v>
      </c>
      <c r="G108" t="s">
        <v>15</v>
      </c>
      <c r="H108" s="12" t="s">
        <v>17</v>
      </c>
      <c r="I108" s="4">
        <v>34151</v>
      </c>
      <c r="J108" t="s">
        <v>20</v>
      </c>
      <c r="K108" s="2">
        <v>20</v>
      </c>
      <c r="M108" s="20">
        <f>0.9*37*1000</f>
        <v>33300.000000000007</v>
      </c>
      <c r="N108" s="20">
        <f>0.83*37*1000</f>
        <v>30709.999999999996</v>
      </c>
      <c r="O108" s="8">
        <f>1.23*37*1000</f>
        <v>45510</v>
      </c>
      <c r="Z108" t="s">
        <v>359</v>
      </c>
      <c r="AA108" s="9" t="s">
        <v>34</v>
      </c>
    </row>
    <row r="109" spans="1:27" x14ac:dyDescent="0.25">
      <c r="A109">
        <v>101</v>
      </c>
      <c r="B109">
        <v>3</v>
      </c>
      <c r="C109">
        <f t="shared" si="9"/>
        <v>10103</v>
      </c>
      <c r="D109" s="3" t="s">
        <v>86</v>
      </c>
      <c r="E109" s="11">
        <f t="shared" si="22"/>
        <v>28.298055555555557</v>
      </c>
      <c r="F109" s="11">
        <f t="shared" si="23"/>
        <v>-92.011944444444438</v>
      </c>
      <c r="G109" t="s">
        <v>15</v>
      </c>
      <c r="H109" s="12" t="s">
        <v>17</v>
      </c>
      <c r="I109" s="4">
        <v>34151</v>
      </c>
      <c r="J109" t="s">
        <v>20</v>
      </c>
      <c r="K109" s="2">
        <v>50</v>
      </c>
      <c r="M109" s="20">
        <f>1.03*37*1000</f>
        <v>38110</v>
      </c>
      <c r="N109" s="20">
        <f>0.67*37*1000</f>
        <v>24790.000000000004</v>
      </c>
      <c r="O109" s="8">
        <f>1.4*37*1000</f>
        <v>51800</v>
      </c>
      <c r="Z109" t="s">
        <v>359</v>
      </c>
      <c r="AA109" s="9" t="s">
        <v>34</v>
      </c>
    </row>
    <row r="110" spans="1:27" x14ac:dyDescent="0.25">
      <c r="A110">
        <v>101</v>
      </c>
      <c r="B110">
        <v>3</v>
      </c>
      <c r="C110">
        <f t="shared" si="9"/>
        <v>10103</v>
      </c>
      <c r="D110" s="3" t="s">
        <v>86</v>
      </c>
      <c r="E110" s="11">
        <f t="shared" si="22"/>
        <v>28.298055555555557</v>
      </c>
      <c r="F110" s="11">
        <f t="shared" si="23"/>
        <v>-92.011944444444438</v>
      </c>
      <c r="G110" t="s">
        <v>15</v>
      </c>
      <c r="H110" s="12" t="s">
        <v>17</v>
      </c>
      <c r="I110" s="4">
        <v>34151</v>
      </c>
      <c r="J110" t="s">
        <v>20</v>
      </c>
      <c r="K110" s="2">
        <v>100</v>
      </c>
      <c r="M110" s="20">
        <f>0.16*37*1000</f>
        <v>5920</v>
      </c>
      <c r="N110" s="20" t="s">
        <v>14</v>
      </c>
      <c r="O110" s="8">
        <f>1.61*37*1000</f>
        <v>59570</v>
      </c>
      <c r="Z110" t="s">
        <v>359</v>
      </c>
      <c r="AA110" s="9" t="s">
        <v>34</v>
      </c>
    </row>
    <row r="111" spans="1:27" x14ac:dyDescent="0.25">
      <c r="A111">
        <v>101</v>
      </c>
      <c r="B111">
        <v>3</v>
      </c>
      <c r="C111">
        <f t="shared" si="9"/>
        <v>10103</v>
      </c>
      <c r="D111" s="3" t="s">
        <v>86</v>
      </c>
      <c r="E111" s="11">
        <f t="shared" si="22"/>
        <v>28.298055555555557</v>
      </c>
      <c r="F111" s="11">
        <f t="shared" si="23"/>
        <v>-92.011944444444438</v>
      </c>
      <c r="G111" t="s">
        <v>15</v>
      </c>
      <c r="H111" s="12" t="s">
        <v>17</v>
      </c>
      <c r="I111" s="4">
        <v>34151</v>
      </c>
      <c r="J111" t="s">
        <v>20</v>
      </c>
      <c r="K111" s="2">
        <v>150</v>
      </c>
      <c r="M111" s="20">
        <f>0.93*37*1000</f>
        <v>34410.000000000007</v>
      </c>
      <c r="N111" s="20">
        <f>0.37*37*1000</f>
        <v>13690</v>
      </c>
      <c r="O111" s="8">
        <f>1.37*37*1000</f>
        <v>50690.000000000007</v>
      </c>
      <c r="Z111" t="s">
        <v>359</v>
      </c>
      <c r="AA111" s="9" t="s">
        <v>34</v>
      </c>
    </row>
    <row r="112" spans="1:27" x14ac:dyDescent="0.25">
      <c r="A112">
        <v>101</v>
      </c>
      <c r="B112">
        <v>3</v>
      </c>
      <c r="C112">
        <f t="shared" si="9"/>
        <v>10103</v>
      </c>
      <c r="D112" s="3" t="s">
        <v>86</v>
      </c>
      <c r="E112" s="11">
        <f t="shared" si="22"/>
        <v>28.298055555555557</v>
      </c>
      <c r="F112" s="11">
        <f t="shared" si="23"/>
        <v>-92.011944444444438</v>
      </c>
      <c r="G112" t="s">
        <v>15</v>
      </c>
      <c r="H112" s="12" t="s">
        <v>17</v>
      </c>
      <c r="I112" s="4">
        <v>34151</v>
      </c>
      <c r="J112" t="s">
        <v>20</v>
      </c>
      <c r="K112" s="2">
        <v>300</v>
      </c>
      <c r="M112" s="20" t="s">
        <v>14</v>
      </c>
      <c r="N112" s="20">
        <f>1.37*37*1000</f>
        <v>50690.000000000007</v>
      </c>
      <c r="O112" s="8">
        <f>3.67*37*1000</f>
        <v>135790</v>
      </c>
      <c r="Z112" t="s">
        <v>359</v>
      </c>
      <c r="AA112" s="9" t="s">
        <v>34</v>
      </c>
    </row>
    <row r="113" spans="1:27" x14ac:dyDescent="0.25">
      <c r="A113">
        <v>101</v>
      </c>
      <c r="B113">
        <v>3</v>
      </c>
      <c r="C113">
        <f t="shared" si="9"/>
        <v>10103</v>
      </c>
      <c r="D113" s="3" t="s">
        <v>86</v>
      </c>
      <c r="E113" s="11">
        <f t="shared" si="22"/>
        <v>28.298055555555557</v>
      </c>
      <c r="F113" s="11">
        <f t="shared" si="23"/>
        <v>-92.011944444444438</v>
      </c>
      <c r="G113" t="s">
        <v>15</v>
      </c>
      <c r="H113" s="12" t="s">
        <v>17</v>
      </c>
      <c r="I113" s="4">
        <v>34151</v>
      </c>
      <c r="J113" t="s">
        <v>20</v>
      </c>
      <c r="K113" s="2">
        <v>2000</v>
      </c>
      <c r="M113" s="20">
        <f>1.32*37*1000</f>
        <v>48840</v>
      </c>
      <c r="N113" s="20">
        <f>1.4*37*1000</f>
        <v>51800</v>
      </c>
      <c r="O113" s="8">
        <f>3.78*37*1000</f>
        <v>139859.99999999997</v>
      </c>
      <c r="Z113" t="s">
        <v>359</v>
      </c>
      <c r="AA113" s="9" t="s">
        <v>34</v>
      </c>
    </row>
    <row r="114" spans="1:27" x14ac:dyDescent="0.25">
      <c r="A114">
        <v>101</v>
      </c>
      <c r="B114">
        <v>4</v>
      </c>
      <c r="C114">
        <f t="shared" si="9"/>
        <v>10104</v>
      </c>
      <c r="D114" s="3" t="s">
        <v>86</v>
      </c>
      <c r="E114" s="11">
        <f t="shared" ref="E114:E119" si="24">27+52/60+5/3600</f>
        <v>27.868055555555557</v>
      </c>
      <c r="F114" s="11">
        <f t="shared" ref="F114:F119" si="25">-(93+59/60+30/3600)</f>
        <v>-93.991666666666674</v>
      </c>
      <c r="G114" t="s">
        <v>15</v>
      </c>
      <c r="H114" s="12" t="s">
        <v>17</v>
      </c>
      <c r="I114" s="4">
        <v>34151</v>
      </c>
      <c r="J114" t="s">
        <v>20</v>
      </c>
      <c r="K114" s="2">
        <v>20</v>
      </c>
      <c r="M114" s="20">
        <f>0.44*37*1000</f>
        <v>16280.000000000002</v>
      </c>
      <c r="N114" s="20">
        <f>0.14*37*1000</f>
        <v>5180.0000000000009</v>
      </c>
      <c r="O114" s="8">
        <f>1.49*37*1000</f>
        <v>55130</v>
      </c>
      <c r="Z114" t="s">
        <v>359</v>
      </c>
      <c r="AA114" s="9" t="s">
        <v>34</v>
      </c>
    </row>
    <row r="115" spans="1:27" x14ac:dyDescent="0.25">
      <c r="A115">
        <v>101</v>
      </c>
      <c r="B115">
        <v>4</v>
      </c>
      <c r="C115">
        <f t="shared" si="9"/>
        <v>10104</v>
      </c>
      <c r="D115" s="3" t="s">
        <v>86</v>
      </c>
      <c r="E115" s="11">
        <f t="shared" si="24"/>
        <v>27.868055555555557</v>
      </c>
      <c r="F115" s="11">
        <f t="shared" si="25"/>
        <v>-93.991666666666674</v>
      </c>
      <c r="G115" t="s">
        <v>15</v>
      </c>
      <c r="H115" s="12" t="s">
        <v>17</v>
      </c>
      <c r="I115" s="4">
        <v>34151</v>
      </c>
      <c r="J115" t="s">
        <v>20</v>
      </c>
      <c r="K115" s="2">
        <v>50</v>
      </c>
      <c r="M115" s="20">
        <f>0.31*37*1000</f>
        <v>11470</v>
      </c>
      <c r="N115" s="20">
        <f>0.1*37*1000</f>
        <v>3700</v>
      </c>
      <c r="O115" s="8">
        <f>1.81*37*1000</f>
        <v>66970</v>
      </c>
      <c r="Z115" t="s">
        <v>359</v>
      </c>
      <c r="AA115" s="9" t="s">
        <v>34</v>
      </c>
    </row>
    <row r="116" spans="1:27" x14ac:dyDescent="0.25">
      <c r="A116">
        <v>101</v>
      </c>
      <c r="B116">
        <v>4</v>
      </c>
      <c r="C116">
        <f t="shared" si="9"/>
        <v>10104</v>
      </c>
      <c r="D116" s="3" t="s">
        <v>86</v>
      </c>
      <c r="E116" s="11">
        <f t="shared" si="24"/>
        <v>27.868055555555557</v>
      </c>
      <c r="F116" s="11">
        <f t="shared" si="25"/>
        <v>-93.991666666666674</v>
      </c>
      <c r="G116" t="s">
        <v>15</v>
      </c>
      <c r="H116" s="12" t="s">
        <v>17</v>
      </c>
      <c r="I116" s="4">
        <v>34151</v>
      </c>
      <c r="J116" t="s">
        <v>20</v>
      </c>
      <c r="K116" s="2">
        <v>100</v>
      </c>
      <c r="M116" s="20" t="s">
        <v>14</v>
      </c>
      <c r="N116" s="20" t="s">
        <v>14</v>
      </c>
      <c r="O116" s="8">
        <f>1.87*37*1000</f>
        <v>69190</v>
      </c>
      <c r="Z116" t="s">
        <v>359</v>
      </c>
      <c r="AA116" s="9" t="s">
        <v>34</v>
      </c>
    </row>
    <row r="117" spans="1:27" x14ac:dyDescent="0.25">
      <c r="A117">
        <v>101</v>
      </c>
      <c r="B117">
        <v>4</v>
      </c>
      <c r="C117">
        <f t="shared" si="9"/>
        <v>10104</v>
      </c>
      <c r="D117" s="3" t="s">
        <v>86</v>
      </c>
      <c r="E117" s="11">
        <f t="shared" si="24"/>
        <v>27.868055555555557</v>
      </c>
      <c r="F117" s="11">
        <f t="shared" si="25"/>
        <v>-93.991666666666674</v>
      </c>
      <c r="G117" t="s">
        <v>15</v>
      </c>
      <c r="H117" s="12" t="s">
        <v>17</v>
      </c>
      <c r="I117" s="4">
        <v>34151</v>
      </c>
      <c r="J117" t="s">
        <v>20</v>
      </c>
      <c r="K117" s="2">
        <v>150</v>
      </c>
      <c r="M117" s="20">
        <f>2.97*37*1000</f>
        <v>109890</v>
      </c>
      <c r="N117" s="20">
        <f>1.03*37*1000</f>
        <v>38110</v>
      </c>
      <c r="O117" s="8">
        <f>2.17*37*1000</f>
        <v>80289.999999999985</v>
      </c>
      <c r="Z117" t="s">
        <v>359</v>
      </c>
      <c r="AA117" s="9" t="s">
        <v>34</v>
      </c>
    </row>
    <row r="118" spans="1:27" x14ac:dyDescent="0.25">
      <c r="A118">
        <v>101</v>
      </c>
      <c r="B118">
        <v>4</v>
      </c>
      <c r="C118">
        <f t="shared" si="9"/>
        <v>10104</v>
      </c>
      <c r="D118" s="3" t="s">
        <v>86</v>
      </c>
      <c r="E118" s="11">
        <f t="shared" si="24"/>
        <v>27.868055555555557</v>
      </c>
      <c r="F118" s="11">
        <f t="shared" si="25"/>
        <v>-93.991666666666674</v>
      </c>
      <c r="G118" t="s">
        <v>15</v>
      </c>
      <c r="H118" s="12" t="s">
        <v>17</v>
      </c>
      <c r="I118" s="4">
        <v>34151</v>
      </c>
      <c r="J118" t="s">
        <v>20</v>
      </c>
      <c r="K118" s="2">
        <v>300</v>
      </c>
      <c r="M118" s="20" t="s">
        <v>14</v>
      </c>
      <c r="N118" s="20" t="s">
        <v>14</v>
      </c>
      <c r="O118" s="8">
        <f>3.27*37*1000</f>
        <v>120990</v>
      </c>
      <c r="Z118" t="s">
        <v>359</v>
      </c>
      <c r="AA118" s="9" t="s">
        <v>34</v>
      </c>
    </row>
    <row r="119" spans="1:27" x14ac:dyDescent="0.25">
      <c r="A119">
        <v>101</v>
      </c>
      <c r="B119">
        <v>4</v>
      </c>
      <c r="C119">
        <f t="shared" si="9"/>
        <v>10104</v>
      </c>
      <c r="D119" s="3" t="s">
        <v>86</v>
      </c>
      <c r="E119" s="11">
        <f t="shared" si="24"/>
        <v>27.868055555555557</v>
      </c>
      <c r="F119" s="11">
        <f t="shared" si="25"/>
        <v>-93.991666666666674</v>
      </c>
      <c r="G119" t="s">
        <v>15</v>
      </c>
      <c r="H119" s="12" t="s">
        <v>17</v>
      </c>
      <c r="I119" s="4">
        <v>34151</v>
      </c>
      <c r="J119" t="s">
        <v>20</v>
      </c>
      <c r="K119" s="2">
        <v>2000</v>
      </c>
      <c r="M119" s="20" t="s">
        <v>14</v>
      </c>
      <c r="N119" s="20">
        <f>1.43*37*1000</f>
        <v>52910</v>
      </c>
      <c r="O119" s="8">
        <f>3.97*37*1000</f>
        <v>146890.00000000003</v>
      </c>
      <c r="Z119" t="s">
        <v>359</v>
      </c>
      <c r="AA119" s="9" t="s">
        <v>34</v>
      </c>
    </row>
    <row r="120" spans="1:27" x14ac:dyDescent="0.25">
      <c r="A120">
        <v>101</v>
      </c>
      <c r="B120">
        <v>9</v>
      </c>
      <c r="C120">
        <f t="shared" si="9"/>
        <v>10109</v>
      </c>
      <c r="D120" s="3" t="s">
        <v>86</v>
      </c>
      <c r="E120" s="11">
        <f>28+36/60+17/3600</f>
        <v>28.604722222222225</v>
      </c>
      <c r="F120" s="11">
        <f>-93-24/60-58/3600</f>
        <v>-93.416111111111121</v>
      </c>
      <c r="G120" t="s">
        <v>15</v>
      </c>
      <c r="H120" s="12" t="s">
        <v>17</v>
      </c>
      <c r="I120" s="4">
        <v>34151</v>
      </c>
      <c r="J120" t="s">
        <v>20</v>
      </c>
      <c r="K120" s="2">
        <v>0</v>
      </c>
      <c r="M120" s="20" t="s">
        <v>14</v>
      </c>
      <c r="N120" s="20">
        <f>0.77*37*1000</f>
        <v>28490.000000000004</v>
      </c>
      <c r="O120" s="8">
        <f>2.27*37*1000</f>
        <v>83990</v>
      </c>
      <c r="Z120" t="s">
        <v>359</v>
      </c>
      <c r="AA120" s="9" t="s">
        <v>34</v>
      </c>
    </row>
    <row r="121" spans="1:27" x14ac:dyDescent="0.25">
      <c r="A121">
        <v>101</v>
      </c>
      <c r="B121">
        <v>11</v>
      </c>
      <c r="C121">
        <f t="shared" si="9"/>
        <v>10111</v>
      </c>
      <c r="D121" s="3" t="s">
        <v>86</v>
      </c>
      <c r="E121" s="11">
        <f>27+59/60+8/3600</f>
        <v>27.985555555555557</v>
      </c>
      <c r="F121" s="11">
        <f>-92-2/60-53/3600</f>
        <v>-92.04805555555555</v>
      </c>
      <c r="G121" t="s">
        <v>15</v>
      </c>
      <c r="H121" s="12" t="s">
        <v>17</v>
      </c>
      <c r="I121" s="4">
        <v>34151</v>
      </c>
      <c r="J121" t="s">
        <v>20</v>
      </c>
      <c r="K121" s="2">
        <v>0</v>
      </c>
      <c r="M121" s="20" t="s">
        <v>14</v>
      </c>
      <c r="N121" s="20">
        <f>1*37*1000</f>
        <v>37000</v>
      </c>
      <c r="O121" s="8">
        <f>3.15*37*1000</f>
        <v>116550</v>
      </c>
      <c r="Z121" t="s">
        <v>359</v>
      </c>
      <c r="AA121" s="9" t="s">
        <v>34</v>
      </c>
    </row>
    <row r="122" spans="1:27" x14ac:dyDescent="0.25">
      <c r="A122">
        <v>101</v>
      </c>
      <c r="B122">
        <v>12</v>
      </c>
      <c r="C122">
        <f t="shared" si="9"/>
        <v>10112</v>
      </c>
      <c r="D122" s="3" t="s">
        <v>86</v>
      </c>
      <c r="E122" s="11">
        <f>28+5/3600</f>
        <v>28.00138888888889</v>
      </c>
      <c r="F122" s="11">
        <f>-95-14/60-18/3600</f>
        <v>-95.23833333333333</v>
      </c>
      <c r="G122" t="s">
        <v>15</v>
      </c>
      <c r="H122" s="12" t="s">
        <v>17</v>
      </c>
      <c r="I122" s="4">
        <v>34151</v>
      </c>
      <c r="J122" t="s">
        <v>20</v>
      </c>
      <c r="K122" s="2">
        <v>0</v>
      </c>
      <c r="M122" s="20" t="s">
        <v>14</v>
      </c>
      <c r="N122" s="20">
        <f>0.93*37*1000</f>
        <v>34410.000000000007</v>
      </c>
      <c r="O122" s="8">
        <f>2.4*37*1000</f>
        <v>88800</v>
      </c>
      <c r="Z122" t="s">
        <v>359</v>
      </c>
      <c r="AA122" s="9" t="s">
        <v>34</v>
      </c>
    </row>
    <row r="123" spans="1:27" x14ac:dyDescent="0.25">
      <c r="A123">
        <v>101</v>
      </c>
      <c r="B123">
        <v>10</v>
      </c>
      <c r="C123">
        <f t="shared" si="9"/>
        <v>10110</v>
      </c>
      <c r="D123" s="3" t="s">
        <v>86</v>
      </c>
      <c r="E123" s="11">
        <f>28+20/60+24/3600</f>
        <v>28.34</v>
      </c>
      <c r="F123" s="11">
        <f>-94-59/60</f>
        <v>-94.983333333333334</v>
      </c>
      <c r="G123" t="s">
        <v>15</v>
      </c>
      <c r="H123" s="12" t="s">
        <v>17</v>
      </c>
      <c r="I123" s="4">
        <v>34151</v>
      </c>
      <c r="J123" t="s">
        <v>20</v>
      </c>
      <c r="K123" s="2">
        <v>0</v>
      </c>
      <c r="M123" s="20" t="s">
        <v>14</v>
      </c>
      <c r="N123" s="20" t="s">
        <v>14</v>
      </c>
      <c r="O123" s="8">
        <f>4.53*37*1000</f>
        <v>167610</v>
      </c>
      <c r="Z123" t="s">
        <v>359</v>
      </c>
      <c r="AA123" s="9" t="s">
        <v>34</v>
      </c>
    </row>
    <row r="124" spans="1:27" x14ac:dyDescent="0.25">
      <c r="A124">
        <v>101</v>
      </c>
      <c r="B124">
        <v>1</v>
      </c>
      <c r="C124">
        <f t="shared" si="9"/>
        <v>10101</v>
      </c>
      <c r="D124" s="3" t="s">
        <v>86</v>
      </c>
      <c r="E124" s="11">
        <f>29+20/60+5/3600</f>
        <v>29.334722222222222</v>
      </c>
      <c r="F124" s="11">
        <f>-(92+44/3600)</f>
        <v>-92.012222222222221</v>
      </c>
      <c r="G124" t="s">
        <v>15</v>
      </c>
      <c r="H124" s="12" t="s">
        <v>17</v>
      </c>
      <c r="I124" s="4">
        <v>34151</v>
      </c>
      <c r="J124" t="s">
        <v>23</v>
      </c>
      <c r="K124" s="2">
        <v>0</v>
      </c>
      <c r="M124" s="20">
        <f>(0+0+1.7+2.1+0)/5*37</f>
        <v>28.12</v>
      </c>
      <c r="N124" s="20" t="s">
        <v>14</v>
      </c>
      <c r="O124" s="8">
        <f>(0+0+4.1+4.6+0)/5*37</f>
        <v>64.38</v>
      </c>
      <c r="Z124" t="s">
        <v>359</v>
      </c>
      <c r="AA124" t="s">
        <v>35</v>
      </c>
    </row>
    <row r="125" spans="1:27" x14ac:dyDescent="0.25">
      <c r="A125">
        <v>101</v>
      </c>
      <c r="B125">
        <v>1</v>
      </c>
      <c r="C125">
        <f t="shared" si="9"/>
        <v>10101</v>
      </c>
      <c r="D125" s="3" t="s">
        <v>86</v>
      </c>
      <c r="E125" s="11">
        <f>29+20/60+5/3600</f>
        <v>29.334722222222222</v>
      </c>
      <c r="F125" s="11">
        <f>-(92+44/3600)</f>
        <v>-92.012222222222221</v>
      </c>
      <c r="G125" t="s">
        <v>15</v>
      </c>
      <c r="H125" s="12" t="s">
        <v>17</v>
      </c>
      <c r="I125" s="4">
        <v>34151</v>
      </c>
      <c r="J125" t="s">
        <v>23</v>
      </c>
      <c r="K125" s="2">
        <v>20</v>
      </c>
      <c r="M125" s="20">
        <f>(0+2.2+1.5+1.9+3.3)/5*37</f>
        <v>65.86</v>
      </c>
      <c r="N125" s="20">
        <f>(7+0+17.5+0+7.4)/5*37</f>
        <v>236.06</v>
      </c>
      <c r="O125" s="8">
        <f>(0+9.7+0+4.4+0)/5*37</f>
        <v>104.33999999999999</v>
      </c>
      <c r="Z125" t="s">
        <v>359</v>
      </c>
      <c r="AA125" t="s">
        <v>35</v>
      </c>
    </row>
    <row r="126" spans="1:27" x14ac:dyDescent="0.25">
      <c r="A126">
        <v>101</v>
      </c>
      <c r="B126">
        <v>1</v>
      </c>
      <c r="C126">
        <f t="shared" si="9"/>
        <v>10101</v>
      </c>
      <c r="D126" s="3" t="s">
        <v>86</v>
      </c>
      <c r="E126" s="11">
        <f>29+20/60+5/3600</f>
        <v>29.334722222222222</v>
      </c>
      <c r="F126" s="11">
        <f>-(92+44/3600)</f>
        <v>-92.012222222222221</v>
      </c>
      <c r="G126" t="s">
        <v>15</v>
      </c>
      <c r="H126" s="12" t="s">
        <v>17</v>
      </c>
      <c r="I126" s="4">
        <v>34151</v>
      </c>
      <c r="J126" t="s">
        <v>23</v>
      </c>
      <c r="K126" s="2">
        <v>2000</v>
      </c>
      <c r="M126" s="20" t="s">
        <v>14</v>
      </c>
      <c r="N126" s="20">
        <f>(6.1+0+7)/3*37</f>
        <v>161.56666666666666</v>
      </c>
      <c r="O126" s="8" t="s">
        <v>14</v>
      </c>
      <c r="Z126" t="s">
        <v>359</v>
      </c>
      <c r="AA126" t="s">
        <v>35</v>
      </c>
    </row>
    <row r="127" spans="1:27" x14ac:dyDescent="0.25">
      <c r="A127">
        <v>101</v>
      </c>
      <c r="B127">
        <v>2</v>
      </c>
      <c r="C127">
        <f t="shared" si="9"/>
        <v>10102</v>
      </c>
      <c r="D127" s="3" t="s">
        <v>86</v>
      </c>
      <c r="E127" s="11">
        <f>28+41/60+50/3600</f>
        <v>28.697222222222223</v>
      </c>
      <c r="F127" s="11">
        <f>-(92+15/60+45/3600)</f>
        <v>-92.262500000000003</v>
      </c>
      <c r="G127" t="s">
        <v>15</v>
      </c>
      <c r="H127" s="12" t="s">
        <v>17</v>
      </c>
      <c r="I127" s="4">
        <v>34151</v>
      </c>
      <c r="J127" t="s">
        <v>23</v>
      </c>
      <c r="K127" s="2">
        <v>20</v>
      </c>
      <c r="M127" s="20">
        <f>(1.7+0+2.4)/3*37</f>
        <v>50.566666666666663</v>
      </c>
      <c r="N127" s="20">
        <f>(13.5+15+11.2)/3*37</f>
        <v>489.63333333333338</v>
      </c>
      <c r="O127" s="8" t="s">
        <v>14</v>
      </c>
      <c r="Z127" t="s">
        <v>359</v>
      </c>
      <c r="AA127" t="s">
        <v>35</v>
      </c>
    </row>
    <row r="128" spans="1:27" x14ac:dyDescent="0.25">
      <c r="A128">
        <v>101</v>
      </c>
      <c r="B128">
        <v>2</v>
      </c>
      <c r="C128">
        <f t="shared" si="9"/>
        <v>10102</v>
      </c>
      <c r="D128" s="3" t="s">
        <v>86</v>
      </c>
      <c r="E128" s="11">
        <f>28+41/60+50/3600</f>
        <v>28.697222222222223</v>
      </c>
      <c r="F128" s="11">
        <f>-(92+15/60+45/3600)</f>
        <v>-92.262500000000003</v>
      </c>
      <c r="G128" t="s">
        <v>15</v>
      </c>
      <c r="H128" s="12" t="s">
        <v>17</v>
      </c>
      <c r="I128" s="4">
        <v>34151</v>
      </c>
      <c r="J128" t="s">
        <v>23</v>
      </c>
      <c r="K128" s="2">
        <v>2000</v>
      </c>
      <c r="M128" s="20" t="s">
        <v>14</v>
      </c>
      <c r="N128" s="20">
        <f>(0+6.1+0)/3*37</f>
        <v>75.233333333333334</v>
      </c>
      <c r="O128" s="8" t="s">
        <v>14</v>
      </c>
      <c r="Z128" t="s">
        <v>359</v>
      </c>
      <c r="AA128" t="s">
        <v>35</v>
      </c>
    </row>
    <row r="129" spans="1:27" x14ac:dyDescent="0.25">
      <c r="A129">
        <v>101</v>
      </c>
      <c r="B129">
        <v>3</v>
      </c>
      <c r="C129">
        <f t="shared" si="9"/>
        <v>10103</v>
      </c>
      <c r="D129" s="3" t="s">
        <v>86</v>
      </c>
      <c r="E129" s="11">
        <f>28+17/60+53/3600</f>
        <v>28.298055555555557</v>
      </c>
      <c r="F129" s="11">
        <f>-(92+43/3600)</f>
        <v>-92.011944444444438</v>
      </c>
      <c r="G129" t="s">
        <v>15</v>
      </c>
      <c r="H129" s="12" t="s">
        <v>17</v>
      </c>
      <c r="I129" s="4">
        <v>34151</v>
      </c>
      <c r="J129" t="s">
        <v>23</v>
      </c>
      <c r="K129" s="2">
        <v>50</v>
      </c>
      <c r="M129" s="20">
        <f>(0+1.4+1.4+1.2+2.7+1.3)/6*37</f>
        <v>49.333333333333329</v>
      </c>
      <c r="N129" s="20" t="s">
        <v>14</v>
      </c>
      <c r="O129" s="8">
        <f>(6.8+13.4+6.1+9.5+12.3+9.6)/6*37</f>
        <v>355.81666666666661</v>
      </c>
      <c r="Z129" t="s">
        <v>359</v>
      </c>
      <c r="AA129" t="s">
        <v>35</v>
      </c>
    </row>
    <row r="130" spans="1:27" x14ac:dyDescent="0.25">
      <c r="A130">
        <v>101</v>
      </c>
      <c r="B130">
        <v>3</v>
      </c>
      <c r="C130">
        <f t="shared" si="9"/>
        <v>10103</v>
      </c>
      <c r="D130" s="3" t="s">
        <v>86</v>
      </c>
      <c r="E130" s="11">
        <f>28+17/60+53/3600</f>
        <v>28.298055555555557</v>
      </c>
      <c r="F130" s="11">
        <f>-(92+43/3600)</f>
        <v>-92.011944444444438</v>
      </c>
      <c r="G130" t="s">
        <v>15</v>
      </c>
      <c r="H130" s="12" t="s">
        <v>17</v>
      </c>
      <c r="I130" s="4">
        <v>34151</v>
      </c>
      <c r="J130" t="s">
        <v>23</v>
      </c>
      <c r="K130" s="2">
        <v>2000</v>
      </c>
      <c r="M130" s="20">
        <f>(1.8+1.5+1.1+0.9+0+0.8)/6*37</f>
        <v>37.616666666666674</v>
      </c>
      <c r="N130" s="20">
        <f>(12.3+12.2+0+0+0+0)/6*37</f>
        <v>151.08333333333331</v>
      </c>
      <c r="O130" s="8">
        <f>(7.3+8.3+4.9+4.7+6.4+4.5)/6*37</f>
        <v>222.61666666666667</v>
      </c>
      <c r="Z130" t="s">
        <v>359</v>
      </c>
      <c r="AA130" t="s">
        <v>35</v>
      </c>
    </row>
    <row r="131" spans="1:27" x14ac:dyDescent="0.25">
      <c r="A131">
        <v>101</v>
      </c>
      <c r="B131">
        <v>4</v>
      </c>
      <c r="C131">
        <f t="shared" ref="C131:C194" si="26">A131*100+B131</f>
        <v>10104</v>
      </c>
      <c r="D131" s="3" t="s">
        <v>86</v>
      </c>
      <c r="E131" s="11">
        <f>27+52/60+5/3600</f>
        <v>27.868055555555557</v>
      </c>
      <c r="F131" s="11">
        <f>-(93+59/60+30/3600)</f>
        <v>-93.991666666666674</v>
      </c>
      <c r="G131" t="s">
        <v>15</v>
      </c>
      <c r="H131" s="12" t="s">
        <v>17</v>
      </c>
      <c r="I131" s="4">
        <v>34151</v>
      </c>
      <c r="J131" t="s">
        <v>23</v>
      </c>
      <c r="K131" s="2">
        <v>60</v>
      </c>
      <c r="M131" s="20" t="s">
        <v>14</v>
      </c>
      <c r="N131" s="20" t="s">
        <v>14</v>
      </c>
      <c r="O131" s="8" t="s">
        <v>14</v>
      </c>
      <c r="Z131" t="s">
        <v>359</v>
      </c>
      <c r="AA131" t="s">
        <v>35</v>
      </c>
    </row>
    <row r="132" spans="1:27" x14ac:dyDescent="0.25">
      <c r="A132">
        <v>101</v>
      </c>
      <c r="B132">
        <v>4</v>
      </c>
      <c r="C132">
        <f t="shared" si="26"/>
        <v>10104</v>
      </c>
      <c r="D132" s="3" t="s">
        <v>86</v>
      </c>
      <c r="E132" s="11">
        <f>27+52/60+5/3600</f>
        <v>27.868055555555557</v>
      </c>
      <c r="F132" s="11">
        <f>-(93+59/60+30/3600)</f>
        <v>-93.991666666666674</v>
      </c>
      <c r="G132" t="s">
        <v>15</v>
      </c>
      <c r="H132" s="12" t="s">
        <v>17</v>
      </c>
      <c r="I132" s="4">
        <v>34151</v>
      </c>
      <c r="J132" t="s">
        <v>23</v>
      </c>
      <c r="K132" s="2">
        <v>2000</v>
      </c>
      <c r="M132" s="20">
        <f>(0+0.7+2.3)/3*37</f>
        <v>37</v>
      </c>
      <c r="N132" s="20" t="s">
        <v>14</v>
      </c>
      <c r="O132" s="8">
        <f>(10.3+6.2+0)/3*37</f>
        <v>203.5</v>
      </c>
      <c r="Z132" t="s">
        <v>359</v>
      </c>
      <c r="AA132" t="s">
        <v>35</v>
      </c>
    </row>
    <row r="133" spans="1:27" x14ac:dyDescent="0.25">
      <c r="A133">
        <v>101</v>
      </c>
      <c r="B133">
        <v>13</v>
      </c>
      <c r="C133">
        <f t="shared" si="26"/>
        <v>10113</v>
      </c>
      <c r="D133" s="3" t="s">
        <v>86</v>
      </c>
      <c r="E133" s="11">
        <f>29+20/60+55/3600</f>
        <v>29.348611111111111</v>
      </c>
      <c r="F133" s="11">
        <f>-(91+59/60+19/3600)</f>
        <v>-91.988611111111112</v>
      </c>
      <c r="G133" t="s">
        <v>15</v>
      </c>
      <c r="H133" s="12" t="s">
        <v>17</v>
      </c>
      <c r="I133" s="4">
        <v>34151</v>
      </c>
      <c r="J133" t="s">
        <v>24</v>
      </c>
      <c r="K133" s="2">
        <v>0</v>
      </c>
      <c r="M133" s="20">
        <f>0.0308*37*1000</f>
        <v>1139.5999999999999</v>
      </c>
      <c r="N133" s="20">
        <f>0.0367*37*1000</f>
        <v>1357.9</v>
      </c>
      <c r="O133" s="8">
        <f>(0.035+0.035+0+0.017+0+0.033)/6</f>
        <v>0.02</v>
      </c>
      <c r="Z133" t="s">
        <v>359</v>
      </c>
      <c r="AA133" t="s">
        <v>36</v>
      </c>
    </row>
    <row r="134" spans="1:27" x14ac:dyDescent="0.25">
      <c r="A134">
        <v>101</v>
      </c>
      <c r="B134">
        <v>1</v>
      </c>
      <c r="C134">
        <f t="shared" si="26"/>
        <v>10101</v>
      </c>
      <c r="D134" s="3" t="s">
        <v>86</v>
      </c>
      <c r="E134" s="11">
        <f>29+20/60+5/3600</f>
        <v>29.334722222222222</v>
      </c>
      <c r="F134" s="11">
        <f>-(92+44/3600)</f>
        <v>-92.012222222222221</v>
      </c>
      <c r="G134" t="s">
        <v>15</v>
      </c>
      <c r="H134" s="12" t="s">
        <v>17</v>
      </c>
      <c r="I134" s="4">
        <v>34151</v>
      </c>
      <c r="J134" t="s">
        <v>24</v>
      </c>
      <c r="K134" s="2">
        <v>0</v>
      </c>
      <c r="M134" s="20">
        <f>0.0115*37*1000</f>
        <v>425.5</v>
      </c>
      <c r="N134" s="20">
        <f>0.0163*37*1000</f>
        <v>603.1</v>
      </c>
      <c r="O134" s="8">
        <f>(0.024+0.024+0+0.022+0+0.014+0+0.01)/8</f>
        <v>1.175E-2</v>
      </c>
      <c r="R134" s="3"/>
      <c r="Z134" t="s">
        <v>359</v>
      </c>
      <c r="AA134" t="s">
        <v>36</v>
      </c>
    </row>
    <row r="135" spans="1:27" x14ac:dyDescent="0.25">
      <c r="A135">
        <v>101</v>
      </c>
      <c r="B135">
        <v>15</v>
      </c>
      <c r="C135">
        <f t="shared" si="26"/>
        <v>10115</v>
      </c>
      <c r="D135" s="3" t="s">
        <v>86</v>
      </c>
      <c r="E135" s="11">
        <v>28.540400000000002</v>
      </c>
      <c r="F135" s="11">
        <v>-93.851399999999998</v>
      </c>
      <c r="G135" t="s">
        <v>15</v>
      </c>
      <c r="H135" s="12" t="s">
        <v>17</v>
      </c>
      <c r="I135" s="4">
        <v>34151</v>
      </c>
      <c r="J135" t="s">
        <v>24</v>
      </c>
      <c r="K135" s="2">
        <v>0</v>
      </c>
      <c r="M135" s="20">
        <f>0.365*37*1000</f>
        <v>13504.999999999998</v>
      </c>
      <c r="N135" s="20" t="s">
        <v>14</v>
      </c>
      <c r="O135" s="8">
        <v>0.21099999999999999</v>
      </c>
      <c r="Z135" t="s">
        <v>359</v>
      </c>
      <c r="AA135" t="s">
        <v>37</v>
      </c>
    </row>
    <row r="136" spans="1:27" x14ac:dyDescent="0.25">
      <c r="A136">
        <v>101</v>
      </c>
      <c r="B136">
        <v>14</v>
      </c>
      <c r="C136">
        <f t="shared" si="26"/>
        <v>10114</v>
      </c>
      <c r="D136" s="3" t="s">
        <v>86</v>
      </c>
      <c r="E136" s="11">
        <f>28+19/60+51/3600</f>
        <v>28.330833333333334</v>
      </c>
      <c r="F136" s="11">
        <f>-(97+27/60+42/3600)</f>
        <v>-97.461666666666673</v>
      </c>
      <c r="G136" t="s">
        <v>15</v>
      </c>
      <c r="H136" s="12" t="s">
        <v>17</v>
      </c>
      <c r="I136" s="4">
        <v>34151</v>
      </c>
      <c r="J136" t="s">
        <v>24</v>
      </c>
      <c r="K136" s="2">
        <v>0</v>
      </c>
      <c r="M136" s="20">
        <f>0.024*37*1000</f>
        <v>888</v>
      </c>
      <c r="N136" s="20">
        <f>0.0435*37*1000</f>
        <v>1609.5</v>
      </c>
      <c r="O136" s="8">
        <f>(0.008+0.048+0+0.034+0.041+0.104)/6</f>
        <v>3.9166666666666662E-2</v>
      </c>
      <c r="Z136" t="s">
        <v>359</v>
      </c>
      <c r="AA136" t="s">
        <v>36</v>
      </c>
    </row>
    <row r="137" spans="1:27" x14ac:dyDescent="0.25">
      <c r="A137">
        <v>101</v>
      </c>
      <c r="B137">
        <v>2</v>
      </c>
      <c r="C137">
        <f t="shared" si="26"/>
        <v>10102</v>
      </c>
      <c r="D137" s="3" t="s">
        <v>86</v>
      </c>
      <c r="E137" s="11">
        <f>28+41/60+50/3600</f>
        <v>28.697222222222223</v>
      </c>
      <c r="F137" s="11">
        <f>-(92+15/60+45/3600)</f>
        <v>-92.262500000000003</v>
      </c>
      <c r="G137" t="s">
        <v>15</v>
      </c>
      <c r="H137" s="12" t="s">
        <v>17</v>
      </c>
      <c r="I137" s="4">
        <v>34151</v>
      </c>
      <c r="J137" t="s">
        <v>24</v>
      </c>
      <c r="K137" s="2">
        <v>0</v>
      </c>
      <c r="M137" s="20">
        <f>0.0268*37*1000</f>
        <v>991.6</v>
      </c>
      <c r="N137" s="20">
        <f>0.0317*37*1000</f>
        <v>1172.9000000000001</v>
      </c>
      <c r="O137" s="8">
        <f>(0.075+0.075+0+0.035+0+0.075)/6</f>
        <v>4.3333333333333335E-2</v>
      </c>
      <c r="Z137" t="s">
        <v>359</v>
      </c>
      <c r="AA137" t="s">
        <v>36</v>
      </c>
    </row>
    <row r="138" spans="1:27" x14ac:dyDescent="0.25">
      <c r="A138">
        <v>101</v>
      </c>
      <c r="B138">
        <v>3</v>
      </c>
      <c r="C138">
        <f t="shared" si="26"/>
        <v>10103</v>
      </c>
      <c r="D138" s="3" t="s">
        <v>86</v>
      </c>
      <c r="E138" s="11">
        <f>28+17/60+53/3600</f>
        <v>28.298055555555557</v>
      </c>
      <c r="F138" s="11">
        <f>-(92+43/3600)</f>
        <v>-92.011944444444438</v>
      </c>
      <c r="G138" t="s">
        <v>15</v>
      </c>
      <c r="H138" s="12" t="s">
        <v>17</v>
      </c>
      <c r="I138" s="4">
        <v>34151</v>
      </c>
      <c r="J138" t="s">
        <v>24</v>
      </c>
      <c r="K138" s="2">
        <v>0</v>
      </c>
      <c r="M138" s="20">
        <f>0.0195*37*1000</f>
        <v>721.5</v>
      </c>
      <c r="N138" s="20">
        <f>0.02675*37*1000</f>
        <v>989.75</v>
      </c>
      <c r="O138" s="8">
        <f>(0.281+0.281+0+0.055+0+0.053+0+0)/8</f>
        <v>8.3750000000000019E-2</v>
      </c>
      <c r="Z138" t="s">
        <v>359</v>
      </c>
      <c r="AA138" t="s">
        <v>36</v>
      </c>
    </row>
    <row r="139" spans="1:27" x14ac:dyDescent="0.25">
      <c r="A139">
        <v>101</v>
      </c>
      <c r="B139">
        <v>4</v>
      </c>
      <c r="C139">
        <f t="shared" si="26"/>
        <v>10104</v>
      </c>
      <c r="D139" s="3" t="s">
        <v>86</v>
      </c>
      <c r="E139" s="11">
        <f>27+52/60+5/3600</f>
        <v>27.868055555555557</v>
      </c>
      <c r="F139" s="11">
        <f>-(93+59/60+30/3600)</f>
        <v>-93.991666666666674</v>
      </c>
      <c r="G139" t="s">
        <v>15</v>
      </c>
      <c r="H139" s="12" t="s">
        <v>17</v>
      </c>
      <c r="I139" s="4">
        <v>34151</v>
      </c>
      <c r="J139" t="s">
        <v>24</v>
      </c>
      <c r="K139" s="2">
        <v>0</v>
      </c>
      <c r="M139" s="20">
        <f>0.118*37*1000</f>
        <v>4366</v>
      </c>
      <c r="N139" s="20">
        <f>0.061*37*1000</f>
        <v>2257</v>
      </c>
      <c r="O139" s="8">
        <v>0.41599999999999998</v>
      </c>
      <c r="Z139" t="s">
        <v>359</v>
      </c>
      <c r="AA139" t="s">
        <v>36</v>
      </c>
    </row>
    <row r="140" spans="1:27" x14ac:dyDescent="0.25">
      <c r="A140">
        <v>101</v>
      </c>
      <c r="B140">
        <v>5</v>
      </c>
      <c r="C140">
        <f t="shared" si="26"/>
        <v>10105</v>
      </c>
      <c r="D140" s="3" t="s">
        <v>86</v>
      </c>
      <c r="E140" s="11">
        <f>27+53/60+44/3600</f>
        <v>27.895555555555553</v>
      </c>
      <c r="F140" s="11">
        <f>-(96+25/60+41/3600)</f>
        <v>-96.428055555555559</v>
      </c>
      <c r="G140" t="s">
        <v>15</v>
      </c>
      <c r="H140" s="12" t="s">
        <v>17</v>
      </c>
      <c r="I140" s="4">
        <v>34151</v>
      </c>
      <c r="J140" t="s">
        <v>24</v>
      </c>
      <c r="K140" s="2">
        <v>0</v>
      </c>
      <c r="M140" s="20">
        <f>0.0202*37*1000</f>
        <v>747.4</v>
      </c>
      <c r="N140" s="20">
        <f>0.0423*37*1000</f>
        <v>1565.1</v>
      </c>
      <c r="O140" s="8">
        <f>(0.043+0.043+0.01+0.058+0+0)/6</f>
        <v>2.5666666666666667E-2</v>
      </c>
      <c r="Z140" t="s">
        <v>359</v>
      </c>
      <c r="AA140" t="s">
        <v>36</v>
      </c>
    </row>
    <row r="141" spans="1:27" x14ac:dyDescent="0.25">
      <c r="A141">
        <v>101</v>
      </c>
      <c r="B141">
        <v>6</v>
      </c>
      <c r="C141">
        <f t="shared" si="26"/>
        <v>10106</v>
      </c>
      <c r="D141" s="3" t="s">
        <v>86</v>
      </c>
      <c r="E141" s="11">
        <f>28+10/60+3/3600</f>
        <v>28.1675</v>
      </c>
      <c r="F141" s="11">
        <f>-93-46/60-4/3600</f>
        <v>-93.767777777777781</v>
      </c>
      <c r="G141" t="s">
        <v>15</v>
      </c>
      <c r="H141" s="12" t="s">
        <v>17</v>
      </c>
      <c r="I141" s="4">
        <v>34151</v>
      </c>
      <c r="J141" t="s">
        <v>24</v>
      </c>
      <c r="K141" s="2">
        <v>0</v>
      </c>
      <c r="M141" s="20">
        <f>0.0403*37*1000</f>
        <v>1491.1000000000001</v>
      </c>
      <c r="N141" s="20">
        <f>0.043*37*1000</f>
        <v>1591</v>
      </c>
      <c r="O141" s="8">
        <f>(0.188+0.188+0.029+0.041+0+0.059)/6</f>
        <v>8.4166666666666667E-2</v>
      </c>
      <c r="Z141" t="s">
        <v>359</v>
      </c>
      <c r="AA141" t="s">
        <v>36</v>
      </c>
    </row>
    <row r="142" spans="1:27" x14ac:dyDescent="0.25">
      <c r="A142">
        <v>101</v>
      </c>
      <c r="B142">
        <v>7</v>
      </c>
      <c r="C142">
        <f t="shared" si="26"/>
        <v>10107</v>
      </c>
      <c r="D142" s="3" t="s">
        <v>86</v>
      </c>
      <c r="E142" s="11">
        <f>28+15/60+27/3600</f>
        <v>28.2575</v>
      </c>
      <c r="F142" s="11">
        <f>-91-46/60-4/3600</f>
        <v>-91.767777777777781</v>
      </c>
      <c r="G142" t="s">
        <v>15</v>
      </c>
      <c r="H142" s="12" t="s">
        <v>17</v>
      </c>
      <c r="I142" s="4">
        <v>34151</v>
      </c>
      <c r="J142" t="s">
        <v>24</v>
      </c>
      <c r="K142" s="2">
        <v>0</v>
      </c>
      <c r="M142" s="20">
        <f>0.0457*37*1000</f>
        <v>1690.8999999999999</v>
      </c>
      <c r="N142" s="20">
        <f>0.03575*37*1000</f>
        <v>1322.7499999999998</v>
      </c>
      <c r="O142" s="8">
        <f>(0.308+0.308+0.015+0.015+0.015+0.048+0+0.058)/8</f>
        <v>9.5875000000000016E-2</v>
      </c>
      <c r="Z142" t="s">
        <v>359</v>
      </c>
      <c r="AA142" t="s">
        <v>36</v>
      </c>
    </row>
    <row r="143" spans="1:27" x14ac:dyDescent="0.25">
      <c r="A143">
        <v>101</v>
      </c>
      <c r="B143">
        <v>8</v>
      </c>
      <c r="C143">
        <f t="shared" si="26"/>
        <v>10108</v>
      </c>
      <c r="D143" s="3" t="s">
        <v>86</v>
      </c>
      <c r="E143" s="11">
        <f>27+54/60+48/3600</f>
        <v>27.91333333333333</v>
      </c>
      <c r="F143" s="11">
        <f>-93-56/60-6/3600</f>
        <v>-93.935000000000002</v>
      </c>
      <c r="G143" t="s">
        <v>15</v>
      </c>
      <c r="H143" s="12" t="s">
        <v>17</v>
      </c>
      <c r="I143" s="4">
        <v>34151</v>
      </c>
      <c r="J143" t="s">
        <v>24</v>
      </c>
      <c r="K143" s="2">
        <v>0</v>
      </c>
      <c r="M143" s="20">
        <f>0.0677*37*1000</f>
        <v>2504.8999999999996</v>
      </c>
      <c r="N143" s="20">
        <f>0.067*37*1000</f>
        <v>2479</v>
      </c>
      <c r="O143" s="8">
        <f>(0.454+0.454+0.018+0.046+0+0.057)/6</f>
        <v>0.17150000000000001</v>
      </c>
      <c r="Z143" t="s">
        <v>359</v>
      </c>
      <c r="AA143" t="s">
        <v>36</v>
      </c>
    </row>
    <row r="144" spans="1:27" x14ac:dyDescent="0.25">
      <c r="A144">
        <v>101</v>
      </c>
      <c r="B144">
        <v>14</v>
      </c>
      <c r="C144">
        <f t="shared" si="26"/>
        <v>10114</v>
      </c>
      <c r="D144" s="3" t="s">
        <v>86</v>
      </c>
      <c r="E144" s="11">
        <f>28+19/60+51/3600</f>
        <v>28.330833333333334</v>
      </c>
      <c r="F144" s="11">
        <f>-(97+27/60+42/3600)</f>
        <v>-97.461666666666673</v>
      </c>
      <c r="G144" t="s">
        <v>15</v>
      </c>
      <c r="H144" s="12" t="s">
        <v>17</v>
      </c>
      <c r="I144" s="4">
        <v>34151</v>
      </c>
      <c r="J144" t="s">
        <v>25</v>
      </c>
      <c r="K144" s="2">
        <v>0</v>
      </c>
      <c r="M144" s="20">
        <f>(0+0.021+0+0.08+0+0.012+0.023+0.046+0+0.005+0+0.017+0.004+0.004+0.005+0.02)/16*37*1000</f>
        <v>548.0625</v>
      </c>
      <c r="N144" s="20">
        <f>(0+0.017+0+0.154+0+0+0+0.08+0+0.068+0+0+0+0+0.017+0.029)/16*37*1000</f>
        <v>844.06250000000011</v>
      </c>
      <c r="O144" s="8">
        <f>(0+0.03+0+0.109+0+0.019+0.029+0.126+0+0.042+0+0.028+0+0+0.01+0.042)/16*37*1000</f>
        <v>1005.9374999999999</v>
      </c>
      <c r="Z144" t="s">
        <v>359</v>
      </c>
      <c r="AA144" t="s">
        <v>38</v>
      </c>
    </row>
    <row r="145" spans="1:27" x14ac:dyDescent="0.25">
      <c r="A145">
        <v>101</v>
      </c>
      <c r="B145">
        <v>13</v>
      </c>
      <c r="C145">
        <f t="shared" si="26"/>
        <v>10113</v>
      </c>
      <c r="D145" s="3" t="s">
        <v>86</v>
      </c>
      <c r="E145" s="11">
        <f>29+20/60+55/3600</f>
        <v>29.348611111111111</v>
      </c>
      <c r="F145" s="11">
        <f>-(91+59/60+19/3600)</f>
        <v>-91.988611111111112</v>
      </c>
      <c r="G145" t="s">
        <v>15</v>
      </c>
      <c r="H145" s="12" t="s">
        <v>17</v>
      </c>
      <c r="I145" s="4">
        <v>34151</v>
      </c>
      <c r="J145" t="s">
        <v>25</v>
      </c>
      <c r="K145" s="2">
        <v>0</v>
      </c>
      <c r="M145" s="20">
        <f>(0.013+0.026+0+0.016+0+0+0.019+0+0.011)/10*37*1000</f>
        <v>314.49999999999994</v>
      </c>
      <c r="N145" s="20">
        <f>(0+0.036+0+0.013+0.017+0.017+0.03+0.09+0+0.507+0+0+0+0.011+0+0.023)/16*37*1000</f>
        <v>1720.5</v>
      </c>
      <c r="O145" s="8">
        <f>(0+0.018+0+0+0+0+0+0+0+0)/10*37*1000</f>
        <v>66.599999999999994</v>
      </c>
      <c r="Z145" t="s">
        <v>359</v>
      </c>
      <c r="AA145" t="s">
        <v>38</v>
      </c>
    </row>
    <row r="146" spans="1:27" x14ac:dyDescent="0.25">
      <c r="A146">
        <v>101</v>
      </c>
      <c r="B146">
        <v>1</v>
      </c>
      <c r="C146">
        <f t="shared" si="26"/>
        <v>10101</v>
      </c>
      <c r="D146" s="3" t="s">
        <v>86</v>
      </c>
      <c r="E146" s="11">
        <f>29+20/60+5/3600</f>
        <v>29.334722222222222</v>
      </c>
      <c r="F146" s="11">
        <f>-(92+44/3600)</f>
        <v>-92.012222222222221</v>
      </c>
      <c r="G146" t="s">
        <v>15</v>
      </c>
      <c r="H146" s="12" t="s">
        <v>17</v>
      </c>
      <c r="I146" s="4">
        <v>34151</v>
      </c>
      <c r="J146" t="s">
        <v>25</v>
      </c>
      <c r="K146" s="2">
        <v>0</v>
      </c>
      <c r="M146" s="20">
        <f>(0+0.011+0+0.011+0+0.07+0+0.005+0+0.013+0+0)/12*37*1000</f>
        <v>339.16666666666669</v>
      </c>
      <c r="N146" s="20">
        <f>(0+0.039+0.016+0.092+0+0.035+0+0.017+0+0.014+0+0.006)/12*37*1000</f>
        <v>675.25000000000011</v>
      </c>
      <c r="O146" s="8">
        <f>(0+0.015+0+0.036+0+0.023+0+0+0.011+0.012+0+0.016)/12*37*1000</f>
        <v>348.41666666666657</v>
      </c>
      <c r="Z146" t="s">
        <v>359</v>
      </c>
      <c r="AA146" t="s">
        <v>38</v>
      </c>
    </row>
    <row r="147" spans="1:27" x14ac:dyDescent="0.25">
      <c r="A147">
        <v>101</v>
      </c>
      <c r="B147">
        <v>2</v>
      </c>
      <c r="C147">
        <f t="shared" si="26"/>
        <v>10102</v>
      </c>
      <c r="D147" s="3" t="s">
        <v>86</v>
      </c>
      <c r="E147" s="11">
        <f>28+41/60+50/3600</f>
        <v>28.697222222222223</v>
      </c>
      <c r="F147" s="11">
        <f>-(92+15/60+45/3600)</f>
        <v>-92.262500000000003</v>
      </c>
      <c r="G147" t="s">
        <v>15</v>
      </c>
      <c r="H147" s="12" t="s">
        <v>17</v>
      </c>
      <c r="I147" s="4">
        <v>34151</v>
      </c>
      <c r="J147" t="s">
        <v>25</v>
      </c>
      <c r="K147" s="2">
        <v>0</v>
      </c>
      <c r="M147" s="20">
        <f>(0+0.024+0+0.007+0.002+0.012+0+0.015+0.015+0.015+0+0+0+0.014+0+0)/16*37*1000</f>
        <v>240.5</v>
      </c>
      <c r="N147" s="20">
        <f>(0.009+0.055+0+0.039+0+0.119+0+0.048+0.036+0.036+0+0+0+0.041+0.03+0.03)/16*37*1000</f>
        <v>1024.4375</v>
      </c>
      <c r="O147" s="8">
        <f>(0+0.112+0+0.016+0.011+0.035+0+0.036+0.024+0.024+0+0+0+0.027+0.04+0.04)/16*37*1000</f>
        <v>844.06249999999989</v>
      </c>
      <c r="Z147" t="s">
        <v>359</v>
      </c>
      <c r="AA147" t="s">
        <v>38</v>
      </c>
    </row>
    <row r="148" spans="1:27" x14ac:dyDescent="0.25">
      <c r="A148">
        <v>101</v>
      </c>
      <c r="B148">
        <v>3</v>
      </c>
      <c r="C148">
        <f t="shared" si="26"/>
        <v>10103</v>
      </c>
      <c r="D148" s="3" t="s">
        <v>86</v>
      </c>
      <c r="E148" s="11">
        <f>28+17/60+53/3600</f>
        <v>28.298055555555557</v>
      </c>
      <c r="F148" s="11">
        <f>-(92+43/3600)</f>
        <v>-92.011944444444438</v>
      </c>
      <c r="G148" t="s">
        <v>15</v>
      </c>
      <c r="H148" s="12" t="s">
        <v>17</v>
      </c>
      <c r="I148" s="4">
        <v>34151</v>
      </c>
      <c r="J148" t="s">
        <v>25</v>
      </c>
      <c r="K148" s="2">
        <v>0</v>
      </c>
      <c r="M148" s="20">
        <f>(0+0.08+0+0.008+0.016+0.021+0+0.008+0+0.01+0+0.01+0.005+0.02)/14*37*1000</f>
        <v>470.4285714285715</v>
      </c>
      <c r="N148" s="20">
        <f>(0+0.082+0+0.124+0+0.14+0.037+0.045+0+0.14+0+0.076+0+0.067)/14*37*1000</f>
        <v>1879.0714285714287</v>
      </c>
      <c r="O148" s="8">
        <f>(0.009+0.14+0+0.022+0.096+0.16+0+0.025+0+0.008+0+0.011+0.016+0.048)/14*37*1000</f>
        <v>1413.9285714285716</v>
      </c>
      <c r="Z148" t="s">
        <v>359</v>
      </c>
      <c r="AA148" t="s">
        <v>38</v>
      </c>
    </row>
    <row r="149" spans="1:27" x14ac:dyDescent="0.25">
      <c r="A149">
        <v>101</v>
      </c>
      <c r="B149">
        <v>4</v>
      </c>
      <c r="C149">
        <f t="shared" si="26"/>
        <v>10104</v>
      </c>
      <c r="D149" s="3" t="s">
        <v>86</v>
      </c>
      <c r="E149" s="11">
        <f>27+52/60+5/3600</f>
        <v>27.868055555555557</v>
      </c>
      <c r="F149" s="11">
        <f>-(93+59/60+30/3600)</f>
        <v>-93.991666666666674</v>
      </c>
      <c r="G149" t="s">
        <v>15</v>
      </c>
      <c r="H149" s="12" t="s">
        <v>17</v>
      </c>
      <c r="I149" s="4">
        <v>34151</v>
      </c>
      <c r="J149" t="s">
        <v>25</v>
      </c>
      <c r="K149" s="2">
        <v>0</v>
      </c>
      <c r="M149" s="20">
        <f>(0+0.123+0.027+0.042+0+0.009+0+0+0+0.02+0+0.016+0+0)/14*37*1000</f>
        <v>626.35714285714289</v>
      </c>
      <c r="N149" s="20">
        <f>(0+0.058+0.025+0.089+0.039+0.039+0.015+0.017+0+0.171+0.022+0.051)/12*37*1000</f>
        <v>1621.8333333333337</v>
      </c>
      <c r="O149" s="8">
        <f>(0+0.089+0.122+0.162+0+0.017+0+0+0+0.066+0+0+0.02+0.045)/14*37*1000</f>
        <v>1376.9285714285716</v>
      </c>
      <c r="Z149" t="s">
        <v>359</v>
      </c>
      <c r="AA149" t="s">
        <v>38</v>
      </c>
    </row>
    <row r="150" spans="1:27" x14ac:dyDescent="0.25">
      <c r="A150">
        <v>101</v>
      </c>
      <c r="B150">
        <v>5</v>
      </c>
      <c r="C150">
        <f t="shared" si="26"/>
        <v>10105</v>
      </c>
      <c r="D150" s="3" t="s">
        <v>86</v>
      </c>
      <c r="E150" s="11">
        <f>27+53/60+44/3600</f>
        <v>27.895555555555553</v>
      </c>
      <c r="F150" s="11">
        <f>-(96+25/60+41/3600)</f>
        <v>-96.428055555555559</v>
      </c>
      <c r="G150" t="s">
        <v>15</v>
      </c>
      <c r="H150" s="12" t="s">
        <v>17</v>
      </c>
      <c r="I150" s="4">
        <v>34151</v>
      </c>
      <c r="J150" t="s">
        <v>25</v>
      </c>
      <c r="K150" s="2">
        <v>0</v>
      </c>
      <c r="M150" s="20">
        <f>(0+0.032+0.005+0.008+0+0.009+0+0.016)/8*37*1000</f>
        <v>323.75000000000006</v>
      </c>
      <c r="N150" s="20">
        <f>(0+0+0.045+0.137+0+0.02+0+0.022+0+0.173)/10*37*1000</f>
        <v>1468.8999999999999</v>
      </c>
      <c r="O150" s="8">
        <f>(0+0+0+0.025+0+0.008+0+0+0+0.03)/10*37*1000</f>
        <v>233.1</v>
      </c>
      <c r="Z150" t="s">
        <v>359</v>
      </c>
      <c r="AA150" t="s">
        <v>38</v>
      </c>
    </row>
    <row r="151" spans="1:27" x14ac:dyDescent="0.25">
      <c r="A151">
        <v>101</v>
      </c>
      <c r="B151">
        <v>6</v>
      </c>
      <c r="C151">
        <f t="shared" si="26"/>
        <v>10106</v>
      </c>
      <c r="D151" s="3" t="s">
        <v>86</v>
      </c>
      <c r="E151" s="11">
        <f>28+10/60+3/3600</f>
        <v>28.1675</v>
      </c>
      <c r="F151" s="11">
        <f>-93-46/60-4/3600</f>
        <v>-93.767777777777781</v>
      </c>
      <c r="G151" t="s">
        <v>15</v>
      </c>
      <c r="H151" s="12" t="s">
        <v>17</v>
      </c>
      <c r="I151" s="4">
        <v>34151</v>
      </c>
      <c r="J151" t="s">
        <v>25</v>
      </c>
      <c r="K151" s="2">
        <v>0</v>
      </c>
      <c r="M151" s="20">
        <f>(0.006+0.129+0+0.004+0+0.003+0+0.004+0+0+0+0.033+0+0)/14*37*1000</f>
        <v>473.07142857142867</v>
      </c>
      <c r="N151" s="20">
        <f>(0+0.096+0+0.04+0+0.044+0.01+0.085+0+0+0+0.146+0+0.061+0+0.107)/16*37*1000</f>
        <v>1362.0625000000002</v>
      </c>
      <c r="O151" s="8">
        <f>(0+0.033+0+0.036+0+0.02+0.195+0.303+0+0+0+0.03+0+0.032+0+0.04)/16*37*1000</f>
        <v>1593.3125000000002</v>
      </c>
      <c r="Z151" t="s">
        <v>359</v>
      </c>
      <c r="AA151" t="s">
        <v>38</v>
      </c>
    </row>
    <row r="152" spans="1:27" x14ac:dyDescent="0.25">
      <c r="A152">
        <v>101</v>
      </c>
      <c r="B152">
        <v>7</v>
      </c>
      <c r="C152">
        <f t="shared" si="26"/>
        <v>10107</v>
      </c>
      <c r="D152" s="3" t="s">
        <v>86</v>
      </c>
      <c r="E152" s="11">
        <f>28+15/60+27/3600</f>
        <v>28.2575</v>
      </c>
      <c r="F152" s="11">
        <f>-91-46/60-4/3600</f>
        <v>-91.767777777777781</v>
      </c>
      <c r="G152" t="s">
        <v>15</v>
      </c>
      <c r="H152" s="12" t="s">
        <v>17</v>
      </c>
      <c r="I152" s="4">
        <v>34151</v>
      </c>
      <c r="J152" t="s">
        <v>25</v>
      </c>
      <c r="K152" s="2">
        <v>0</v>
      </c>
      <c r="M152" s="20">
        <f>(0+0.088+0.012+0.067+0+0+0+0.012+0+0.013)/10*37*1000</f>
        <v>710.4</v>
      </c>
      <c r="N152" s="20">
        <f>(0+0.087+0+0.058+0.017+0.094+0+0.047+0+0.054)/10*37*1000</f>
        <v>1320.8999999999996</v>
      </c>
      <c r="O152" s="8">
        <f>(0+0.115+0.016+0.134+0+0.01+0.01+0.05+0+0.027)/10*37*1000</f>
        <v>1339.4</v>
      </c>
      <c r="Z152" t="s">
        <v>359</v>
      </c>
      <c r="AA152" t="s">
        <v>38</v>
      </c>
    </row>
    <row r="153" spans="1:27" x14ac:dyDescent="0.25">
      <c r="A153">
        <v>101</v>
      </c>
      <c r="B153">
        <v>8</v>
      </c>
      <c r="C153">
        <f t="shared" si="26"/>
        <v>10108</v>
      </c>
      <c r="D153" s="3" t="s">
        <v>86</v>
      </c>
      <c r="E153" s="11">
        <f>27+54/60+48/3600</f>
        <v>27.91333333333333</v>
      </c>
      <c r="F153" s="11">
        <f>-93-56/60-6/3600</f>
        <v>-93.935000000000002</v>
      </c>
      <c r="G153" t="s">
        <v>15</v>
      </c>
      <c r="H153" s="12" t="s">
        <v>17</v>
      </c>
      <c r="I153" s="4">
        <v>34151</v>
      </c>
      <c r="J153" t="s">
        <v>25</v>
      </c>
      <c r="K153" s="2">
        <v>0</v>
      </c>
      <c r="M153" s="20">
        <f>(0+0.1+0+0+0+0.035+0+0.028+0+0+0+0.017+0.006+0.009)/14*37*1000</f>
        <v>515.35714285714289</v>
      </c>
      <c r="N153" s="20">
        <f>(0.049+0.084+0+0.021+0+0.121+0+0.163+0+0.068+0+0.116+0+0.046)/14*37*1000</f>
        <v>1765.4285714285716</v>
      </c>
      <c r="O153" s="8">
        <f>(0+0+0+0.021+0+0.026+0.129+0.261+0+0.018+0+0.021+0+0.018)/14*37*1000</f>
        <v>1305.5714285714287</v>
      </c>
      <c r="Z153" t="s">
        <v>359</v>
      </c>
      <c r="AA153" t="s">
        <v>38</v>
      </c>
    </row>
    <row r="154" spans="1:27" x14ac:dyDescent="0.25">
      <c r="A154">
        <v>102</v>
      </c>
      <c r="B154">
        <v>1</v>
      </c>
      <c r="C154">
        <f t="shared" si="26"/>
        <v>10201</v>
      </c>
      <c r="D154" s="3" t="s">
        <v>86</v>
      </c>
      <c r="E154" s="11">
        <f>-(22+15/60+16/3600)</f>
        <v>-22.254444444444445</v>
      </c>
      <c r="F154" s="11">
        <f>-(40+19/60+51/3600)</f>
        <v>-40.330833333333338</v>
      </c>
      <c r="G154" s="12" t="s">
        <v>95</v>
      </c>
      <c r="H154" s="12" t="s">
        <v>13</v>
      </c>
      <c r="I154" s="4">
        <v>35674</v>
      </c>
      <c r="J154" t="s">
        <v>1</v>
      </c>
      <c r="K154" s="2">
        <v>0</v>
      </c>
      <c r="M154" s="20">
        <v>6</v>
      </c>
      <c r="N154" s="20">
        <v>8.1999999999999993</v>
      </c>
      <c r="Z154" t="s">
        <v>108</v>
      </c>
      <c r="AA154" t="s">
        <v>96</v>
      </c>
    </row>
    <row r="155" spans="1:27" x14ac:dyDescent="0.25">
      <c r="A155">
        <v>102</v>
      </c>
      <c r="B155">
        <v>2</v>
      </c>
      <c r="C155">
        <f t="shared" si="26"/>
        <v>10202</v>
      </c>
      <c r="D155" s="3" t="s">
        <v>86</v>
      </c>
      <c r="E155" s="11">
        <f>-(22+45/60+48/3600)</f>
        <v>-22.763333333333332</v>
      </c>
      <c r="F155" s="11">
        <f>-(40+45/60+14/3600)</f>
        <v>-40.753888888888888</v>
      </c>
      <c r="G155" s="12" t="s">
        <v>95</v>
      </c>
      <c r="H155" s="12" t="s">
        <v>13</v>
      </c>
      <c r="I155" s="4">
        <v>35855</v>
      </c>
      <c r="J155" t="s">
        <v>1</v>
      </c>
      <c r="K155" s="2">
        <v>0</v>
      </c>
      <c r="M155" s="20">
        <v>2</v>
      </c>
      <c r="N155" s="20">
        <v>0.73</v>
      </c>
      <c r="Z155" t="s">
        <v>108</v>
      </c>
      <c r="AA155" t="s">
        <v>97</v>
      </c>
    </row>
    <row r="156" spans="1:27" x14ac:dyDescent="0.25">
      <c r="A156">
        <v>102</v>
      </c>
      <c r="B156">
        <v>1</v>
      </c>
      <c r="C156">
        <f t="shared" si="26"/>
        <v>10201</v>
      </c>
      <c r="D156" s="3" t="s">
        <v>86</v>
      </c>
      <c r="E156" s="11">
        <f>-(22+15/60+16/3600)</f>
        <v>-22.254444444444445</v>
      </c>
      <c r="F156" s="11">
        <f>-(40+19/60+51/3600)</f>
        <v>-40.330833333333338</v>
      </c>
      <c r="G156" s="12" t="s">
        <v>95</v>
      </c>
      <c r="H156" s="12" t="s">
        <v>13</v>
      </c>
      <c r="I156" s="4">
        <v>35855</v>
      </c>
      <c r="J156" t="s">
        <v>1</v>
      </c>
      <c r="K156" s="2">
        <v>0</v>
      </c>
      <c r="M156" s="20">
        <v>2.5</v>
      </c>
      <c r="N156" s="20">
        <v>4.3</v>
      </c>
      <c r="Z156" t="s">
        <v>108</v>
      </c>
      <c r="AA156" t="s">
        <v>96</v>
      </c>
    </row>
    <row r="157" spans="1:27" x14ac:dyDescent="0.25">
      <c r="A157">
        <v>102</v>
      </c>
      <c r="B157">
        <v>1</v>
      </c>
      <c r="C157">
        <f t="shared" si="26"/>
        <v>10201</v>
      </c>
      <c r="D157" s="3" t="s">
        <v>86</v>
      </c>
      <c r="E157" s="11">
        <f>-(22+15/60+16/3600)</f>
        <v>-22.254444444444445</v>
      </c>
      <c r="F157" s="11">
        <f>-(40+19/60+51/3600)</f>
        <v>-40.330833333333338</v>
      </c>
      <c r="G157" s="12" t="s">
        <v>95</v>
      </c>
      <c r="H157" s="12" t="s">
        <v>13</v>
      </c>
      <c r="I157" s="4">
        <v>35886</v>
      </c>
      <c r="J157" t="s">
        <v>1</v>
      </c>
      <c r="K157" s="2">
        <v>0</v>
      </c>
      <c r="M157" s="20">
        <v>4.8</v>
      </c>
      <c r="N157" s="20">
        <v>4.7</v>
      </c>
      <c r="Z157" t="s">
        <v>108</v>
      </c>
      <c r="AA157" t="s">
        <v>96</v>
      </c>
    </row>
    <row r="158" spans="1:27" x14ac:dyDescent="0.25">
      <c r="A158">
        <v>102</v>
      </c>
      <c r="B158">
        <v>1</v>
      </c>
      <c r="C158">
        <f t="shared" si="26"/>
        <v>10201</v>
      </c>
      <c r="D158" s="3" t="s">
        <v>86</v>
      </c>
      <c r="E158" s="11">
        <f>-(22+15/60+16/3600)</f>
        <v>-22.254444444444445</v>
      </c>
      <c r="F158" s="11">
        <f>-(40+19/60+51/3600)</f>
        <v>-40.330833333333338</v>
      </c>
      <c r="G158" s="12" t="s">
        <v>95</v>
      </c>
      <c r="H158" s="12" t="s">
        <v>13</v>
      </c>
      <c r="I158" s="4">
        <v>35947</v>
      </c>
      <c r="J158" t="s">
        <v>1</v>
      </c>
      <c r="K158" s="2">
        <v>0</v>
      </c>
      <c r="M158" s="20">
        <v>3.9</v>
      </c>
      <c r="N158" s="20">
        <v>3.8</v>
      </c>
      <c r="Z158" t="s">
        <v>108</v>
      </c>
      <c r="AA158" t="s">
        <v>96</v>
      </c>
    </row>
    <row r="159" spans="1:27" x14ac:dyDescent="0.25">
      <c r="A159">
        <v>102</v>
      </c>
      <c r="B159">
        <v>2</v>
      </c>
      <c r="C159">
        <f t="shared" si="26"/>
        <v>10202</v>
      </c>
      <c r="D159" s="3" t="s">
        <v>86</v>
      </c>
      <c r="E159" s="11">
        <f>-(22+45/60+48/3600)</f>
        <v>-22.763333333333332</v>
      </c>
      <c r="F159" s="11">
        <f>-(40+45/60+14/3600)</f>
        <v>-40.753888888888888</v>
      </c>
      <c r="G159" s="12" t="s">
        <v>95</v>
      </c>
      <c r="H159" s="12" t="s">
        <v>13</v>
      </c>
      <c r="I159" s="4">
        <v>35947</v>
      </c>
      <c r="J159" t="s">
        <v>1</v>
      </c>
      <c r="K159" s="2">
        <v>0</v>
      </c>
      <c r="M159" s="20">
        <v>0.82</v>
      </c>
      <c r="N159" s="20">
        <v>1.8</v>
      </c>
      <c r="Z159" t="s">
        <v>108</v>
      </c>
      <c r="AA159" t="s">
        <v>97</v>
      </c>
    </row>
    <row r="160" spans="1:27" x14ac:dyDescent="0.25">
      <c r="A160">
        <v>102</v>
      </c>
      <c r="B160">
        <v>2</v>
      </c>
      <c r="C160">
        <f t="shared" si="26"/>
        <v>10202</v>
      </c>
      <c r="D160" s="3" t="s">
        <v>86</v>
      </c>
      <c r="E160" s="11">
        <f>-(22+45/60+48/3600)</f>
        <v>-22.763333333333332</v>
      </c>
      <c r="F160" s="11">
        <f>-(40+45/60+14/3600)</f>
        <v>-40.753888888888888</v>
      </c>
      <c r="G160" s="12" t="s">
        <v>95</v>
      </c>
      <c r="H160" s="12" t="s">
        <v>13</v>
      </c>
      <c r="I160" s="4">
        <v>36008</v>
      </c>
      <c r="J160" t="s">
        <v>1</v>
      </c>
      <c r="K160" s="2">
        <v>0</v>
      </c>
      <c r="M160" s="20">
        <v>1.9</v>
      </c>
      <c r="N160" s="20">
        <v>2.2999999999999998</v>
      </c>
      <c r="Z160" t="s">
        <v>108</v>
      </c>
      <c r="AA160" t="s">
        <v>97</v>
      </c>
    </row>
    <row r="161" spans="1:27" x14ac:dyDescent="0.25">
      <c r="A161">
        <v>102</v>
      </c>
      <c r="B161">
        <v>1</v>
      </c>
      <c r="C161">
        <f t="shared" si="26"/>
        <v>10201</v>
      </c>
      <c r="D161" s="3" t="s">
        <v>86</v>
      </c>
      <c r="E161" s="11">
        <f t="shared" ref="E161:E172" si="27">-(22+15/60+16/3600)</f>
        <v>-22.254444444444445</v>
      </c>
      <c r="F161" s="11">
        <f t="shared" ref="F161:F172" si="28">-(40+19/60+51/3600)</f>
        <v>-40.330833333333338</v>
      </c>
      <c r="G161" s="12" t="s">
        <v>95</v>
      </c>
      <c r="H161" s="12" t="s">
        <v>13</v>
      </c>
      <c r="I161" s="4">
        <v>36008</v>
      </c>
      <c r="J161" t="s">
        <v>1</v>
      </c>
      <c r="K161" s="2">
        <v>0</v>
      </c>
      <c r="M161" s="20">
        <v>1.6</v>
      </c>
      <c r="N161" s="20">
        <v>2.2999999999999998</v>
      </c>
      <c r="Z161" t="s">
        <v>108</v>
      </c>
      <c r="AA161" t="s">
        <v>96</v>
      </c>
    </row>
    <row r="162" spans="1:27" x14ac:dyDescent="0.25">
      <c r="A162">
        <v>102</v>
      </c>
      <c r="B162">
        <v>1</v>
      </c>
      <c r="C162">
        <f t="shared" si="26"/>
        <v>10201</v>
      </c>
      <c r="D162" s="3" t="s">
        <v>86</v>
      </c>
      <c r="E162" s="11">
        <f t="shared" si="27"/>
        <v>-22.254444444444445</v>
      </c>
      <c r="F162" s="11">
        <f t="shared" si="28"/>
        <v>-40.330833333333338</v>
      </c>
      <c r="G162" s="12" t="s">
        <v>95</v>
      </c>
      <c r="H162" s="12" t="s">
        <v>13</v>
      </c>
      <c r="I162" s="4">
        <v>36008</v>
      </c>
      <c r="J162" t="s">
        <v>20</v>
      </c>
      <c r="K162" s="2">
        <v>250</v>
      </c>
      <c r="M162" s="20">
        <v>28.4</v>
      </c>
      <c r="N162" s="20">
        <v>42</v>
      </c>
      <c r="Z162" t="s">
        <v>108</v>
      </c>
      <c r="AA162" t="s">
        <v>109</v>
      </c>
    </row>
    <row r="163" spans="1:27" x14ac:dyDescent="0.25">
      <c r="A163">
        <v>102</v>
      </c>
      <c r="B163">
        <v>1</v>
      </c>
      <c r="C163">
        <f t="shared" si="26"/>
        <v>10201</v>
      </c>
      <c r="D163" s="3" t="s">
        <v>86</v>
      </c>
      <c r="E163" s="11">
        <f t="shared" si="27"/>
        <v>-22.254444444444445</v>
      </c>
      <c r="F163" s="11">
        <f t="shared" si="28"/>
        <v>-40.330833333333338</v>
      </c>
      <c r="G163" s="12" t="s">
        <v>95</v>
      </c>
      <c r="H163" s="12" t="s">
        <v>13</v>
      </c>
      <c r="I163" s="4">
        <v>36008</v>
      </c>
      <c r="J163" t="s">
        <v>20</v>
      </c>
      <c r="K163" s="2">
        <v>250</v>
      </c>
      <c r="M163" s="20">
        <v>25.8</v>
      </c>
      <c r="N163" s="20">
        <v>30</v>
      </c>
      <c r="Z163" t="s">
        <v>108</v>
      </c>
      <c r="AA163" t="s">
        <v>109</v>
      </c>
    </row>
    <row r="164" spans="1:27" x14ac:dyDescent="0.25">
      <c r="A164">
        <v>102</v>
      </c>
      <c r="B164">
        <v>1</v>
      </c>
      <c r="C164">
        <f t="shared" si="26"/>
        <v>10201</v>
      </c>
      <c r="D164" s="3" t="s">
        <v>86</v>
      </c>
      <c r="E164" s="11">
        <f t="shared" si="27"/>
        <v>-22.254444444444445</v>
      </c>
      <c r="F164" s="11">
        <f t="shared" si="28"/>
        <v>-40.330833333333338</v>
      </c>
      <c r="G164" s="12" t="s">
        <v>95</v>
      </c>
      <c r="H164" s="12" t="s">
        <v>13</v>
      </c>
      <c r="I164" s="4">
        <v>36008</v>
      </c>
      <c r="J164" t="s">
        <v>20</v>
      </c>
      <c r="K164" s="2">
        <v>250</v>
      </c>
      <c r="M164" s="20">
        <v>20.100000000000001</v>
      </c>
      <c r="N164" s="20">
        <v>55</v>
      </c>
      <c r="Z164" t="s">
        <v>108</v>
      </c>
      <c r="AA164" t="s">
        <v>109</v>
      </c>
    </row>
    <row r="165" spans="1:27" x14ac:dyDescent="0.25">
      <c r="A165">
        <v>102</v>
      </c>
      <c r="B165">
        <v>1</v>
      </c>
      <c r="C165">
        <f t="shared" si="26"/>
        <v>10201</v>
      </c>
      <c r="D165" s="3" t="s">
        <v>86</v>
      </c>
      <c r="E165" s="11">
        <f t="shared" si="27"/>
        <v>-22.254444444444445</v>
      </c>
      <c r="F165" s="11">
        <f t="shared" si="28"/>
        <v>-40.330833333333338</v>
      </c>
      <c r="G165" s="12" t="s">
        <v>95</v>
      </c>
      <c r="H165" s="12" t="s">
        <v>13</v>
      </c>
      <c r="I165" s="4">
        <v>36008</v>
      </c>
      <c r="J165" t="s">
        <v>20</v>
      </c>
      <c r="K165" s="2">
        <v>250</v>
      </c>
      <c r="M165" s="20">
        <v>28.2</v>
      </c>
      <c r="N165" s="20">
        <v>41</v>
      </c>
      <c r="Z165" t="s">
        <v>108</v>
      </c>
      <c r="AA165" t="s">
        <v>109</v>
      </c>
    </row>
    <row r="166" spans="1:27" x14ac:dyDescent="0.25">
      <c r="A166">
        <v>102</v>
      </c>
      <c r="B166">
        <v>1</v>
      </c>
      <c r="C166">
        <f t="shared" si="26"/>
        <v>10201</v>
      </c>
      <c r="D166" s="3" t="s">
        <v>86</v>
      </c>
      <c r="E166" s="11">
        <f t="shared" si="27"/>
        <v>-22.254444444444445</v>
      </c>
      <c r="F166" s="11">
        <f t="shared" si="28"/>
        <v>-40.330833333333338</v>
      </c>
      <c r="G166" s="12" t="s">
        <v>95</v>
      </c>
      <c r="H166" s="12" t="s">
        <v>13</v>
      </c>
      <c r="I166" s="4">
        <v>36008</v>
      </c>
      <c r="J166" t="s">
        <v>20</v>
      </c>
      <c r="K166" s="2">
        <v>500</v>
      </c>
      <c r="M166" s="20">
        <v>25.7</v>
      </c>
      <c r="N166" s="20">
        <v>47</v>
      </c>
      <c r="Z166" t="s">
        <v>108</v>
      </c>
      <c r="AA166" t="s">
        <v>109</v>
      </c>
    </row>
    <row r="167" spans="1:27" x14ac:dyDescent="0.25">
      <c r="A167">
        <v>102</v>
      </c>
      <c r="B167">
        <v>1</v>
      </c>
      <c r="C167">
        <f t="shared" si="26"/>
        <v>10201</v>
      </c>
      <c r="D167" s="3" t="s">
        <v>86</v>
      </c>
      <c r="E167" s="11">
        <f t="shared" si="27"/>
        <v>-22.254444444444445</v>
      </c>
      <c r="F167" s="11">
        <f t="shared" si="28"/>
        <v>-40.330833333333338</v>
      </c>
      <c r="G167" s="12" t="s">
        <v>95</v>
      </c>
      <c r="H167" s="12" t="s">
        <v>13</v>
      </c>
      <c r="I167" s="4">
        <v>36008</v>
      </c>
      <c r="J167" t="s">
        <v>20</v>
      </c>
      <c r="K167" s="2">
        <v>500</v>
      </c>
      <c r="M167" s="20">
        <v>16.8</v>
      </c>
      <c r="N167" s="20">
        <v>22</v>
      </c>
      <c r="Z167" t="s">
        <v>108</v>
      </c>
      <c r="AA167" t="s">
        <v>109</v>
      </c>
    </row>
    <row r="168" spans="1:27" x14ac:dyDescent="0.25">
      <c r="A168">
        <v>102</v>
      </c>
      <c r="B168">
        <v>1</v>
      </c>
      <c r="C168">
        <f t="shared" si="26"/>
        <v>10201</v>
      </c>
      <c r="D168" s="3" t="s">
        <v>86</v>
      </c>
      <c r="E168" s="11">
        <f t="shared" si="27"/>
        <v>-22.254444444444445</v>
      </c>
      <c r="F168" s="11">
        <f t="shared" si="28"/>
        <v>-40.330833333333338</v>
      </c>
      <c r="G168" s="12" t="s">
        <v>95</v>
      </c>
      <c r="H168" s="12" t="s">
        <v>13</v>
      </c>
      <c r="I168" s="4">
        <v>36008</v>
      </c>
      <c r="J168" t="s">
        <v>20</v>
      </c>
      <c r="K168" s="2">
        <v>500</v>
      </c>
      <c r="M168" s="20">
        <v>19.3</v>
      </c>
      <c r="N168" s="20">
        <v>17</v>
      </c>
      <c r="Z168" t="s">
        <v>108</v>
      </c>
      <c r="AA168" t="s">
        <v>109</v>
      </c>
    </row>
    <row r="169" spans="1:27" x14ac:dyDescent="0.25">
      <c r="A169">
        <v>102</v>
      </c>
      <c r="B169">
        <v>1</v>
      </c>
      <c r="C169">
        <f t="shared" si="26"/>
        <v>10201</v>
      </c>
      <c r="D169" s="3" t="s">
        <v>86</v>
      </c>
      <c r="E169" s="11">
        <f t="shared" si="27"/>
        <v>-22.254444444444445</v>
      </c>
      <c r="F169" s="11">
        <f t="shared" si="28"/>
        <v>-40.330833333333338</v>
      </c>
      <c r="G169" s="12" t="s">
        <v>95</v>
      </c>
      <c r="H169" s="12" t="s">
        <v>13</v>
      </c>
      <c r="I169" s="4">
        <v>36008</v>
      </c>
      <c r="J169" t="s">
        <v>20</v>
      </c>
      <c r="K169" s="2">
        <v>500</v>
      </c>
      <c r="M169" s="20">
        <v>22.1</v>
      </c>
      <c r="N169" s="20">
        <v>40</v>
      </c>
      <c r="Z169" t="s">
        <v>108</v>
      </c>
      <c r="AA169" t="s">
        <v>109</v>
      </c>
    </row>
    <row r="170" spans="1:27" x14ac:dyDescent="0.25">
      <c r="A170">
        <v>102</v>
      </c>
      <c r="B170">
        <v>1</v>
      </c>
      <c r="C170">
        <f t="shared" si="26"/>
        <v>10201</v>
      </c>
      <c r="D170" s="3" t="s">
        <v>86</v>
      </c>
      <c r="E170" s="11">
        <f t="shared" si="27"/>
        <v>-22.254444444444445</v>
      </c>
      <c r="F170" s="11">
        <f t="shared" si="28"/>
        <v>-40.330833333333338</v>
      </c>
      <c r="G170" s="12" t="s">
        <v>95</v>
      </c>
      <c r="H170" s="12" t="s">
        <v>13</v>
      </c>
      <c r="I170" s="4">
        <v>36008</v>
      </c>
      <c r="J170" t="s">
        <v>20</v>
      </c>
      <c r="K170" s="2">
        <v>1000</v>
      </c>
      <c r="Z170" t="s">
        <v>108</v>
      </c>
      <c r="AA170" t="s">
        <v>109</v>
      </c>
    </row>
    <row r="171" spans="1:27" x14ac:dyDescent="0.25">
      <c r="A171">
        <v>102</v>
      </c>
      <c r="B171">
        <v>1</v>
      </c>
      <c r="C171">
        <f t="shared" si="26"/>
        <v>10201</v>
      </c>
      <c r="D171" s="3" t="s">
        <v>86</v>
      </c>
      <c r="E171" s="11">
        <f t="shared" si="27"/>
        <v>-22.254444444444445</v>
      </c>
      <c r="F171" s="11">
        <f t="shared" si="28"/>
        <v>-40.330833333333338</v>
      </c>
      <c r="G171" s="12" t="s">
        <v>95</v>
      </c>
      <c r="H171" s="12" t="s">
        <v>13</v>
      </c>
      <c r="I171" s="4">
        <v>36008</v>
      </c>
      <c r="J171" t="s">
        <v>20</v>
      </c>
      <c r="K171" s="2">
        <v>1000</v>
      </c>
      <c r="M171" s="20">
        <v>22.5</v>
      </c>
      <c r="N171" s="20">
        <v>28</v>
      </c>
      <c r="Z171" t="s">
        <v>108</v>
      </c>
      <c r="AA171" t="s">
        <v>109</v>
      </c>
    </row>
    <row r="172" spans="1:27" x14ac:dyDescent="0.25">
      <c r="A172">
        <v>102</v>
      </c>
      <c r="B172">
        <v>1</v>
      </c>
      <c r="C172">
        <f t="shared" si="26"/>
        <v>10201</v>
      </c>
      <c r="D172" s="3" t="s">
        <v>86</v>
      </c>
      <c r="E172" s="11">
        <f t="shared" si="27"/>
        <v>-22.254444444444445</v>
      </c>
      <c r="F172" s="11">
        <f t="shared" si="28"/>
        <v>-40.330833333333338</v>
      </c>
      <c r="G172" s="12" t="s">
        <v>95</v>
      </c>
      <c r="H172" s="12" t="s">
        <v>13</v>
      </c>
      <c r="I172" s="4">
        <v>36008</v>
      </c>
      <c r="J172" t="s">
        <v>20</v>
      </c>
      <c r="K172" s="2">
        <v>3000</v>
      </c>
      <c r="M172" s="20">
        <v>12.1</v>
      </c>
      <c r="N172" s="20">
        <v>16</v>
      </c>
      <c r="Z172" t="s">
        <v>108</v>
      </c>
      <c r="AA172" t="s">
        <v>109</v>
      </c>
    </row>
    <row r="173" spans="1:27" x14ac:dyDescent="0.25">
      <c r="A173">
        <v>102</v>
      </c>
      <c r="B173">
        <v>2</v>
      </c>
      <c r="C173">
        <f t="shared" si="26"/>
        <v>10202</v>
      </c>
      <c r="D173" s="3" t="s">
        <v>86</v>
      </c>
      <c r="E173" s="11">
        <f t="shared" ref="E173:E182" si="29">-(22+45/60+48/3600)</f>
        <v>-22.763333333333332</v>
      </c>
      <c r="F173" s="11">
        <f t="shared" ref="F173:F182" si="30">-(40+45/60+14/3600)</f>
        <v>-40.753888888888888</v>
      </c>
      <c r="G173" s="12" t="s">
        <v>95</v>
      </c>
      <c r="H173" s="12" t="s">
        <v>13</v>
      </c>
      <c r="I173" s="4">
        <v>36008</v>
      </c>
      <c r="J173" t="s">
        <v>20</v>
      </c>
      <c r="K173" s="2">
        <v>250</v>
      </c>
      <c r="M173" s="20" t="s">
        <v>14</v>
      </c>
      <c r="N173" s="20">
        <v>33</v>
      </c>
      <c r="Z173" t="s">
        <v>108</v>
      </c>
      <c r="AA173" t="s">
        <v>109</v>
      </c>
    </row>
    <row r="174" spans="1:27" x14ac:dyDescent="0.25">
      <c r="A174">
        <v>102</v>
      </c>
      <c r="B174">
        <v>2</v>
      </c>
      <c r="C174">
        <f t="shared" si="26"/>
        <v>10202</v>
      </c>
      <c r="D174" s="3" t="s">
        <v>86</v>
      </c>
      <c r="E174" s="11">
        <f t="shared" si="29"/>
        <v>-22.763333333333332</v>
      </c>
      <c r="F174" s="11">
        <f t="shared" si="30"/>
        <v>-40.753888888888888</v>
      </c>
      <c r="G174" s="12" t="s">
        <v>95</v>
      </c>
      <c r="H174" s="12" t="s">
        <v>13</v>
      </c>
      <c r="I174" s="4">
        <v>36008</v>
      </c>
      <c r="J174" t="s">
        <v>20</v>
      </c>
      <c r="K174" s="2">
        <v>500</v>
      </c>
      <c r="M174" s="20" t="s">
        <v>14</v>
      </c>
      <c r="N174" s="20">
        <v>23</v>
      </c>
      <c r="Z174" t="s">
        <v>108</v>
      </c>
      <c r="AA174" t="s">
        <v>109</v>
      </c>
    </row>
    <row r="175" spans="1:27" x14ac:dyDescent="0.25">
      <c r="A175">
        <v>102</v>
      </c>
      <c r="B175">
        <v>2</v>
      </c>
      <c r="C175">
        <f t="shared" si="26"/>
        <v>10202</v>
      </c>
      <c r="D175" s="3" t="s">
        <v>86</v>
      </c>
      <c r="E175" s="11">
        <f t="shared" si="29"/>
        <v>-22.763333333333332</v>
      </c>
      <c r="F175" s="11">
        <f t="shared" si="30"/>
        <v>-40.753888888888888</v>
      </c>
      <c r="G175" s="12" t="s">
        <v>95</v>
      </c>
      <c r="H175" s="12" t="s">
        <v>13</v>
      </c>
      <c r="I175" s="4">
        <v>36008</v>
      </c>
      <c r="J175" t="s">
        <v>20</v>
      </c>
      <c r="K175" s="2">
        <v>500</v>
      </c>
      <c r="M175" s="20" t="s">
        <v>14</v>
      </c>
      <c r="N175" s="20">
        <v>27</v>
      </c>
      <c r="Z175" t="s">
        <v>108</v>
      </c>
      <c r="AA175" t="s">
        <v>109</v>
      </c>
    </row>
    <row r="176" spans="1:27" x14ac:dyDescent="0.25">
      <c r="A176">
        <v>102</v>
      </c>
      <c r="B176">
        <v>2</v>
      </c>
      <c r="C176">
        <f t="shared" si="26"/>
        <v>10202</v>
      </c>
      <c r="D176" s="3" t="s">
        <v>86</v>
      </c>
      <c r="E176" s="11">
        <f t="shared" si="29"/>
        <v>-22.763333333333332</v>
      </c>
      <c r="F176" s="11">
        <f t="shared" si="30"/>
        <v>-40.753888888888888</v>
      </c>
      <c r="G176" s="12" t="s">
        <v>95</v>
      </c>
      <c r="H176" s="12" t="s">
        <v>13</v>
      </c>
      <c r="I176" s="4">
        <v>36008</v>
      </c>
      <c r="J176" t="s">
        <v>20</v>
      </c>
      <c r="K176" s="2">
        <v>700</v>
      </c>
      <c r="M176" s="20" t="s">
        <v>14</v>
      </c>
      <c r="N176" s="20">
        <v>30</v>
      </c>
      <c r="Z176" t="s">
        <v>108</v>
      </c>
      <c r="AA176" t="s">
        <v>109</v>
      </c>
    </row>
    <row r="177" spans="1:27" x14ac:dyDescent="0.25">
      <c r="A177">
        <v>102</v>
      </c>
      <c r="B177">
        <v>2</v>
      </c>
      <c r="C177">
        <f t="shared" si="26"/>
        <v>10202</v>
      </c>
      <c r="D177" s="3" t="s">
        <v>86</v>
      </c>
      <c r="E177" s="11">
        <f t="shared" si="29"/>
        <v>-22.763333333333332</v>
      </c>
      <c r="F177" s="11">
        <f t="shared" si="30"/>
        <v>-40.753888888888888</v>
      </c>
      <c r="G177" s="12" t="s">
        <v>95</v>
      </c>
      <c r="H177" s="12" t="s">
        <v>13</v>
      </c>
      <c r="I177" s="4">
        <v>36008</v>
      </c>
      <c r="J177" t="s">
        <v>20</v>
      </c>
      <c r="K177" s="2">
        <v>700</v>
      </c>
      <c r="M177" s="20" t="s">
        <v>14</v>
      </c>
      <c r="N177" s="20">
        <v>31</v>
      </c>
      <c r="Z177" t="s">
        <v>108</v>
      </c>
      <c r="AA177" t="s">
        <v>109</v>
      </c>
    </row>
    <row r="178" spans="1:27" x14ac:dyDescent="0.25">
      <c r="A178">
        <v>102</v>
      </c>
      <c r="B178">
        <v>2</v>
      </c>
      <c r="C178">
        <f t="shared" si="26"/>
        <v>10202</v>
      </c>
      <c r="D178" s="3" t="s">
        <v>86</v>
      </c>
      <c r="E178" s="11">
        <f t="shared" si="29"/>
        <v>-22.763333333333332</v>
      </c>
      <c r="F178" s="11">
        <f t="shared" si="30"/>
        <v>-40.753888888888888</v>
      </c>
      <c r="G178" s="12" t="s">
        <v>95</v>
      </c>
      <c r="H178" s="12" t="s">
        <v>13</v>
      </c>
      <c r="I178" s="4">
        <v>36008</v>
      </c>
      <c r="J178" t="s">
        <v>20</v>
      </c>
      <c r="K178" s="2">
        <v>500</v>
      </c>
      <c r="M178" s="20" t="s">
        <v>14</v>
      </c>
      <c r="N178" s="20">
        <v>21</v>
      </c>
      <c r="Z178" t="s">
        <v>108</v>
      </c>
      <c r="AA178" t="s">
        <v>109</v>
      </c>
    </row>
    <row r="179" spans="1:27" x14ac:dyDescent="0.25">
      <c r="A179">
        <v>102</v>
      </c>
      <c r="B179">
        <v>2</v>
      </c>
      <c r="C179">
        <f t="shared" si="26"/>
        <v>10202</v>
      </c>
      <c r="D179" s="3" t="s">
        <v>86</v>
      </c>
      <c r="E179" s="11">
        <f t="shared" si="29"/>
        <v>-22.763333333333332</v>
      </c>
      <c r="F179" s="11">
        <f t="shared" si="30"/>
        <v>-40.753888888888888</v>
      </c>
      <c r="G179" s="12" t="s">
        <v>95</v>
      </c>
      <c r="H179" s="12" t="s">
        <v>13</v>
      </c>
      <c r="I179" s="4">
        <v>36008</v>
      </c>
      <c r="J179" t="s">
        <v>20</v>
      </c>
      <c r="K179" s="2">
        <v>1000</v>
      </c>
      <c r="M179" s="20">
        <v>11.9</v>
      </c>
      <c r="N179" s="20">
        <v>18</v>
      </c>
      <c r="Z179" t="s">
        <v>108</v>
      </c>
      <c r="AA179" t="s">
        <v>109</v>
      </c>
    </row>
    <row r="180" spans="1:27" x14ac:dyDescent="0.25">
      <c r="A180">
        <v>102</v>
      </c>
      <c r="B180">
        <v>2</v>
      </c>
      <c r="C180">
        <f t="shared" si="26"/>
        <v>10202</v>
      </c>
      <c r="D180" s="3" t="s">
        <v>86</v>
      </c>
      <c r="E180" s="11">
        <f t="shared" si="29"/>
        <v>-22.763333333333332</v>
      </c>
      <c r="F180" s="11">
        <f t="shared" si="30"/>
        <v>-40.753888888888888</v>
      </c>
      <c r="G180" s="12" t="s">
        <v>95</v>
      </c>
      <c r="H180" s="12" t="s">
        <v>13</v>
      </c>
      <c r="I180" s="4">
        <v>36008</v>
      </c>
      <c r="J180" t="s">
        <v>20</v>
      </c>
      <c r="K180" s="2">
        <v>1000</v>
      </c>
      <c r="M180" s="20" t="s">
        <v>14</v>
      </c>
      <c r="N180" s="20" t="s">
        <v>14</v>
      </c>
      <c r="Z180" t="s">
        <v>108</v>
      </c>
      <c r="AA180" t="s">
        <v>109</v>
      </c>
    </row>
    <row r="181" spans="1:27" x14ac:dyDescent="0.25">
      <c r="A181">
        <v>102</v>
      </c>
      <c r="B181">
        <v>2</v>
      </c>
      <c r="C181">
        <f t="shared" si="26"/>
        <v>10202</v>
      </c>
      <c r="D181" s="3" t="s">
        <v>86</v>
      </c>
      <c r="E181" s="11">
        <f t="shared" si="29"/>
        <v>-22.763333333333332</v>
      </c>
      <c r="F181" s="11">
        <f t="shared" si="30"/>
        <v>-40.753888888888888</v>
      </c>
      <c r="G181" s="12" t="s">
        <v>95</v>
      </c>
      <c r="H181" s="12" t="s">
        <v>13</v>
      </c>
      <c r="I181" s="4">
        <v>36008</v>
      </c>
      <c r="J181" t="s">
        <v>20</v>
      </c>
      <c r="K181" s="2">
        <v>1000</v>
      </c>
      <c r="M181" s="20">
        <v>15.6</v>
      </c>
      <c r="N181" s="20" t="s">
        <v>14</v>
      </c>
      <c r="Z181" t="s">
        <v>108</v>
      </c>
      <c r="AA181" t="s">
        <v>109</v>
      </c>
    </row>
    <row r="182" spans="1:27" x14ac:dyDescent="0.25">
      <c r="A182">
        <v>102</v>
      </c>
      <c r="B182">
        <v>2</v>
      </c>
      <c r="C182">
        <f t="shared" si="26"/>
        <v>10202</v>
      </c>
      <c r="D182" s="3" t="s">
        <v>86</v>
      </c>
      <c r="E182" s="11">
        <f t="shared" si="29"/>
        <v>-22.763333333333332</v>
      </c>
      <c r="F182" s="11">
        <f t="shared" si="30"/>
        <v>-40.753888888888888</v>
      </c>
      <c r="G182" s="12" t="s">
        <v>95</v>
      </c>
      <c r="H182" s="12" t="s">
        <v>13</v>
      </c>
      <c r="I182" s="4">
        <v>36008</v>
      </c>
      <c r="J182" t="s">
        <v>20</v>
      </c>
      <c r="K182" s="2">
        <v>3000</v>
      </c>
      <c r="M182" s="20" t="s">
        <v>14</v>
      </c>
      <c r="N182" s="20" t="s">
        <v>14</v>
      </c>
      <c r="Z182" t="s">
        <v>108</v>
      </c>
      <c r="AA182" t="s">
        <v>109</v>
      </c>
    </row>
    <row r="183" spans="1:27" x14ac:dyDescent="0.25">
      <c r="A183">
        <v>103</v>
      </c>
      <c r="B183">
        <v>1</v>
      </c>
      <c r="C183">
        <f t="shared" si="26"/>
        <v>10301</v>
      </c>
      <c r="D183" s="3" t="s">
        <v>86</v>
      </c>
      <c r="E183" s="11">
        <f>5+18/60</f>
        <v>5.3</v>
      </c>
      <c r="F183" s="11">
        <f>5+33/60</f>
        <v>5.55</v>
      </c>
      <c r="G183" t="s">
        <v>98</v>
      </c>
      <c r="H183" s="12" t="s">
        <v>13</v>
      </c>
      <c r="I183" s="4">
        <v>40179</v>
      </c>
      <c r="J183" t="s">
        <v>1</v>
      </c>
      <c r="K183" s="2">
        <v>0</v>
      </c>
      <c r="M183" s="20">
        <v>3.11</v>
      </c>
      <c r="N183" s="20">
        <v>2.4</v>
      </c>
      <c r="Q183" s="1">
        <v>16.36</v>
      </c>
      <c r="Z183" t="s">
        <v>358</v>
      </c>
      <c r="AA183" t="s">
        <v>99</v>
      </c>
    </row>
    <row r="184" spans="1:27" x14ac:dyDescent="0.25">
      <c r="A184">
        <v>103</v>
      </c>
      <c r="B184">
        <v>2</v>
      </c>
      <c r="C184">
        <f t="shared" si="26"/>
        <v>10302</v>
      </c>
      <c r="D184" s="3" t="s">
        <v>86</v>
      </c>
      <c r="E184" s="11">
        <f>5+20.4/60</f>
        <v>5.34</v>
      </c>
      <c r="F184" s="11">
        <f t="shared" ref="F184:F203" si="31">F183+0.05</f>
        <v>5.6</v>
      </c>
      <c r="G184" t="s">
        <v>98</v>
      </c>
      <c r="H184" s="12" t="s">
        <v>13</v>
      </c>
      <c r="I184" s="4">
        <v>40179</v>
      </c>
      <c r="J184" t="s">
        <v>1</v>
      </c>
      <c r="K184" s="2">
        <v>0</v>
      </c>
      <c r="M184" s="20">
        <v>2.0099999999999998</v>
      </c>
      <c r="N184" s="20">
        <v>1.1499999999999999</v>
      </c>
      <c r="Q184" s="1">
        <v>9.08</v>
      </c>
      <c r="Z184" t="s">
        <v>358</v>
      </c>
      <c r="AA184" t="s">
        <v>99</v>
      </c>
    </row>
    <row r="185" spans="1:27" x14ac:dyDescent="0.25">
      <c r="A185">
        <v>103</v>
      </c>
      <c r="B185">
        <v>3</v>
      </c>
      <c r="C185">
        <f t="shared" si="26"/>
        <v>10303</v>
      </c>
      <c r="D185" s="3" t="s">
        <v>86</v>
      </c>
      <c r="E185" s="11">
        <f>5+22.8/60</f>
        <v>5.38</v>
      </c>
      <c r="F185" s="11">
        <f t="shared" si="31"/>
        <v>5.6499999999999995</v>
      </c>
      <c r="G185" t="s">
        <v>98</v>
      </c>
      <c r="H185" s="12" t="s">
        <v>13</v>
      </c>
      <c r="I185" s="4">
        <v>40179</v>
      </c>
      <c r="J185" t="s">
        <v>1</v>
      </c>
      <c r="K185" s="2">
        <v>0</v>
      </c>
      <c r="M185" s="20">
        <v>6.48</v>
      </c>
      <c r="N185" s="20">
        <v>8.42</v>
      </c>
      <c r="Q185" s="1">
        <v>17.239999999999998</v>
      </c>
      <c r="Z185" t="s">
        <v>358</v>
      </c>
      <c r="AA185" t="s">
        <v>99</v>
      </c>
    </row>
    <row r="186" spans="1:27" x14ac:dyDescent="0.25">
      <c r="A186">
        <v>103</v>
      </c>
      <c r="B186">
        <v>4</v>
      </c>
      <c r="C186">
        <f t="shared" si="26"/>
        <v>10304</v>
      </c>
      <c r="D186" s="3" t="s">
        <v>86</v>
      </c>
      <c r="E186" s="11">
        <f t="shared" ref="E186:E203" si="32">E185+0.04</f>
        <v>5.42</v>
      </c>
      <c r="F186" s="11">
        <f t="shared" si="31"/>
        <v>5.6999999999999993</v>
      </c>
      <c r="G186" t="s">
        <v>98</v>
      </c>
      <c r="H186" s="12" t="s">
        <v>13</v>
      </c>
      <c r="I186" s="4">
        <v>40179</v>
      </c>
      <c r="J186" t="s">
        <v>1</v>
      </c>
      <c r="K186" s="2">
        <v>0</v>
      </c>
      <c r="M186" s="20">
        <v>4.7699999999999996</v>
      </c>
      <c r="N186" s="20" t="s">
        <v>14</v>
      </c>
      <c r="Q186" s="1">
        <v>25.53</v>
      </c>
      <c r="Z186" t="s">
        <v>358</v>
      </c>
      <c r="AA186" t="s">
        <v>99</v>
      </c>
    </row>
    <row r="187" spans="1:27" x14ac:dyDescent="0.25">
      <c r="A187">
        <v>103</v>
      </c>
      <c r="B187">
        <v>5</v>
      </c>
      <c r="C187">
        <f t="shared" si="26"/>
        <v>10305</v>
      </c>
      <c r="D187" s="3" t="s">
        <v>86</v>
      </c>
      <c r="E187" s="11">
        <f t="shared" si="32"/>
        <v>5.46</v>
      </c>
      <c r="F187" s="11">
        <f t="shared" si="31"/>
        <v>5.7499999999999991</v>
      </c>
      <c r="G187" t="s">
        <v>98</v>
      </c>
      <c r="H187" s="12" t="s">
        <v>13</v>
      </c>
      <c r="I187" s="4">
        <v>40179</v>
      </c>
      <c r="J187" t="s">
        <v>1</v>
      </c>
      <c r="K187" s="2">
        <v>0</v>
      </c>
      <c r="M187" s="20">
        <v>4.2</v>
      </c>
      <c r="N187" s="20">
        <v>12.3</v>
      </c>
      <c r="Q187" s="1">
        <v>19.68</v>
      </c>
      <c r="Z187" t="s">
        <v>358</v>
      </c>
      <c r="AA187" t="s">
        <v>99</v>
      </c>
    </row>
    <row r="188" spans="1:27" x14ac:dyDescent="0.25">
      <c r="A188">
        <v>103</v>
      </c>
      <c r="B188">
        <v>6</v>
      </c>
      <c r="C188">
        <f t="shared" si="26"/>
        <v>10306</v>
      </c>
      <c r="D188" s="3" t="s">
        <v>86</v>
      </c>
      <c r="E188" s="11">
        <f t="shared" si="32"/>
        <v>5.5</v>
      </c>
      <c r="F188" s="11">
        <f t="shared" si="31"/>
        <v>5.7999999999999989</v>
      </c>
      <c r="G188" t="s">
        <v>98</v>
      </c>
      <c r="H188" s="12" t="s">
        <v>13</v>
      </c>
      <c r="I188" s="4">
        <v>40179</v>
      </c>
      <c r="J188" t="s">
        <v>1</v>
      </c>
      <c r="K188" s="2">
        <v>0</v>
      </c>
      <c r="M188" s="20">
        <v>7.77</v>
      </c>
      <c r="N188" s="20">
        <v>6.31</v>
      </c>
      <c r="Q188" s="1">
        <v>57.22</v>
      </c>
      <c r="Z188" t="s">
        <v>358</v>
      </c>
      <c r="AA188" t="s">
        <v>99</v>
      </c>
    </row>
    <row r="189" spans="1:27" x14ac:dyDescent="0.25">
      <c r="A189">
        <v>103</v>
      </c>
      <c r="B189">
        <v>7</v>
      </c>
      <c r="C189">
        <f t="shared" si="26"/>
        <v>10307</v>
      </c>
      <c r="D189" s="3" t="s">
        <v>86</v>
      </c>
      <c r="E189" s="11">
        <f t="shared" si="32"/>
        <v>5.54</v>
      </c>
      <c r="F189" s="11">
        <f t="shared" si="31"/>
        <v>5.8499999999999988</v>
      </c>
      <c r="G189" t="s">
        <v>98</v>
      </c>
      <c r="H189" s="12" t="s">
        <v>13</v>
      </c>
      <c r="I189" s="4">
        <v>40179</v>
      </c>
      <c r="J189" t="s">
        <v>1</v>
      </c>
      <c r="K189" s="2">
        <v>0</v>
      </c>
      <c r="M189" s="20" t="s">
        <v>14</v>
      </c>
      <c r="N189" s="20">
        <v>7.24</v>
      </c>
      <c r="Q189" s="1">
        <v>84.84</v>
      </c>
      <c r="Z189" t="s">
        <v>358</v>
      </c>
      <c r="AA189" t="s">
        <v>99</v>
      </c>
    </row>
    <row r="190" spans="1:27" x14ac:dyDescent="0.25">
      <c r="A190">
        <v>103</v>
      </c>
      <c r="B190">
        <v>8</v>
      </c>
      <c r="C190">
        <f t="shared" si="26"/>
        <v>10308</v>
      </c>
      <c r="D190" s="3" t="s">
        <v>86</v>
      </c>
      <c r="E190" s="11">
        <f t="shared" si="32"/>
        <v>5.58</v>
      </c>
      <c r="F190" s="11">
        <f t="shared" si="31"/>
        <v>5.8999999999999986</v>
      </c>
      <c r="G190" t="s">
        <v>98</v>
      </c>
      <c r="H190" s="12" t="s">
        <v>13</v>
      </c>
      <c r="I190" s="4">
        <v>40179</v>
      </c>
      <c r="J190" t="s">
        <v>1</v>
      </c>
      <c r="K190" s="2">
        <v>0</v>
      </c>
      <c r="M190" s="20" t="s">
        <v>14</v>
      </c>
      <c r="N190" s="20">
        <v>2.31</v>
      </c>
      <c r="Q190" s="1" t="s">
        <v>14</v>
      </c>
      <c r="Z190" t="s">
        <v>358</v>
      </c>
      <c r="AA190" t="s">
        <v>99</v>
      </c>
    </row>
    <row r="191" spans="1:27" x14ac:dyDescent="0.25">
      <c r="A191">
        <v>103</v>
      </c>
      <c r="B191">
        <v>9</v>
      </c>
      <c r="C191">
        <f t="shared" si="26"/>
        <v>10309</v>
      </c>
      <c r="D191" s="3" t="s">
        <v>86</v>
      </c>
      <c r="E191" s="11">
        <f t="shared" si="32"/>
        <v>5.62</v>
      </c>
      <c r="F191" s="11">
        <f t="shared" si="31"/>
        <v>5.9499999999999984</v>
      </c>
      <c r="G191" t="s">
        <v>98</v>
      </c>
      <c r="H191" s="12" t="s">
        <v>13</v>
      </c>
      <c r="I191" s="4">
        <v>40179</v>
      </c>
      <c r="J191" t="s">
        <v>1</v>
      </c>
      <c r="K191" s="2">
        <v>0</v>
      </c>
      <c r="M191" s="20">
        <v>3.5</v>
      </c>
      <c r="N191" s="20">
        <v>6.69</v>
      </c>
      <c r="Q191" s="1" t="s">
        <v>14</v>
      </c>
      <c r="Z191" t="s">
        <v>358</v>
      </c>
      <c r="AA191" t="s">
        <v>99</v>
      </c>
    </row>
    <row r="192" spans="1:27" x14ac:dyDescent="0.25">
      <c r="A192">
        <v>103</v>
      </c>
      <c r="B192">
        <v>10</v>
      </c>
      <c r="C192">
        <f t="shared" si="26"/>
        <v>10310</v>
      </c>
      <c r="D192" s="3" t="s">
        <v>86</v>
      </c>
      <c r="E192" s="11">
        <f t="shared" si="32"/>
        <v>5.66</v>
      </c>
      <c r="F192" s="11">
        <f t="shared" si="31"/>
        <v>5.9999999999999982</v>
      </c>
      <c r="G192" t="s">
        <v>98</v>
      </c>
      <c r="H192" s="12" t="s">
        <v>13</v>
      </c>
      <c r="I192" s="4">
        <v>40179</v>
      </c>
      <c r="J192" t="s">
        <v>1</v>
      </c>
      <c r="K192" s="2">
        <v>0</v>
      </c>
      <c r="M192" s="20">
        <v>7.32</v>
      </c>
      <c r="N192" s="20">
        <v>2.17</v>
      </c>
      <c r="Q192" s="1">
        <v>63.85</v>
      </c>
      <c r="Z192" t="s">
        <v>358</v>
      </c>
      <c r="AA192" t="s">
        <v>99</v>
      </c>
    </row>
    <row r="193" spans="1:27" x14ac:dyDescent="0.25">
      <c r="A193">
        <v>103</v>
      </c>
      <c r="B193">
        <v>11</v>
      </c>
      <c r="C193">
        <f t="shared" si="26"/>
        <v>10311</v>
      </c>
      <c r="D193" s="3" t="s">
        <v>86</v>
      </c>
      <c r="E193" s="11">
        <f t="shared" si="32"/>
        <v>5.7</v>
      </c>
      <c r="F193" s="11">
        <f t="shared" si="31"/>
        <v>6.049999999999998</v>
      </c>
      <c r="G193" t="s">
        <v>98</v>
      </c>
      <c r="H193" s="12" t="s">
        <v>13</v>
      </c>
      <c r="I193" s="4">
        <v>40179</v>
      </c>
      <c r="J193" t="s">
        <v>1</v>
      </c>
      <c r="K193" s="2">
        <v>0</v>
      </c>
      <c r="M193" s="20">
        <v>5.1100000000000003</v>
      </c>
      <c r="N193" s="20">
        <v>5.98</v>
      </c>
      <c r="Q193" s="1">
        <v>27.21</v>
      </c>
      <c r="Z193" t="s">
        <v>358</v>
      </c>
      <c r="AA193" t="s">
        <v>99</v>
      </c>
    </row>
    <row r="194" spans="1:27" x14ac:dyDescent="0.25">
      <c r="A194">
        <v>103</v>
      </c>
      <c r="B194">
        <v>12</v>
      </c>
      <c r="C194">
        <f t="shared" si="26"/>
        <v>10312</v>
      </c>
      <c r="D194" s="3" t="s">
        <v>86</v>
      </c>
      <c r="E194" s="11">
        <f t="shared" si="32"/>
        <v>5.74</v>
      </c>
      <c r="F194" s="11">
        <f t="shared" si="31"/>
        <v>6.0999999999999979</v>
      </c>
      <c r="G194" t="s">
        <v>98</v>
      </c>
      <c r="H194" s="12" t="s">
        <v>13</v>
      </c>
      <c r="I194" s="4">
        <v>40179</v>
      </c>
      <c r="J194" t="s">
        <v>1</v>
      </c>
      <c r="K194" s="2">
        <v>0</v>
      </c>
      <c r="M194" s="20">
        <v>12.17</v>
      </c>
      <c r="N194" s="20">
        <v>7.52</v>
      </c>
      <c r="Q194" s="1">
        <v>36.69</v>
      </c>
      <c r="Z194" t="s">
        <v>358</v>
      </c>
      <c r="AA194" t="s">
        <v>99</v>
      </c>
    </row>
    <row r="195" spans="1:27" x14ac:dyDescent="0.25">
      <c r="A195">
        <v>103</v>
      </c>
      <c r="B195">
        <v>13</v>
      </c>
      <c r="C195">
        <f t="shared" ref="C195:C258" si="33">A195*100+B195</f>
        <v>10313</v>
      </c>
      <c r="D195" s="3" t="s">
        <v>86</v>
      </c>
      <c r="E195" s="11">
        <f t="shared" si="32"/>
        <v>5.78</v>
      </c>
      <c r="F195" s="11">
        <f t="shared" si="31"/>
        <v>6.1499999999999977</v>
      </c>
      <c r="G195" t="s">
        <v>98</v>
      </c>
      <c r="H195" s="12" t="s">
        <v>13</v>
      </c>
      <c r="I195" s="4">
        <v>40179</v>
      </c>
      <c r="J195" t="s">
        <v>1</v>
      </c>
      <c r="K195" s="2">
        <v>0</v>
      </c>
      <c r="M195" s="20">
        <v>13.19</v>
      </c>
      <c r="N195" s="20">
        <v>4.5599999999999996</v>
      </c>
      <c r="Q195" s="1">
        <v>155.22</v>
      </c>
      <c r="Z195" t="s">
        <v>358</v>
      </c>
      <c r="AA195" t="s">
        <v>99</v>
      </c>
    </row>
    <row r="196" spans="1:27" x14ac:dyDescent="0.25">
      <c r="A196">
        <v>103</v>
      </c>
      <c r="B196">
        <v>14</v>
      </c>
      <c r="C196">
        <f t="shared" si="33"/>
        <v>10314</v>
      </c>
      <c r="D196" s="3" t="s">
        <v>86</v>
      </c>
      <c r="E196" s="11">
        <f t="shared" si="32"/>
        <v>5.82</v>
      </c>
      <c r="F196" s="11">
        <f t="shared" si="31"/>
        <v>6.1999999999999975</v>
      </c>
      <c r="G196" t="s">
        <v>98</v>
      </c>
      <c r="H196" s="12" t="s">
        <v>13</v>
      </c>
      <c r="I196" s="4">
        <v>40179</v>
      </c>
      <c r="J196" t="s">
        <v>1</v>
      </c>
      <c r="K196" s="2">
        <v>0</v>
      </c>
      <c r="M196" s="20">
        <v>8.43</v>
      </c>
      <c r="N196" s="20">
        <v>6.12</v>
      </c>
      <c r="Q196" s="1">
        <v>53.01</v>
      </c>
      <c r="Z196" t="s">
        <v>358</v>
      </c>
      <c r="AA196" t="s">
        <v>99</v>
      </c>
    </row>
    <row r="197" spans="1:27" x14ac:dyDescent="0.25">
      <c r="A197">
        <v>103</v>
      </c>
      <c r="B197">
        <v>15</v>
      </c>
      <c r="C197">
        <f t="shared" si="33"/>
        <v>10315</v>
      </c>
      <c r="D197" s="3" t="s">
        <v>86</v>
      </c>
      <c r="E197" s="11">
        <f t="shared" si="32"/>
        <v>5.86</v>
      </c>
      <c r="F197" s="11">
        <f t="shared" si="31"/>
        <v>6.2499999999999973</v>
      </c>
      <c r="G197" t="s">
        <v>98</v>
      </c>
      <c r="H197" s="12" t="s">
        <v>13</v>
      </c>
      <c r="I197" s="4">
        <v>40179</v>
      </c>
      <c r="J197" t="s">
        <v>1</v>
      </c>
      <c r="K197" s="2">
        <v>0</v>
      </c>
      <c r="M197" s="20" t="s">
        <v>14</v>
      </c>
      <c r="N197" s="20">
        <v>5.42</v>
      </c>
      <c r="Q197" s="1">
        <v>38.19</v>
      </c>
      <c r="Z197" t="s">
        <v>358</v>
      </c>
      <c r="AA197" t="s">
        <v>99</v>
      </c>
    </row>
    <row r="198" spans="1:27" x14ac:dyDescent="0.25">
      <c r="A198">
        <v>103</v>
      </c>
      <c r="B198">
        <v>16</v>
      </c>
      <c r="C198">
        <f t="shared" si="33"/>
        <v>10316</v>
      </c>
      <c r="D198" s="3" t="s">
        <v>86</v>
      </c>
      <c r="E198" s="11">
        <f t="shared" si="32"/>
        <v>5.9</v>
      </c>
      <c r="F198" s="11">
        <f t="shared" si="31"/>
        <v>6.2999999999999972</v>
      </c>
      <c r="G198" t="s">
        <v>98</v>
      </c>
      <c r="H198" s="12" t="s">
        <v>13</v>
      </c>
      <c r="I198" s="4">
        <v>40179</v>
      </c>
      <c r="J198" t="s">
        <v>1</v>
      </c>
      <c r="K198" s="2">
        <v>0</v>
      </c>
      <c r="M198" s="20">
        <v>7.13</v>
      </c>
      <c r="N198" s="20">
        <v>7.42</v>
      </c>
      <c r="Q198" s="1" t="s">
        <v>14</v>
      </c>
      <c r="Z198" t="s">
        <v>358</v>
      </c>
      <c r="AA198" t="s">
        <v>99</v>
      </c>
    </row>
    <row r="199" spans="1:27" x14ac:dyDescent="0.25">
      <c r="A199">
        <v>103</v>
      </c>
      <c r="B199">
        <v>17</v>
      </c>
      <c r="C199">
        <f t="shared" si="33"/>
        <v>10317</v>
      </c>
      <c r="D199" s="3" t="s">
        <v>86</v>
      </c>
      <c r="E199" s="11">
        <f t="shared" si="32"/>
        <v>5.94</v>
      </c>
      <c r="F199" s="11">
        <f t="shared" si="31"/>
        <v>6.349999999999997</v>
      </c>
      <c r="G199" t="s">
        <v>98</v>
      </c>
      <c r="H199" s="12" t="s">
        <v>13</v>
      </c>
      <c r="I199" s="4">
        <v>40179</v>
      </c>
      <c r="J199" t="s">
        <v>1</v>
      </c>
      <c r="K199" s="2">
        <v>0</v>
      </c>
      <c r="M199" s="20">
        <v>3.45</v>
      </c>
      <c r="N199" s="20">
        <v>3.39</v>
      </c>
      <c r="Q199" s="1">
        <v>80.430000000000007</v>
      </c>
      <c r="Z199" t="s">
        <v>358</v>
      </c>
      <c r="AA199" t="s">
        <v>99</v>
      </c>
    </row>
    <row r="200" spans="1:27" x14ac:dyDescent="0.25">
      <c r="A200">
        <v>103</v>
      </c>
      <c r="B200">
        <v>18</v>
      </c>
      <c r="C200">
        <f t="shared" si="33"/>
        <v>10318</v>
      </c>
      <c r="D200" s="3" t="s">
        <v>86</v>
      </c>
      <c r="E200" s="11">
        <f t="shared" si="32"/>
        <v>5.98</v>
      </c>
      <c r="F200" s="11">
        <f t="shared" si="31"/>
        <v>6.3999999999999968</v>
      </c>
      <c r="G200" t="s">
        <v>98</v>
      </c>
      <c r="H200" s="12" t="s">
        <v>13</v>
      </c>
      <c r="I200" s="4">
        <v>40179</v>
      </c>
      <c r="J200" t="s">
        <v>1</v>
      </c>
      <c r="K200" s="2">
        <v>0</v>
      </c>
      <c r="M200" s="20" t="s">
        <v>14</v>
      </c>
      <c r="N200" s="20">
        <v>0.75</v>
      </c>
      <c r="Q200" s="1">
        <v>25.45</v>
      </c>
      <c r="Z200" t="s">
        <v>358</v>
      </c>
      <c r="AA200" t="s">
        <v>99</v>
      </c>
    </row>
    <row r="201" spans="1:27" x14ac:dyDescent="0.25">
      <c r="A201">
        <v>103</v>
      </c>
      <c r="B201">
        <v>19</v>
      </c>
      <c r="C201">
        <f t="shared" si="33"/>
        <v>10319</v>
      </c>
      <c r="D201" s="3" t="s">
        <v>86</v>
      </c>
      <c r="E201" s="11">
        <f t="shared" si="32"/>
        <v>6.0200000000000005</v>
      </c>
      <c r="F201" s="11">
        <f t="shared" si="31"/>
        <v>6.4499999999999966</v>
      </c>
      <c r="G201" t="s">
        <v>98</v>
      </c>
      <c r="H201" s="12" t="s">
        <v>13</v>
      </c>
      <c r="I201" s="4">
        <v>40179</v>
      </c>
      <c r="J201" t="s">
        <v>1</v>
      </c>
      <c r="K201" s="2">
        <v>0</v>
      </c>
      <c r="M201" s="20">
        <v>5.83</v>
      </c>
      <c r="N201" s="20" t="s">
        <v>14</v>
      </c>
      <c r="Q201" s="1">
        <v>32.090000000000003</v>
      </c>
      <c r="Z201" t="s">
        <v>358</v>
      </c>
      <c r="AA201" t="s">
        <v>99</v>
      </c>
    </row>
    <row r="202" spans="1:27" x14ac:dyDescent="0.25">
      <c r="A202">
        <v>103</v>
      </c>
      <c r="B202">
        <v>20</v>
      </c>
      <c r="C202">
        <f t="shared" si="33"/>
        <v>10320</v>
      </c>
      <c r="D202" s="3" t="s">
        <v>86</v>
      </c>
      <c r="E202" s="11">
        <f t="shared" si="32"/>
        <v>6.0600000000000005</v>
      </c>
      <c r="F202" s="11">
        <f t="shared" si="31"/>
        <v>6.4999999999999964</v>
      </c>
      <c r="G202" t="s">
        <v>98</v>
      </c>
      <c r="H202" s="12" t="s">
        <v>13</v>
      </c>
      <c r="I202" s="4">
        <v>40179</v>
      </c>
      <c r="J202" t="s">
        <v>1</v>
      </c>
      <c r="K202" s="2">
        <v>0</v>
      </c>
      <c r="M202" s="20">
        <v>6.84</v>
      </c>
      <c r="N202" s="20">
        <v>2.34</v>
      </c>
      <c r="Q202" s="1">
        <v>29.05</v>
      </c>
      <c r="Z202" t="s">
        <v>358</v>
      </c>
      <c r="AA202" t="s">
        <v>99</v>
      </c>
    </row>
    <row r="203" spans="1:27" x14ac:dyDescent="0.25">
      <c r="A203">
        <v>103</v>
      </c>
      <c r="B203">
        <v>21</v>
      </c>
      <c r="C203">
        <f t="shared" si="33"/>
        <v>10321</v>
      </c>
      <c r="D203" s="3" t="s">
        <v>86</v>
      </c>
      <c r="E203" s="11">
        <f t="shared" si="32"/>
        <v>6.1000000000000005</v>
      </c>
      <c r="F203" s="11">
        <f t="shared" si="31"/>
        <v>6.5499999999999963</v>
      </c>
      <c r="G203" t="s">
        <v>98</v>
      </c>
      <c r="H203" s="12" t="s">
        <v>13</v>
      </c>
      <c r="I203" s="4">
        <v>40179</v>
      </c>
      <c r="J203" t="s">
        <v>1</v>
      </c>
      <c r="K203" s="2">
        <v>0</v>
      </c>
      <c r="M203" s="20">
        <v>2.36</v>
      </c>
      <c r="N203" s="20">
        <v>4.45</v>
      </c>
      <c r="Q203" s="1" t="s">
        <v>14</v>
      </c>
      <c r="Z203" t="s">
        <v>358</v>
      </c>
      <c r="AA203" t="s">
        <v>99</v>
      </c>
    </row>
    <row r="204" spans="1:27" x14ac:dyDescent="0.25">
      <c r="A204">
        <v>104</v>
      </c>
      <c r="B204">
        <v>1</v>
      </c>
      <c r="C204">
        <f t="shared" si="33"/>
        <v>10401</v>
      </c>
      <c r="D204" s="3" t="s">
        <v>87</v>
      </c>
      <c r="E204" s="11">
        <f t="shared" ref="E204:F213" si="34">(E172+E173)/2</f>
        <v>-22.50888888888889</v>
      </c>
      <c r="F204" s="11">
        <f t="shared" si="34"/>
        <v>-40.542361111111113</v>
      </c>
      <c r="G204" s="12" t="s">
        <v>95</v>
      </c>
      <c r="H204" s="12" t="s">
        <v>13</v>
      </c>
      <c r="I204" s="4">
        <v>35551</v>
      </c>
      <c r="J204" t="s">
        <v>1</v>
      </c>
      <c r="K204" s="2">
        <v>0</v>
      </c>
      <c r="M204" s="20">
        <v>1.6E-2</v>
      </c>
      <c r="N204" s="20" t="s">
        <v>14</v>
      </c>
      <c r="Z204" t="s">
        <v>112</v>
      </c>
      <c r="AA204" t="s">
        <v>110</v>
      </c>
    </row>
    <row r="205" spans="1:27" x14ac:dyDescent="0.25">
      <c r="A205">
        <v>104</v>
      </c>
      <c r="B205">
        <v>1</v>
      </c>
      <c r="C205">
        <f t="shared" si="33"/>
        <v>10401</v>
      </c>
      <c r="D205" s="3" t="s">
        <v>87</v>
      </c>
      <c r="E205" s="11">
        <f t="shared" si="34"/>
        <v>-22.763333333333332</v>
      </c>
      <c r="F205" s="11">
        <f t="shared" si="34"/>
        <v>-40.753888888888888</v>
      </c>
      <c r="G205" s="12" t="s">
        <v>95</v>
      </c>
      <c r="H205" s="12" t="s">
        <v>13</v>
      </c>
      <c r="I205" s="4">
        <v>35582</v>
      </c>
      <c r="J205" t="s">
        <v>1</v>
      </c>
      <c r="K205" s="2">
        <v>0</v>
      </c>
      <c r="M205" s="20">
        <v>2.2799999999999998</v>
      </c>
      <c r="N205" s="20">
        <v>1.6</v>
      </c>
      <c r="Z205" t="s">
        <v>112</v>
      </c>
      <c r="AA205" t="s">
        <v>110</v>
      </c>
    </row>
    <row r="206" spans="1:27" x14ac:dyDescent="0.25">
      <c r="A206">
        <v>104</v>
      </c>
      <c r="B206">
        <v>1</v>
      </c>
      <c r="C206">
        <f t="shared" si="33"/>
        <v>10401</v>
      </c>
      <c r="D206" s="3" t="s">
        <v>87</v>
      </c>
      <c r="E206" s="11">
        <f t="shared" si="34"/>
        <v>-22.763333333333332</v>
      </c>
      <c r="F206" s="11">
        <f t="shared" si="34"/>
        <v>-40.753888888888888</v>
      </c>
      <c r="G206" s="12" t="s">
        <v>95</v>
      </c>
      <c r="H206" s="12" t="s">
        <v>13</v>
      </c>
      <c r="I206" s="4">
        <v>35582</v>
      </c>
      <c r="J206" t="s">
        <v>1</v>
      </c>
      <c r="K206" s="2">
        <v>0</v>
      </c>
      <c r="M206" s="20">
        <v>2.52</v>
      </c>
      <c r="N206" s="20">
        <v>12</v>
      </c>
      <c r="Z206" t="s">
        <v>112</v>
      </c>
      <c r="AA206" t="s">
        <v>110</v>
      </c>
    </row>
    <row r="207" spans="1:27" x14ac:dyDescent="0.25">
      <c r="A207">
        <v>104</v>
      </c>
      <c r="B207">
        <v>1</v>
      </c>
      <c r="C207">
        <f t="shared" si="33"/>
        <v>10401</v>
      </c>
      <c r="D207" s="3" t="s">
        <v>87</v>
      </c>
      <c r="E207" s="11">
        <f t="shared" si="34"/>
        <v>-22.763333333333332</v>
      </c>
      <c r="F207" s="11">
        <f t="shared" si="34"/>
        <v>-40.753888888888888</v>
      </c>
      <c r="G207" s="12" t="s">
        <v>95</v>
      </c>
      <c r="H207" s="12" t="s">
        <v>13</v>
      </c>
      <c r="I207" s="4">
        <v>35704</v>
      </c>
      <c r="J207" t="s">
        <v>1</v>
      </c>
      <c r="K207" s="2">
        <v>0</v>
      </c>
      <c r="M207" s="20">
        <v>5.8999999999999997E-2</v>
      </c>
      <c r="N207" s="20">
        <v>0.19</v>
      </c>
      <c r="Z207" t="s">
        <v>112</v>
      </c>
      <c r="AA207" t="s">
        <v>110</v>
      </c>
    </row>
    <row r="208" spans="1:27" x14ac:dyDescent="0.25">
      <c r="A208">
        <v>104</v>
      </c>
      <c r="B208">
        <v>1</v>
      </c>
      <c r="C208">
        <f t="shared" si="33"/>
        <v>10401</v>
      </c>
      <c r="D208" s="3" t="s">
        <v>87</v>
      </c>
      <c r="E208" s="11">
        <f t="shared" si="34"/>
        <v>-22.763333333333332</v>
      </c>
      <c r="F208" s="11">
        <f t="shared" si="34"/>
        <v>-40.753888888888888</v>
      </c>
      <c r="G208" s="12" t="s">
        <v>95</v>
      </c>
      <c r="H208" s="12" t="s">
        <v>13</v>
      </c>
      <c r="I208" s="4">
        <v>35704</v>
      </c>
      <c r="J208" t="s">
        <v>1</v>
      </c>
      <c r="K208" s="2">
        <v>0</v>
      </c>
      <c r="M208" s="20">
        <v>7.5999999999999998E-2</v>
      </c>
      <c r="N208" s="20">
        <v>0.1</v>
      </c>
      <c r="Z208" t="s">
        <v>112</v>
      </c>
      <c r="AA208" t="s">
        <v>110</v>
      </c>
    </row>
    <row r="209" spans="1:27" x14ac:dyDescent="0.25">
      <c r="A209">
        <v>104</v>
      </c>
      <c r="B209">
        <v>1</v>
      </c>
      <c r="C209">
        <f t="shared" si="33"/>
        <v>10401</v>
      </c>
      <c r="D209" s="3" t="s">
        <v>87</v>
      </c>
      <c r="E209" s="11">
        <f t="shared" si="34"/>
        <v>-22.763333333333332</v>
      </c>
      <c r="F209" s="11">
        <f t="shared" si="34"/>
        <v>-40.753888888888888</v>
      </c>
      <c r="G209" s="12" t="s">
        <v>95</v>
      </c>
      <c r="H209" s="12" t="s">
        <v>13</v>
      </c>
      <c r="I209" s="4">
        <v>35704</v>
      </c>
      <c r="J209" t="s">
        <v>1</v>
      </c>
      <c r="K209" s="2">
        <v>0</v>
      </c>
      <c r="M209" s="20">
        <v>3.71</v>
      </c>
      <c r="N209" s="20">
        <v>8.11</v>
      </c>
      <c r="Z209" t="s">
        <v>112</v>
      </c>
      <c r="AA209" t="s">
        <v>110</v>
      </c>
    </row>
    <row r="210" spans="1:27" x14ac:dyDescent="0.25">
      <c r="A210">
        <v>104</v>
      </c>
      <c r="B210">
        <v>1</v>
      </c>
      <c r="C210">
        <f t="shared" si="33"/>
        <v>10401</v>
      </c>
      <c r="D210" s="3" t="s">
        <v>87</v>
      </c>
      <c r="E210" s="11">
        <f t="shared" si="34"/>
        <v>-22.763333333333332</v>
      </c>
      <c r="F210" s="11">
        <f t="shared" si="34"/>
        <v>-40.753888888888888</v>
      </c>
      <c r="G210" s="12" t="s">
        <v>95</v>
      </c>
      <c r="H210" s="12" t="s">
        <v>13</v>
      </c>
      <c r="I210" s="4">
        <v>35704</v>
      </c>
      <c r="J210" t="s">
        <v>1</v>
      </c>
      <c r="K210" s="2">
        <v>0</v>
      </c>
      <c r="M210" s="20">
        <v>2.74</v>
      </c>
      <c r="N210" s="20">
        <v>1.24</v>
      </c>
      <c r="Z210" t="s">
        <v>112</v>
      </c>
      <c r="AA210" t="s">
        <v>110</v>
      </c>
    </row>
    <row r="211" spans="1:27" x14ac:dyDescent="0.25">
      <c r="A211">
        <v>104</v>
      </c>
      <c r="B211">
        <v>1</v>
      </c>
      <c r="C211">
        <f t="shared" si="33"/>
        <v>10401</v>
      </c>
      <c r="D211" s="3" t="s">
        <v>87</v>
      </c>
      <c r="E211" s="11">
        <f t="shared" si="34"/>
        <v>-22.763333333333332</v>
      </c>
      <c r="F211" s="11">
        <f t="shared" si="34"/>
        <v>-40.753888888888888</v>
      </c>
      <c r="G211" s="12" t="s">
        <v>95</v>
      </c>
      <c r="H211" s="12" t="s">
        <v>13</v>
      </c>
      <c r="I211" s="4">
        <v>35704</v>
      </c>
      <c r="J211" t="s">
        <v>1</v>
      </c>
      <c r="K211" s="2">
        <v>0</v>
      </c>
      <c r="M211" s="20">
        <v>8.7999999999999995E-2</v>
      </c>
      <c r="N211" s="20">
        <v>0.35</v>
      </c>
      <c r="Z211" t="s">
        <v>112</v>
      </c>
      <c r="AA211" t="s">
        <v>110</v>
      </c>
    </row>
    <row r="212" spans="1:27" x14ac:dyDescent="0.25">
      <c r="A212">
        <v>104</v>
      </c>
      <c r="B212">
        <v>1</v>
      </c>
      <c r="C212">
        <f t="shared" si="33"/>
        <v>10401</v>
      </c>
      <c r="D212" s="3" t="s">
        <v>87</v>
      </c>
      <c r="E212" s="11">
        <f t="shared" si="34"/>
        <v>-22.763333333333332</v>
      </c>
      <c r="F212" s="11">
        <f t="shared" si="34"/>
        <v>-40.753888888888888</v>
      </c>
      <c r="G212" s="12" t="s">
        <v>95</v>
      </c>
      <c r="H212" s="12" t="s">
        <v>13</v>
      </c>
      <c r="I212" s="4">
        <v>36008</v>
      </c>
      <c r="J212" t="s">
        <v>1</v>
      </c>
      <c r="K212" s="2">
        <v>0</v>
      </c>
      <c r="M212" s="20" t="s">
        <v>14</v>
      </c>
      <c r="N212" s="20" t="s">
        <v>14</v>
      </c>
      <c r="Z212" t="s">
        <v>112</v>
      </c>
      <c r="AA212" t="s">
        <v>110</v>
      </c>
    </row>
    <row r="213" spans="1:27" x14ac:dyDescent="0.25">
      <c r="A213">
        <v>104</v>
      </c>
      <c r="B213">
        <v>1</v>
      </c>
      <c r="C213">
        <f t="shared" si="33"/>
        <v>10401</v>
      </c>
      <c r="D213" s="3" t="s">
        <v>87</v>
      </c>
      <c r="E213" s="11">
        <f t="shared" si="34"/>
        <v>-22.763333333333332</v>
      </c>
      <c r="F213" s="11">
        <f t="shared" si="34"/>
        <v>-40.753888888888888</v>
      </c>
      <c r="G213" s="12" t="s">
        <v>95</v>
      </c>
      <c r="H213" s="12" t="s">
        <v>13</v>
      </c>
      <c r="I213" s="4">
        <v>36008</v>
      </c>
      <c r="J213" t="s">
        <v>1</v>
      </c>
      <c r="K213" s="2">
        <v>0</v>
      </c>
      <c r="M213" s="20">
        <v>0.183</v>
      </c>
      <c r="N213" s="20" t="s">
        <v>14</v>
      </c>
      <c r="Z213" t="s">
        <v>112</v>
      </c>
      <c r="AA213" t="s">
        <v>110</v>
      </c>
    </row>
    <row r="214" spans="1:27" x14ac:dyDescent="0.25">
      <c r="A214">
        <v>105</v>
      </c>
      <c r="B214">
        <v>1</v>
      </c>
      <c r="C214">
        <f t="shared" si="33"/>
        <v>10501</v>
      </c>
      <c r="D214" s="3" t="s">
        <v>86</v>
      </c>
      <c r="E214" s="11">
        <v>58.216999999999999</v>
      </c>
      <c r="F214" s="11">
        <v>9.9269999999999996</v>
      </c>
      <c r="G214" s="12" t="s">
        <v>144</v>
      </c>
      <c r="H214" s="12" t="s">
        <v>113</v>
      </c>
      <c r="I214" t="s">
        <v>114</v>
      </c>
      <c r="J214" t="s">
        <v>20</v>
      </c>
      <c r="K214" s="2">
        <v>0</v>
      </c>
      <c r="M214" s="20">
        <v>22.1</v>
      </c>
      <c r="N214" s="20">
        <v>38.5</v>
      </c>
      <c r="Q214" s="1">
        <v>663.1</v>
      </c>
      <c r="Z214" s="15" t="s">
        <v>115</v>
      </c>
      <c r="AA214" t="s">
        <v>116</v>
      </c>
    </row>
    <row r="215" spans="1:27" x14ac:dyDescent="0.25">
      <c r="A215">
        <v>105</v>
      </c>
      <c r="B215">
        <v>2</v>
      </c>
      <c r="C215">
        <f t="shared" si="33"/>
        <v>10502</v>
      </c>
      <c r="D215" s="3" t="s">
        <v>86</v>
      </c>
      <c r="E215" s="11">
        <v>58.414999999999999</v>
      </c>
      <c r="F215" s="11">
        <v>9.5060000000000002</v>
      </c>
      <c r="G215" s="12" t="s">
        <v>144</v>
      </c>
      <c r="H215" s="12" t="s">
        <v>113</v>
      </c>
      <c r="I215" t="s">
        <v>114</v>
      </c>
      <c r="J215" t="s">
        <v>20</v>
      </c>
      <c r="K215" s="14">
        <v>0</v>
      </c>
      <c r="L215" s="14"/>
      <c r="M215" s="20">
        <v>29.3</v>
      </c>
      <c r="N215" s="20">
        <v>40.4</v>
      </c>
      <c r="Q215" s="1">
        <v>682.2</v>
      </c>
      <c r="Z215" s="15" t="s">
        <v>115</v>
      </c>
      <c r="AA215" t="s">
        <v>117</v>
      </c>
    </row>
    <row r="216" spans="1:27" x14ac:dyDescent="0.25">
      <c r="A216">
        <v>105</v>
      </c>
      <c r="B216">
        <v>3</v>
      </c>
      <c r="C216">
        <f t="shared" si="33"/>
        <v>10503</v>
      </c>
      <c r="D216" s="3" t="s">
        <v>86</v>
      </c>
      <c r="E216" s="11">
        <v>58.354999999999997</v>
      </c>
      <c r="F216" s="11">
        <v>9.625</v>
      </c>
      <c r="G216" s="12" t="s">
        <v>144</v>
      </c>
      <c r="H216" s="12" t="s">
        <v>113</v>
      </c>
      <c r="I216" t="s">
        <v>114</v>
      </c>
      <c r="J216" t="s">
        <v>20</v>
      </c>
      <c r="K216" s="14">
        <v>0</v>
      </c>
      <c r="L216" s="14"/>
      <c r="M216" s="20">
        <v>35.200000000000003</v>
      </c>
      <c r="N216" s="20">
        <v>38.1</v>
      </c>
      <c r="Q216" s="1">
        <v>683.5</v>
      </c>
      <c r="Z216" s="15" t="s">
        <v>115</v>
      </c>
      <c r="AA216" t="s">
        <v>118</v>
      </c>
    </row>
    <row r="217" spans="1:27" x14ac:dyDescent="0.25">
      <c r="A217">
        <v>105</v>
      </c>
      <c r="B217">
        <v>4</v>
      </c>
      <c r="C217">
        <f t="shared" si="33"/>
        <v>10504</v>
      </c>
      <c r="D217" s="3" t="s">
        <v>86</v>
      </c>
      <c r="E217" s="11">
        <v>58.164999999999999</v>
      </c>
      <c r="F217" s="11">
        <v>9.5180000000000007</v>
      </c>
      <c r="G217" s="12" t="s">
        <v>144</v>
      </c>
      <c r="H217" s="12" t="s">
        <v>113</v>
      </c>
      <c r="I217" t="s">
        <v>114</v>
      </c>
      <c r="J217" t="s">
        <v>20</v>
      </c>
      <c r="K217" s="14">
        <v>0</v>
      </c>
      <c r="L217" s="14"/>
      <c r="M217" s="20">
        <v>27.8</v>
      </c>
      <c r="N217" s="20">
        <v>37.9</v>
      </c>
      <c r="Q217" s="1">
        <v>687.8</v>
      </c>
      <c r="Z217" s="15" t="s">
        <v>115</v>
      </c>
      <c r="AA217" t="s">
        <v>119</v>
      </c>
    </row>
    <row r="218" spans="1:27" x14ac:dyDescent="0.25">
      <c r="A218">
        <v>105</v>
      </c>
      <c r="B218">
        <v>5</v>
      </c>
      <c r="C218">
        <f t="shared" si="33"/>
        <v>10505</v>
      </c>
      <c r="D218" s="3" t="s">
        <v>86</v>
      </c>
      <c r="E218" s="11">
        <v>58.161299999999997</v>
      </c>
      <c r="F218" s="11">
        <v>5.9177999999999997</v>
      </c>
      <c r="G218" s="12" t="s">
        <v>144</v>
      </c>
      <c r="H218" s="12" t="s">
        <v>113</v>
      </c>
      <c r="I218" t="s">
        <v>114</v>
      </c>
      <c r="J218" t="s">
        <v>20</v>
      </c>
      <c r="K218" s="14">
        <v>0</v>
      </c>
      <c r="L218" s="14"/>
      <c r="M218" s="20">
        <v>25.7</v>
      </c>
      <c r="N218" s="20">
        <v>40.5</v>
      </c>
      <c r="Q218" s="1">
        <v>730.7</v>
      </c>
      <c r="Z218" s="15" t="s">
        <v>115</v>
      </c>
      <c r="AA218" t="s">
        <v>120</v>
      </c>
    </row>
    <row r="219" spans="1:27" x14ac:dyDescent="0.25">
      <c r="A219">
        <v>105</v>
      </c>
      <c r="B219">
        <v>6</v>
      </c>
      <c r="C219">
        <f t="shared" si="33"/>
        <v>10506</v>
      </c>
      <c r="D219" s="3" t="s">
        <v>86</v>
      </c>
      <c r="E219" s="11">
        <v>58.264000000000003</v>
      </c>
      <c r="F219" s="11">
        <v>6.0797999999999996</v>
      </c>
      <c r="G219" s="12" t="s">
        <v>144</v>
      </c>
      <c r="H219" s="12" t="s">
        <v>113</v>
      </c>
      <c r="I219" t="s">
        <v>114</v>
      </c>
      <c r="J219" t="s">
        <v>20</v>
      </c>
      <c r="K219" s="14">
        <v>0</v>
      </c>
      <c r="L219" s="14"/>
      <c r="M219" s="20">
        <v>19.899999999999999</v>
      </c>
      <c r="N219" s="20">
        <v>33.4</v>
      </c>
      <c r="Q219" s="1">
        <v>654.5</v>
      </c>
      <c r="Z219" s="15" t="s">
        <v>115</v>
      </c>
      <c r="AA219" t="s">
        <v>121</v>
      </c>
    </row>
    <row r="220" spans="1:27" x14ac:dyDescent="0.25">
      <c r="A220">
        <v>105</v>
      </c>
      <c r="B220">
        <v>7</v>
      </c>
      <c r="C220">
        <f t="shared" si="33"/>
        <v>10507</v>
      </c>
      <c r="D220" s="3" t="s">
        <v>86</v>
      </c>
      <c r="E220" s="11">
        <v>58.124099999999999</v>
      </c>
      <c r="F220" s="11">
        <v>5.6367000000000003</v>
      </c>
      <c r="G220" s="12" t="s">
        <v>144</v>
      </c>
      <c r="H220" s="12" t="s">
        <v>113</v>
      </c>
      <c r="I220" t="s">
        <v>114</v>
      </c>
      <c r="J220" t="s">
        <v>20</v>
      </c>
      <c r="K220" s="14">
        <v>0</v>
      </c>
      <c r="L220" s="14"/>
      <c r="M220" s="20">
        <v>23.8</v>
      </c>
      <c r="N220" s="20">
        <v>37.1</v>
      </c>
      <c r="Q220" s="1">
        <v>641</v>
      </c>
      <c r="Z220" s="15" t="s">
        <v>115</v>
      </c>
      <c r="AA220" t="s">
        <v>122</v>
      </c>
    </row>
    <row r="221" spans="1:27" x14ac:dyDescent="0.25">
      <c r="A221">
        <v>105</v>
      </c>
      <c r="B221">
        <v>8</v>
      </c>
      <c r="C221">
        <f t="shared" si="33"/>
        <v>10508</v>
      </c>
      <c r="D221" s="3" t="s">
        <v>86</v>
      </c>
      <c r="E221" s="11">
        <v>58.273200000000003</v>
      </c>
      <c r="F221" s="11">
        <v>5.6558999999999999</v>
      </c>
      <c r="G221" s="12" t="s">
        <v>144</v>
      </c>
      <c r="H221" s="12" t="s">
        <v>113</v>
      </c>
      <c r="I221" t="s">
        <v>114</v>
      </c>
      <c r="J221" t="s">
        <v>20</v>
      </c>
      <c r="K221" s="14">
        <v>0</v>
      </c>
      <c r="L221" s="14"/>
      <c r="M221" s="20">
        <v>21.1</v>
      </c>
      <c r="N221" s="20">
        <v>36.200000000000003</v>
      </c>
      <c r="Q221" s="1">
        <v>644.9</v>
      </c>
      <c r="Z221" s="15" t="s">
        <v>115</v>
      </c>
      <c r="AA221" t="s">
        <v>123</v>
      </c>
    </row>
    <row r="222" spans="1:27" x14ac:dyDescent="0.25">
      <c r="A222">
        <v>106</v>
      </c>
      <c r="B222">
        <v>1</v>
      </c>
      <c r="C222">
        <f t="shared" si="33"/>
        <v>10601</v>
      </c>
      <c r="D222" s="3" t="s">
        <v>87</v>
      </c>
      <c r="E222" s="11">
        <f>2+53/60+32.91/3600</f>
        <v>2.8924750000000001</v>
      </c>
      <c r="F222" s="11">
        <f>4+42/60+7.06/3600</f>
        <v>4.7019611111111113</v>
      </c>
      <c r="G222" s="12" t="s">
        <v>98</v>
      </c>
      <c r="H222" s="12" t="s">
        <v>13</v>
      </c>
      <c r="I222" s="4">
        <v>32690</v>
      </c>
      <c r="J222" t="s">
        <v>125</v>
      </c>
      <c r="K222" s="2">
        <v>0</v>
      </c>
      <c r="M222" s="20">
        <v>780</v>
      </c>
      <c r="U222" s="3" t="s">
        <v>14</v>
      </c>
      <c r="X222" s="3" t="s">
        <v>14</v>
      </c>
      <c r="Z222" s="15" t="s">
        <v>124</v>
      </c>
      <c r="AA222" t="s">
        <v>126</v>
      </c>
    </row>
    <row r="223" spans="1:27" x14ac:dyDescent="0.25">
      <c r="A223">
        <v>106</v>
      </c>
      <c r="B223">
        <v>2</v>
      </c>
      <c r="C223">
        <f t="shared" si="33"/>
        <v>10602</v>
      </c>
      <c r="D223" s="3" t="s">
        <v>87</v>
      </c>
      <c r="E223" s="11">
        <v>41.8</v>
      </c>
      <c r="F223" s="11">
        <v>17.3</v>
      </c>
      <c r="G223" s="12" t="s">
        <v>127</v>
      </c>
      <c r="H223" s="12" t="s">
        <v>128</v>
      </c>
      <c r="I223" s="4">
        <v>32690</v>
      </c>
      <c r="J223" t="s">
        <v>130</v>
      </c>
      <c r="K223" s="2">
        <v>0</v>
      </c>
      <c r="M223" s="20">
        <v>0.06</v>
      </c>
      <c r="U223" s="3" t="s">
        <v>14</v>
      </c>
      <c r="X223" s="3">
        <v>7.3000000000000001E-3</v>
      </c>
      <c r="Z223" s="15" t="s">
        <v>124</v>
      </c>
      <c r="AA223" t="s">
        <v>131</v>
      </c>
    </row>
    <row r="224" spans="1:27" x14ac:dyDescent="0.25">
      <c r="A224">
        <v>106</v>
      </c>
      <c r="B224">
        <v>3</v>
      </c>
      <c r="C224">
        <f t="shared" si="33"/>
        <v>10603</v>
      </c>
      <c r="D224" s="3" t="s">
        <v>87</v>
      </c>
      <c r="E224" s="11">
        <v>5.01</v>
      </c>
      <c r="F224" s="11">
        <v>5.89</v>
      </c>
      <c r="G224" s="12" t="s">
        <v>129</v>
      </c>
      <c r="H224" s="12" t="s">
        <v>13</v>
      </c>
      <c r="I224" s="4">
        <v>32690</v>
      </c>
      <c r="J224" t="s">
        <v>130</v>
      </c>
      <c r="K224" s="2">
        <v>0</v>
      </c>
      <c r="M224" s="20">
        <v>5</v>
      </c>
      <c r="U224" s="3" t="s">
        <v>14</v>
      </c>
      <c r="X224" s="3" t="s">
        <v>14</v>
      </c>
      <c r="Z224" s="15" t="s">
        <v>124</v>
      </c>
      <c r="AA224" t="s">
        <v>131</v>
      </c>
    </row>
    <row r="225" spans="1:27" x14ac:dyDescent="0.25">
      <c r="A225">
        <v>107</v>
      </c>
      <c r="B225">
        <v>1</v>
      </c>
      <c r="C225">
        <f t="shared" si="33"/>
        <v>10701</v>
      </c>
      <c r="D225" s="3" t="s">
        <v>87</v>
      </c>
      <c r="E225" s="11">
        <v>4.1100000000000003</v>
      </c>
      <c r="F225" s="11">
        <v>25.12</v>
      </c>
      <c r="G225" s="12" t="s">
        <v>134</v>
      </c>
      <c r="H225" s="12" t="s">
        <v>13</v>
      </c>
      <c r="I225" s="4">
        <v>33239</v>
      </c>
      <c r="J225" t="s">
        <v>1</v>
      </c>
      <c r="K225" s="2">
        <v>0</v>
      </c>
      <c r="M225" s="20">
        <v>0.06</v>
      </c>
      <c r="U225" s="3">
        <v>7.0000000000000001E-3</v>
      </c>
      <c r="X225" s="3" t="s">
        <v>14</v>
      </c>
      <c r="Z225" s="15" t="s">
        <v>132</v>
      </c>
      <c r="AA225" t="s">
        <v>133</v>
      </c>
    </row>
    <row r="226" spans="1:27" x14ac:dyDescent="0.25">
      <c r="A226">
        <v>108</v>
      </c>
      <c r="B226">
        <v>1</v>
      </c>
      <c r="C226">
        <f t="shared" si="33"/>
        <v>10801</v>
      </c>
      <c r="D226" s="3" t="s">
        <v>87</v>
      </c>
      <c r="E226" s="11">
        <v>26.18</v>
      </c>
      <c r="F226" s="11">
        <v>-97.08</v>
      </c>
      <c r="G226" s="12" t="s">
        <v>15</v>
      </c>
      <c r="H226" s="12" t="s">
        <v>17</v>
      </c>
      <c r="I226" s="4">
        <v>33786</v>
      </c>
      <c r="J226" t="s">
        <v>1</v>
      </c>
      <c r="K226" s="2">
        <v>0</v>
      </c>
      <c r="M226" s="20">
        <v>9.7058570568504074E-2</v>
      </c>
      <c r="Z226" s="15" t="s">
        <v>136</v>
      </c>
      <c r="AA226" t="s">
        <v>135</v>
      </c>
    </row>
    <row r="227" spans="1:27" x14ac:dyDescent="0.25">
      <c r="A227">
        <v>108</v>
      </c>
      <c r="B227">
        <v>2</v>
      </c>
      <c r="C227">
        <f t="shared" si="33"/>
        <v>10802</v>
      </c>
      <c r="D227" s="3" t="s">
        <v>87</v>
      </c>
      <c r="E227" s="11">
        <v>26.81</v>
      </c>
      <c r="F227" s="11">
        <v>-97.215400000000002</v>
      </c>
      <c r="G227" s="12" t="s">
        <v>15</v>
      </c>
      <c r="H227" s="12" t="s">
        <v>17</v>
      </c>
      <c r="I227" s="4">
        <v>33786</v>
      </c>
      <c r="J227" t="s">
        <v>1</v>
      </c>
      <c r="K227" s="2">
        <v>0</v>
      </c>
      <c r="M227" s="20">
        <v>0.77646856454803226</v>
      </c>
      <c r="Z227" s="15" t="s">
        <v>136</v>
      </c>
      <c r="AA227" t="s">
        <v>135</v>
      </c>
    </row>
    <row r="228" spans="1:27" x14ac:dyDescent="0.25">
      <c r="A228">
        <v>108</v>
      </c>
      <c r="B228">
        <v>3</v>
      </c>
      <c r="C228">
        <f t="shared" si="33"/>
        <v>10803</v>
      </c>
      <c r="D228" s="3" t="s">
        <v>87</v>
      </c>
      <c r="E228" s="11">
        <v>26.92</v>
      </c>
      <c r="F228" s="11">
        <f>F227+0.1</f>
        <v>-97.115400000000008</v>
      </c>
      <c r="G228" s="12" t="s">
        <v>15</v>
      </c>
      <c r="H228" s="12" t="s">
        <v>17</v>
      </c>
      <c r="I228" s="4">
        <v>33786</v>
      </c>
      <c r="J228" t="s">
        <v>1</v>
      </c>
      <c r="K228" s="2">
        <v>0</v>
      </c>
      <c r="M228" s="20">
        <v>0.97082437430119495</v>
      </c>
      <c r="Z228" s="15" t="s">
        <v>136</v>
      </c>
      <c r="AA228" t="s">
        <v>135</v>
      </c>
    </row>
    <row r="229" spans="1:27" x14ac:dyDescent="0.25">
      <c r="A229">
        <v>108</v>
      </c>
      <c r="B229">
        <v>4</v>
      </c>
      <c r="C229">
        <f t="shared" si="33"/>
        <v>10804</v>
      </c>
      <c r="D229" s="3" t="s">
        <v>87</v>
      </c>
      <c r="E229" s="11">
        <v>27.1</v>
      </c>
      <c r="F229" s="11">
        <f>F228+0.1</f>
        <v>-97.015400000000014</v>
      </c>
      <c r="G229" s="12" t="s">
        <v>15</v>
      </c>
      <c r="H229" s="12" t="s">
        <v>17</v>
      </c>
      <c r="I229" s="4">
        <v>33786</v>
      </c>
      <c r="J229" t="s">
        <v>1</v>
      </c>
      <c r="K229" s="2">
        <v>0</v>
      </c>
      <c r="M229" s="20">
        <v>2.9610024081878357</v>
      </c>
      <c r="Z229" s="15" t="s">
        <v>136</v>
      </c>
      <c r="AA229" t="s">
        <v>135</v>
      </c>
    </row>
    <row r="230" spans="1:27" x14ac:dyDescent="0.25">
      <c r="A230">
        <v>108</v>
      </c>
      <c r="B230">
        <v>5</v>
      </c>
      <c r="C230">
        <f t="shared" si="33"/>
        <v>10805</v>
      </c>
      <c r="D230" s="3" t="s">
        <v>87</v>
      </c>
      <c r="E230" s="11">
        <v>27.21</v>
      </c>
      <c r="F230" s="11">
        <v>-96.2</v>
      </c>
      <c r="G230" s="12" t="s">
        <v>15</v>
      </c>
      <c r="H230" s="12" t="s">
        <v>17</v>
      </c>
      <c r="I230" s="4">
        <v>33786</v>
      </c>
      <c r="J230" t="s">
        <v>1</v>
      </c>
      <c r="K230" s="2">
        <v>0</v>
      </c>
      <c r="M230" s="20">
        <v>3.4696052292078772</v>
      </c>
      <c r="Z230" s="15" t="s">
        <v>136</v>
      </c>
      <c r="AA230" t="s">
        <v>135</v>
      </c>
    </row>
    <row r="231" spans="1:27" x14ac:dyDescent="0.25">
      <c r="A231">
        <v>108</v>
      </c>
      <c r="B231">
        <v>6</v>
      </c>
      <c r="C231">
        <f t="shared" si="33"/>
        <v>10806</v>
      </c>
      <c r="D231" s="3" t="s">
        <v>87</v>
      </c>
      <c r="E231" s="11">
        <v>27.32</v>
      </c>
      <c r="F231" s="11">
        <f>F230+0.1035</f>
        <v>-96.096500000000006</v>
      </c>
      <c r="G231" s="12" t="s">
        <v>15</v>
      </c>
      <c r="H231" s="12" t="s">
        <v>17</v>
      </c>
      <c r="I231" s="4">
        <v>33786</v>
      </c>
      <c r="J231" t="s">
        <v>1</v>
      </c>
      <c r="K231" s="2">
        <v>0</v>
      </c>
      <c r="M231" s="20">
        <v>5.8355272211232316</v>
      </c>
      <c r="Z231" s="15" t="s">
        <v>136</v>
      </c>
      <c r="AA231" t="s">
        <v>135</v>
      </c>
    </row>
    <row r="232" spans="1:27" x14ac:dyDescent="0.25">
      <c r="A232">
        <v>108</v>
      </c>
      <c r="B232">
        <v>7</v>
      </c>
      <c r="C232">
        <f t="shared" si="33"/>
        <v>10807</v>
      </c>
      <c r="D232" s="3" t="s">
        <v>87</v>
      </c>
      <c r="E232" s="11">
        <v>27.43</v>
      </c>
      <c r="F232" s="11">
        <f>F231+0.1</f>
        <v>-95.996500000000012</v>
      </c>
      <c r="G232" s="12" t="s">
        <v>15</v>
      </c>
      <c r="H232" s="12" t="s">
        <v>17</v>
      </c>
      <c r="I232" s="4">
        <v>33786</v>
      </c>
      <c r="J232" t="s">
        <v>1</v>
      </c>
      <c r="K232" s="2">
        <v>0</v>
      </c>
      <c r="M232" s="20">
        <v>7.0120043863420998</v>
      </c>
      <c r="Z232" s="15" t="s">
        <v>136</v>
      </c>
      <c r="AA232" t="s">
        <v>135</v>
      </c>
    </row>
    <row r="233" spans="1:27" x14ac:dyDescent="0.25">
      <c r="A233">
        <v>108</v>
      </c>
      <c r="B233">
        <v>8</v>
      </c>
      <c r="C233">
        <f t="shared" si="33"/>
        <v>10808</v>
      </c>
      <c r="D233" s="3" t="s">
        <v>87</v>
      </c>
      <c r="E233" s="11">
        <v>27.55</v>
      </c>
      <c r="F233" s="11">
        <f>F232+0.1</f>
        <v>-95.896500000000017</v>
      </c>
      <c r="G233" s="12" t="s">
        <v>15</v>
      </c>
      <c r="H233" s="12" t="s">
        <v>17</v>
      </c>
      <c r="I233" s="4">
        <v>33786</v>
      </c>
      <c r="J233" t="s">
        <v>1</v>
      </c>
      <c r="K233" s="2">
        <v>0</v>
      </c>
      <c r="M233" s="20">
        <v>8.57671583383501</v>
      </c>
      <c r="Z233" s="15" t="s">
        <v>136</v>
      </c>
      <c r="AA233" t="s">
        <v>135</v>
      </c>
    </row>
    <row r="234" spans="1:27" x14ac:dyDescent="0.25">
      <c r="A234">
        <v>108</v>
      </c>
      <c r="B234">
        <v>9</v>
      </c>
      <c r="C234">
        <f t="shared" si="33"/>
        <v>10809</v>
      </c>
      <c r="D234" s="3" t="s">
        <v>87</v>
      </c>
      <c r="E234" s="11">
        <v>27.67</v>
      </c>
      <c r="F234" s="11">
        <v>-95.2</v>
      </c>
      <c r="G234" s="12" t="s">
        <v>15</v>
      </c>
      <c r="H234" s="12" t="s">
        <v>17</v>
      </c>
      <c r="I234" s="4">
        <v>33786</v>
      </c>
      <c r="J234" t="s">
        <v>1</v>
      </c>
      <c r="K234" s="2">
        <v>0</v>
      </c>
      <c r="M234" s="20">
        <v>9.1835705685043294</v>
      </c>
      <c r="Z234" s="15" t="s">
        <v>136</v>
      </c>
      <c r="AA234" t="s">
        <v>135</v>
      </c>
    </row>
    <row r="235" spans="1:27" x14ac:dyDescent="0.25">
      <c r="A235">
        <v>108</v>
      </c>
      <c r="B235">
        <v>10</v>
      </c>
      <c r="C235">
        <f t="shared" si="33"/>
        <v>10810</v>
      </c>
      <c r="D235" s="3" t="s">
        <v>87</v>
      </c>
      <c r="E235" s="11">
        <v>27.87</v>
      </c>
      <c r="F235" s="11">
        <f>F234+0.1035</f>
        <v>-95.096500000000006</v>
      </c>
      <c r="G235" s="12" t="s">
        <v>15</v>
      </c>
      <c r="H235" s="12" t="s">
        <v>17</v>
      </c>
      <c r="I235" s="4">
        <v>33786</v>
      </c>
      <c r="J235" t="s">
        <v>1</v>
      </c>
      <c r="K235" s="2">
        <v>0</v>
      </c>
      <c r="M235" s="20">
        <v>14.229900232218091</v>
      </c>
      <c r="Z235" s="15" t="s">
        <v>136</v>
      </c>
      <c r="AA235" t="s">
        <v>135</v>
      </c>
    </row>
    <row r="236" spans="1:27" x14ac:dyDescent="0.25">
      <c r="A236">
        <v>108</v>
      </c>
      <c r="B236">
        <v>11</v>
      </c>
      <c r="C236">
        <f t="shared" si="33"/>
        <v>10811</v>
      </c>
      <c r="D236" s="3" t="s">
        <v>87</v>
      </c>
      <c r="E236" s="11">
        <v>27.95</v>
      </c>
      <c r="F236" s="11">
        <f>F235+0.1</f>
        <v>-94.996500000000012</v>
      </c>
      <c r="G236" s="12" t="s">
        <v>15</v>
      </c>
      <c r="H236" s="12" t="s">
        <v>17</v>
      </c>
      <c r="I236" s="4">
        <v>33786</v>
      </c>
      <c r="J236" t="s">
        <v>1</v>
      </c>
      <c r="K236" s="2">
        <v>0</v>
      </c>
      <c r="M236" s="20">
        <v>0.30179766609795988</v>
      </c>
      <c r="Z236" s="15" t="s">
        <v>136</v>
      </c>
      <c r="AA236" t="s">
        <v>135</v>
      </c>
    </row>
    <row r="237" spans="1:27" x14ac:dyDescent="0.25">
      <c r="A237">
        <v>108</v>
      </c>
      <c r="B237">
        <v>12</v>
      </c>
      <c r="C237">
        <f t="shared" si="33"/>
        <v>10812</v>
      </c>
      <c r="D237" s="3" t="s">
        <v>87</v>
      </c>
      <c r="E237" s="11">
        <v>28.12</v>
      </c>
      <c r="F237" s="11">
        <f>F236+0.1</f>
        <v>-94.896500000000017</v>
      </c>
      <c r="G237" s="12" t="s">
        <v>15</v>
      </c>
      <c r="H237" s="12" t="s">
        <v>17</v>
      </c>
      <c r="I237" s="4">
        <v>33786</v>
      </c>
      <c r="J237" t="s">
        <v>1</v>
      </c>
      <c r="K237" s="2">
        <v>0</v>
      </c>
      <c r="M237" s="20">
        <v>0.24143813288206781</v>
      </c>
      <c r="Z237" s="15" t="s">
        <v>136</v>
      </c>
      <c r="AA237" t="s">
        <v>135</v>
      </c>
    </row>
    <row r="238" spans="1:27" x14ac:dyDescent="0.25">
      <c r="A238">
        <v>108</v>
      </c>
      <c r="B238">
        <v>13</v>
      </c>
      <c r="C238">
        <f t="shared" si="33"/>
        <v>10813</v>
      </c>
      <c r="D238" s="3" t="s">
        <v>87</v>
      </c>
      <c r="E238" s="11">
        <v>28.24</v>
      </c>
      <c r="F238" s="11">
        <v>-94.2</v>
      </c>
      <c r="G238" s="12" t="s">
        <v>15</v>
      </c>
      <c r="H238" s="12" t="s">
        <v>17</v>
      </c>
      <c r="I238" s="4">
        <v>33786</v>
      </c>
      <c r="J238" t="s">
        <v>1</v>
      </c>
      <c r="K238" s="2">
        <v>0</v>
      </c>
      <c r="M238" s="20">
        <v>0.33187896690795987</v>
      </c>
      <c r="Z238" s="15" t="s">
        <v>136</v>
      </c>
      <c r="AA238" t="s">
        <v>135</v>
      </c>
    </row>
    <row r="239" spans="1:27" x14ac:dyDescent="0.25">
      <c r="A239">
        <v>108</v>
      </c>
      <c r="B239">
        <v>14</v>
      </c>
      <c r="C239">
        <f t="shared" si="33"/>
        <v>10814</v>
      </c>
      <c r="D239" s="3" t="s">
        <v>87</v>
      </c>
      <c r="E239" s="11">
        <v>28.31</v>
      </c>
      <c r="F239" s="11">
        <f>F238+0.1035</f>
        <v>-94.096500000000006</v>
      </c>
      <c r="G239" s="12" t="s">
        <v>15</v>
      </c>
      <c r="H239" s="12" t="s">
        <v>17</v>
      </c>
      <c r="I239" s="4">
        <v>33786</v>
      </c>
      <c r="J239" t="s">
        <v>1</v>
      </c>
      <c r="K239" s="2">
        <v>0</v>
      </c>
      <c r="M239" s="20">
        <v>0.60320146896713456</v>
      </c>
      <c r="Z239" s="15" t="s">
        <v>136</v>
      </c>
      <c r="AA239" t="s">
        <v>135</v>
      </c>
    </row>
    <row r="240" spans="1:27" x14ac:dyDescent="0.25">
      <c r="A240">
        <v>108</v>
      </c>
      <c r="B240">
        <v>15</v>
      </c>
      <c r="C240">
        <f t="shared" si="33"/>
        <v>10815</v>
      </c>
      <c r="D240" s="3" t="s">
        <v>87</v>
      </c>
      <c r="E240" s="11">
        <v>28.5</v>
      </c>
      <c r="F240" s="11">
        <f>F239+0.1</f>
        <v>-93.996500000000012</v>
      </c>
      <c r="G240" s="12" t="s">
        <v>15</v>
      </c>
      <c r="H240" s="12" t="s">
        <v>17</v>
      </c>
      <c r="I240" s="4">
        <v>33786</v>
      </c>
      <c r="J240" t="s">
        <v>1</v>
      </c>
      <c r="K240" s="2">
        <v>0</v>
      </c>
      <c r="M240" s="20">
        <v>1.056390297076055</v>
      </c>
      <c r="Z240" s="15" t="s">
        <v>136</v>
      </c>
      <c r="AA240" t="s">
        <v>135</v>
      </c>
    </row>
    <row r="241" spans="1:27" x14ac:dyDescent="0.25">
      <c r="A241">
        <v>108</v>
      </c>
      <c r="B241">
        <v>16</v>
      </c>
      <c r="C241">
        <f t="shared" si="33"/>
        <v>10816</v>
      </c>
      <c r="D241" s="3" t="s">
        <v>87</v>
      </c>
      <c r="E241" s="11">
        <v>28.61</v>
      </c>
      <c r="F241" s="11">
        <f>F240+0.1</f>
        <v>-93.896500000000017</v>
      </c>
      <c r="G241" s="12" t="s">
        <v>15</v>
      </c>
      <c r="H241" s="12" t="s">
        <v>17</v>
      </c>
      <c r="I241" s="4">
        <v>33786</v>
      </c>
      <c r="J241" t="s">
        <v>1</v>
      </c>
      <c r="K241" s="2">
        <v>0</v>
      </c>
      <c r="M241" s="20">
        <v>1.6601825608308658</v>
      </c>
      <c r="Z241" s="15" t="s">
        <v>136</v>
      </c>
      <c r="AA241" t="s">
        <v>135</v>
      </c>
    </row>
    <row r="242" spans="1:27" x14ac:dyDescent="0.25">
      <c r="A242">
        <v>108</v>
      </c>
      <c r="B242">
        <v>17</v>
      </c>
      <c r="C242">
        <f t="shared" si="33"/>
        <v>10817</v>
      </c>
      <c r="D242" s="3" t="s">
        <v>87</v>
      </c>
      <c r="E242" s="11">
        <v>28.72</v>
      </c>
      <c r="F242" s="11">
        <v>-93.2</v>
      </c>
      <c r="G242" s="12" t="s">
        <v>15</v>
      </c>
      <c r="H242" s="12" t="s">
        <v>17</v>
      </c>
      <c r="I242" s="4">
        <v>33786</v>
      </c>
      <c r="J242" t="s">
        <v>1</v>
      </c>
      <c r="K242" s="2">
        <v>0</v>
      </c>
      <c r="M242" s="20">
        <v>4.1178396072013035</v>
      </c>
      <c r="Z242" s="15" t="s">
        <v>136</v>
      </c>
      <c r="AA242" t="s">
        <v>135</v>
      </c>
    </row>
    <row r="243" spans="1:27" x14ac:dyDescent="0.25">
      <c r="A243">
        <v>108</v>
      </c>
      <c r="B243">
        <v>18</v>
      </c>
      <c r="C243">
        <f t="shared" si="33"/>
        <v>10818</v>
      </c>
      <c r="D243" s="3" t="s">
        <v>87</v>
      </c>
      <c r="E243" s="11">
        <v>28.8</v>
      </c>
      <c r="F243" s="11">
        <f>F242+0.1035</f>
        <v>-93.096500000000006</v>
      </c>
      <c r="G243" s="12" t="s">
        <v>15</v>
      </c>
      <c r="H243" s="12" t="s">
        <v>17</v>
      </c>
      <c r="I243" s="4">
        <v>33786</v>
      </c>
      <c r="J243" t="s">
        <v>1</v>
      </c>
      <c r="K243" s="2">
        <v>0</v>
      </c>
      <c r="M243" s="20">
        <v>4.4064428559859898</v>
      </c>
      <c r="Z243" s="15" t="s">
        <v>136</v>
      </c>
      <c r="AA243" t="s">
        <v>135</v>
      </c>
    </row>
    <row r="244" spans="1:27" x14ac:dyDescent="0.25">
      <c r="A244">
        <v>108</v>
      </c>
      <c r="B244">
        <v>19</v>
      </c>
      <c r="C244">
        <f t="shared" si="33"/>
        <v>10819</v>
      </c>
      <c r="D244" s="3" t="s">
        <v>87</v>
      </c>
      <c r="E244" s="11">
        <v>28.91</v>
      </c>
      <c r="F244" s="11">
        <f>F243+0.1</f>
        <v>-92.996500000000012</v>
      </c>
      <c r="G244" s="12" t="s">
        <v>15</v>
      </c>
      <c r="H244" s="12" t="s">
        <v>17</v>
      </c>
      <c r="I244" s="4">
        <v>33786</v>
      </c>
      <c r="J244" t="s">
        <v>1</v>
      </c>
      <c r="K244" s="2">
        <v>0</v>
      </c>
      <c r="M244" s="20">
        <v>7.451152980830428</v>
      </c>
      <c r="Z244" s="15" t="s">
        <v>136</v>
      </c>
      <c r="AA244" t="s">
        <v>135</v>
      </c>
    </row>
    <row r="245" spans="1:27" x14ac:dyDescent="0.25">
      <c r="A245">
        <v>108</v>
      </c>
      <c r="B245">
        <v>20</v>
      </c>
      <c r="C245">
        <f t="shared" si="33"/>
        <v>10820</v>
      </c>
      <c r="D245" s="3" t="s">
        <v>87</v>
      </c>
      <c r="E245" s="11">
        <v>28.99</v>
      </c>
      <c r="F245" s="11">
        <f>F244+0.1</f>
        <v>-92.896500000000017</v>
      </c>
      <c r="G245" s="12" t="s">
        <v>15</v>
      </c>
      <c r="H245" s="12" t="s">
        <v>17</v>
      </c>
      <c r="I245" s="4">
        <v>33786</v>
      </c>
      <c r="J245" t="s">
        <v>1</v>
      </c>
      <c r="K245" s="2">
        <v>0</v>
      </c>
      <c r="M245" s="20">
        <v>10.112092664192872</v>
      </c>
      <c r="Z245" s="15" t="s">
        <v>136</v>
      </c>
      <c r="AA245" t="s">
        <v>135</v>
      </c>
    </row>
    <row r="246" spans="1:27" x14ac:dyDescent="0.25">
      <c r="A246">
        <v>108</v>
      </c>
      <c r="B246">
        <v>21</v>
      </c>
      <c r="C246">
        <f t="shared" si="33"/>
        <v>10821</v>
      </c>
      <c r="D246" s="3" t="s">
        <v>87</v>
      </c>
      <c r="E246" s="11">
        <v>29.1</v>
      </c>
      <c r="F246" s="11">
        <v>-92.2</v>
      </c>
      <c r="G246" s="12" t="s">
        <v>15</v>
      </c>
      <c r="H246" s="12" t="s">
        <v>17</v>
      </c>
      <c r="I246" s="4">
        <v>33786</v>
      </c>
      <c r="J246" t="s">
        <v>1</v>
      </c>
      <c r="K246" s="2">
        <v>0</v>
      </c>
      <c r="M246" s="20">
        <v>12.801735127564074</v>
      </c>
      <c r="Z246" s="15" t="s">
        <v>136</v>
      </c>
      <c r="AA246" t="s">
        <v>135</v>
      </c>
    </row>
    <row r="247" spans="1:27" x14ac:dyDescent="0.25">
      <c r="A247">
        <v>108</v>
      </c>
      <c r="B247">
        <v>22</v>
      </c>
      <c r="C247">
        <f t="shared" si="33"/>
        <v>10822</v>
      </c>
      <c r="D247" s="3" t="s">
        <v>87</v>
      </c>
      <c r="E247" s="11">
        <v>29.25</v>
      </c>
      <c r="F247" s="11">
        <f>F246+0.1035</f>
        <v>-92.096500000000006</v>
      </c>
      <c r="G247" s="12" t="s">
        <v>15</v>
      </c>
      <c r="H247" s="12" t="s">
        <v>17</v>
      </c>
      <c r="I247" s="4">
        <v>33786</v>
      </c>
      <c r="J247" t="s">
        <v>1</v>
      </c>
      <c r="K247" s="2">
        <v>0</v>
      </c>
      <c r="M247" s="20">
        <v>14.666972708269959</v>
      </c>
      <c r="Z247" s="15" t="s">
        <v>136</v>
      </c>
      <c r="AA247" t="s">
        <v>135</v>
      </c>
    </row>
    <row r="248" spans="1:27" x14ac:dyDescent="0.25">
      <c r="A248">
        <v>108</v>
      </c>
      <c r="B248">
        <v>23</v>
      </c>
      <c r="C248">
        <f t="shared" si="33"/>
        <v>10823</v>
      </c>
      <c r="D248" s="3" t="s">
        <v>87</v>
      </c>
      <c r="E248" s="11">
        <v>29.34</v>
      </c>
      <c r="F248" s="11">
        <f>F247+0.1</f>
        <v>-91.996500000000012</v>
      </c>
      <c r="G248" s="12" t="s">
        <v>15</v>
      </c>
      <c r="H248" s="12" t="s">
        <v>17</v>
      </c>
      <c r="I248" s="4">
        <v>33786</v>
      </c>
      <c r="J248" t="s">
        <v>1</v>
      </c>
      <c r="K248" s="2">
        <v>0</v>
      </c>
      <c r="M248" s="20">
        <v>15.813409976920122</v>
      </c>
      <c r="Z248" s="15" t="s">
        <v>136</v>
      </c>
      <c r="AA248" t="s">
        <v>135</v>
      </c>
    </row>
    <row r="249" spans="1:27" x14ac:dyDescent="0.25">
      <c r="A249">
        <v>108</v>
      </c>
      <c r="B249">
        <v>24</v>
      </c>
      <c r="C249">
        <f t="shared" si="33"/>
        <v>10824</v>
      </c>
      <c r="D249" s="3" t="s">
        <v>87</v>
      </c>
      <c r="E249" s="11">
        <v>29.41</v>
      </c>
      <c r="F249" s="11">
        <f>F248+0.1</f>
        <v>-91.896500000000017</v>
      </c>
      <c r="G249" s="12" t="s">
        <v>15</v>
      </c>
      <c r="H249" s="12" t="s">
        <v>17</v>
      </c>
      <c r="I249" s="4">
        <v>33786</v>
      </c>
      <c r="J249" t="s">
        <v>1</v>
      </c>
      <c r="K249" s="2">
        <v>0</v>
      </c>
      <c r="M249" s="20">
        <v>16.899684642470284</v>
      </c>
      <c r="Z249" s="15" t="s">
        <v>136</v>
      </c>
      <c r="AA249" t="s">
        <v>135</v>
      </c>
    </row>
    <row r="250" spans="1:27" x14ac:dyDescent="0.25">
      <c r="A250">
        <v>108</v>
      </c>
      <c r="B250">
        <v>25</v>
      </c>
      <c r="C250">
        <f t="shared" si="33"/>
        <v>10825</v>
      </c>
      <c r="D250" s="3" t="s">
        <v>87</v>
      </c>
      <c r="E250" s="11">
        <v>29.5</v>
      </c>
      <c r="F250" s="11">
        <v>-94.1</v>
      </c>
      <c r="G250" s="12" t="s">
        <v>15</v>
      </c>
      <c r="H250" s="12" t="s">
        <v>17</v>
      </c>
      <c r="I250" s="4">
        <v>33786</v>
      </c>
      <c r="J250" t="s">
        <v>1</v>
      </c>
      <c r="K250" s="2">
        <v>0</v>
      </c>
      <c r="M250" s="20">
        <v>31.446922944507921</v>
      </c>
      <c r="Z250" s="15" t="s">
        <v>136</v>
      </c>
      <c r="AA250" t="s">
        <v>135</v>
      </c>
    </row>
    <row r="251" spans="1:27" x14ac:dyDescent="0.25">
      <c r="A251">
        <v>109</v>
      </c>
      <c r="B251">
        <v>1</v>
      </c>
      <c r="C251">
        <f t="shared" si="33"/>
        <v>10901</v>
      </c>
      <c r="D251" s="3" t="s">
        <v>86</v>
      </c>
      <c r="E251" s="11">
        <f>28+7/60+53/3600</f>
        <v>28.131388888888889</v>
      </c>
      <c r="F251" s="11">
        <f>33+14/60+55/3600</f>
        <v>33.24861111111111</v>
      </c>
      <c r="G251" s="12" t="s">
        <v>137</v>
      </c>
      <c r="H251" s="12" t="s">
        <v>138</v>
      </c>
      <c r="I251" s="4">
        <v>43831</v>
      </c>
      <c r="J251" t="s">
        <v>125</v>
      </c>
      <c r="K251" s="2">
        <v>0</v>
      </c>
      <c r="M251" s="20">
        <v>21000</v>
      </c>
      <c r="N251" s="20">
        <v>980</v>
      </c>
      <c r="R251" s="1">
        <v>1420</v>
      </c>
      <c r="Z251" s="28" t="s">
        <v>192</v>
      </c>
      <c r="AA251" t="s">
        <v>139</v>
      </c>
    </row>
    <row r="252" spans="1:27" x14ac:dyDescent="0.25">
      <c r="A252">
        <v>110</v>
      </c>
      <c r="B252">
        <v>1</v>
      </c>
      <c r="C252">
        <f t="shared" si="33"/>
        <v>11001</v>
      </c>
      <c r="D252" s="21" t="s">
        <v>86</v>
      </c>
      <c r="E252" s="11">
        <f>61+15/60+20/3600</f>
        <v>61.255555555555553</v>
      </c>
      <c r="F252" s="11">
        <f>1+51/60+14/3600</f>
        <v>1.8538888888888889</v>
      </c>
      <c r="G252" s="12" t="s">
        <v>144</v>
      </c>
      <c r="H252" s="12" t="s">
        <v>39</v>
      </c>
      <c r="I252" s="4">
        <v>35431</v>
      </c>
      <c r="J252" t="s">
        <v>1</v>
      </c>
      <c r="K252" s="2">
        <v>250</v>
      </c>
      <c r="M252" s="20" t="s">
        <v>14</v>
      </c>
      <c r="N252" s="20">
        <v>0.52500000000000002</v>
      </c>
      <c r="Z252" s="15" t="s">
        <v>156</v>
      </c>
      <c r="AA252" t="s">
        <v>145</v>
      </c>
    </row>
    <row r="253" spans="1:27" x14ac:dyDescent="0.25">
      <c r="A253">
        <v>110</v>
      </c>
      <c r="B253">
        <v>2</v>
      </c>
      <c r="C253">
        <f t="shared" si="33"/>
        <v>11002</v>
      </c>
      <c r="D253" s="21" t="s">
        <v>86</v>
      </c>
      <c r="E253" s="11">
        <f>61+15/60+20/3600</f>
        <v>61.255555555555553</v>
      </c>
      <c r="F253" s="11">
        <f>1+51/60+14/3600</f>
        <v>1.8538888888888889</v>
      </c>
      <c r="G253" s="12" t="s">
        <v>144</v>
      </c>
      <c r="H253" s="12" t="s">
        <v>39</v>
      </c>
      <c r="I253" s="4">
        <v>35431</v>
      </c>
      <c r="J253" t="s">
        <v>1</v>
      </c>
      <c r="K253" s="2">
        <v>250</v>
      </c>
      <c r="M253" s="20">
        <f>(3.5+0.7+7.6)/3</f>
        <v>3.9333333333333336</v>
      </c>
      <c r="N253" s="20">
        <v>1.9</v>
      </c>
      <c r="Z253" s="15" t="s">
        <v>156</v>
      </c>
      <c r="AA253" t="s">
        <v>155</v>
      </c>
    </row>
    <row r="254" spans="1:27" x14ac:dyDescent="0.25">
      <c r="A254">
        <v>110</v>
      </c>
      <c r="B254">
        <v>3</v>
      </c>
      <c r="C254">
        <f t="shared" si="33"/>
        <v>11003</v>
      </c>
      <c r="D254" s="21" t="s">
        <v>86</v>
      </c>
      <c r="E254" s="11">
        <f>61+15/60+20/3600</f>
        <v>61.255555555555553</v>
      </c>
      <c r="F254" s="11">
        <f>1+51/60+14/3600</f>
        <v>1.8538888888888889</v>
      </c>
      <c r="G254" s="12" t="s">
        <v>144</v>
      </c>
      <c r="H254" s="12" t="s">
        <v>39</v>
      </c>
      <c r="I254" s="4">
        <v>35431</v>
      </c>
      <c r="J254" t="s">
        <v>1</v>
      </c>
      <c r="K254" s="2">
        <v>250</v>
      </c>
      <c r="M254" s="20">
        <f>(1.9+2.5+2.2)/3</f>
        <v>2.2000000000000002</v>
      </c>
      <c r="N254" s="20">
        <v>2.2250000000000001</v>
      </c>
      <c r="Z254" s="15" t="s">
        <v>156</v>
      </c>
      <c r="AA254" t="s">
        <v>154</v>
      </c>
    </row>
    <row r="255" spans="1:27" s="12" customFormat="1" x14ac:dyDescent="0.25">
      <c r="A255">
        <v>110</v>
      </c>
      <c r="B255" s="12">
        <v>4</v>
      </c>
      <c r="C255">
        <f t="shared" si="33"/>
        <v>11004</v>
      </c>
      <c r="D255" s="21" t="s">
        <v>86</v>
      </c>
      <c r="E255" s="11">
        <f>61+12/60+53.8/3600</f>
        <v>61.214944444444448</v>
      </c>
      <c r="F255" s="11">
        <f>2+16/60+25.93/3600</f>
        <v>2.2738694444444443</v>
      </c>
      <c r="G255" s="12" t="s">
        <v>144</v>
      </c>
      <c r="H255" s="12" t="s">
        <v>39</v>
      </c>
      <c r="I255" s="4">
        <v>35431</v>
      </c>
      <c r="J255" s="12" t="s">
        <v>1</v>
      </c>
      <c r="K255" s="22">
        <v>250</v>
      </c>
      <c r="L255" s="22"/>
      <c r="M255" s="30" t="s">
        <v>14</v>
      </c>
      <c r="N255" s="30">
        <v>1.65</v>
      </c>
      <c r="O255" s="24"/>
      <c r="P255" s="25"/>
      <c r="Q255" s="25"/>
      <c r="R255" s="25"/>
      <c r="S255" s="21"/>
      <c r="T255" s="21"/>
      <c r="U255" s="21"/>
      <c r="V255" s="21"/>
      <c r="W255" s="21"/>
      <c r="X255" s="21"/>
      <c r="Y255" s="21"/>
      <c r="Z255" s="15" t="s">
        <v>156</v>
      </c>
      <c r="AA255" s="12" t="s">
        <v>153</v>
      </c>
    </row>
    <row r="256" spans="1:27" s="12" customFormat="1" x14ac:dyDescent="0.25">
      <c r="A256">
        <v>110</v>
      </c>
      <c r="B256" s="12">
        <v>5</v>
      </c>
      <c r="C256">
        <f t="shared" si="33"/>
        <v>11005</v>
      </c>
      <c r="D256" s="21" t="s">
        <v>86</v>
      </c>
      <c r="E256" s="11">
        <f>61+12/60+53.8/3600</f>
        <v>61.214944444444448</v>
      </c>
      <c r="F256" s="11">
        <f>2+16/60+25.93/3600</f>
        <v>2.2738694444444443</v>
      </c>
      <c r="G256" s="12" t="s">
        <v>144</v>
      </c>
      <c r="H256" s="12" t="s">
        <v>39</v>
      </c>
      <c r="I256" s="4">
        <v>35431</v>
      </c>
      <c r="J256" s="12" t="s">
        <v>1</v>
      </c>
      <c r="K256" s="22">
        <v>500</v>
      </c>
      <c r="L256" s="22"/>
      <c r="M256" s="30" t="s">
        <v>14</v>
      </c>
      <c r="N256" s="30">
        <v>3</v>
      </c>
      <c r="O256" s="24"/>
      <c r="P256" s="25"/>
      <c r="Q256" s="25"/>
      <c r="R256" s="25"/>
      <c r="S256" s="21"/>
      <c r="T256" s="21"/>
      <c r="U256" s="21"/>
      <c r="V256" s="21"/>
      <c r="W256" s="21"/>
      <c r="X256" s="21"/>
      <c r="Y256" s="21"/>
      <c r="Z256" s="15" t="s">
        <v>156</v>
      </c>
      <c r="AA256" s="12" t="s">
        <v>152</v>
      </c>
    </row>
    <row r="257" spans="1:27" s="12" customFormat="1" x14ac:dyDescent="0.25">
      <c r="A257">
        <v>110</v>
      </c>
      <c r="B257" s="12">
        <v>6</v>
      </c>
      <c r="C257">
        <f t="shared" si="33"/>
        <v>11006</v>
      </c>
      <c r="D257" s="21" t="s">
        <v>86</v>
      </c>
      <c r="E257" s="11">
        <f>61+12/60+53.8/3600</f>
        <v>61.214944444444448</v>
      </c>
      <c r="F257" s="11">
        <f>2+16/60+25.93/3600</f>
        <v>2.2738694444444443</v>
      </c>
      <c r="G257" s="12" t="s">
        <v>144</v>
      </c>
      <c r="H257" s="12" t="s">
        <v>39</v>
      </c>
      <c r="I257" s="4">
        <v>35431</v>
      </c>
      <c r="J257" s="12" t="s">
        <v>1</v>
      </c>
      <c r="K257" s="22">
        <v>750</v>
      </c>
      <c r="L257" s="22"/>
      <c r="M257" s="30">
        <v>1.3</v>
      </c>
      <c r="N257" s="30">
        <v>1.1499999999999999</v>
      </c>
      <c r="O257" s="24"/>
      <c r="P257" s="25"/>
      <c r="Q257" s="25"/>
      <c r="R257" s="25"/>
      <c r="S257" s="21"/>
      <c r="T257" s="21"/>
      <c r="U257" s="21"/>
      <c r="V257" s="21"/>
      <c r="W257" s="21"/>
      <c r="X257" s="21"/>
      <c r="Y257" s="21"/>
      <c r="Z257" s="15" t="s">
        <v>156</v>
      </c>
      <c r="AA257" s="12" t="s">
        <v>151</v>
      </c>
    </row>
    <row r="258" spans="1:27" s="12" customFormat="1" x14ac:dyDescent="0.25">
      <c r="A258">
        <v>110</v>
      </c>
      <c r="B258" s="12">
        <v>7</v>
      </c>
      <c r="C258">
        <f t="shared" si="33"/>
        <v>11007</v>
      </c>
      <c r="D258" s="21" t="s">
        <v>86</v>
      </c>
      <c r="E258" s="11">
        <f>60+35/60+50.48/3600</f>
        <v>60.597355555555559</v>
      </c>
      <c r="F258" s="11">
        <f>7+4/60+22.87/3600</f>
        <v>7.0730194444444443</v>
      </c>
      <c r="G258" s="12" t="s">
        <v>144</v>
      </c>
      <c r="H258" s="12" t="s">
        <v>39</v>
      </c>
      <c r="I258" s="4">
        <v>35431</v>
      </c>
      <c r="J258" s="12" t="s">
        <v>1</v>
      </c>
      <c r="K258" s="22">
        <v>250</v>
      </c>
      <c r="L258" s="22"/>
      <c r="M258" s="30" t="s">
        <v>14</v>
      </c>
      <c r="N258" s="30" t="s">
        <v>14</v>
      </c>
      <c r="O258" s="24"/>
      <c r="P258" s="25"/>
      <c r="Q258" s="25"/>
      <c r="R258" s="25"/>
      <c r="S258" s="21"/>
      <c r="T258" s="21"/>
      <c r="U258" s="21"/>
      <c r="V258" s="21"/>
      <c r="W258" s="21"/>
      <c r="X258" s="21"/>
      <c r="Y258" s="21"/>
      <c r="Z258" s="15" t="s">
        <v>156</v>
      </c>
      <c r="AA258" s="12" t="s">
        <v>150</v>
      </c>
    </row>
    <row r="259" spans="1:27" s="12" customFormat="1" x14ac:dyDescent="0.25">
      <c r="A259">
        <v>110</v>
      </c>
      <c r="B259" s="12">
        <v>8</v>
      </c>
      <c r="C259">
        <f t="shared" ref="C259:C322" si="35">A259*100+B259</f>
        <v>11008</v>
      </c>
      <c r="D259" s="21" t="s">
        <v>86</v>
      </c>
      <c r="E259" s="11">
        <v>58.36</v>
      </c>
      <c r="F259" s="11">
        <v>1.91</v>
      </c>
      <c r="G259" s="12" t="s">
        <v>144</v>
      </c>
      <c r="H259" s="12" t="s">
        <v>39</v>
      </c>
      <c r="I259" s="4">
        <v>35431</v>
      </c>
      <c r="J259" s="12" t="s">
        <v>1</v>
      </c>
      <c r="K259" s="22">
        <v>250</v>
      </c>
      <c r="L259" s="22"/>
      <c r="M259" s="30">
        <v>2.5</v>
      </c>
      <c r="N259" s="30">
        <v>2.2000000000000002</v>
      </c>
      <c r="O259" s="24"/>
      <c r="P259" s="25"/>
      <c r="Q259" s="25"/>
      <c r="R259" s="25"/>
      <c r="S259" s="21"/>
      <c r="T259" s="21"/>
      <c r="U259" s="21"/>
      <c r="V259" s="21"/>
      <c r="W259" s="21"/>
      <c r="X259" s="21"/>
      <c r="Y259" s="21"/>
      <c r="Z259" s="15" t="s">
        <v>156</v>
      </c>
      <c r="AA259" s="12" t="s">
        <v>149</v>
      </c>
    </row>
    <row r="260" spans="1:27" s="12" customFormat="1" x14ac:dyDescent="0.25">
      <c r="A260">
        <v>110</v>
      </c>
      <c r="B260" s="12">
        <v>9</v>
      </c>
      <c r="C260">
        <f t="shared" si="35"/>
        <v>11009</v>
      </c>
      <c r="D260" s="21" t="s">
        <v>86</v>
      </c>
      <c r="E260" s="11">
        <v>60.491864</v>
      </c>
      <c r="F260" s="11">
        <v>2.8273139999999999</v>
      </c>
      <c r="G260" s="12" t="s">
        <v>144</v>
      </c>
      <c r="H260" s="12" t="s">
        <v>39</v>
      </c>
      <c r="I260" s="4">
        <v>35431</v>
      </c>
      <c r="J260" s="12" t="s">
        <v>1</v>
      </c>
      <c r="K260" s="22">
        <v>250</v>
      </c>
      <c r="L260" s="22"/>
      <c r="M260" s="30">
        <v>10.4</v>
      </c>
      <c r="N260" s="30">
        <v>10</v>
      </c>
      <c r="O260" s="24"/>
      <c r="P260" s="25"/>
      <c r="Q260" s="25"/>
      <c r="R260" s="25"/>
      <c r="S260" s="21"/>
      <c r="T260" s="21"/>
      <c r="U260" s="21"/>
      <c r="V260" s="21"/>
      <c r="W260" s="21"/>
      <c r="X260" s="21"/>
      <c r="Y260" s="21"/>
      <c r="Z260" s="15" t="s">
        <v>156</v>
      </c>
      <c r="AA260" s="12" t="s">
        <v>148</v>
      </c>
    </row>
    <row r="261" spans="1:27" s="12" customFormat="1" x14ac:dyDescent="0.25">
      <c r="A261">
        <v>110</v>
      </c>
      <c r="B261" s="12">
        <v>10</v>
      </c>
      <c r="C261">
        <f t="shared" si="35"/>
        <v>11010</v>
      </c>
      <c r="D261" s="21" t="s">
        <v>86</v>
      </c>
      <c r="E261" s="11">
        <v>60.58</v>
      </c>
      <c r="F261" s="11">
        <v>3.02</v>
      </c>
      <c r="G261" s="12" t="s">
        <v>144</v>
      </c>
      <c r="H261" s="12" t="s">
        <v>39</v>
      </c>
      <c r="I261" s="4">
        <v>35431</v>
      </c>
      <c r="J261" s="12" t="s">
        <v>1</v>
      </c>
      <c r="K261" s="22">
        <v>250</v>
      </c>
      <c r="L261" s="22"/>
      <c r="M261" s="30">
        <v>7.7</v>
      </c>
      <c r="N261" s="30">
        <v>7.8</v>
      </c>
      <c r="O261" s="24"/>
      <c r="P261" s="25"/>
      <c r="Q261" s="25"/>
      <c r="R261" s="25"/>
      <c r="S261" s="21"/>
      <c r="T261" s="21"/>
      <c r="U261" s="21"/>
      <c r="V261" s="21"/>
      <c r="W261" s="21"/>
      <c r="X261" s="21"/>
      <c r="Y261" s="21"/>
      <c r="Z261" s="15" t="s">
        <v>156</v>
      </c>
      <c r="AA261" s="12" t="s">
        <v>147</v>
      </c>
    </row>
    <row r="262" spans="1:27" s="12" customFormat="1" x14ac:dyDescent="0.25">
      <c r="A262">
        <v>110</v>
      </c>
      <c r="B262" s="12">
        <v>11</v>
      </c>
      <c r="C262">
        <f t="shared" si="35"/>
        <v>11011</v>
      </c>
      <c r="D262" s="21" t="s">
        <v>86</v>
      </c>
      <c r="E262" s="11">
        <v>56.278275111111107</v>
      </c>
      <c r="F262" s="11">
        <v>3.3953305555555557</v>
      </c>
      <c r="G262" s="12" t="s">
        <v>144</v>
      </c>
      <c r="H262" s="12" t="s">
        <v>39</v>
      </c>
      <c r="I262" s="4">
        <v>35431</v>
      </c>
      <c r="J262" s="12" t="s">
        <v>1</v>
      </c>
      <c r="K262" s="22">
        <v>250</v>
      </c>
      <c r="L262" s="22"/>
      <c r="M262" s="30">
        <v>4.3</v>
      </c>
      <c r="N262" s="30">
        <v>0.95</v>
      </c>
      <c r="O262" s="24"/>
      <c r="P262" s="25"/>
      <c r="Q262" s="25"/>
      <c r="R262" s="25"/>
      <c r="S262" s="21"/>
      <c r="T262" s="21"/>
      <c r="U262" s="21"/>
      <c r="V262" s="21"/>
      <c r="W262" s="21"/>
      <c r="X262" s="21"/>
      <c r="Y262" s="21"/>
      <c r="Z262" s="15" t="s">
        <v>156</v>
      </c>
      <c r="AA262" s="12" t="s">
        <v>146</v>
      </c>
    </row>
    <row r="263" spans="1:27" x14ac:dyDescent="0.25">
      <c r="A263">
        <v>111</v>
      </c>
      <c r="B263">
        <v>1</v>
      </c>
      <c r="C263">
        <f t="shared" si="35"/>
        <v>11101</v>
      </c>
      <c r="D263" s="3" t="s">
        <v>86</v>
      </c>
      <c r="E263" s="11">
        <v>60.58</v>
      </c>
      <c r="F263" s="11">
        <v>3.02</v>
      </c>
      <c r="G263" s="12" t="s">
        <v>144</v>
      </c>
      <c r="H263" s="12" t="s">
        <v>39</v>
      </c>
      <c r="I263" s="4">
        <v>34973</v>
      </c>
      <c r="J263" t="s">
        <v>1</v>
      </c>
      <c r="K263" s="2">
        <v>0</v>
      </c>
      <c r="M263" s="20">
        <v>9</v>
      </c>
      <c r="N263" s="20">
        <v>17</v>
      </c>
      <c r="Z263" t="s">
        <v>26</v>
      </c>
      <c r="AA263" t="s">
        <v>40</v>
      </c>
    </row>
    <row r="264" spans="1:27" x14ac:dyDescent="0.25">
      <c r="A264">
        <v>111</v>
      </c>
      <c r="B264">
        <v>2</v>
      </c>
      <c r="C264">
        <f t="shared" si="35"/>
        <v>11102</v>
      </c>
      <c r="D264" s="3" t="s">
        <v>86</v>
      </c>
      <c r="E264" s="11">
        <f>60+29/60+30.7104/3600</f>
        <v>60.491864</v>
      </c>
      <c r="F264" s="11">
        <f>2+49/60+38.3304/3600</f>
        <v>2.8273139999999999</v>
      </c>
      <c r="G264" s="12" t="s">
        <v>144</v>
      </c>
      <c r="H264" s="12" t="s">
        <v>39</v>
      </c>
      <c r="I264" s="4">
        <v>34973</v>
      </c>
      <c r="J264" t="s">
        <v>1</v>
      </c>
      <c r="K264" s="2">
        <v>0</v>
      </c>
      <c r="M264" s="20">
        <v>6</v>
      </c>
      <c r="N264" s="20">
        <v>11</v>
      </c>
      <c r="Z264" t="s">
        <v>26</v>
      </c>
      <c r="AA264" t="s">
        <v>41</v>
      </c>
    </row>
    <row r="265" spans="1:27" x14ac:dyDescent="0.25">
      <c r="A265">
        <v>111</v>
      </c>
      <c r="B265">
        <v>3</v>
      </c>
      <c r="C265">
        <f t="shared" si="35"/>
        <v>11103</v>
      </c>
      <c r="D265" s="3" t="s">
        <v>86</v>
      </c>
      <c r="E265" s="11">
        <f>60+29/60+30.7104/3600</f>
        <v>60.491864</v>
      </c>
      <c r="F265" s="11">
        <f>2+49/60+38.3304/3600</f>
        <v>2.8273139999999999</v>
      </c>
      <c r="G265" s="12" t="s">
        <v>144</v>
      </c>
      <c r="H265" s="12" t="s">
        <v>39</v>
      </c>
      <c r="I265" s="4">
        <v>34973</v>
      </c>
      <c r="J265" t="s">
        <v>1</v>
      </c>
      <c r="K265" s="2">
        <v>0</v>
      </c>
      <c r="M265" s="20">
        <v>7</v>
      </c>
      <c r="N265" s="20" t="s">
        <v>14</v>
      </c>
      <c r="Z265" t="s">
        <v>26</v>
      </c>
      <c r="AA265" t="s">
        <v>41</v>
      </c>
    </row>
    <row r="266" spans="1:27" x14ac:dyDescent="0.25">
      <c r="A266">
        <v>111</v>
      </c>
      <c r="B266">
        <v>4</v>
      </c>
      <c r="C266">
        <f t="shared" si="35"/>
        <v>11104</v>
      </c>
      <c r="D266" s="3" t="s">
        <v>86</v>
      </c>
      <c r="E266" s="11">
        <v>60.645555999999999</v>
      </c>
      <c r="F266" s="11">
        <v>3.7263890000000002</v>
      </c>
      <c r="G266" s="12" t="s">
        <v>144</v>
      </c>
      <c r="H266" s="12" t="s">
        <v>39</v>
      </c>
      <c r="I266" s="4">
        <v>34973</v>
      </c>
      <c r="J266" t="s">
        <v>1</v>
      </c>
      <c r="K266" s="2">
        <v>0</v>
      </c>
      <c r="M266" s="20">
        <v>6</v>
      </c>
      <c r="N266" s="20">
        <v>7</v>
      </c>
      <c r="Z266" t="s">
        <v>26</v>
      </c>
      <c r="AA266" t="s">
        <v>42</v>
      </c>
    </row>
    <row r="267" spans="1:27" x14ac:dyDescent="0.25">
      <c r="A267">
        <v>111</v>
      </c>
      <c r="B267">
        <v>1</v>
      </c>
      <c r="C267">
        <f t="shared" si="35"/>
        <v>11101</v>
      </c>
      <c r="D267" s="3" t="s">
        <v>86</v>
      </c>
      <c r="E267" s="11">
        <v>60.58</v>
      </c>
      <c r="F267" s="11">
        <v>3.02</v>
      </c>
      <c r="G267" s="12" t="s">
        <v>144</v>
      </c>
      <c r="H267" s="12" t="s">
        <v>39</v>
      </c>
      <c r="I267" s="4">
        <v>34973</v>
      </c>
      <c r="J267" t="s">
        <v>1</v>
      </c>
      <c r="K267" s="2">
        <v>0</v>
      </c>
      <c r="M267" s="20">
        <v>10</v>
      </c>
      <c r="N267" s="20">
        <v>17</v>
      </c>
      <c r="Z267" t="s">
        <v>26</v>
      </c>
      <c r="AA267" t="s">
        <v>40</v>
      </c>
    </row>
    <row r="268" spans="1:27" x14ac:dyDescent="0.25">
      <c r="A268">
        <v>111</v>
      </c>
      <c r="B268">
        <v>1</v>
      </c>
      <c r="C268">
        <f t="shared" si="35"/>
        <v>11101</v>
      </c>
      <c r="D268" s="3" t="s">
        <v>86</v>
      </c>
      <c r="E268" s="11">
        <v>60.58</v>
      </c>
      <c r="F268" s="11">
        <v>3.02</v>
      </c>
      <c r="G268" s="12" t="s">
        <v>144</v>
      </c>
      <c r="H268" s="12" t="s">
        <v>39</v>
      </c>
      <c r="I268" s="4">
        <v>34974</v>
      </c>
      <c r="J268" t="s">
        <v>1</v>
      </c>
      <c r="K268" s="2">
        <v>0</v>
      </c>
      <c r="M268" s="20">
        <v>10</v>
      </c>
      <c r="N268" s="20">
        <v>16</v>
      </c>
      <c r="Z268" t="s">
        <v>26</v>
      </c>
      <c r="AA268" t="s">
        <v>40</v>
      </c>
    </row>
    <row r="269" spans="1:27" x14ac:dyDescent="0.25">
      <c r="A269">
        <v>111</v>
      </c>
      <c r="B269">
        <v>1</v>
      </c>
      <c r="C269">
        <f t="shared" si="35"/>
        <v>11101</v>
      </c>
      <c r="D269" s="3" t="s">
        <v>86</v>
      </c>
      <c r="E269" s="11">
        <v>60.58</v>
      </c>
      <c r="F269" s="11">
        <v>3.02</v>
      </c>
      <c r="G269" s="12" t="s">
        <v>144</v>
      </c>
      <c r="H269" s="12" t="s">
        <v>39</v>
      </c>
      <c r="I269" s="4">
        <v>34975</v>
      </c>
      <c r="J269" t="s">
        <v>1</v>
      </c>
      <c r="K269" s="2">
        <v>0</v>
      </c>
      <c r="M269" s="20">
        <v>10</v>
      </c>
      <c r="N269" s="20" t="s">
        <v>14</v>
      </c>
      <c r="Z269" t="s">
        <v>26</v>
      </c>
      <c r="AA269" t="s">
        <v>40</v>
      </c>
    </row>
    <row r="270" spans="1:27" x14ac:dyDescent="0.25">
      <c r="A270">
        <v>111</v>
      </c>
      <c r="B270">
        <v>1</v>
      </c>
      <c r="C270">
        <f t="shared" si="35"/>
        <v>11101</v>
      </c>
      <c r="D270" s="3" t="s">
        <v>86</v>
      </c>
      <c r="E270" s="11">
        <v>60.58</v>
      </c>
      <c r="F270" s="11">
        <v>3.02</v>
      </c>
      <c r="G270" s="12" t="s">
        <v>144</v>
      </c>
      <c r="H270" s="12" t="s">
        <v>39</v>
      </c>
      <c r="I270" s="4">
        <v>34976</v>
      </c>
      <c r="J270" t="s">
        <v>1</v>
      </c>
      <c r="K270" s="2">
        <v>0</v>
      </c>
      <c r="M270" s="20">
        <v>11</v>
      </c>
      <c r="N270" s="20">
        <v>16</v>
      </c>
      <c r="Z270" t="s">
        <v>26</v>
      </c>
      <c r="AA270" t="s">
        <v>40</v>
      </c>
    </row>
    <row r="271" spans="1:27" x14ac:dyDescent="0.25">
      <c r="A271">
        <v>111</v>
      </c>
      <c r="B271">
        <v>1</v>
      </c>
      <c r="C271">
        <f t="shared" si="35"/>
        <v>11101</v>
      </c>
      <c r="D271" s="3" t="s">
        <v>86</v>
      </c>
      <c r="E271" s="11">
        <v>60.58</v>
      </c>
      <c r="F271" s="11">
        <v>3.02</v>
      </c>
      <c r="G271" s="12" t="s">
        <v>144</v>
      </c>
      <c r="H271" s="12" t="s">
        <v>39</v>
      </c>
      <c r="I271" s="4">
        <v>34977</v>
      </c>
      <c r="J271" t="s">
        <v>1</v>
      </c>
      <c r="K271" s="2">
        <v>0</v>
      </c>
      <c r="M271" s="20">
        <v>9</v>
      </c>
      <c r="N271" s="20">
        <v>17</v>
      </c>
      <c r="Z271" t="s">
        <v>26</v>
      </c>
      <c r="AA271" t="s">
        <v>40</v>
      </c>
    </row>
    <row r="272" spans="1:27" x14ac:dyDescent="0.25">
      <c r="A272">
        <v>112</v>
      </c>
      <c r="B272">
        <v>1</v>
      </c>
      <c r="C272">
        <f t="shared" si="35"/>
        <v>11201</v>
      </c>
      <c r="D272" s="3" t="s">
        <v>86</v>
      </c>
      <c r="E272" s="11">
        <v>58.36</v>
      </c>
      <c r="F272" s="11">
        <v>1.91</v>
      </c>
      <c r="G272" s="12" t="s">
        <v>144</v>
      </c>
      <c r="H272" s="12" t="s">
        <v>39</v>
      </c>
      <c r="I272" s="4">
        <v>37438</v>
      </c>
      <c r="J272" t="s">
        <v>18</v>
      </c>
      <c r="K272" s="2">
        <v>0</v>
      </c>
      <c r="M272" s="20">
        <v>1.5</v>
      </c>
      <c r="Z272" t="s">
        <v>43</v>
      </c>
      <c r="AA272" t="s">
        <v>45</v>
      </c>
    </row>
    <row r="273" spans="1:27" x14ac:dyDescent="0.25">
      <c r="A273">
        <v>112</v>
      </c>
      <c r="B273">
        <v>2</v>
      </c>
      <c r="C273">
        <f t="shared" si="35"/>
        <v>11202</v>
      </c>
      <c r="D273" s="3" t="s">
        <v>86</v>
      </c>
      <c r="E273" s="11">
        <f>61+12/60+53.8/3600</f>
        <v>61.214944444444448</v>
      </c>
      <c r="F273" s="11">
        <f>2+16/60+25.93/3600</f>
        <v>2.2738694444444443</v>
      </c>
      <c r="G273" s="12" t="s">
        <v>144</v>
      </c>
      <c r="H273" s="12" t="s">
        <v>39</v>
      </c>
      <c r="I273" s="4">
        <v>37438</v>
      </c>
      <c r="J273" t="s">
        <v>18</v>
      </c>
      <c r="K273" s="2">
        <v>0</v>
      </c>
      <c r="M273" s="20">
        <v>1.5</v>
      </c>
      <c r="Z273" t="s">
        <v>43</v>
      </c>
      <c r="AA273" t="s">
        <v>44</v>
      </c>
    </row>
    <row r="274" spans="1:27" x14ac:dyDescent="0.25">
      <c r="A274">
        <v>112</v>
      </c>
      <c r="B274">
        <v>1</v>
      </c>
      <c r="C274">
        <f t="shared" si="35"/>
        <v>11201</v>
      </c>
      <c r="D274" s="3" t="s">
        <v>86</v>
      </c>
      <c r="E274" s="11">
        <v>58.36</v>
      </c>
      <c r="F274" s="11">
        <v>1.91</v>
      </c>
      <c r="G274" s="12" t="s">
        <v>144</v>
      </c>
      <c r="H274" s="12" t="s">
        <v>39</v>
      </c>
      <c r="I274" s="4">
        <v>37438</v>
      </c>
      <c r="J274" t="s">
        <v>18</v>
      </c>
      <c r="K274" s="2">
        <v>250</v>
      </c>
      <c r="M274" s="20">
        <v>1.5</v>
      </c>
      <c r="Z274" t="s">
        <v>43</v>
      </c>
      <c r="AA274" t="s">
        <v>79</v>
      </c>
    </row>
    <row r="275" spans="1:27" x14ac:dyDescent="0.25">
      <c r="A275">
        <v>112</v>
      </c>
      <c r="B275">
        <v>1</v>
      </c>
      <c r="C275">
        <f t="shared" si="35"/>
        <v>11201</v>
      </c>
      <c r="D275" s="3" t="s">
        <v>86</v>
      </c>
      <c r="E275" s="11">
        <v>58.36</v>
      </c>
      <c r="F275" s="11">
        <v>1.91</v>
      </c>
      <c r="G275" s="12" t="s">
        <v>144</v>
      </c>
      <c r="H275" s="12" t="s">
        <v>39</v>
      </c>
      <c r="I275" s="4">
        <v>37438</v>
      </c>
      <c r="J275" t="s">
        <v>18</v>
      </c>
      <c r="K275" s="2">
        <v>250</v>
      </c>
      <c r="M275" s="20">
        <v>1.5</v>
      </c>
      <c r="Z275" t="s">
        <v>43</v>
      </c>
      <c r="AA275" t="s">
        <v>83</v>
      </c>
    </row>
    <row r="276" spans="1:27" x14ac:dyDescent="0.25">
      <c r="A276">
        <v>112</v>
      </c>
      <c r="B276">
        <v>5</v>
      </c>
      <c r="C276">
        <f t="shared" si="35"/>
        <v>11205</v>
      </c>
      <c r="D276" s="3" t="s">
        <v>86</v>
      </c>
      <c r="E276" s="11">
        <f>65+19/60+33/3600</f>
        <v>65.325833333333335</v>
      </c>
      <c r="F276" s="11">
        <f>7+19/60+3/3600</f>
        <v>7.3174999999999999</v>
      </c>
      <c r="G276" s="12" t="s">
        <v>144</v>
      </c>
      <c r="H276" s="12" t="s">
        <v>47</v>
      </c>
      <c r="I276" s="4">
        <v>37895</v>
      </c>
      <c r="J276" t="s">
        <v>1</v>
      </c>
      <c r="K276" s="2">
        <v>250</v>
      </c>
      <c r="V276" s="3">
        <f>0.0013</f>
        <v>1.2999999999999999E-3</v>
      </c>
      <c r="Z276" t="s">
        <v>43</v>
      </c>
      <c r="AA276" t="s">
        <v>50</v>
      </c>
    </row>
    <row r="277" spans="1:27" x14ac:dyDescent="0.25">
      <c r="A277">
        <v>112</v>
      </c>
      <c r="B277">
        <v>9</v>
      </c>
      <c r="C277">
        <f t="shared" si="35"/>
        <v>11209</v>
      </c>
      <c r="D277" s="3" t="s">
        <v>86</v>
      </c>
      <c r="E277" s="11">
        <f>61+15/60+20/3600</f>
        <v>61.255555555555553</v>
      </c>
      <c r="F277" s="11">
        <f>1+51/60+14/3600</f>
        <v>1.8538888888888889</v>
      </c>
      <c r="G277" s="12" t="s">
        <v>144</v>
      </c>
      <c r="H277" s="12" t="s">
        <v>39</v>
      </c>
      <c r="I277" s="4">
        <v>37895</v>
      </c>
      <c r="J277" t="s">
        <v>1</v>
      </c>
      <c r="K277" s="2">
        <v>250</v>
      </c>
      <c r="M277" s="31">
        <v>0.24803149606299199</v>
      </c>
      <c r="N277" s="31">
        <v>0.34448818897637701</v>
      </c>
      <c r="Z277" t="s">
        <v>43</v>
      </c>
      <c r="AA277" t="s">
        <v>51</v>
      </c>
    </row>
    <row r="278" spans="1:27" x14ac:dyDescent="0.25">
      <c r="A278">
        <v>112</v>
      </c>
      <c r="B278">
        <v>10</v>
      </c>
      <c r="C278">
        <f t="shared" si="35"/>
        <v>11210</v>
      </c>
      <c r="D278" s="3" t="s">
        <v>86</v>
      </c>
      <c r="E278" s="11">
        <f>60.645556</f>
        <v>60.645555999999999</v>
      </c>
      <c r="F278" s="11">
        <v>3.7267890000000001</v>
      </c>
      <c r="G278" s="12" t="s">
        <v>144</v>
      </c>
      <c r="H278" s="12" t="s">
        <v>39</v>
      </c>
      <c r="I278" s="4">
        <v>37895</v>
      </c>
      <c r="J278" t="s">
        <v>1</v>
      </c>
      <c r="K278" s="2">
        <v>250</v>
      </c>
      <c r="M278" s="31">
        <v>0.60236220472440904</v>
      </c>
      <c r="N278" s="31">
        <v>0.14763779527559001</v>
      </c>
      <c r="Z278" t="s">
        <v>43</v>
      </c>
      <c r="AA278" t="s">
        <v>52</v>
      </c>
    </row>
    <row r="279" spans="1:27" x14ac:dyDescent="0.25">
      <c r="A279">
        <v>112</v>
      </c>
      <c r="B279">
        <v>11</v>
      </c>
      <c r="C279">
        <f t="shared" si="35"/>
        <v>11211</v>
      </c>
      <c r="D279" s="3" t="s">
        <v>86</v>
      </c>
      <c r="E279" s="11">
        <f>56+24/60+17.43/3600</f>
        <v>56.404841666666663</v>
      </c>
      <c r="F279" s="11">
        <f>3+12/60+55.2/3600</f>
        <v>3.2153333333333336</v>
      </c>
      <c r="G279" s="12" t="s">
        <v>144</v>
      </c>
      <c r="H279" s="12" t="s">
        <v>39</v>
      </c>
      <c r="I279" s="4">
        <v>37895</v>
      </c>
      <c r="J279" t="s">
        <v>1</v>
      </c>
      <c r="K279" s="2">
        <v>250</v>
      </c>
      <c r="M279" s="31">
        <v>0.60236220472440904</v>
      </c>
      <c r="N279" s="31">
        <v>0.68897637795275501</v>
      </c>
      <c r="Z279" t="s">
        <v>43</v>
      </c>
      <c r="AA279" t="s">
        <v>53</v>
      </c>
    </row>
    <row r="280" spans="1:27" x14ac:dyDescent="0.25">
      <c r="A280">
        <v>112</v>
      </c>
      <c r="B280">
        <v>2</v>
      </c>
      <c r="C280">
        <f t="shared" si="35"/>
        <v>11202</v>
      </c>
      <c r="D280" s="3" t="s">
        <v>86</v>
      </c>
      <c r="E280" s="11">
        <f>61+12/60+53.8/3600</f>
        <v>61.214944444444448</v>
      </c>
      <c r="F280" s="11">
        <f>2+16/60+25.93/3600</f>
        <v>2.2738694444444443</v>
      </c>
      <c r="G280" s="12" t="s">
        <v>144</v>
      </c>
      <c r="H280" s="12" t="s">
        <v>39</v>
      </c>
      <c r="I280" s="4">
        <v>37895</v>
      </c>
      <c r="J280" t="s">
        <v>1</v>
      </c>
      <c r="K280" s="2">
        <v>250</v>
      </c>
      <c r="M280" s="31">
        <v>0.63779527559055105</v>
      </c>
      <c r="N280" s="31">
        <v>0.78740157480314898</v>
      </c>
      <c r="V280" s="3">
        <v>5.0000000000000001E-4</v>
      </c>
      <c r="Z280" t="s">
        <v>43</v>
      </c>
      <c r="AA280" t="s">
        <v>54</v>
      </c>
    </row>
    <row r="281" spans="1:27" x14ac:dyDescent="0.25">
      <c r="A281">
        <v>112</v>
      </c>
      <c r="B281">
        <v>9</v>
      </c>
      <c r="C281">
        <f t="shared" si="35"/>
        <v>11209</v>
      </c>
      <c r="D281" s="3" t="s">
        <v>86</v>
      </c>
      <c r="E281" s="11">
        <f>61+15/60+20/3600</f>
        <v>61.255555555555553</v>
      </c>
      <c r="F281" s="11">
        <f>1+51/60+14/3600</f>
        <v>1.8538888888888889</v>
      </c>
      <c r="G281" s="12" t="s">
        <v>144</v>
      </c>
      <c r="H281" s="12" t="s">
        <v>39</v>
      </c>
      <c r="I281" s="4">
        <v>37895</v>
      </c>
      <c r="J281" t="s">
        <v>1</v>
      </c>
      <c r="K281" s="2">
        <v>500</v>
      </c>
      <c r="M281" s="31">
        <v>0.74409448818897606</v>
      </c>
      <c r="N281" s="31">
        <v>0.59055118110236204</v>
      </c>
      <c r="Z281" t="s">
        <v>43</v>
      </c>
      <c r="AA281" t="s">
        <v>55</v>
      </c>
    </row>
    <row r="282" spans="1:27" x14ac:dyDescent="0.25">
      <c r="A282">
        <v>112</v>
      </c>
      <c r="B282">
        <v>9</v>
      </c>
      <c r="C282">
        <f t="shared" si="35"/>
        <v>11209</v>
      </c>
      <c r="D282" s="3" t="s">
        <v>86</v>
      </c>
      <c r="E282" s="11">
        <f>61+15/60+20/3600</f>
        <v>61.255555555555553</v>
      </c>
      <c r="F282" s="11">
        <f>1+51/60+14/3600</f>
        <v>1.8538888888888889</v>
      </c>
      <c r="G282" s="12" t="s">
        <v>144</v>
      </c>
      <c r="H282" s="12" t="s">
        <v>39</v>
      </c>
      <c r="I282" s="4">
        <v>37895</v>
      </c>
      <c r="J282" t="s">
        <v>1</v>
      </c>
      <c r="K282" s="2">
        <v>750</v>
      </c>
      <c r="M282" s="31">
        <v>1.09842519685039</v>
      </c>
      <c r="N282" s="31">
        <v>1.13188976377952</v>
      </c>
      <c r="Z282" t="s">
        <v>43</v>
      </c>
      <c r="AA282" t="s">
        <v>56</v>
      </c>
    </row>
    <row r="283" spans="1:27" s="12" customFormat="1" x14ac:dyDescent="0.25">
      <c r="A283">
        <v>112</v>
      </c>
      <c r="B283" s="12">
        <v>12</v>
      </c>
      <c r="C283">
        <f t="shared" si="35"/>
        <v>11212</v>
      </c>
      <c r="D283" s="21" t="s">
        <v>86</v>
      </c>
      <c r="E283" s="11">
        <f>60+35/60+50.48/3600</f>
        <v>60.597355555555559</v>
      </c>
      <c r="F283" s="11">
        <f>7+4/60+22.87/3600</f>
        <v>7.0730194444444443</v>
      </c>
      <c r="G283" s="12" t="s">
        <v>144</v>
      </c>
      <c r="H283" s="12" t="s">
        <v>39</v>
      </c>
      <c r="I283" s="26">
        <v>37895</v>
      </c>
      <c r="J283" s="12" t="s">
        <v>1</v>
      </c>
      <c r="K283" s="22">
        <v>250</v>
      </c>
      <c r="L283" s="22"/>
      <c r="M283" s="32">
        <v>1.1338582677165301</v>
      </c>
      <c r="N283" s="32">
        <v>1.3287401574803099</v>
      </c>
      <c r="O283" s="24"/>
      <c r="P283" s="25"/>
      <c r="Q283" s="25"/>
      <c r="R283" s="25"/>
      <c r="S283" s="21"/>
      <c r="T283" s="21"/>
      <c r="U283" s="21"/>
      <c r="V283" s="21"/>
      <c r="W283" s="21"/>
      <c r="X283" s="21"/>
      <c r="Y283" s="21"/>
      <c r="Z283" s="12" t="s">
        <v>43</v>
      </c>
      <c r="AA283" s="12" t="s">
        <v>57</v>
      </c>
    </row>
    <row r="284" spans="1:27" s="12" customFormat="1" x14ac:dyDescent="0.25">
      <c r="A284">
        <v>112</v>
      </c>
      <c r="B284" s="12">
        <v>13</v>
      </c>
      <c r="C284">
        <f t="shared" si="35"/>
        <v>11213</v>
      </c>
      <c r="D284" s="21" t="s">
        <v>86</v>
      </c>
      <c r="E284" s="11">
        <f>56+32/60+57.11/3600</f>
        <v>56.549197222222219</v>
      </c>
      <c r="F284" s="11">
        <f>3+12/60+35.95/3600</f>
        <v>3.2099861111111112</v>
      </c>
      <c r="G284" s="12" t="s">
        <v>144</v>
      </c>
      <c r="H284" s="12" t="s">
        <v>39</v>
      </c>
      <c r="I284" s="26">
        <v>37895</v>
      </c>
      <c r="J284" s="12" t="s">
        <v>1</v>
      </c>
      <c r="K284" s="22">
        <v>250</v>
      </c>
      <c r="L284" s="22"/>
      <c r="M284" s="32">
        <v>1.16929133858267</v>
      </c>
      <c r="N284" s="32">
        <v>0.63976377952755903</v>
      </c>
      <c r="O284" s="24"/>
      <c r="P284" s="25"/>
      <c r="Q284" s="25"/>
      <c r="R284" s="25"/>
      <c r="S284" s="21"/>
      <c r="T284" s="21"/>
      <c r="U284" s="21"/>
      <c r="V284" s="21"/>
      <c r="W284" s="21"/>
      <c r="X284" s="21"/>
      <c r="Y284" s="21"/>
      <c r="Z284" s="12" t="s">
        <v>43</v>
      </c>
      <c r="AA284" s="12" t="s">
        <v>58</v>
      </c>
    </row>
    <row r="285" spans="1:27" s="12" customFormat="1" x14ac:dyDescent="0.25">
      <c r="A285">
        <v>112</v>
      </c>
      <c r="B285" s="12">
        <v>13</v>
      </c>
      <c r="C285">
        <f t="shared" si="35"/>
        <v>11213</v>
      </c>
      <c r="D285" s="21" t="s">
        <v>86</v>
      </c>
      <c r="E285" s="11">
        <f>56+32/60+57.11/3600</f>
        <v>56.549197222222219</v>
      </c>
      <c r="F285" s="11">
        <f>3+12/60+35.95/3600</f>
        <v>3.2099861111111112</v>
      </c>
      <c r="G285" s="12" t="s">
        <v>144</v>
      </c>
      <c r="H285" s="12" t="s">
        <v>39</v>
      </c>
      <c r="I285" s="26">
        <v>37895</v>
      </c>
      <c r="J285" s="12" t="s">
        <v>1</v>
      </c>
      <c r="K285" s="22">
        <v>500</v>
      </c>
      <c r="L285" s="22"/>
      <c r="M285" s="32">
        <v>1.2755905511811001</v>
      </c>
      <c r="N285" s="32">
        <v>0.34448818897637701</v>
      </c>
      <c r="O285" s="24"/>
      <c r="P285" s="25"/>
      <c r="Q285" s="25"/>
      <c r="R285" s="25"/>
      <c r="S285" s="21"/>
      <c r="T285" s="21"/>
      <c r="U285" s="21"/>
      <c r="V285" s="21"/>
      <c r="W285" s="21"/>
      <c r="X285" s="21"/>
      <c r="Y285" s="21"/>
      <c r="Z285" s="12" t="s">
        <v>43</v>
      </c>
      <c r="AA285" s="12" t="s">
        <v>59</v>
      </c>
    </row>
    <row r="286" spans="1:27" s="12" customFormat="1" x14ac:dyDescent="0.25">
      <c r="A286">
        <v>112</v>
      </c>
      <c r="B286" s="12">
        <v>3</v>
      </c>
      <c r="C286">
        <f t="shared" si="35"/>
        <v>11203</v>
      </c>
      <c r="D286" s="21" t="s">
        <v>86</v>
      </c>
      <c r="E286" s="11">
        <f>61+31/60+31.58/3600</f>
        <v>61.525438888888885</v>
      </c>
      <c r="F286" s="11">
        <f>2+12/60+41.42/3600</f>
        <v>2.2115055555555556</v>
      </c>
      <c r="G286" s="12" t="s">
        <v>144</v>
      </c>
      <c r="H286" s="12" t="s">
        <v>47</v>
      </c>
      <c r="I286" s="26">
        <v>37895</v>
      </c>
      <c r="J286" s="12" t="s">
        <v>1</v>
      </c>
      <c r="K286" s="22">
        <v>250</v>
      </c>
      <c r="L286" s="22"/>
      <c r="M286" s="32">
        <v>1.24015748031496</v>
      </c>
      <c r="N286" s="32">
        <v>1.1811023622047201</v>
      </c>
      <c r="O286" s="24"/>
      <c r="P286" s="25"/>
      <c r="Q286" s="25"/>
      <c r="R286" s="25"/>
      <c r="S286" s="21"/>
      <c r="T286" s="21"/>
      <c r="U286" s="21"/>
      <c r="V286" s="21">
        <f>6.1/1000</f>
        <v>6.0999999999999995E-3</v>
      </c>
      <c r="W286" s="21"/>
      <c r="X286" s="21"/>
      <c r="Y286" s="21"/>
      <c r="Z286" s="12" t="s">
        <v>43</v>
      </c>
      <c r="AA286" s="12" t="s">
        <v>60</v>
      </c>
    </row>
    <row r="287" spans="1:27" s="12" customFormat="1" x14ac:dyDescent="0.25">
      <c r="A287">
        <v>112</v>
      </c>
      <c r="B287" s="12">
        <v>6</v>
      </c>
      <c r="C287">
        <f t="shared" si="35"/>
        <v>11206</v>
      </c>
      <c r="D287" s="21" t="s">
        <v>86</v>
      </c>
      <c r="E287" s="11">
        <f>64+46/60+43.74/3600</f>
        <v>64.778816666666671</v>
      </c>
      <c r="F287" s="11">
        <f>8+45/60+43.74/3600</f>
        <v>8.7621500000000001</v>
      </c>
      <c r="G287" s="12" t="s">
        <v>144</v>
      </c>
      <c r="H287" s="12" t="s">
        <v>47</v>
      </c>
      <c r="I287" s="26">
        <v>37895</v>
      </c>
      <c r="J287" s="12" t="s">
        <v>1</v>
      </c>
      <c r="K287" s="22">
        <v>500</v>
      </c>
      <c r="L287" s="22"/>
      <c r="M287" s="32">
        <v>1.66535433070866</v>
      </c>
      <c r="N287" s="32">
        <v>1.57480314960629</v>
      </c>
      <c r="O287" s="24"/>
      <c r="P287" s="25"/>
      <c r="Q287" s="25"/>
      <c r="R287" s="25"/>
      <c r="S287" s="21"/>
      <c r="T287" s="21"/>
      <c r="U287" s="21"/>
      <c r="V287" s="21">
        <v>1.2999999999999999E-3</v>
      </c>
      <c r="W287" s="21"/>
      <c r="X287" s="21"/>
      <c r="Y287" s="21"/>
      <c r="Z287" s="12" t="s">
        <v>43</v>
      </c>
      <c r="AA287" s="12" t="s">
        <v>61</v>
      </c>
    </row>
    <row r="288" spans="1:27" s="12" customFormat="1" x14ac:dyDescent="0.25">
      <c r="A288">
        <v>112</v>
      </c>
      <c r="B288" s="12">
        <v>2</v>
      </c>
      <c r="C288">
        <f t="shared" si="35"/>
        <v>11202</v>
      </c>
      <c r="D288" s="21" t="s">
        <v>86</v>
      </c>
      <c r="E288" s="11">
        <f>61+12/60+53.8/3600</f>
        <v>61.214944444444448</v>
      </c>
      <c r="F288" s="11">
        <f>2+16/60+25.93/3600</f>
        <v>2.2738694444444443</v>
      </c>
      <c r="G288" s="12" t="s">
        <v>144</v>
      </c>
      <c r="H288" s="12" t="s">
        <v>39</v>
      </c>
      <c r="I288" s="26">
        <v>37895</v>
      </c>
      <c r="J288" s="12" t="s">
        <v>1</v>
      </c>
      <c r="K288" s="22">
        <v>500</v>
      </c>
      <c r="L288" s="22"/>
      <c r="M288" s="32">
        <v>1.87795275590551</v>
      </c>
      <c r="N288" s="32">
        <v>1.82086614173228</v>
      </c>
      <c r="O288" s="24"/>
      <c r="P288" s="25"/>
      <c r="Q288" s="25"/>
      <c r="R288" s="25"/>
      <c r="S288" s="21"/>
      <c r="T288" s="21"/>
      <c r="U288" s="21"/>
      <c r="V288" s="21">
        <v>1E-3</v>
      </c>
      <c r="W288" s="21"/>
      <c r="X288" s="21"/>
      <c r="Y288" s="21"/>
      <c r="Z288" s="12" t="s">
        <v>43</v>
      </c>
      <c r="AA288" s="12" t="s">
        <v>62</v>
      </c>
    </row>
    <row r="289" spans="1:27" s="12" customFormat="1" x14ac:dyDescent="0.25">
      <c r="A289">
        <v>112</v>
      </c>
      <c r="B289" s="12">
        <v>2</v>
      </c>
      <c r="C289">
        <f t="shared" si="35"/>
        <v>11202</v>
      </c>
      <c r="D289" s="21" t="s">
        <v>86</v>
      </c>
      <c r="E289" s="11">
        <f>61+12/60+53.8/3600</f>
        <v>61.214944444444448</v>
      </c>
      <c r="F289" s="11">
        <f>2+16/60+25.93/3600</f>
        <v>2.2738694444444443</v>
      </c>
      <c r="G289" s="12" t="s">
        <v>144</v>
      </c>
      <c r="H289" s="12" t="s">
        <v>39</v>
      </c>
      <c r="I289" s="26">
        <v>37895</v>
      </c>
      <c r="J289" s="12" t="s">
        <v>1</v>
      </c>
      <c r="K289" s="22">
        <v>750</v>
      </c>
      <c r="L289" s="22"/>
      <c r="M289" s="32">
        <v>2.2322834645669198</v>
      </c>
      <c r="N289" s="32">
        <v>2.3129921259842501</v>
      </c>
      <c r="O289" s="24"/>
      <c r="P289" s="25"/>
      <c r="Q289" s="25"/>
      <c r="R289" s="25"/>
      <c r="S289" s="21"/>
      <c r="T289" s="21"/>
      <c r="U289" s="21"/>
      <c r="V289" s="21">
        <v>1.1000000000000001E-3</v>
      </c>
      <c r="W289" s="21"/>
      <c r="X289" s="21"/>
      <c r="Y289" s="21"/>
      <c r="Z289" s="12" t="s">
        <v>43</v>
      </c>
      <c r="AA289" s="12" t="s">
        <v>63</v>
      </c>
    </row>
    <row r="290" spans="1:27" s="12" customFormat="1" x14ac:dyDescent="0.25">
      <c r="A290">
        <v>112</v>
      </c>
      <c r="B290" s="12">
        <v>14</v>
      </c>
      <c r="C290">
        <f t="shared" si="35"/>
        <v>11214</v>
      </c>
      <c r="D290" s="21" t="s">
        <v>86</v>
      </c>
      <c r="E290" s="11">
        <f>66+49.35/3600</f>
        <v>66.013708333333327</v>
      </c>
      <c r="F290" s="11">
        <f>8+4/60+26.48/3600</f>
        <v>8.0740222222222222</v>
      </c>
      <c r="G290" s="12" t="s">
        <v>144</v>
      </c>
      <c r="H290" s="12" t="s">
        <v>47</v>
      </c>
      <c r="I290" s="26">
        <v>37895</v>
      </c>
      <c r="J290" s="12" t="s">
        <v>1</v>
      </c>
      <c r="K290" s="22">
        <v>0</v>
      </c>
      <c r="L290" s="22"/>
      <c r="M290" s="32">
        <v>2.5157480314960599</v>
      </c>
      <c r="N290" s="32">
        <v>3.4940944881889702</v>
      </c>
      <c r="O290" s="24"/>
      <c r="P290" s="25"/>
      <c r="Q290" s="25"/>
      <c r="R290" s="25"/>
      <c r="S290" s="21"/>
      <c r="T290" s="21"/>
      <c r="U290" s="21"/>
      <c r="V290" s="21"/>
      <c r="W290" s="21"/>
      <c r="X290" s="21"/>
      <c r="Y290" s="21"/>
      <c r="Z290" s="12" t="s">
        <v>43</v>
      </c>
      <c r="AA290" s="12" t="s">
        <v>64</v>
      </c>
    </row>
    <row r="291" spans="1:27" s="12" customFormat="1" x14ac:dyDescent="0.25">
      <c r="A291">
        <v>112</v>
      </c>
      <c r="B291" s="12">
        <v>3</v>
      </c>
      <c r="C291">
        <f t="shared" si="35"/>
        <v>11203</v>
      </c>
      <c r="D291" s="21" t="s">
        <v>86</v>
      </c>
      <c r="E291" s="11">
        <f>61+31/60+31.58/3600</f>
        <v>61.525438888888885</v>
      </c>
      <c r="F291" s="11">
        <f>2+12/60+41.42/3600</f>
        <v>2.2115055555555556</v>
      </c>
      <c r="G291" s="12" t="s">
        <v>144</v>
      </c>
      <c r="H291" s="12" t="s">
        <v>47</v>
      </c>
      <c r="I291" s="26">
        <v>37895</v>
      </c>
      <c r="J291" s="12" t="s">
        <v>1</v>
      </c>
      <c r="K291" s="22">
        <v>500</v>
      </c>
      <c r="L291" s="22"/>
      <c r="M291" s="32">
        <v>2.6574803149606301</v>
      </c>
      <c r="N291" s="32">
        <v>5.1181102362204696</v>
      </c>
      <c r="O291" s="24"/>
      <c r="P291" s="25"/>
      <c r="Q291" s="25"/>
      <c r="R291" s="25"/>
      <c r="S291" s="21"/>
      <c r="T291" s="21"/>
      <c r="U291" s="21"/>
      <c r="V291" s="21">
        <v>1.9E-3</v>
      </c>
      <c r="W291" s="21"/>
      <c r="X291" s="21"/>
      <c r="Y291" s="21"/>
      <c r="Z291" s="12" t="s">
        <v>43</v>
      </c>
      <c r="AA291" s="12" t="s">
        <v>65</v>
      </c>
    </row>
    <row r="292" spans="1:27" s="12" customFormat="1" x14ac:dyDescent="0.25">
      <c r="A292">
        <v>112</v>
      </c>
      <c r="B292" s="12">
        <v>6</v>
      </c>
      <c r="C292">
        <f t="shared" si="35"/>
        <v>11206</v>
      </c>
      <c r="D292" s="21" t="s">
        <v>86</v>
      </c>
      <c r="E292" s="11">
        <f>64+46/60+43.74/3600</f>
        <v>64.778816666666671</v>
      </c>
      <c r="F292" s="11">
        <f>8+45/60+43.74/3600</f>
        <v>8.7621500000000001</v>
      </c>
      <c r="G292" s="12" t="s">
        <v>144</v>
      </c>
      <c r="H292" s="12" t="s">
        <v>47</v>
      </c>
      <c r="I292" s="26">
        <v>37895</v>
      </c>
      <c r="J292" s="12" t="s">
        <v>1</v>
      </c>
      <c r="K292" s="22">
        <v>250</v>
      </c>
      <c r="L292" s="22"/>
      <c r="M292" s="32">
        <v>2.7637795275590502</v>
      </c>
      <c r="N292" s="32">
        <v>1.2795275590551101</v>
      </c>
      <c r="O292" s="24"/>
      <c r="P292" s="25"/>
      <c r="Q292" s="25"/>
      <c r="R292" s="25"/>
      <c r="S292" s="21"/>
      <c r="T292" s="21"/>
      <c r="U292" s="21"/>
      <c r="V292" s="21">
        <v>1.1000000000000001E-3</v>
      </c>
      <c r="W292" s="21"/>
      <c r="X292" s="21"/>
      <c r="Y292" s="21"/>
      <c r="Z292" s="12" t="s">
        <v>43</v>
      </c>
      <c r="AA292" s="12" t="s">
        <v>66</v>
      </c>
    </row>
    <row r="293" spans="1:27" s="12" customFormat="1" x14ac:dyDescent="0.25">
      <c r="A293">
        <v>112</v>
      </c>
      <c r="B293" s="12">
        <v>9</v>
      </c>
      <c r="C293">
        <f t="shared" si="35"/>
        <v>11209</v>
      </c>
      <c r="D293" s="21" t="s">
        <v>86</v>
      </c>
      <c r="E293" s="11">
        <f>61+15/60+20/3600</f>
        <v>61.255555555555553</v>
      </c>
      <c r="F293" s="11">
        <f>1+51/60+14/3600</f>
        <v>1.8538888888888889</v>
      </c>
      <c r="G293" s="12" t="s">
        <v>144</v>
      </c>
      <c r="H293" s="12" t="s">
        <v>39</v>
      </c>
      <c r="I293" s="26">
        <v>37895</v>
      </c>
      <c r="J293" s="12" t="s">
        <v>1</v>
      </c>
      <c r="K293" s="22">
        <v>1000</v>
      </c>
      <c r="L293" s="22"/>
      <c r="M293" s="32">
        <v>2.7283464566929099</v>
      </c>
      <c r="N293" s="32">
        <v>2.50984251968503</v>
      </c>
      <c r="O293" s="24"/>
      <c r="P293" s="25"/>
      <c r="Q293" s="25"/>
      <c r="R293" s="25"/>
      <c r="S293" s="21"/>
      <c r="T293" s="21"/>
      <c r="U293" s="21"/>
      <c r="V293" s="21"/>
      <c r="W293" s="21"/>
      <c r="X293" s="21"/>
      <c r="Y293" s="21"/>
      <c r="Z293" s="12" t="s">
        <v>43</v>
      </c>
      <c r="AA293" s="12" t="s">
        <v>67</v>
      </c>
    </row>
    <row r="294" spans="1:27" s="12" customFormat="1" x14ac:dyDescent="0.25">
      <c r="A294">
        <v>112</v>
      </c>
      <c r="B294" s="12">
        <v>15</v>
      </c>
      <c r="C294">
        <f t="shared" si="35"/>
        <v>11215</v>
      </c>
      <c r="D294" s="21" t="s">
        <v>86</v>
      </c>
      <c r="E294" s="11">
        <v>59.22</v>
      </c>
      <c r="F294" s="11">
        <v>2.4900000000000002</v>
      </c>
      <c r="G294" s="12" t="s">
        <v>144</v>
      </c>
      <c r="H294" s="12" t="s">
        <v>39</v>
      </c>
      <c r="I294" s="26">
        <v>37895</v>
      </c>
      <c r="J294" s="12" t="s">
        <v>1</v>
      </c>
      <c r="K294" s="22">
        <v>0</v>
      </c>
      <c r="L294" s="22"/>
      <c r="M294" s="32">
        <v>2.9409448818897599</v>
      </c>
      <c r="N294" s="32">
        <v>2.9527559055118102</v>
      </c>
      <c r="O294" s="24"/>
      <c r="P294" s="25"/>
      <c r="Q294" s="25"/>
      <c r="R294" s="25"/>
      <c r="S294" s="21"/>
      <c r="T294" s="21"/>
      <c r="U294" s="21"/>
      <c r="V294" s="21"/>
      <c r="W294" s="21"/>
      <c r="X294" s="21"/>
      <c r="Y294" s="21"/>
      <c r="Z294" s="12" t="s">
        <v>43</v>
      </c>
      <c r="AA294" s="12" t="s">
        <v>68</v>
      </c>
    </row>
    <row r="295" spans="1:27" s="12" customFormat="1" x14ac:dyDescent="0.25">
      <c r="A295">
        <v>112</v>
      </c>
      <c r="B295" s="12">
        <v>16</v>
      </c>
      <c r="C295">
        <f t="shared" si="35"/>
        <v>11216</v>
      </c>
      <c r="D295" s="21" t="s">
        <v>87</v>
      </c>
      <c r="E295" s="11">
        <f>AVERAGE(E272,E273,E286,E307:E308,E292,E310:E311,E293,E278:E279,E283:E284,E290,E294,E296,E297:E299,E301,E304:E305,E314)</f>
        <v>60.542249057971006</v>
      </c>
      <c r="F295" s="11">
        <f>AVERAGE(F272,F273,F286,F307:F308,F292,F310:F311,F293,F278:F279,F283:F284,F290,F294,F296,F297:F299,F301,F304:F305,F314)</f>
        <v>3.9990973478260865</v>
      </c>
      <c r="G295" s="12" t="s">
        <v>144</v>
      </c>
      <c r="H295" s="12" t="s">
        <v>39</v>
      </c>
      <c r="I295" s="26">
        <v>37895</v>
      </c>
      <c r="J295" s="12" t="s">
        <v>1</v>
      </c>
      <c r="K295" s="22">
        <v>0</v>
      </c>
      <c r="L295" s="22"/>
      <c r="M295" s="32">
        <v>3.25984251968503</v>
      </c>
      <c r="N295" s="32">
        <v>3.4940944881889702</v>
      </c>
      <c r="O295" s="24"/>
      <c r="P295" s="25"/>
      <c r="Q295" s="25"/>
      <c r="R295" s="25"/>
      <c r="S295" s="21"/>
      <c r="T295" s="21"/>
      <c r="U295" s="21"/>
      <c r="V295" s="21"/>
      <c r="W295" s="21"/>
      <c r="X295" s="21"/>
      <c r="Y295" s="21"/>
      <c r="Z295" s="12" t="s">
        <v>43</v>
      </c>
      <c r="AA295" s="12" t="s">
        <v>88</v>
      </c>
    </row>
    <row r="296" spans="1:27" s="12" customFormat="1" x14ac:dyDescent="0.25">
      <c r="A296">
        <v>112</v>
      </c>
      <c r="B296" s="12">
        <v>17</v>
      </c>
      <c r="C296">
        <f t="shared" si="35"/>
        <v>11217</v>
      </c>
      <c r="D296" s="21" t="s">
        <v>86</v>
      </c>
      <c r="E296" s="11">
        <f>59.2258</f>
        <v>59.2258</v>
      </c>
      <c r="F296" s="11">
        <v>2.4131</v>
      </c>
      <c r="G296" s="12" t="s">
        <v>144</v>
      </c>
      <c r="H296" s="12" t="s">
        <v>39</v>
      </c>
      <c r="I296" s="26">
        <v>37895</v>
      </c>
      <c r="J296" s="12" t="s">
        <v>1</v>
      </c>
      <c r="K296" s="22">
        <v>0</v>
      </c>
      <c r="L296" s="22"/>
      <c r="M296" s="32">
        <v>3.5078740157480301</v>
      </c>
      <c r="N296" s="32">
        <v>2.8051181102362199</v>
      </c>
      <c r="O296" s="24"/>
      <c r="P296" s="25"/>
      <c r="Q296" s="25"/>
      <c r="R296" s="25"/>
      <c r="S296" s="21"/>
      <c r="T296" s="21"/>
      <c r="U296" s="21"/>
      <c r="V296" s="21"/>
      <c r="W296" s="21"/>
      <c r="X296" s="21"/>
      <c r="Y296" s="21"/>
      <c r="Z296" s="12" t="s">
        <v>43</v>
      </c>
      <c r="AA296" s="12" t="s">
        <v>69</v>
      </c>
    </row>
    <row r="297" spans="1:27" s="12" customFormat="1" x14ac:dyDescent="0.25">
      <c r="A297">
        <v>112</v>
      </c>
      <c r="B297" s="12">
        <v>18</v>
      </c>
      <c r="C297">
        <f t="shared" si="35"/>
        <v>11218</v>
      </c>
      <c r="D297" s="21" t="s">
        <v>86</v>
      </c>
      <c r="E297" s="11">
        <f>60+37/60+48.17/3600</f>
        <v>60.630047222222224</v>
      </c>
      <c r="F297" s="11">
        <f>3+16/60+1.71/3600</f>
        <v>3.2671416666666664</v>
      </c>
      <c r="G297" s="12" t="s">
        <v>144</v>
      </c>
      <c r="H297" s="12" t="s">
        <v>39</v>
      </c>
      <c r="I297" s="26">
        <v>37895</v>
      </c>
      <c r="J297" s="12" t="s">
        <v>1</v>
      </c>
      <c r="K297" s="22">
        <v>0</v>
      </c>
      <c r="L297" s="22"/>
      <c r="M297" s="32">
        <v>3.6141732283464498</v>
      </c>
      <c r="N297" s="32">
        <v>3.88779527559055</v>
      </c>
      <c r="O297" s="24"/>
      <c r="P297" s="25"/>
      <c r="Q297" s="25"/>
      <c r="R297" s="25"/>
      <c r="S297" s="21"/>
      <c r="T297" s="21"/>
      <c r="U297" s="21"/>
      <c r="V297" s="21"/>
      <c r="W297" s="21"/>
      <c r="X297" s="21"/>
      <c r="Y297" s="21"/>
      <c r="Z297" s="12" t="s">
        <v>43</v>
      </c>
      <c r="AA297" s="12" t="s">
        <v>70</v>
      </c>
    </row>
    <row r="298" spans="1:27" s="12" customFormat="1" x14ac:dyDescent="0.25">
      <c r="A298">
        <v>112</v>
      </c>
      <c r="B298" s="12">
        <v>19</v>
      </c>
      <c r="C298">
        <f t="shared" si="35"/>
        <v>11219</v>
      </c>
      <c r="D298" s="21" t="s">
        <v>86</v>
      </c>
      <c r="E298" s="11">
        <f>60.58</f>
        <v>60.58</v>
      </c>
      <c r="F298" s="11">
        <v>3.02</v>
      </c>
      <c r="G298" s="12" t="s">
        <v>144</v>
      </c>
      <c r="H298" s="12" t="s">
        <v>39</v>
      </c>
      <c r="I298" s="26">
        <v>37895</v>
      </c>
      <c r="J298" s="12" t="s">
        <v>1</v>
      </c>
      <c r="K298" s="22">
        <v>0</v>
      </c>
      <c r="L298" s="22"/>
      <c r="M298" s="32">
        <v>3.6141732283464498</v>
      </c>
      <c r="N298" s="32">
        <v>2.8051181102362199</v>
      </c>
      <c r="O298" s="24"/>
      <c r="P298" s="25"/>
      <c r="Q298" s="25"/>
      <c r="R298" s="25"/>
      <c r="S298" s="21"/>
      <c r="T298" s="21"/>
      <c r="U298" s="21"/>
      <c r="V298" s="21"/>
      <c r="W298" s="21"/>
      <c r="X298" s="21"/>
      <c r="Y298" s="21"/>
      <c r="Z298" s="12" t="s">
        <v>43</v>
      </c>
      <c r="AA298" s="12" t="s">
        <v>71</v>
      </c>
    </row>
    <row r="299" spans="1:27" s="12" customFormat="1" x14ac:dyDescent="0.25">
      <c r="A299">
        <v>112</v>
      </c>
      <c r="B299" s="12">
        <v>20</v>
      </c>
      <c r="C299">
        <f t="shared" si="35"/>
        <v>11220</v>
      </c>
      <c r="D299" s="21" t="s">
        <v>86</v>
      </c>
      <c r="E299" s="11">
        <f>56+54/60+41.19/3600</f>
        <v>56.911441666666668</v>
      </c>
      <c r="F299" s="11">
        <f>3+6/60+30.19/3600</f>
        <v>3.1083861111111113</v>
      </c>
      <c r="G299" s="12" t="s">
        <v>144</v>
      </c>
      <c r="H299" s="12" t="s">
        <v>39</v>
      </c>
      <c r="I299" s="26">
        <v>37895</v>
      </c>
      <c r="J299" s="12" t="s">
        <v>1</v>
      </c>
      <c r="K299" s="22">
        <v>0</v>
      </c>
      <c r="L299" s="22"/>
      <c r="M299" s="32">
        <v>3.79133858267716</v>
      </c>
      <c r="N299" s="32">
        <v>0.63976377952755903</v>
      </c>
      <c r="O299" s="24"/>
      <c r="P299" s="25"/>
      <c r="Q299" s="25"/>
      <c r="R299" s="25"/>
      <c r="S299" s="21"/>
      <c r="T299" s="21"/>
      <c r="U299" s="21"/>
      <c r="V299" s="21"/>
      <c r="W299" s="21"/>
      <c r="X299" s="21"/>
      <c r="Y299" s="21"/>
      <c r="Z299" s="12" t="s">
        <v>43</v>
      </c>
      <c r="AA299" s="12" t="s">
        <v>72</v>
      </c>
    </row>
    <row r="300" spans="1:27" s="12" customFormat="1" x14ac:dyDescent="0.25">
      <c r="A300">
        <v>112</v>
      </c>
      <c r="B300" s="12">
        <v>11</v>
      </c>
      <c r="C300">
        <f t="shared" si="35"/>
        <v>11211</v>
      </c>
      <c r="D300" s="21" t="s">
        <v>86</v>
      </c>
      <c r="E300" s="11">
        <f>56+24/60+17.43/3600</f>
        <v>56.404841666666663</v>
      </c>
      <c r="F300" s="11">
        <f>3+12/60+55.2/3600</f>
        <v>3.2153333333333336</v>
      </c>
      <c r="G300" s="12" t="s">
        <v>144</v>
      </c>
      <c r="H300" s="12" t="s">
        <v>39</v>
      </c>
      <c r="I300" s="26">
        <v>37895</v>
      </c>
      <c r="J300" s="12" t="s">
        <v>1</v>
      </c>
      <c r="K300" s="22">
        <v>750</v>
      </c>
      <c r="L300" s="22"/>
      <c r="M300" s="32">
        <v>4.0393700787401503</v>
      </c>
      <c r="N300" s="32">
        <v>0.93503937007874005</v>
      </c>
      <c r="O300" s="24"/>
      <c r="P300" s="25"/>
      <c r="Q300" s="25"/>
      <c r="R300" s="25"/>
      <c r="S300" s="21"/>
      <c r="T300" s="21"/>
      <c r="U300" s="21"/>
      <c r="V300" s="21"/>
      <c r="W300" s="21"/>
      <c r="X300" s="21"/>
      <c r="Y300" s="21"/>
      <c r="Z300" s="12" t="s">
        <v>43</v>
      </c>
      <c r="AA300" s="12" t="s">
        <v>73</v>
      </c>
    </row>
    <row r="301" spans="1:27" s="12" customFormat="1" x14ac:dyDescent="0.25">
      <c r="A301">
        <v>112</v>
      </c>
      <c r="B301" s="12">
        <v>21</v>
      </c>
      <c r="C301">
        <f t="shared" si="35"/>
        <v>11221</v>
      </c>
      <c r="D301" s="21" t="s">
        <v>86</v>
      </c>
      <c r="E301" s="11">
        <f>64+21/60+11.42/3600</f>
        <v>64.353172222222213</v>
      </c>
      <c r="F301" s="11">
        <f>7+46/60+57.38/3600</f>
        <v>7.7826055555555556</v>
      </c>
      <c r="G301" s="12" t="s">
        <v>144</v>
      </c>
      <c r="H301" s="12" t="s">
        <v>47</v>
      </c>
      <c r="I301" s="26">
        <v>37895</v>
      </c>
      <c r="J301" s="12" t="s">
        <v>1</v>
      </c>
      <c r="K301" s="22">
        <v>0</v>
      </c>
      <c r="L301" s="22"/>
      <c r="M301" s="32">
        <v>4.2165354330708604</v>
      </c>
      <c r="N301" s="32">
        <v>4.4783464566929103</v>
      </c>
      <c r="O301" s="24"/>
      <c r="P301" s="25"/>
      <c r="Q301" s="25"/>
      <c r="R301" s="25"/>
      <c r="S301" s="21"/>
      <c r="T301" s="21"/>
      <c r="U301" s="21"/>
      <c r="V301" s="21"/>
      <c r="W301" s="21"/>
      <c r="X301" s="21"/>
      <c r="Y301" s="21"/>
      <c r="Z301" s="12" t="s">
        <v>43</v>
      </c>
      <c r="AA301" s="12" t="s">
        <v>74</v>
      </c>
    </row>
    <row r="302" spans="1:27" s="12" customFormat="1" x14ac:dyDescent="0.25">
      <c r="A302">
        <v>112</v>
      </c>
      <c r="B302" s="12">
        <v>22</v>
      </c>
      <c r="C302">
        <f t="shared" si="35"/>
        <v>11222</v>
      </c>
      <c r="D302" s="21" t="s">
        <v>87</v>
      </c>
      <c r="E302" s="11">
        <f>E295</f>
        <v>60.542249057971006</v>
      </c>
      <c r="F302" s="11">
        <f>F295</f>
        <v>3.9990973478260865</v>
      </c>
      <c r="G302" s="12" t="s">
        <v>144</v>
      </c>
      <c r="H302" s="12" t="s">
        <v>39</v>
      </c>
      <c r="I302" s="26">
        <v>37895</v>
      </c>
      <c r="J302" s="12" t="s">
        <v>1</v>
      </c>
      <c r="K302" s="22">
        <v>0</v>
      </c>
      <c r="L302" s="22"/>
      <c r="M302" s="32">
        <v>4.3582677165354298</v>
      </c>
      <c r="N302" s="32">
        <v>4.2814960629921197</v>
      </c>
      <c r="O302" s="24"/>
      <c r="P302" s="25"/>
      <c r="Q302" s="25"/>
      <c r="R302" s="25"/>
      <c r="S302" s="21"/>
      <c r="T302" s="21"/>
      <c r="U302" s="21"/>
      <c r="V302" s="21"/>
      <c r="W302" s="21"/>
      <c r="X302" s="21"/>
      <c r="Y302" s="21"/>
      <c r="Z302" s="12" t="s">
        <v>43</v>
      </c>
      <c r="AA302" s="12" t="s">
        <v>89</v>
      </c>
    </row>
    <row r="303" spans="1:27" s="12" customFormat="1" x14ac:dyDescent="0.25">
      <c r="A303">
        <v>112</v>
      </c>
      <c r="B303" s="12">
        <v>11</v>
      </c>
      <c r="C303">
        <f t="shared" si="35"/>
        <v>11211</v>
      </c>
      <c r="D303" s="21" t="s">
        <v>86</v>
      </c>
      <c r="E303" s="11">
        <f>56+24/60+17.43/3600</f>
        <v>56.404841666666663</v>
      </c>
      <c r="F303" s="11">
        <f>3+12/60+55.2/3600</f>
        <v>3.2153333333333336</v>
      </c>
      <c r="G303" s="12" t="s">
        <v>144</v>
      </c>
      <c r="H303" s="12" t="s">
        <v>39</v>
      </c>
      <c r="I303" s="26">
        <v>37895</v>
      </c>
      <c r="J303" s="12" t="s">
        <v>1</v>
      </c>
      <c r="K303" s="22">
        <v>500</v>
      </c>
      <c r="L303" s="22"/>
      <c r="M303" s="32">
        <v>4.7834645669291298</v>
      </c>
      <c r="N303" s="32">
        <v>0.63976377952755903</v>
      </c>
      <c r="O303" s="24"/>
      <c r="P303" s="25"/>
      <c r="Q303" s="25"/>
      <c r="R303" s="25"/>
      <c r="S303" s="21"/>
      <c r="T303" s="21"/>
      <c r="U303" s="21"/>
      <c r="V303" s="21"/>
      <c r="W303" s="21"/>
      <c r="X303" s="21"/>
      <c r="Y303" s="21"/>
      <c r="Z303" s="12" t="s">
        <v>43</v>
      </c>
      <c r="AA303" s="12" t="s">
        <v>75</v>
      </c>
    </row>
    <row r="304" spans="1:27" s="12" customFormat="1" x14ac:dyDescent="0.25">
      <c r="A304">
        <v>112</v>
      </c>
      <c r="B304" s="12">
        <v>23</v>
      </c>
      <c r="C304">
        <f t="shared" si="35"/>
        <v>11223</v>
      </c>
      <c r="D304" s="21" t="s">
        <v>86</v>
      </c>
      <c r="E304" s="11">
        <f>58+36/60+46.51/3600</f>
        <v>58.612919444444444</v>
      </c>
      <c r="F304" s="11">
        <f>28/60+37.21/3600</f>
        <v>0.47700277777777778</v>
      </c>
      <c r="G304" s="12" t="s">
        <v>144</v>
      </c>
      <c r="H304" s="12" t="s">
        <v>39</v>
      </c>
      <c r="I304" s="26">
        <v>37895</v>
      </c>
      <c r="J304" s="12" t="s">
        <v>1</v>
      </c>
      <c r="K304" s="22">
        <v>0</v>
      </c>
      <c r="L304" s="22"/>
      <c r="M304" s="32">
        <v>5.2086614173228298</v>
      </c>
      <c r="N304" s="32">
        <v>6.34842519685039</v>
      </c>
      <c r="O304" s="24"/>
      <c r="P304" s="25"/>
      <c r="Q304" s="25"/>
      <c r="R304" s="25"/>
      <c r="S304" s="21"/>
      <c r="T304" s="21"/>
      <c r="U304" s="21"/>
      <c r="V304" s="21"/>
      <c r="W304" s="21"/>
      <c r="X304" s="21"/>
      <c r="Y304" s="21"/>
      <c r="Z304" s="12" t="s">
        <v>43</v>
      </c>
      <c r="AA304" s="12" t="s">
        <v>76</v>
      </c>
    </row>
    <row r="305" spans="1:27" s="12" customFormat="1" x14ac:dyDescent="0.25">
      <c r="A305">
        <v>112</v>
      </c>
      <c r="B305" s="12">
        <v>24</v>
      </c>
      <c r="C305">
        <f t="shared" si="35"/>
        <v>11224</v>
      </c>
      <c r="D305" s="21" t="s">
        <v>86</v>
      </c>
      <c r="E305" s="11">
        <f>56+16/60+41.7904/3600</f>
        <v>56.278275111111107</v>
      </c>
      <c r="F305" s="11">
        <f>3+23/60+43.19/3600</f>
        <v>3.3953305555555557</v>
      </c>
      <c r="G305" s="12" t="s">
        <v>144</v>
      </c>
      <c r="H305" s="12" t="s">
        <v>39</v>
      </c>
      <c r="I305" s="26">
        <v>37895</v>
      </c>
      <c r="J305" s="12" t="s">
        <v>1</v>
      </c>
      <c r="K305" s="22">
        <v>0</v>
      </c>
      <c r="L305" s="22"/>
      <c r="M305" s="32">
        <v>5.81102362204724</v>
      </c>
      <c r="N305" s="32">
        <v>2.5590551181102299</v>
      </c>
      <c r="O305" s="24"/>
      <c r="P305" s="25"/>
      <c r="Q305" s="25"/>
      <c r="R305" s="25"/>
      <c r="S305" s="21"/>
      <c r="T305" s="21"/>
      <c r="U305" s="21"/>
      <c r="V305" s="21"/>
      <c r="W305" s="21"/>
      <c r="X305" s="21"/>
      <c r="Y305" s="21"/>
      <c r="Z305" s="12" t="s">
        <v>43</v>
      </c>
      <c r="AA305" s="12" t="s">
        <v>77</v>
      </c>
    </row>
    <row r="306" spans="1:27" s="12" customFormat="1" x14ac:dyDescent="0.25">
      <c r="A306">
        <v>112</v>
      </c>
      <c r="B306" s="12">
        <v>25</v>
      </c>
      <c r="C306">
        <f t="shared" si="35"/>
        <v>11225</v>
      </c>
      <c r="D306" s="21" t="s">
        <v>87</v>
      </c>
      <c r="E306" s="11">
        <f>E295</f>
        <v>60.542249057971006</v>
      </c>
      <c r="F306" s="11">
        <f>F295</f>
        <v>3.9990973478260865</v>
      </c>
      <c r="G306" s="12" t="s">
        <v>144</v>
      </c>
      <c r="H306" s="12" t="s">
        <v>39</v>
      </c>
      <c r="I306" s="26">
        <v>37895</v>
      </c>
      <c r="J306" s="12" t="s">
        <v>1</v>
      </c>
      <c r="K306" s="22">
        <v>0</v>
      </c>
      <c r="L306" s="22"/>
      <c r="M306" s="32">
        <v>7.7952755905511797</v>
      </c>
      <c r="N306" s="32">
        <v>9.1535433070866095</v>
      </c>
      <c r="O306" s="24"/>
      <c r="P306" s="25"/>
      <c r="Q306" s="25"/>
      <c r="R306" s="25"/>
      <c r="S306" s="21"/>
      <c r="T306" s="21"/>
      <c r="U306" s="21"/>
      <c r="V306" s="21"/>
      <c r="W306" s="21"/>
      <c r="X306" s="21"/>
      <c r="Y306" s="21"/>
      <c r="Z306" s="12" t="s">
        <v>43</v>
      </c>
      <c r="AA306" s="12" t="s">
        <v>90</v>
      </c>
    </row>
    <row r="307" spans="1:27" s="12" customFormat="1" x14ac:dyDescent="0.25">
      <c r="A307">
        <v>112</v>
      </c>
      <c r="B307" s="12">
        <v>4</v>
      </c>
      <c r="C307">
        <f t="shared" si="35"/>
        <v>11204</v>
      </c>
      <c r="D307" s="21" t="s">
        <v>86</v>
      </c>
      <c r="E307" s="11">
        <f>57+6/60+41.15/3600</f>
        <v>57.111430555555557</v>
      </c>
      <c r="F307" s="11">
        <f>2+50/60+50.39/3600</f>
        <v>2.8473305555555557</v>
      </c>
      <c r="G307" s="12" t="s">
        <v>144</v>
      </c>
      <c r="H307" s="12" t="s">
        <v>39</v>
      </c>
      <c r="I307" s="26">
        <v>37895</v>
      </c>
      <c r="J307" s="12" t="s">
        <v>1</v>
      </c>
      <c r="K307" s="22">
        <v>0</v>
      </c>
      <c r="L307" s="22"/>
      <c r="M307" s="32">
        <v>7.9370078740157401</v>
      </c>
      <c r="N307" s="32">
        <v>2.50984251968503</v>
      </c>
      <c r="O307" s="24"/>
      <c r="P307" s="25"/>
      <c r="Q307" s="25"/>
      <c r="R307" s="25"/>
      <c r="S307" s="21"/>
      <c r="T307" s="21"/>
      <c r="U307" s="21"/>
      <c r="V307" s="21">
        <f>2.1/1000</f>
        <v>2.1000000000000003E-3</v>
      </c>
      <c r="W307" s="21"/>
      <c r="X307" s="21"/>
      <c r="Y307" s="21"/>
      <c r="Z307" s="12" t="s">
        <v>43</v>
      </c>
      <c r="AA307" s="12" t="s">
        <v>46</v>
      </c>
    </row>
    <row r="308" spans="1:27" s="12" customFormat="1" x14ac:dyDescent="0.25">
      <c r="A308">
        <v>112</v>
      </c>
      <c r="B308" s="12">
        <v>5</v>
      </c>
      <c r="C308">
        <f t="shared" si="35"/>
        <v>11205</v>
      </c>
      <c r="D308" s="21" t="s">
        <v>86</v>
      </c>
      <c r="E308" s="11">
        <f>65+19/60+33/3600</f>
        <v>65.325833333333335</v>
      </c>
      <c r="F308" s="11">
        <f>7+19/60+3/3600</f>
        <v>7.3174999999999999</v>
      </c>
      <c r="G308" s="12" t="s">
        <v>144</v>
      </c>
      <c r="H308" s="12" t="s">
        <v>47</v>
      </c>
      <c r="I308" s="26">
        <v>37895</v>
      </c>
      <c r="J308" s="12" t="s">
        <v>1</v>
      </c>
      <c r="K308" s="22">
        <v>500</v>
      </c>
      <c r="L308" s="22"/>
      <c r="M308" s="32">
        <v>7.9724409448818898</v>
      </c>
      <c r="N308" s="32">
        <v>7.7263779527559002</v>
      </c>
      <c r="O308" s="24"/>
      <c r="P308" s="25"/>
      <c r="Q308" s="25"/>
      <c r="R308" s="25"/>
      <c r="S308" s="21"/>
      <c r="T308" s="21"/>
      <c r="U308" s="21"/>
      <c r="V308" s="21">
        <v>2.8E-3</v>
      </c>
      <c r="W308" s="21"/>
      <c r="X308" s="21"/>
      <c r="Y308" s="21"/>
      <c r="Z308" s="12" t="s">
        <v>43</v>
      </c>
      <c r="AA308" s="12" t="s">
        <v>78</v>
      </c>
    </row>
    <row r="309" spans="1:27" s="12" customFormat="1" x14ac:dyDescent="0.25">
      <c r="A309">
        <v>112</v>
      </c>
      <c r="B309" s="12">
        <v>1</v>
      </c>
      <c r="C309">
        <f t="shared" si="35"/>
        <v>11201</v>
      </c>
      <c r="D309" s="21" t="s">
        <v>86</v>
      </c>
      <c r="E309" s="11">
        <v>58.36</v>
      </c>
      <c r="F309" s="11">
        <v>1.91</v>
      </c>
      <c r="G309" s="12" t="s">
        <v>144</v>
      </c>
      <c r="H309" s="12" t="s">
        <v>39</v>
      </c>
      <c r="I309" s="26">
        <v>37895</v>
      </c>
      <c r="J309" s="12" t="s">
        <v>1</v>
      </c>
      <c r="K309" s="22">
        <v>250</v>
      </c>
      <c r="L309" s="22"/>
      <c r="M309" s="32">
        <v>8.4330708661417297</v>
      </c>
      <c r="N309" s="32">
        <v>5.4133858267716501</v>
      </c>
      <c r="O309" s="24"/>
      <c r="P309" s="25"/>
      <c r="Q309" s="25"/>
      <c r="R309" s="25"/>
      <c r="S309" s="21"/>
      <c r="T309" s="21"/>
      <c r="U309" s="21"/>
      <c r="V309" s="21"/>
      <c r="W309" s="21"/>
      <c r="X309" s="21"/>
      <c r="Y309" s="21"/>
      <c r="Z309" s="12" t="s">
        <v>43</v>
      </c>
      <c r="AA309" s="12" t="s">
        <v>79</v>
      </c>
    </row>
    <row r="310" spans="1:27" s="12" customFormat="1" x14ac:dyDescent="0.25">
      <c r="A310">
        <v>112</v>
      </c>
      <c r="B310" s="12">
        <v>7</v>
      </c>
      <c r="C310">
        <f t="shared" si="35"/>
        <v>11207</v>
      </c>
      <c r="D310" s="21" t="s">
        <v>86</v>
      </c>
      <c r="E310" s="11">
        <f>61+7/60+46/3600</f>
        <v>61.129444444444445</v>
      </c>
      <c r="F310" s="11">
        <f>3+54/60+53/3600</f>
        <v>3.9147222222222222</v>
      </c>
      <c r="G310" s="12" t="s">
        <v>144</v>
      </c>
      <c r="H310" s="12" t="s">
        <v>39</v>
      </c>
      <c r="I310" s="26">
        <v>37895</v>
      </c>
      <c r="J310" s="12" t="s">
        <v>1</v>
      </c>
      <c r="K310" s="22">
        <v>0</v>
      </c>
      <c r="L310" s="22"/>
      <c r="M310" s="32">
        <v>8.4685039370078705</v>
      </c>
      <c r="N310" s="32">
        <v>8.0216535433070799</v>
      </c>
      <c r="O310" s="24"/>
      <c r="P310" s="25"/>
      <c r="Q310" s="25"/>
      <c r="R310" s="25"/>
      <c r="S310" s="21"/>
      <c r="T310" s="21"/>
      <c r="U310" s="21"/>
      <c r="V310" s="21">
        <v>2.0000000000000001E-4</v>
      </c>
      <c r="W310" s="21"/>
      <c r="X310" s="21"/>
      <c r="Y310" s="21"/>
      <c r="Z310" s="12" t="s">
        <v>43</v>
      </c>
      <c r="AA310" s="12" t="s">
        <v>48</v>
      </c>
    </row>
    <row r="311" spans="1:27" s="12" customFormat="1" x14ac:dyDescent="0.25">
      <c r="A311">
        <v>112</v>
      </c>
      <c r="B311" s="12">
        <v>8</v>
      </c>
      <c r="C311">
        <f t="shared" si="35"/>
        <v>11208</v>
      </c>
      <c r="D311" s="21" t="s">
        <v>86</v>
      </c>
      <c r="E311" s="11">
        <f>61+23/60+60/3600</f>
        <v>61.4</v>
      </c>
      <c r="F311" s="11">
        <f>2+14/60+51/3600</f>
        <v>2.2475000000000001</v>
      </c>
      <c r="G311" s="12" t="s">
        <v>144</v>
      </c>
      <c r="H311" s="12" t="s">
        <v>39</v>
      </c>
      <c r="I311" s="26">
        <v>37895</v>
      </c>
      <c r="J311" s="12" t="s">
        <v>1</v>
      </c>
      <c r="K311" s="22">
        <v>0</v>
      </c>
      <c r="L311" s="22"/>
      <c r="M311" s="32">
        <v>8.7519685039370003</v>
      </c>
      <c r="N311" s="32">
        <v>6.25</v>
      </c>
      <c r="O311" s="24"/>
      <c r="P311" s="25"/>
      <c r="Q311" s="25"/>
      <c r="R311" s="25"/>
      <c r="S311" s="21"/>
      <c r="T311" s="21"/>
      <c r="U311" s="21"/>
      <c r="V311" s="21">
        <v>2.5999999999999999E-3</v>
      </c>
      <c r="W311" s="21"/>
      <c r="X311" s="21"/>
      <c r="Y311" s="21"/>
      <c r="Z311" s="12" t="s">
        <v>43</v>
      </c>
      <c r="AA311" s="12" t="s">
        <v>49</v>
      </c>
    </row>
    <row r="312" spans="1:27" s="12" customFormat="1" x14ac:dyDescent="0.25">
      <c r="A312">
        <v>112</v>
      </c>
      <c r="B312" s="12">
        <v>10</v>
      </c>
      <c r="C312">
        <f t="shared" si="35"/>
        <v>11210</v>
      </c>
      <c r="D312" s="21" t="s">
        <v>86</v>
      </c>
      <c r="E312" s="11">
        <f>60.645556</f>
        <v>60.645555999999999</v>
      </c>
      <c r="F312" s="11">
        <v>3.7267890000000001</v>
      </c>
      <c r="G312" s="12" t="s">
        <v>144</v>
      </c>
      <c r="H312" s="12" t="s">
        <v>39</v>
      </c>
      <c r="I312" s="26">
        <v>37895</v>
      </c>
      <c r="J312" s="12" t="s">
        <v>1</v>
      </c>
      <c r="K312" s="22">
        <v>500</v>
      </c>
      <c r="L312" s="22"/>
      <c r="M312" s="32">
        <v>9.0354330708661408</v>
      </c>
      <c r="N312" s="32">
        <v>7.9232283464566899</v>
      </c>
      <c r="O312" s="24"/>
      <c r="P312" s="25"/>
      <c r="Q312" s="25"/>
      <c r="R312" s="25"/>
      <c r="S312" s="21"/>
      <c r="T312" s="21"/>
      <c r="U312" s="21"/>
      <c r="V312" s="21"/>
      <c r="W312" s="21"/>
      <c r="X312" s="21"/>
      <c r="Y312" s="21"/>
      <c r="Z312" s="12" t="s">
        <v>43</v>
      </c>
      <c r="AA312" s="12" t="s">
        <v>80</v>
      </c>
    </row>
    <row r="313" spans="1:27" x14ac:dyDescent="0.25">
      <c r="A313">
        <v>112</v>
      </c>
      <c r="B313">
        <v>10</v>
      </c>
      <c r="C313">
        <f t="shared" si="35"/>
        <v>11210</v>
      </c>
      <c r="D313" s="3" t="s">
        <v>86</v>
      </c>
      <c r="E313" s="11">
        <f>60.645556</f>
        <v>60.645555999999999</v>
      </c>
      <c r="F313" s="11">
        <v>3.7267890000000001</v>
      </c>
      <c r="G313" s="12" t="s">
        <v>144</v>
      </c>
      <c r="H313" s="12" t="s">
        <v>39</v>
      </c>
      <c r="I313" s="4">
        <v>37895</v>
      </c>
      <c r="J313" t="s">
        <v>1</v>
      </c>
      <c r="K313" s="2">
        <v>750</v>
      </c>
      <c r="M313" s="31">
        <v>9.3897637795275593</v>
      </c>
      <c r="N313" s="31">
        <v>7.0866141732283401</v>
      </c>
      <c r="Z313" t="s">
        <v>43</v>
      </c>
      <c r="AA313" t="s">
        <v>81</v>
      </c>
    </row>
    <row r="314" spans="1:27" x14ac:dyDescent="0.25">
      <c r="A314">
        <v>112</v>
      </c>
      <c r="B314">
        <v>26</v>
      </c>
      <c r="C314">
        <f t="shared" si="35"/>
        <v>11226</v>
      </c>
      <c r="D314" s="3" t="s">
        <v>86</v>
      </c>
      <c r="E314" s="11">
        <f>64+20/60+52.62/3600</f>
        <v>64.347949999999997</v>
      </c>
      <c r="F314" s="11">
        <f>7+23/60+17/3600</f>
        <v>7.3880555555555558</v>
      </c>
      <c r="G314" s="12" t="s">
        <v>144</v>
      </c>
      <c r="H314" s="12" t="s">
        <v>47</v>
      </c>
      <c r="I314" s="4">
        <v>37895</v>
      </c>
      <c r="J314" t="s">
        <v>1</v>
      </c>
      <c r="K314" s="2">
        <v>0</v>
      </c>
      <c r="M314" s="31">
        <v>10.0275590551181</v>
      </c>
      <c r="N314" s="31">
        <v>19.586614173228298</v>
      </c>
      <c r="Z314" t="s">
        <v>43</v>
      </c>
      <c r="AA314" t="s">
        <v>82</v>
      </c>
    </row>
    <row r="315" spans="1:27" x14ac:dyDescent="0.25">
      <c r="A315">
        <v>112</v>
      </c>
      <c r="B315">
        <v>27</v>
      </c>
      <c r="C315">
        <f t="shared" si="35"/>
        <v>11227</v>
      </c>
      <c r="D315" s="3" t="s">
        <v>87</v>
      </c>
      <c r="E315" s="11">
        <f>E295</f>
        <v>60.542249057971006</v>
      </c>
      <c r="F315" s="11">
        <f>F295</f>
        <v>3.9990973478260865</v>
      </c>
      <c r="G315" s="12" t="s">
        <v>144</v>
      </c>
      <c r="H315" s="12" t="s">
        <v>39</v>
      </c>
      <c r="I315" s="4">
        <v>37895</v>
      </c>
      <c r="J315" t="s">
        <v>1</v>
      </c>
      <c r="K315" s="2">
        <v>0</v>
      </c>
      <c r="M315" s="31">
        <v>10.5944881889763</v>
      </c>
      <c r="N315" s="31">
        <v>10.8759842519685</v>
      </c>
      <c r="Z315" t="s">
        <v>43</v>
      </c>
      <c r="AA315" t="s">
        <v>91</v>
      </c>
    </row>
    <row r="316" spans="1:27" x14ac:dyDescent="0.25">
      <c r="A316">
        <v>112</v>
      </c>
      <c r="B316">
        <v>1</v>
      </c>
      <c r="C316">
        <f t="shared" si="35"/>
        <v>11201</v>
      </c>
      <c r="D316" s="3" t="s">
        <v>86</v>
      </c>
      <c r="E316" s="11">
        <v>58.36</v>
      </c>
      <c r="F316" s="11">
        <v>1.91</v>
      </c>
      <c r="G316" s="12" t="s">
        <v>144</v>
      </c>
      <c r="H316" s="12" t="s">
        <v>39</v>
      </c>
      <c r="I316" s="4">
        <v>37895</v>
      </c>
      <c r="J316" t="s">
        <v>1</v>
      </c>
      <c r="K316" s="2">
        <v>250</v>
      </c>
      <c r="M316" s="31">
        <v>12.4370078740157</v>
      </c>
      <c r="N316" s="31">
        <v>9.54724409448818</v>
      </c>
      <c r="Z316" t="s">
        <v>43</v>
      </c>
      <c r="AA316" t="s">
        <v>83</v>
      </c>
    </row>
    <row r="317" spans="1:27" x14ac:dyDescent="0.25">
      <c r="A317">
        <v>112</v>
      </c>
      <c r="B317">
        <v>28</v>
      </c>
      <c r="C317">
        <f t="shared" si="35"/>
        <v>11228</v>
      </c>
      <c r="D317" s="3" t="s">
        <v>87</v>
      </c>
      <c r="E317" s="11">
        <f>E295</f>
        <v>60.542249057971006</v>
      </c>
      <c r="F317" s="11">
        <f>F295</f>
        <v>3.9990973478260865</v>
      </c>
      <c r="G317" s="12" t="s">
        <v>144</v>
      </c>
      <c r="H317" s="12" t="s">
        <v>39</v>
      </c>
      <c r="I317" s="4">
        <v>37895</v>
      </c>
      <c r="J317" t="s">
        <v>1</v>
      </c>
      <c r="K317" s="2">
        <v>0</v>
      </c>
      <c r="M317" s="31">
        <v>13.5708661417322</v>
      </c>
      <c r="N317" s="31">
        <v>8.61220472440945</v>
      </c>
      <c r="Z317" t="s">
        <v>43</v>
      </c>
      <c r="AA317" t="s">
        <v>92</v>
      </c>
    </row>
    <row r="318" spans="1:27" x14ac:dyDescent="0.25">
      <c r="A318">
        <v>113</v>
      </c>
      <c r="B318">
        <v>1</v>
      </c>
      <c r="C318">
        <f t="shared" si="35"/>
        <v>11301</v>
      </c>
      <c r="D318" s="3" t="s">
        <v>87</v>
      </c>
      <c r="E318" s="11">
        <v>60.542249057971006</v>
      </c>
      <c r="F318" s="11">
        <v>3.9990973478260865</v>
      </c>
      <c r="G318" s="12" t="s">
        <v>144</v>
      </c>
      <c r="H318" s="12" t="s">
        <v>39</v>
      </c>
      <c r="I318" s="4">
        <v>37622</v>
      </c>
      <c r="J318" t="s">
        <v>1</v>
      </c>
      <c r="M318" s="31">
        <v>3.3</v>
      </c>
      <c r="N318" s="31">
        <v>2.8</v>
      </c>
      <c r="Z318" t="s">
        <v>165</v>
      </c>
      <c r="AA318" t="s">
        <v>166</v>
      </c>
    </row>
    <row r="319" spans="1:27" x14ac:dyDescent="0.25">
      <c r="A319" s="12">
        <v>114</v>
      </c>
      <c r="B319" s="12">
        <v>1</v>
      </c>
      <c r="C319">
        <f t="shared" si="35"/>
        <v>11401</v>
      </c>
      <c r="D319" s="3" t="s">
        <v>87</v>
      </c>
      <c r="E319" s="11">
        <v>61.8</v>
      </c>
      <c r="F319" s="11">
        <v>0.5</v>
      </c>
      <c r="G319" s="12" t="s">
        <v>144</v>
      </c>
      <c r="H319" s="12" t="s">
        <v>39</v>
      </c>
      <c r="I319" s="4">
        <v>37987</v>
      </c>
      <c r="J319" s="12" t="s">
        <v>130</v>
      </c>
      <c r="K319" s="2">
        <v>0</v>
      </c>
      <c r="M319" s="20">
        <v>1.4E-3</v>
      </c>
      <c r="N319" s="20">
        <f>M319*0.1</f>
        <v>1.4000000000000001E-4</v>
      </c>
      <c r="Z319" s="15" t="s">
        <v>159</v>
      </c>
      <c r="AA319" t="s">
        <v>160</v>
      </c>
    </row>
    <row r="320" spans="1:27" x14ac:dyDescent="0.25">
      <c r="A320" s="12">
        <v>114</v>
      </c>
      <c r="B320" s="12">
        <v>2</v>
      </c>
      <c r="C320">
        <f t="shared" si="35"/>
        <v>11402</v>
      </c>
      <c r="D320" s="3" t="s">
        <v>87</v>
      </c>
      <c r="E320" s="11">
        <v>61.8</v>
      </c>
      <c r="F320" s="11">
        <v>1.25</v>
      </c>
      <c r="G320" s="12" t="s">
        <v>144</v>
      </c>
      <c r="H320" s="12" t="s">
        <v>39</v>
      </c>
      <c r="I320" s="4">
        <v>37987</v>
      </c>
      <c r="J320" s="12" t="s">
        <v>130</v>
      </c>
      <c r="K320" s="2">
        <v>0</v>
      </c>
      <c r="M320" s="20">
        <v>1.5E-3</v>
      </c>
      <c r="N320" s="20">
        <f>M320*0.1</f>
        <v>1.5000000000000001E-4</v>
      </c>
      <c r="Z320" s="15" t="s">
        <v>159</v>
      </c>
      <c r="AA320" t="s">
        <v>160</v>
      </c>
    </row>
    <row r="321" spans="1:27" x14ac:dyDescent="0.25">
      <c r="A321" s="12">
        <v>114</v>
      </c>
      <c r="B321" s="12">
        <v>3</v>
      </c>
      <c r="C321">
        <f t="shared" si="35"/>
        <v>11403</v>
      </c>
      <c r="D321" s="3" t="s">
        <v>87</v>
      </c>
      <c r="E321" s="11">
        <v>61.4</v>
      </c>
      <c r="F321" s="11">
        <v>2</v>
      </c>
      <c r="G321" s="12" t="s">
        <v>144</v>
      </c>
      <c r="H321" s="12" t="s">
        <v>39</v>
      </c>
      <c r="I321" s="4">
        <v>37987</v>
      </c>
      <c r="J321" s="12" t="s">
        <v>130</v>
      </c>
      <c r="K321" s="2">
        <v>0</v>
      </c>
      <c r="M321" s="20">
        <v>1.4E-3</v>
      </c>
      <c r="N321" s="20">
        <f>M321*0.2</f>
        <v>2.8000000000000003E-4</v>
      </c>
      <c r="Z321" s="15" t="s">
        <v>159</v>
      </c>
      <c r="AA321" t="s">
        <v>160</v>
      </c>
    </row>
    <row r="322" spans="1:27" x14ac:dyDescent="0.25">
      <c r="A322" s="12">
        <v>114</v>
      </c>
      <c r="B322" s="12">
        <v>4</v>
      </c>
      <c r="C322">
        <f t="shared" si="35"/>
        <v>11404</v>
      </c>
      <c r="D322" s="3" t="s">
        <v>87</v>
      </c>
      <c r="E322" s="11">
        <v>61.2</v>
      </c>
      <c r="F322" s="11">
        <v>2</v>
      </c>
      <c r="G322" s="12" t="s">
        <v>144</v>
      </c>
      <c r="H322" s="12" t="s">
        <v>39</v>
      </c>
      <c r="I322" s="4">
        <v>37987</v>
      </c>
      <c r="J322" s="12" t="s">
        <v>130</v>
      </c>
      <c r="K322" s="2">
        <v>0</v>
      </c>
      <c r="M322" s="20">
        <v>1.1999999999999999E-3</v>
      </c>
      <c r="Z322" s="15" t="s">
        <v>159</v>
      </c>
      <c r="AA322" t="s">
        <v>160</v>
      </c>
    </row>
    <row r="323" spans="1:27" x14ac:dyDescent="0.25">
      <c r="A323" s="12">
        <v>114</v>
      </c>
      <c r="B323" s="12">
        <v>5</v>
      </c>
      <c r="C323">
        <f t="shared" ref="C323:C386" si="36">A323*100+B323</f>
        <v>11405</v>
      </c>
      <c r="D323" s="3" t="s">
        <v>87</v>
      </c>
      <c r="E323" s="11">
        <v>61</v>
      </c>
      <c r="F323" s="11">
        <v>3.2</v>
      </c>
      <c r="G323" s="12" t="s">
        <v>144</v>
      </c>
      <c r="H323" s="12" t="s">
        <v>39</v>
      </c>
      <c r="I323" s="4">
        <v>37987</v>
      </c>
      <c r="J323" s="12" t="s">
        <v>130</v>
      </c>
      <c r="K323" s="2">
        <v>0</v>
      </c>
      <c r="M323" s="20">
        <v>1.6000000000000001E-3</v>
      </c>
      <c r="N323" s="20">
        <f>M323*1</f>
        <v>1.6000000000000001E-3</v>
      </c>
      <c r="Z323" s="15" t="s">
        <v>159</v>
      </c>
      <c r="AA323" t="s">
        <v>160</v>
      </c>
    </row>
    <row r="324" spans="1:27" x14ac:dyDescent="0.25">
      <c r="A324" s="12">
        <v>114</v>
      </c>
      <c r="B324" s="12">
        <v>6</v>
      </c>
      <c r="C324">
        <f t="shared" si="36"/>
        <v>11406</v>
      </c>
      <c r="D324" s="3" t="s">
        <v>87</v>
      </c>
      <c r="E324" s="11">
        <v>60.7</v>
      </c>
      <c r="F324" s="11">
        <v>2.5</v>
      </c>
      <c r="G324" s="12" t="s">
        <v>144</v>
      </c>
      <c r="H324" s="12" t="s">
        <v>39</v>
      </c>
      <c r="I324" s="4">
        <v>37987</v>
      </c>
      <c r="J324" s="12" t="s">
        <v>130</v>
      </c>
      <c r="K324" s="2">
        <v>0</v>
      </c>
      <c r="M324" s="20">
        <v>1.9E-3</v>
      </c>
      <c r="Z324" s="15" t="s">
        <v>159</v>
      </c>
      <c r="AA324" t="s">
        <v>160</v>
      </c>
    </row>
    <row r="325" spans="1:27" x14ac:dyDescent="0.25">
      <c r="A325" s="12">
        <v>114</v>
      </c>
      <c r="B325" s="12">
        <v>7</v>
      </c>
      <c r="C325">
        <f t="shared" si="36"/>
        <v>11407</v>
      </c>
      <c r="D325" s="3" t="s">
        <v>87</v>
      </c>
      <c r="E325" s="11">
        <v>60.6</v>
      </c>
      <c r="F325" s="11">
        <v>3.5</v>
      </c>
      <c r="G325" s="12" t="s">
        <v>144</v>
      </c>
      <c r="H325" s="12" t="s">
        <v>39</v>
      </c>
      <c r="I325" s="4">
        <v>37987</v>
      </c>
      <c r="J325" s="12" t="s">
        <v>130</v>
      </c>
      <c r="K325" s="2">
        <v>0</v>
      </c>
      <c r="M325" s="20">
        <v>1.9E-3</v>
      </c>
      <c r="Z325" s="15" t="s">
        <v>159</v>
      </c>
      <c r="AA325" t="s">
        <v>160</v>
      </c>
    </row>
    <row r="326" spans="1:27" x14ac:dyDescent="0.25">
      <c r="A326" s="12">
        <v>114</v>
      </c>
      <c r="B326" s="12">
        <v>8</v>
      </c>
      <c r="C326">
        <f t="shared" si="36"/>
        <v>11408</v>
      </c>
      <c r="D326" s="3" t="s">
        <v>87</v>
      </c>
      <c r="E326" s="11">
        <v>60.5</v>
      </c>
      <c r="F326" s="11">
        <v>0</v>
      </c>
      <c r="G326" s="12" t="s">
        <v>144</v>
      </c>
      <c r="H326" s="12" t="s">
        <v>39</v>
      </c>
      <c r="I326" s="4">
        <v>37987</v>
      </c>
      <c r="J326" s="12" t="s">
        <v>130</v>
      </c>
      <c r="K326" s="2">
        <v>0</v>
      </c>
      <c r="M326" s="20">
        <v>1.1000000000000001E-3</v>
      </c>
      <c r="N326" s="20">
        <f>M326*0.1</f>
        <v>1.1000000000000002E-4</v>
      </c>
      <c r="Z326" s="15" t="s">
        <v>159</v>
      </c>
      <c r="AA326" t="s">
        <v>160</v>
      </c>
    </row>
    <row r="327" spans="1:27" x14ac:dyDescent="0.25">
      <c r="A327" s="12">
        <v>114</v>
      </c>
      <c r="B327" s="12">
        <v>9</v>
      </c>
      <c r="C327">
        <f t="shared" si="36"/>
        <v>11409</v>
      </c>
      <c r="D327" s="3" t="s">
        <v>87</v>
      </c>
      <c r="E327" s="11">
        <v>60.5</v>
      </c>
      <c r="F327" s="11">
        <v>1</v>
      </c>
      <c r="G327" s="12" t="s">
        <v>144</v>
      </c>
      <c r="H327" s="12" t="s">
        <v>39</v>
      </c>
      <c r="I327" s="4">
        <v>37987</v>
      </c>
      <c r="J327" s="12" t="s">
        <v>130</v>
      </c>
      <c r="K327" s="2">
        <v>0</v>
      </c>
      <c r="M327" s="20">
        <v>1.6999999999999999E-3</v>
      </c>
      <c r="N327" s="20">
        <f>M327*0.2</f>
        <v>3.4000000000000002E-4</v>
      </c>
      <c r="Z327" s="15" t="s">
        <v>159</v>
      </c>
      <c r="AA327" t="s">
        <v>160</v>
      </c>
    </row>
    <row r="328" spans="1:27" x14ac:dyDescent="0.25">
      <c r="A328" s="12">
        <v>114</v>
      </c>
      <c r="B328" s="12">
        <v>10</v>
      </c>
      <c r="C328">
        <f t="shared" si="36"/>
        <v>11410</v>
      </c>
      <c r="D328" s="3" t="s">
        <v>87</v>
      </c>
      <c r="E328" s="11">
        <v>60.4</v>
      </c>
      <c r="F328" s="11">
        <v>2.9</v>
      </c>
      <c r="G328" s="12" t="s">
        <v>144</v>
      </c>
      <c r="H328" s="12" t="s">
        <v>39</v>
      </c>
      <c r="I328" s="4">
        <v>37987</v>
      </c>
      <c r="J328" s="12" t="s">
        <v>130</v>
      </c>
      <c r="K328" s="2">
        <v>0</v>
      </c>
      <c r="M328" s="20">
        <v>1.4E-3</v>
      </c>
      <c r="Z328" s="15" t="s">
        <v>159</v>
      </c>
      <c r="AA328" t="s">
        <v>160</v>
      </c>
    </row>
    <row r="329" spans="1:27" x14ac:dyDescent="0.25">
      <c r="A329" s="12">
        <v>114</v>
      </c>
      <c r="B329" s="12">
        <v>11</v>
      </c>
      <c r="C329">
        <f t="shared" si="36"/>
        <v>11411</v>
      </c>
      <c r="D329" s="3" t="s">
        <v>87</v>
      </c>
      <c r="E329" s="11">
        <v>60.4</v>
      </c>
      <c r="F329" s="11">
        <v>3.7</v>
      </c>
      <c r="G329" s="12" t="s">
        <v>144</v>
      </c>
      <c r="H329" s="12" t="s">
        <v>39</v>
      </c>
      <c r="I329" s="4">
        <v>37987</v>
      </c>
      <c r="J329" s="12" t="s">
        <v>130</v>
      </c>
      <c r="K329" s="2">
        <v>0</v>
      </c>
      <c r="M329" s="20">
        <v>1.6999999999999999E-3</v>
      </c>
      <c r="N329" s="20">
        <f>M329*1.4</f>
        <v>2.3799999999999997E-3</v>
      </c>
      <c r="Z329" s="15" t="s">
        <v>159</v>
      </c>
      <c r="AA329" t="s">
        <v>160</v>
      </c>
    </row>
    <row r="330" spans="1:27" x14ac:dyDescent="0.25">
      <c r="A330" s="12">
        <v>114</v>
      </c>
      <c r="B330" s="12">
        <v>12</v>
      </c>
      <c r="C330">
        <f t="shared" si="36"/>
        <v>11412</v>
      </c>
      <c r="D330" s="3" t="s">
        <v>87</v>
      </c>
      <c r="E330" s="11">
        <v>59.3</v>
      </c>
      <c r="F330" s="11">
        <v>-2</v>
      </c>
      <c r="G330" s="12" t="s">
        <v>144</v>
      </c>
      <c r="H330" s="12" t="s">
        <v>39</v>
      </c>
      <c r="I330" s="4">
        <v>37987</v>
      </c>
      <c r="J330" s="12" t="s">
        <v>130</v>
      </c>
      <c r="K330" s="2">
        <v>0</v>
      </c>
      <c r="M330" s="20">
        <v>1E-3</v>
      </c>
      <c r="Z330" s="15" t="s">
        <v>159</v>
      </c>
      <c r="AA330" t="s">
        <v>160</v>
      </c>
    </row>
    <row r="331" spans="1:27" x14ac:dyDescent="0.25">
      <c r="A331" s="12">
        <v>114</v>
      </c>
      <c r="B331" s="12">
        <v>13</v>
      </c>
      <c r="C331">
        <f t="shared" si="36"/>
        <v>11413</v>
      </c>
      <c r="D331" s="3" t="s">
        <v>87</v>
      </c>
      <c r="E331" s="11">
        <v>59.4</v>
      </c>
      <c r="F331" s="11">
        <v>2</v>
      </c>
      <c r="G331" s="12" t="s">
        <v>144</v>
      </c>
      <c r="H331" s="12" t="s">
        <v>39</v>
      </c>
      <c r="I331" s="4">
        <v>37987</v>
      </c>
      <c r="J331" s="12" t="s">
        <v>130</v>
      </c>
      <c r="K331" s="2">
        <v>0</v>
      </c>
      <c r="M331" s="20">
        <v>1.1000000000000001E-3</v>
      </c>
      <c r="N331" s="20">
        <f>M331*0.35</f>
        <v>3.8499999999999998E-4</v>
      </c>
      <c r="Z331" s="15" t="s">
        <v>159</v>
      </c>
      <c r="AA331" t="s">
        <v>160</v>
      </c>
    </row>
    <row r="332" spans="1:27" x14ac:dyDescent="0.25">
      <c r="A332" s="12">
        <v>114</v>
      </c>
      <c r="B332" s="12">
        <v>14</v>
      </c>
      <c r="C332">
        <f t="shared" si="36"/>
        <v>11414</v>
      </c>
      <c r="D332" s="3" t="s">
        <v>87</v>
      </c>
      <c r="E332" s="11">
        <v>59.5</v>
      </c>
      <c r="F332" s="11">
        <v>3.7</v>
      </c>
      <c r="G332" s="12" t="s">
        <v>144</v>
      </c>
      <c r="H332" s="12" t="s">
        <v>39</v>
      </c>
      <c r="I332" s="4">
        <v>37987</v>
      </c>
      <c r="J332" s="12" t="s">
        <v>130</v>
      </c>
      <c r="K332" s="2">
        <v>0</v>
      </c>
      <c r="M332" s="20">
        <v>1.5E-3</v>
      </c>
      <c r="N332" s="20">
        <f>M332*2</f>
        <v>3.0000000000000001E-3</v>
      </c>
      <c r="Z332" s="15" t="s">
        <v>159</v>
      </c>
      <c r="AA332" t="s">
        <v>160</v>
      </c>
    </row>
    <row r="333" spans="1:27" x14ac:dyDescent="0.25">
      <c r="A333" s="12">
        <v>114</v>
      </c>
      <c r="B333" s="12">
        <v>15</v>
      </c>
      <c r="C333">
        <f t="shared" si="36"/>
        <v>11415</v>
      </c>
      <c r="D333" s="3" t="s">
        <v>87</v>
      </c>
      <c r="E333" s="11">
        <v>58.7</v>
      </c>
      <c r="F333" s="11">
        <v>5.2</v>
      </c>
      <c r="G333" s="12" t="s">
        <v>144</v>
      </c>
      <c r="H333" s="12" t="s">
        <v>39</v>
      </c>
      <c r="I333" s="4">
        <v>37987</v>
      </c>
      <c r="J333" s="12" t="s">
        <v>130</v>
      </c>
      <c r="K333" s="2">
        <v>0</v>
      </c>
      <c r="M333" s="20">
        <v>2.8999999999999998E-3</v>
      </c>
      <c r="Z333" s="15" t="s">
        <v>159</v>
      </c>
      <c r="AA333" t="s">
        <v>160</v>
      </c>
    </row>
    <row r="334" spans="1:27" x14ac:dyDescent="0.25">
      <c r="A334" s="12">
        <v>114</v>
      </c>
      <c r="B334" s="12">
        <v>16</v>
      </c>
      <c r="C334">
        <f t="shared" si="36"/>
        <v>11416</v>
      </c>
      <c r="D334" s="3" t="s">
        <v>87</v>
      </c>
      <c r="E334" s="11">
        <v>58.8</v>
      </c>
      <c r="F334" s="11">
        <v>9.8000000000000007</v>
      </c>
      <c r="G334" s="12" t="s">
        <v>144</v>
      </c>
      <c r="H334" s="12" t="s">
        <v>39</v>
      </c>
      <c r="I334" s="4">
        <v>37987</v>
      </c>
      <c r="J334" s="12" t="s">
        <v>130</v>
      </c>
      <c r="K334" s="2">
        <v>0</v>
      </c>
      <c r="M334" s="20">
        <v>2.2000000000000001E-3</v>
      </c>
      <c r="Z334" s="15" t="s">
        <v>159</v>
      </c>
      <c r="AA334" t="s">
        <v>160</v>
      </c>
    </row>
    <row r="335" spans="1:27" x14ac:dyDescent="0.25">
      <c r="A335" s="12">
        <v>114</v>
      </c>
      <c r="B335" s="12">
        <v>17</v>
      </c>
      <c r="C335">
        <f t="shared" si="36"/>
        <v>11417</v>
      </c>
      <c r="D335" s="3" t="s">
        <v>87</v>
      </c>
      <c r="E335" s="11">
        <v>58.4</v>
      </c>
      <c r="F335" s="11">
        <v>4</v>
      </c>
      <c r="G335" s="12" t="s">
        <v>144</v>
      </c>
      <c r="H335" s="12" t="s">
        <v>39</v>
      </c>
      <c r="I335" s="4">
        <v>37987</v>
      </c>
      <c r="J335" s="12" t="s">
        <v>130</v>
      </c>
      <c r="K335" s="2">
        <v>0</v>
      </c>
      <c r="M335" s="20">
        <v>1.8E-3</v>
      </c>
      <c r="Z335" s="15" t="s">
        <v>159</v>
      </c>
      <c r="AA335" t="s">
        <v>160</v>
      </c>
    </row>
    <row r="336" spans="1:27" x14ac:dyDescent="0.25">
      <c r="A336" s="12">
        <v>114</v>
      </c>
      <c r="B336" s="12">
        <v>18</v>
      </c>
      <c r="C336">
        <f t="shared" si="36"/>
        <v>11418</v>
      </c>
      <c r="D336" s="3" t="s">
        <v>87</v>
      </c>
      <c r="E336" s="11">
        <v>58</v>
      </c>
      <c r="F336" s="11">
        <v>6.25</v>
      </c>
      <c r="G336" s="12" t="s">
        <v>144</v>
      </c>
      <c r="H336" s="12" t="s">
        <v>39</v>
      </c>
      <c r="I336" s="4">
        <v>37987</v>
      </c>
      <c r="J336" s="12" t="s">
        <v>130</v>
      </c>
      <c r="K336" s="2">
        <v>0</v>
      </c>
      <c r="M336" s="20">
        <v>2.2000000000000001E-3</v>
      </c>
      <c r="Z336" s="15" t="s">
        <v>159</v>
      </c>
      <c r="AA336" t="s">
        <v>160</v>
      </c>
    </row>
    <row r="337" spans="1:27" x14ac:dyDescent="0.25">
      <c r="A337" s="12">
        <v>114</v>
      </c>
      <c r="B337" s="12">
        <v>19</v>
      </c>
      <c r="C337">
        <f t="shared" si="36"/>
        <v>11419</v>
      </c>
      <c r="D337" s="3" t="s">
        <v>87</v>
      </c>
      <c r="E337" s="11">
        <v>57.7</v>
      </c>
      <c r="F337" s="11">
        <v>6</v>
      </c>
      <c r="G337" s="12" t="s">
        <v>144</v>
      </c>
      <c r="H337" s="12" t="s">
        <v>39</v>
      </c>
      <c r="I337" s="4">
        <v>37987</v>
      </c>
      <c r="J337" s="12" t="s">
        <v>130</v>
      </c>
      <c r="K337" s="2">
        <v>0</v>
      </c>
      <c r="M337" s="20">
        <v>2.7000000000000001E-3</v>
      </c>
      <c r="Z337" s="15" t="s">
        <v>159</v>
      </c>
      <c r="AA337" t="s">
        <v>160</v>
      </c>
    </row>
    <row r="338" spans="1:27" x14ac:dyDescent="0.25">
      <c r="A338" s="12">
        <v>114</v>
      </c>
      <c r="B338" s="12">
        <v>20</v>
      </c>
      <c r="C338">
        <f t="shared" si="36"/>
        <v>11420</v>
      </c>
      <c r="D338" s="3" t="s">
        <v>87</v>
      </c>
      <c r="E338" s="11">
        <v>57.8</v>
      </c>
      <c r="F338" s="11">
        <v>9</v>
      </c>
      <c r="G338" s="12" t="s">
        <v>144</v>
      </c>
      <c r="H338" s="12" t="s">
        <v>39</v>
      </c>
      <c r="I338" s="4">
        <v>37987</v>
      </c>
      <c r="J338" s="12" t="s">
        <v>130</v>
      </c>
      <c r="K338" s="2">
        <v>0</v>
      </c>
      <c r="M338" s="20">
        <v>2.5000000000000001E-3</v>
      </c>
      <c r="Z338" s="15" t="s">
        <v>159</v>
      </c>
      <c r="AA338" t="s">
        <v>160</v>
      </c>
    </row>
    <row r="339" spans="1:27" x14ac:dyDescent="0.25">
      <c r="A339" s="12">
        <v>114</v>
      </c>
      <c r="B339" s="12">
        <v>21</v>
      </c>
      <c r="C339">
        <f t="shared" si="36"/>
        <v>11421</v>
      </c>
      <c r="D339" s="3" t="s">
        <v>87</v>
      </c>
      <c r="E339" s="11">
        <v>57.9</v>
      </c>
      <c r="F339" s="11">
        <v>11.2</v>
      </c>
      <c r="G339" s="12" t="s">
        <v>144</v>
      </c>
      <c r="H339" s="12" t="s">
        <v>39</v>
      </c>
      <c r="I339" s="4">
        <v>37987</v>
      </c>
      <c r="J339" s="12" t="s">
        <v>130</v>
      </c>
      <c r="K339" s="2">
        <v>0</v>
      </c>
      <c r="M339" s="20">
        <v>2.2000000000000001E-3</v>
      </c>
      <c r="Z339" s="15" t="s">
        <v>159</v>
      </c>
      <c r="AA339" t="s">
        <v>160</v>
      </c>
    </row>
    <row r="340" spans="1:27" x14ac:dyDescent="0.25">
      <c r="A340" s="12">
        <v>114</v>
      </c>
      <c r="B340" s="12">
        <v>22</v>
      </c>
      <c r="C340">
        <f t="shared" si="36"/>
        <v>11422</v>
      </c>
      <c r="D340" s="3" t="s">
        <v>87</v>
      </c>
      <c r="E340" s="11">
        <v>56.2</v>
      </c>
      <c r="F340" s="11">
        <v>-0.8</v>
      </c>
      <c r="G340" s="12" t="s">
        <v>144</v>
      </c>
      <c r="H340" s="12" t="s">
        <v>39</v>
      </c>
      <c r="I340" s="4">
        <v>37987</v>
      </c>
      <c r="J340" s="12" t="s">
        <v>130</v>
      </c>
      <c r="K340" s="2">
        <v>0</v>
      </c>
      <c r="M340" s="20">
        <v>1.6000000000000001E-3</v>
      </c>
      <c r="Z340" s="15" t="s">
        <v>159</v>
      </c>
      <c r="AA340" t="s">
        <v>160</v>
      </c>
    </row>
    <row r="341" spans="1:27" x14ac:dyDescent="0.25">
      <c r="A341" s="12">
        <v>114</v>
      </c>
      <c r="B341" s="12">
        <v>23</v>
      </c>
      <c r="C341">
        <f t="shared" si="36"/>
        <v>11423</v>
      </c>
      <c r="D341" s="3" t="s">
        <v>87</v>
      </c>
      <c r="E341" s="11">
        <v>57.3</v>
      </c>
      <c r="F341" s="11">
        <v>3.7</v>
      </c>
      <c r="G341" s="12" t="s">
        <v>144</v>
      </c>
      <c r="H341" s="12" t="s">
        <v>39</v>
      </c>
      <c r="I341" s="4">
        <v>37987</v>
      </c>
      <c r="J341" s="12" t="s">
        <v>130</v>
      </c>
      <c r="K341" s="2">
        <v>0</v>
      </c>
      <c r="M341" s="20">
        <v>1.1999999999999999E-3</v>
      </c>
      <c r="Z341" s="15" t="s">
        <v>159</v>
      </c>
      <c r="AA341" t="s">
        <v>160</v>
      </c>
    </row>
    <row r="342" spans="1:27" x14ac:dyDescent="0.25">
      <c r="A342" s="12">
        <v>114</v>
      </c>
      <c r="B342" s="12">
        <v>24</v>
      </c>
      <c r="C342">
        <f t="shared" si="36"/>
        <v>11424</v>
      </c>
      <c r="D342" s="3" t="s">
        <v>87</v>
      </c>
      <c r="E342" s="11">
        <v>57.2</v>
      </c>
      <c r="F342" s="11">
        <v>7.7</v>
      </c>
      <c r="G342" s="12" t="s">
        <v>144</v>
      </c>
      <c r="H342" s="12" t="s">
        <v>39</v>
      </c>
      <c r="I342" s="4">
        <v>37987</v>
      </c>
      <c r="J342" s="12" t="s">
        <v>130</v>
      </c>
      <c r="K342" s="2">
        <v>0</v>
      </c>
      <c r="M342" s="20">
        <v>1.2999999999999999E-3</v>
      </c>
      <c r="Z342" s="15" t="s">
        <v>159</v>
      </c>
      <c r="AA342" t="s">
        <v>160</v>
      </c>
    </row>
    <row r="343" spans="1:27" x14ac:dyDescent="0.25">
      <c r="A343">
        <v>115</v>
      </c>
      <c r="B343">
        <v>1</v>
      </c>
      <c r="C343">
        <f t="shared" si="36"/>
        <v>11501</v>
      </c>
      <c r="D343" s="3" t="s">
        <v>87</v>
      </c>
      <c r="E343" s="11">
        <v>77</v>
      </c>
      <c r="F343" s="11">
        <v>15</v>
      </c>
      <c r="G343" s="12" t="s">
        <v>144</v>
      </c>
      <c r="H343" s="12" t="s">
        <v>143</v>
      </c>
      <c r="I343" s="4">
        <v>38579</v>
      </c>
      <c r="J343" t="s">
        <v>130</v>
      </c>
      <c r="K343" s="2">
        <v>0</v>
      </c>
      <c r="M343" s="20">
        <f>1.5/1000</f>
        <v>1.5E-3</v>
      </c>
      <c r="N343" s="20">
        <f>M343*0.4</f>
        <v>6.0000000000000006E-4</v>
      </c>
      <c r="Z343" s="15" t="s">
        <v>140</v>
      </c>
      <c r="AA343" t="s">
        <v>141</v>
      </c>
    </row>
    <row r="344" spans="1:27" x14ac:dyDescent="0.25">
      <c r="A344">
        <v>115</v>
      </c>
      <c r="B344">
        <v>2</v>
      </c>
      <c r="C344">
        <f t="shared" si="36"/>
        <v>11502</v>
      </c>
      <c r="D344" s="3" t="s">
        <v>87</v>
      </c>
      <c r="E344" s="11">
        <v>73</v>
      </c>
      <c r="F344" s="11">
        <v>20</v>
      </c>
      <c r="G344" s="12" t="s">
        <v>144</v>
      </c>
      <c r="H344" s="12" t="s">
        <v>143</v>
      </c>
      <c r="I344" s="4">
        <v>38579</v>
      </c>
      <c r="J344" t="s">
        <v>130</v>
      </c>
      <c r="K344" s="2">
        <v>0</v>
      </c>
      <c r="M344" s="20">
        <f>2/1000</f>
        <v>2E-3</v>
      </c>
      <c r="N344" s="20">
        <f>M344*0.1</f>
        <v>2.0000000000000001E-4</v>
      </c>
      <c r="Z344" s="15" t="s">
        <v>140</v>
      </c>
      <c r="AA344" t="s">
        <v>141</v>
      </c>
    </row>
    <row r="345" spans="1:27" x14ac:dyDescent="0.25">
      <c r="A345">
        <v>115</v>
      </c>
      <c r="B345">
        <v>3</v>
      </c>
      <c r="C345">
        <f t="shared" si="36"/>
        <v>11503</v>
      </c>
      <c r="D345" s="3" t="s">
        <v>87</v>
      </c>
      <c r="E345" s="11">
        <v>74.5</v>
      </c>
      <c r="F345" s="11">
        <v>24</v>
      </c>
      <c r="G345" s="12" t="s">
        <v>144</v>
      </c>
      <c r="H345" s="12" t="s">
        <v>143</v>
      </c>
      <c r="I345" s="4">
        <v>38579</v>
      </c>
      <c r="J345" t="s">
        <v>130</v>
      </c>
      <c r="K345" s="2">
        <v>0</v>
      </c>
      <c r="M345" s="20">
        <f>1.6/1000</f>
        <v>1.6000000000000001E-3</v>
      </c>
      <c r="N345" s="20">
        <f>M345*0.1</f>
        <v>1.6000000000000001E-4</v>
      </c>
      <c r="Z345" s="15" t="s">
        <v>140</v>
      </c>
      <c r="AA345" t="s">
        <v>141</v>
      </c>
    </row>
    <row r="346" spans="1:27" x14ac:dyDescent="0.25">
      <c r="A346">
        <v>115</v>
      </c>
      <c r="B346">
        <v>4</v>
      </c>
      <c r="C346">
        <f t="shared" si="36"/>
        <v>11504</v>
      </c>
      <c r="D346" s="3" t="s">
        <v>87</v>
      </c>
      <c r="E346" s="11">
        <v>73</v>
      </c>
      <c r="F346" s="11">
        <v>24</v>
      </c>
      <c r="G346" s="12" t="s">
        <v>144</v>
      </c>
      <c r="H346" s="12" t="s">
        <v>143</v>
      </c>
      <c r="I346" s="4">
        <v>38579</v>
      </c>
      <c r="J346" t="s">
        <v>130</v>
      </c>
      <c r="K346" s="2">
        <v>0</v>
      </c>
      <c r="M346" s="20">
        <f>2.3/1000</f>
        <v>2.3E-3</v>
      </c>
      <c r="N346" s="20">
        <f>M346*1.3</f>
        <v>2.99E-3</v>
      </c>
      <c r="Z346" s="15" t="s">
        <v>140</v>
      </c>
      <c r="AA346" t="s">
        <v>141</v>
      </c>
    </row>
    <row r="347" spans="1:27" x14ac:dyDescent="0.25">
      <c r="A347">
        <v>115</v>
      </c>
      <c r="B347">
        <v>5</v>
      </c>
      <c r="C347">
        <f t="shared" si="36"/>
        <v>11505</v>
      </c>
      <c r="D347" s="3" t="s">
        <v>87</v>
      </c>
      <c r="E347" s="11">
        <v>71.5</v>
      </c>
      <c r="F347" s="11">
        <v>25</v>
      </c>
      <c r="G347" s="12" t="s">
        <v>144</v>
      </c>
      <c r="H347" s="12" t="s">
        <v>143</v>
      </c>
      <c r="I347" s="4">
        <v>38579</v>
      </c>
      <c r="J347" t="s">
        <v>130</v>
      </c>
      <c r="K347" s="2">
        <v>0</v>
      </c>
      <c r="M347" s="20">
        <f>0.83/1000</f>
        <v>8.3000000000000001E-4</v>
      </c>
      <c r="N347" s="20">
        <f>M347*0.4</f>
        <v>3.3200000000000005E-4</v>
      </c>
      <c r="Z347" s="15" t="s">
        <v>140</v>
      </c>
      <c r="AA347" t="s">
        <v>141</v>
      </c>
    </row>
    <row r="348" spans="1:27" x14ac:dyDescent="0.25">
      <c r="A348">
        <v>115</v>
      </c>
      <c r="B348">
        <v>6</v>
      </c>
      <c r="C348">
        <f t="shared" si="36"/>
        <v>11506</v>
      </c>
      <c r="D348" s="3" t="s">
        <v>87</v>
      </c>
      <c r="E348" s="11">
        <v>76.8</v>
      </c>
      <c r="F348" s="11">
        <v>27.5</v>
      </c>
      <c r="G348" s="12" t="s">
        <v>144</v>
      </c>
      <c r="H348" s="12" t="s">
        <v>143</v>
      </c>
      <c r="I348" s="4">
        <v>38579</v>
      </c>
      <c r="J348" t="s">
        <v>130</v>
      </c>
      <c r="K348" s="2">
        <v>0</v>
      </c>
      <c r="M348" s="20">
        <v>1.1999999999999999E-3</v>
      </c>
      <c r="N348" s="20">
        <f>M348*0.4</f>
        <v>4.7999999999999996E-4</v>
      </c>
      <c r="Z348" s="15" t="s">
        <v>140</v>
      </c>
      <c r="AA348" t="s">
        <v>141</v>
      </c>
    </row>
    <row r="349" spans="1:27" x14ac:dyDescent="0.25">
      <c r="A349">
        <v>115</v>
      </c>
      <c r="B349">
        <v>7</v>
      </c>
      <c r="C349">
        <f t="shared" si="36"/>
        <v>11507</v>
      </c>
      <c r="D349" s="3" t="s">
        <v>87</v>
      </c>
      <c r="E349" s="11">
        <v>74.5</v>
      </c>
      <c r="F349" s="11">
        <v>29.5</v>
      </c>
      <c r="G349" s="12" t="s">
        <v>144</v>
      </c>
      <c r="H349" s="12" t="s">
        <v>143</v>
      </c>
      <c r="I349" s="4">
        <v>38579</v>
      </c>
      <c r="J349" t="s">
        <v>130</v>
      </c>
      <c r="K349" s="2">
        <v>0</v>
      </c>
      <c r="M349" s="20">
        <v>2E-3</v>
      </c>
      <c r="N349" s="20">
        <f>M349*0.2</f>
        <v>4.0000000000000002E-4</v>
      </c>
      <c r="Z349" s="15" t="s">
        <v>140</v>
      </c>
      <c r="AA349" t="s">
        <v>141</v>
      </c>
    </row>
    <row r="350" spans="1:27" x14ac:dyDescent="0.25">
      <c r="A350">
        <v>115</v>
      </c>
      <c r="B350">
        <v>8</v>
      </c>
      <c r="C350">
        <f t="shared" si="36"/>
        <v>11508</v>
      </c>
      <c r="D350" s="3" t="s">
        <v>87</v>
      </c>
      <c r="E350" s="11">
        <v>78</v>
      </c>
      <c r="F350" s="11">
        <v>35.5</v>
      </c>
      <c r="G350" s="12" t="s">
        <v>144</v>
      </c>
      <c r="H350" s="12" t="s">
        <v>143</v>
      </c>
      <c r="I350" s="4">
        <v>38579</v>
      </c>
      <c r="J350" t="s">
        <v>130</v>
      </c>
      <c r="K350" s="2">
        <v>0</v>
      </c>
      <c r="M350" s="20">
        <v>2E-3</v>
      </c>
      <c r="N350" s="20">
        <f>M350*0.2</f>
        <v>4.0000000000000002E-4</v>
      </c>
      <c r="Z350" s="15" t="s">
        <v>140</v>
      </c>
      <c r="AA350" t="s">
        <v>141</v>
      </c>
    </row>
    <row r="351" spans="1:27" x14ac:dyDescent="0.25">
      <c r="A351">
        <v>115</v>
      </c>
      <c r="B351">
        <v>9</v>
      </c>
      <c r="C351">
        <f t="shared" si="36"/>
        <v>11509</v>
      </c>
      <c r="D351" s="3" t="s">
        <v>87</v>
      </c>
      <c r="E351" s="11">
        <v>77</v>
      </c>
      <c r="F351" s="11">
        <v>35.5</v>
      </c>
      <c r="G351" s="12" t="s">
        <v>144</v>
      </c>
      <c r="H351" s="12" t="s">
        <v>143</v>
      </c>
      <c r="I351" s="4">
        <v>38579</v>
      </c>
      <c r="J351" t="s">
        <v>130</v>
      </c>
      <c r="K351" s="2">
        <v>0</v>
      </c>
      <c r="M351" s="20">
        <v>1.1999999999999999E-3</v>
      </c>
      <c r="N351" s="20" t="s">
        <v>14</v>
      </c>
      <c r="Z351" s="15" t="s">
        <v>140</v>
      </c>
      <c r="AA351" t="s">
        <v>141</v>
      </c>
    </row>
    <row r="352" spans="1:27" x14ac:dyDescent="0.25">
      <c r="A352">
        <v>115</v>
      </c>
      <c r="B352">
        <v>10</v>
      </c>
      <c r="C352">
        <f t="shared" si="36"/>
        <v>11510</v>
      </c>
      <c r="D352" s="3" t="s">
        <v>87</v>
      </c>
      <c r="E352" s="11">
        <v>75.5</v>
      </c>
      <c r="F352" s="11">
        <v>33</v>
      </c>
      <c r="G352" s="12" t="s">
        <v>144</v>
      </c>
      <c r="H352" s="12" t="s">
        <v>143</v>
      </c>
      <c r="I352" s="4">
        <v>38579</v>
      </c>
      <c r="J352" t="s">
        <v>130</v>
      </c>
      <c r="K352" s="2">
        <v>0</v>
      </c>
      <c r="M352" s="20">
        <v>1.8E-3</v>
      </c>
      <c r="N352" s="20">
        <f>M352*0.09</f>
        <v>1.6199999999999998E-4</v>
      </c>
      <c r="Z352" s="15" t="s">
        <v>140</v>
      </c>
      <c r="AA352" t="s">
        <v>141</v>
      </c>
    </row>
    <row r="353" spans="1:27" x14ac:dyDescent="0.25">
      <c r="A353">
        <v>115</v>
      </c>
      <c r="B353">
        <v>11</v>
      </c>
      <c r="C353">
        <f t="shared" si="36"/>
        <v>11511</v>
      </c>
      <c r="D353" s="3" t="s">
        <v>87</v>
      </c>
      <c r="E353" s="11">
        <v>73</v>
      </c>
      <c r="F353" s="11">
        <v>32.299999999999997</v>
      </c>
      <c r="G353" s="12" t="s">
        <v>144</v>
      </c>
      <c r="H353" s="12" t="s">
        <v>143</v>
      </c>
      <c r="I353" s="4">
        <v>38579</v>
      </c>
      <c r="J353" t="s">
        <v>130</v>
      </c>
      <c r="K353" s="2">
        <v>0</v>
      </c>
      <c r="M353" s="20">
        <v>1.6999999999999999E-3</v>
      </c>
      <c r="N353" s="20">
        <f>M353*1.1</f>
        <v>1.8700000000000001E-3</v>
      </c>
      <c r="Z353" s="15" t="s">
        <v>140</v>
      </c>
      <c r="AA353" t="s">
        <v>141</v>
      </c>
    </row>
    <row r="354" spans="1:27" x14ac:dyDescent="0.25">
      <c r="A354">
        <v>115</v>
      </c>
      <c r="B354">
        <v>12</v>
      </c>
      <c r="C354">
        <f t="shared" si="36"/>
        <v>11512</v>
      </c>
      <c r="D354" s="3" t="s">
        <v>87</v>
      </c>
      <c r="E354" s="11">
        <v>71</v>
      </c>
      <c r="F354" s="11">
        <v>29.5</v>
      </c>
      <c r="G354" s="12" t="s">
        <v>144</v>
      </c>
      <c r="H354" s="12" t="s">
        <v>143</v>
      </c>
      <c r="I354" s="4">
        <v>38579</v>
      </c>
      <c r="J354" t="s">
        <v>130</v>
      </c>
      <c r="K354" s="2">
        <v>0</v>
      </c>
      <c r="M354" s="20">
        <v>1.6000000000000001E-3</v>
      </c>
      <c r="N354" s="20">
        <f>M354*0.4</f>
        <v>6.4000000000000005E-4</v>
      </c>
      <c r="Z354" s="15" t="s">
        <v>140</v>
      </c>
      <c r="AA354" t="s">
        <v>141</v>
      </c>
    </row>
    <row r="355" spans="1:27" x14ac:dyDescent="0.25">
      <c r="A355">
        <v>115</v>
      </c>
      <c r="B355">
        <v>13</v>
      </c>
      <c r="C355">
        <f t="shared" si="36"/>
        <v>11513</v>
      </c>
      <c r="D355" s="3" t="s">
        <v>87</v>
      </c>
      <c r="E355" s="11">
        <v>70.5</v>
      </c>
      <c r="F355" s="11">
        <v>32.5</v>
      </c>
      <c r="G355" s="12" t="s">
        <v>144</v>
      </c>
      <c r="H355" s="12" t="s">
        <v>143</v>
      </c>
      <c r="I355" s="4">
        <v>38579</v>
      </c>
      <c r="J355" t="s">
        <v>130</v>
      </c>
      <c r="K355" s="2">
        <v>0</v>
      </c>
      <c r="M355" s="20">
        <v>1.5E-3</v>
      </c>
      <c r="N355" s="20">
        <f>M355*0.3</f>
        <v>4.4999999999999999E-4</v>
      </c>
      <c r="Z355" s="15" t="s">
        <v>140</v>
      </c>
      <c r="AA355" t="s">
        <v>141</v>
      </c>
    </row>
    <row r="356" spans="1:27" x14ac:dyDescent="0.25">
      <c r="A356">
        <v>115</v>
      </c>
      <c r="B356">
        <v>14</v>
      </c>
      <c r="C356">
        <f t="shared" si="36"/>
        <v>11514</v>
      </c>
      <c r="D356" s="3" t="s">
        <v>87</v>
      </c>
      <c r="E356" s="11">
        <v>78.5</v>
      </c>
      <c r="F356" s="11">
        <v>41.5</v>
      </c>
      <c r="G356" s="12" t="s">
        <v>144</v>
      </c>
      <c r="H356" s="12" t="s">
        <v>143</v>
      </c>
      <c r="I356" s="4">
        <v>38579</v>
      </c>
      <c r="J356" t="s">
        <v>130</v>
      </c>
      <c r="K356" s="2">
        <v>0</v>
      </c>
      <c r="M356" s="20">
        <v>1.9E-3</v>
      </c>
      <c r="N356" s="20">
        <f>M356*0.1</f>
        <v>1.9000000000000001E-4</v>
      </c>
      <c r="Z356" s="15" t="s">
        <v>140</v>
      </c>
      <c r="AA356" t="s">
        <v>141</v>
      </c>
    </row>
    <row r="357" spans="1:27" x14ac:dyDescent="0.25">
      <c r="A357">
        <v>115</v>
      </c>
      <c r="B357">
        <v>15</v>
      </c>
      <c r="C357">
        <f t="shared" si="36"/>
        <v>11515</v>
      </c>
      <c r="D357" s="3" t="s">
        <v>87</v>
      </c>
      <c r="E357" s="11">
        <v>77.5</v>
      </c>
      <c r="F357" s="11">
        <v>40.799999999999997</v>
      </c>
      <c r="G357" s="12" t="s">
        <v>144</v>
      </c>
      <c r="H357" s="12" t="s">
        <v>143</v>
      </c>
      <c r="I357" s="4">
        <v>38579</v>
      </c>
      <c r="J357" t="s">
        <v>130</v>
      </c>
      <c r="K357" s="2">
        <v>0</v>
      </c>
      <c r="M357" s="20">
        <v>6.9999999999999999E-4</v>
      </c>
      <c r="Z357" s="15" t="s">
        <v>140</v>
      </c>
      <c r="AA357" t="s">
        <v>141</v>
      </c>
    </row>
    <row r="358" spans="1:27" x14ac:dyDescent="0.25">
      <c r="A358">
        <v>115</v>
      </c>
      <c r="B358">
        <v>16</v>
      </c>
      <c r="C358">
        <f t="shared" si="36"/>
        <v>11516</v>
      </c>
      <c r="D358" s="3" t="s">
        <v>87</v>
      </c>
      <c r="E358" s="11">
        <v>76.8</v>
      </c>
      <c r="F358" s="11">
        <v>37.700000000000003</v>
      </c>
      <c r="G358" s="12" t="s">
        <v>144</v>
      </c>
      <c r="H358" s="12" t="s">
        <v>143</v>
      </c>
      <c r="I358" s="4">
        <v>38579</v>
      </c>
      <c r="J358" t="s">
        <v>130</v>
      </c>
      <c r="K358" s="2">
        <v>0</v>
      </c>
      <c r="M358" s="20">
        <v>1.5E-3</v>
      </c>
      <c r="Z358" s="15" t="s">
        <v>140</v>
      </c>
      <c r="AA358" t="s">
        <v>141</v>
      </c>
    </row>
    <row r="359" spans="1:27" x14ac:dyDescent="0.25">
      <c r="A359">
        <v>115</v>
      </c>
      <c r="B359">
        <v>17</v>
      </c>
      <c r="C359">
        <f t="shared" si="36"/>
        <v>11517</v>
      </c>
      <c r="D359" s="3" t="s">
        <v>87</v>
      </c>
      <c r="E359" s="11">
        <v>73.8</v>
      </c>
      <c r="F359" s="11">
        <v>36.5</v>
      </c>
      <c r="G359" s="12" t="s">
        <v>144</v>
      </c>
      <c r="H359" s="12" t="s">
        <v>143</v>
      </c>
      <c r="I359" s="4">
        <v>38579</v>
      </c>
      <c r="J359" t="s">
        <v>130</v>
      </c>
      <c r="K359" s="2">
        <v>0</v>
      </c>
      <c r="M359" s="20">
        <v>1.6000000000000001E-3</v>
      </c>
      <c r="Z359" s="15" t="s">
        <v>140</v>
      </c>
      <c r="AA359" t="s">
        <v>141</v>
      </c>
    </row>
    <row r="360" spans="1:27" x14ac:dyDescent="0.25">
      <c r="A360">
        <v>115</v>
      </c>
      <c r="B360">
        <v>18</v>
      </c>
      <c r="C360">
        <f t="shared" si="36"/>
        <v>11518</v>
      </c>
      <c r="D360" s="3" t="s">
        <v>87</v>
      </c>
      <c r="E360" s="11">
        <v>78</v>
      </c>
      <c r="F360" s="11">
        <v>46</v>
      </c>
      <c r="G360" s="12" t="s">
        <v>144</v>
      </c>
      <c r="H360" s="12" t="s">
        <v>143</v>
      </c>
      <c r="I360" s="4">
        <v>38579</v>
      </c>
      <c r="J360" t="s">
        <v>130</v>
      </c>
      <c r="K360" s="2">
        <v>0</v>
      </c>
      <c r="M360" s="20">
        <v>4.0999999999999999E-4</v>
      </c>
      <c r="N360" s="20">
        <f>M360*0.08</f>
        <v>3.2799999999999998E-5</v>
      </c>
      <c r="Z360" s="15" t="s">
        <v>140</v>
      </c>
      <c r="AA360" t="s">
        <v>141</v>
      </c>
    </row>
    <row r="361" spans="1:27" x14ac:dyDescent="0.25">
      <c r="A361">
        <v>115</v>
      </c>
      <c r="B361">
        <v>19</v>
      </c>
      <c r="C361">
        <f t="shared" si="36"/>
        <v>11519</v>
      </c>
      <c r="D361" s="3" t="s">
        <v>87</v>
      </c>
      <c r="E361" s="11">
        <v>76.8</v>
      </c>
      <c r="F361" s="11">
        <v>42.5</v>
      </c>
      <c r="G361" s="12" t="s">
        <v>144</v>
      </c>
      <c r="H361" s="12" t="s">
        <v>143</v>
      </c>
      <c r="I361" s="4">
        <v>38579</v>
      </c>
      <c r="J361" t="s">
        <v>130</v>
      </c>
      <c r="K361" s="2">
        <v>0</v>
      </c>
      <c r="M361" s="20">
        <v>1.1000000000000001E-3</v>
      </c>
      <c r="N361" s="20">
        <f>M361*0.2</f>
        <v>2.2000000000000003E-4</v>
      </c>
      <c r="Z361" s="15" t="s">
        <v>140</v>
      </c>
      <c r="AA361" t="s">
        <v>141</v>
      </c>
    </row>
    <row r="362" spans="1:27" x14ac:dyDescent="0.25">
      <c r="A362">
        <v>115</v>
      </c>
      <c r="B362">
        <v>20</v>
      </c>
      <c r="C362">
        <f t="shared" si="36"/>
        <v>11520</v>
      </c>
      <c r="D362" s="3" t="s">
        <v>87</v>
      </c>
      <c r="E362" s="11">
        <v>75.099999999999994</v>
      </c>
      <c r="F362" s="11">
        <v>41.8</v>
      </c>
      <c r="G362" s="12" t="s">
        <v>144</v>
      </c>
      <c r="H362" s="12" t="s">
        <v>143</v>
      </c>
      <c r="I362" s="4">
        <v>38579</v>
      </c>
      <c r="J362" t="s">
        <v>130</v>
      </c>
      <c r="K362" s="2">
        <v>0</v>
      </c>
      <c r="M362" s="20">
        <v>2.3E-3</v>
      </c>
      <c r="N362" s="20" t="s">
        <v>14</v>
      </c>
      <c r="Z362" s="15" t="s">
        <v>140</v>
      </c>
      <c r="AA362" t="s">
        <v>141</v>
      </c>
    </row>
    <row r="363" spans="1:27" x14ac:dyDescent="0.25">
      <c r="A363">
        <v>115</v>
      </c>
      <c r="B363">
        <v>21</v>
      </c>
      <c r="C363">
        <f t="shared" si="36"/>
        <v>11521</v>
      </c>
      <c r="D363" s="3" t="s">
        <v>87</v>
      </c>
      <c r="E363" s="11">
        <v>73.2</v>
      </c>
      <c r="F363" s="11">
        <v>40.299999999999997</v>
      </c>
      <c r="G363" s="12" t="s">
        <v>144</v>
      </c>
      <c r="H363" s="12" t="s">
        <v>143</v>
      </c>
      <c r="I363" s="4">
        <v>38579</v>
      </c>
      <c r="J363" t="s">
        <v>130</v>
      </c>
      <c r="K363" s="2">
        <v>0</v>
      </c>
      <c r="M363" s="20">
        <v>1.4E-3</v>
      </c>
      <c r="N363" s="20">
        <f>M363*0.06</f>
        <v>8.3999999999999995E-5</v>
      </c>
      <c r="Z363" s="15" t="s">
        <v>140</v>
      </c>
      <c r="AA363" t="s">
        <v>141</v>
      </c>
    </row>
    <row r="364" spans="1:27" x14ac:dyDescent="0.25">
      <c r="A364">
        <v>115</v>
      </c>
      <c r="B364">
        <v>22</v>
      </c>
      <c r="C364">
        <f t="shared" si="36"/>
        <v>11522</v>
      </c>
      <c r="D364" s="3" t="s">
        <v>87</v>
      </c>
      <c r="E364" s="11">
        <v>57.2</v>
      </c>
      <c r="F364" s="11">
        <v>-0.5</v>
      </c>
      <c r="G364" s="12" t="s">
        <v>144</v>
      </c>
      <c r="H364" s="12" t="s">
        <v>39</v>
      </c>
      <c r="I364" s="4">
        <v>38579</v>
      </c>
      <c r="J364" t="s">
        <v>130</v>
      </c>
      <c r="K364" s="2">
        <v>0</v>
      </c>
      <c r="M364" s="20">
        <v>1.8E-3</v>
      </c>
      <c r="Z364" s="15" t="s">
        <v>140</v>
      </c>
      <c r="AA364" t="s">
        <v>142</v>
      </c>
    </row>
    <row r="365" spans="1:27" x14ac:dyDescent="0.25">
      <c r="A365">
        <v>115</v>
      </c>
      <c r="B365">
        <v>23</v>
      </c>
      <c r="C365">
        <f t="shared" si="36"/>
        <v>11523</v>
      </c>
      <c r="D365" s="3" t="s">
        <v>87</v>
      </c>
      <c r="E365" s="11">
        <v>55.1</v>
      </c>
      <c r="F365" s="11">
        <v>0.5</v>
      </c>
      <c r="G365" s="12" t="s">
        <v>144</v>
      </c>
      <c r="H365" s="12" t="s">
        <v>39</v>
      </c>
      <c r="I365" s="4">
        <v>38579</v>
      </c>
      <c r="J365" t="s">
        <v>130</v>
      </c>
      <c r="K365" s="2">
        <v>0</v>
      </c>
      <c r="M365" s="20">
        <v>1.9E-3</v>
      </c>
      <c r="Z365" s="15" t="s">
        <v>140</v>
      </c>
      <c r="AA365" t="s">
        <v>142</v>
      </c>
    </row>
    <row r="366" spans="1:27" x14ac:dyDescent="0.25">
      <c r="A366">
        <v>115</v>
      </c>
      <c r="B366">
        <v>24</v>
      </c>
      <c r="C366">
        <f t="shared" si="36"/>
        <v>11524</v>
      </c>
      <c r="D366" s="3" t="s">
        <v>87</v>
      </c>
      <c r="E366" s="11">
        <v>53.8</v>
      </c>
      <c r="F366" s="11">
        <v>1.1000000000000001</v>
      </c>
      <c r="G366" s="12" t="s">
        <v>144</v>
      </c>
      <c r="H366" s="12" t="s">
        <v>39</v>
      </c>
      <c r="I366" s="4">
        <v>38579</v>
      </c>
      <c r="J366" t="s">
        <v>130</v>
      </c>
      <c r="K366" s="2">
        <v>0</v>
      </c>
      <c r="M366" s="20">
        <v>8.9999999999999998E-4</v>
      </c>
      <c r="Z366" s="15" t="s">
        <v>140</v>
      </c>
      <c r="AA366" t="s">
        <v>142</v>
      </c>
    </row>
    <row r="367" spans="1:27" x14ac:dyDescent="0.25">
      <c r="A367">
        <v>115</v>
      </c>
      <c r="B367">
        <v>25</v>
      </c>
      <c r="C367">
        <f t="shared" si="36"/>
        <v>11525</v>
      </c>
      <c r="D367" s="3" t="s">
        <v>87</v>
      </c>
      <c r="E367" s="11">
        <v>53.8</v>
      </c>
      <c r="F367" s="11">
        <v>4.8</v>
      </c>
      <c r="G367" s="12" t="s">
        <v>144</v>
      </c>
      <c r="H367" s="12" t="s">
        <v>39</v>
      </c>
      <c r="I367" s="4">
        <v>38579</v>
      </c>
      <c r="J367" t="s">
        <v>130</v>
      </c>
      <c r="K367" s="2">
        <v>0</v>
      </c>
      <c r="M367" s="20">
        <v>1.2999999999999999E-3</v>
      </c>
      <c r="Z367" s="15" t="s">
        <v>140</v>
      </c>
      <c r="AA367" t="s">
        <v>142</v>
      </c>
    </row>
    <row r="368" spans="1:27" x14ac:dyDescent="0.25">
      <c r="A368">
        <v>115</v>
      </c>
      <c r="B368">
        <v>26</v>
      </c>
      <c r="C368">
        <f t="shared" si="36"/>
        <v>11526</v>
      </c>
      <c r="D368" s="3" t="s">
        <v>87</v>
      </c>
      <c r="E368" s="11">
        <v>60.8</v>
      </c>
      <c r="F368" s="11">
        <v>4</v>
      </c>
      <c r="G368" s="12" t="s">
        <v>144</v>
      </c>
      <c r="H368" s="12" t="s">
        <v>39</v>
      </c>
      <c r="I368" s="4">
        <v>38579</v>
      </c>
      <c r="J368" t="s">
        <v>130</v>
      </c>
      <c r="K368" s="2">
        <v>0</v>
      </c>
      <c r="M368" s="20">
        <v>2.2000000000000001E-3</v>
      </c>
      <c r="Z368" s="15" t="s">
        <v>140</v>
      </c>
      <c r="AA368" t="s">
        <v>142</v>
      </c>
    </row>
    <row r="369" spans="1:27" x14ac:dyDescent="0.25">
      <c r="A369">
        <v>115</v>
      </c>
      <c r="B369">
        <v>27</v>
      </c>
      <c r="C369">
        <f t="shared" si="36"/>
        <v>11527</v>
      </c>
      <c r="D369" s="3" t="s">
        <v>87</v>
      </c>
      <c r="E369" s="11">
        <v>57.2</v>
      </c>
      <c r="F369" s="11">
        <v>7.2</v>
      </c>
      <c r="G369" s="12" t="s">
        <v>144</v>
      </c>
      <c r="H369" s="12" t="s">
        <v>39</v>
      </c>
      <c r="I369" s="4">
        <v>38579</v>
      </c>
      <c r="J369" t="s">
        <v>130</v>
      </c>
      <c r="K369" s="2">
        <v>0</v>
      </c>
      <c r="M369" s="20">
        <v>5.0999999999999995E-3</v>
      </c>
      <c r="Z369" s="15" t="s">
        <v>140</v>
      </c>
      <c r="AA369" t="s">
        <v>142</v>
      </c>
    </row>
    <row r="370" spans="1:27" x14ac:dyDescent="0.25">
      <c r="A370">
        <v>115</v>
      </c>
      <c r="B370">
        <v>28</v>
      </c>
      <c r="C370">
        <f t="shared" si="36"/>
        <v>11528</v>
      </c>
      <c r="D370" s="3" t="s">
        <v>87</v>
      </c>
      <c r="E370" s="11">
        <v>54.7</v>
      </c>
      <c r="F370" s="11">
        <v>7</v>
      </c>
      <c r="G370" s="12" t="s">
        <v>144</v>
      </c>
      <c r="H370" s="12" t="s">
        <v>39</v>
      </c>
      <c r="I370" s="4">
        <v>38579</v>
      </c>
      <c r="J370" t="s">
        <v>130</v>
      </c>
      <c r="K370" s="2">
        <v>0</v>
      </c>
      <c r="M370" s="20">
        <v>1.1000000000000001E-3</v>
      </c>
      <c r="Z370" s="15" t="s">
        <v>140</v>
      </c>
      <c r="AA370" t="s">
        <v>142</v>
      </c>
    </row>
    <row r="371" spans="1:27" x14ac:dyDescent="0.25">
      <c r="A371">
        <v>115</v>
      </c>
      <c r="B371">
        <v>29</v>
      </c>
      <c r="C371">
        <f t="shared" si="36"/>
        <v>11529</v>
      </c>
      <c r="D371" s="3" t="s">
        <v>87</v>
      </c>
      <c r="E371" s="11">
        <v>54.7</v>
      </c>
      <c r="F371" s="11">
        <v>7.7</v>
      </c>
      <c r="G371" s="12" t="s">
        <v>144</v>
      </c>
      <c r="H371" s="12" t="s">
        <v>39</v>
      </c>
      <c r="I371" s="4">
        <v>38579</v>
      </c>
      <c r="J371" t="s">
        <v>130</v>
      </c>
      <c r="K371" s="2">
        <v>0</v>
      </c>
      <c r="M371" s="20">
        <v>2.5000000000000001E-3</v>
      </c>
      <c r="Z371" s="15" t="s">
        <v>140</v>
      </c>
      <c r="AA371" t="s">
        <v>142</v>
      </c>
    </row>
    <row r="372" spans="1:27" x14ac:dyDescent="0.25">
      <c r="A372">
        <v>115</v>
      </c>
      <c r="B372">
        <v>30</v>
      </c>
      <c r="C372">
        <f t="shared" si="36"/>
        <v>11530</v>
      </c>
      <c r="D372" s="3" t="s">
        <v>87</v>
      </c>
      <c r="E372" s="11">
        <v>57.5</v>
      </c>
      <c r="F372" s="11">
        <v>11</v>
      </c>
      <c r="G372" s="12" t="s">
        <v>144</v>
      </c>
      <c r="H372" s="12" t="s">
        <v>39</v>
      </c>
      <c r="I372" s="4">
        <v>38579</v>
      </c>
      <c r="J372" t="s">
        <v>130</v>
      </c>
      <c r="K372" s="2">
        <v>0</v>
      </c>
      <c r="M372" s="20">
        <v>1.9E-3</v>
      </c>
      <c r="Z372" s="15" t="s">
        <v>140</v>
      </c>
      <c r="AA372" t="s">
        <v>142</v>
      </c>
    </row>
    <row r="373" spans="1:27" x14ac:dyDescent="0.25">
      <c r="A373">
        <v>115</v>
      </c>
      <c r="B373">
        <v>31</v>
      </c>
      <c r="C373">
        <f t="shared" si="36"/>
        <v>11531</v>
      </c>
      <c r="D373" s="3" t="s">
        <v>87</v>
      </c>
      <c r="E373" s="11">
        <v>60.542249057971006</v>
      </c>
      <c r="F373" s="11">
        <v>3.9990973478260865</v>
      </c>
      <c r="G373" s="12" t="s">
        <v>144</v>
      </c>
      <c r="H373" s="12" t="s">
        <v>39</v>
      </c>
      <c r="I373" s="4">
        <v>38353</v>
      </c>
      <c r="J373" s="12" t="s">
        <v>163</v>
      </c>
      <c r="K373" s="2">
        <v>0</v>
      </c>
      <c r="M373" s="20">
        <f>390/147</f>
        <v>2.6530612244897958</v>
      </c>
      <c r="N373" s="20">
        <f>380/147</f>
        <v>2.5850340136054424</v>
      </c>
      <c r="Z373" s="15" t="s">
        <v>140</v>
      </c>
      <c r="AA373" t="s">
        <v>164</v>
      </c>
    </row>
    <row r="374" spans="1:27" x14ac:dyDescent="0.25">
      <c r="A374" s="12">
        <v>116</v>
      </c>
      <c r="B374" s="12">
        <v>1</v>
      </c>
      <c r="C374">
        <f t="shared" si="36"/>
        <v>11601</v>
      </c>
      <c r="D374" s="3" t="s">
        <v>87</v>
      </c>
      <c r="E374" s="11">
        <v>75</v>
      </c>
      <c r="F374" s="11">
        <v>-12.3</v>
      </c>
      <c r="G374" s="12" t="s">
        <v>144</v>
      </c>
      <c r="H374" s="12" t="s">
        <v>39</v>
      </c>
      <c r="I374" s="4">
        <v>38718</v>
      </c>
      <c r="J374" s="12" t="s">
        <v>130</v>
      </c>
      <c r="K374" s="2">
        <v>0</v>
      </c>
      <c r="M374" s="20">
        <v>2.1000000000000003E-3</v>
      </c>
      <c r="Z374" s="15" t="s">
        <v>161</v>
      </c>
      <c r="AA374" t="s">
        <v>162</v>
      </c>
    </row>
    <row r="375" spans="1:27" x14ac:dyDescent="0.25">
      <c r="A375" s="12">
        <v>116</v>
      </c>
      <c r="B375" s="12">
        <v>2</v>
      </c>
      <c r="C375">
        <f t="shared" si="36"/>
        <v>11602</v>
      </c>
      <c r="D375" s="3" t="s">
        <v>87</v>
      </c>
      <c r="E375" s="11">
        <v>75.599999999999994</v>
      </c>
      <c r="F375" s="11">
        <v>16.3</v>
      </c>
      <c r="G375" s="12" t="s">
        <v>144</v>
      </c>
      <c r="H375" s="12" t="s">
        <v>39</v>
      </c>
      <c r="I375" s="4">
        <v>38718</v>
      </c>
      <c r="J375" s="12" t="s">
        <v>130</v>
      </c>
      <c r="K375" s="2">
        <v>0</v>
      </c>
      <c r="M375" s="20">
        <v>1.5E-3</v>
      </c>
      <c r="Z375" s="15" t="s">
        <v>161</v>
      </c>
      <c r="AA375" t="s">
        <v>162</v>
      </c>
    </row>
    <row r="376" spans="1:27" x14ac:dyDescent="0.25">
      <c r="A376" s="12">
        <v>116</v>
      </c>
      <c r="B376" s="12">
        <v>3</v>
      </c>
      <c r="C376">
        <f t="shared" si="36"/>
        <v>11603</v>
      </c>
      <c r="D376" s="3" t="s">
        <v>87</v>
      </c>
      <c r="E376" s="11">
        <v>74.5</v>
      </c>
      <c r="F376" s="11">
        <v>10</v>
      </c>
      <c r="G376" s="12" t="s">
        <v>144</v>
      </c>
      <c r="H376" s="12" t="s">
        <v>39</v>
      </c>
      <c r="I376" s="4">
        <v>38718</v>
      </c>
      <c r="J376" s="12" t="s">
        <v>130</v>
      </c>
      <c r="K376" s="2">
        <v>0</v>
      </c>
      <c r="M376" s="20">
        <v>1.9E-3</v>
      </c>
      <c r="Z376" s="15" t="s">
        <v>161</v>
      </c>
      <c r="AA376" t="s">
        <v>162</v>
      </c>
    </row>
    <row r="377" spans="1:27" x14ac:dyDescent="0.25">
      <c r="A377" s="12">
        <v>116</v>
      </c>
      <c r="B377" s="12">
        <v>4</v>
      </c>
      <c r="C377">
        <f t="shared" si="36"/>
        <v>11604</v>
      </c>
      <c r="D377" s="3" t="s">
        <v>87</v>
      </c>
      <c r="E377" s="11">
        <v>74.2</v>
      </c>
      <c r="F377" s="11">
        <v>19.5</v>
      </c>
      <c r="G377" s="12" t="s">
        <v>144</v>
      </c>
      <c r="H377" s="12" t="s">
        <v>39</v>
      </c>
      <c r="I377" s="4">
        <v>38718</v>
      </c>
      <c r="J377" s="12" t="s">
        <v>130</v>
      </c>
      <c r="K377" s="2">
        <v>0</v>
      </c>
      <c r="M377" s="20">
        <v>2.2000000000000001E-3</v>
      </c>
      <c r="Z377" s="15" t="s">
        <v>161</v>
      </c>
      <c r="AA377" t="s">
        <v>162</v>
      </c>
    </row>
    <row r="378" spans="1:27" x14ac:dyDescent="0.25">
      <c r="A378" s="12">
        <v>116</v>
      </c>
      <c r="B378" s="12">
        <v>5</v>
      </c>
      <c r="C378">
        <f t="shared" si="36"/>
        <v>11605</v>
      </c>
      <c r="D378" s="3" t="s">
        <v>87</v>
      </c>
      <c r="E378" s="11">
        <v>73.900000000000006</v>
      </c>
      <c r="F378" s="11">
        <v>13.9</v>
      </c>
      <c r="G378" s="12" t="s">
        <v>144</v>
      </c>
      <c r="H378" s="12" t="s">
        <v>39</v>
      </c>
      <c r="I378" s="4">
        <v>38718</v>
      </c>
      <c r="J378" s="12" t="s">
        <v>130</v>
      </c>
      <c r="K378" s="2">
        <v>0</v>
      </c>
      <c r="M378" s="20">
        <v>1.9499999999999999E-3</v>
      </c>
      <c r="Z378" s="15" t="s">
        <v>161</v>
      </c>
      <c r="AA378" t="s">
        <v>162</v>
      </c>
    </row>
    <row r="379" spans="1:27" x14ac:dyDescent="0.25">
      <c r="A379" s="12">
        <v>116</v>
      </c>
      <c r="B379" s="12">
        <v>6</v>
      </c>
      <c r="C379">
        <f t="shared" si="36"/>
        <v>11606</v>
      </c>
      <c r="D379" s="3" t="s">
        <v>87</v>
      </c>
      <c r="E379" s="11">
        <v>70.5</v>
      </c>
      <c r="F379" s="11">
        <v>20</v>
      </c>
      <c r="G379" s="12" t="s">
        <v>144</v>
      </c>
      <c r="H379" s="12" t="s">
        <v>39</v>
      </c>
      <c r="I379" s="4">
        <v>38718</v>
      </c>
      <c r="J379" s="12" t="s">
        <v>130</v>
      </c>
      <c r="K379" s="2">
        <v>0</v>
      </c>
      <c r="M379" s="20">
        <v>8.9999999999999998E-4</v>
      </c>
      <c r="Z379" s="15" t="s">
        <v>161</v>
      </c>
      <c r="AA379" t="s">
        <v>162</v>
      </c>
    </row>
    <row r="380" spans="1:27" x14ac:dyDescent="0.25">
      <c r="A380" s="12">
        <v>116</v>
      </c>
      <c r="B380" s="12">
        <v>7</v>
      </c>
      <c r="C380">
        <f t="shared" si="36"/>
        <v>11607</v>
      </c>
      <c r="D380" s="3" t="s">
        <v>87</v>
      </c>
      <c r="E380" s="11">
        <v>69.5</v>
      </c>
      <c r="F380" s="11">
        <v>4</v>
      </c>
      <c r="G380" s="12" t="s">
        <v>144</v>
      </c>
      <c r="H380" s="12" t="s">
        <v>39</v>
      </c>
      <c r="I380" s="4">
        <v>38718</v>
      </c>
      <c r="J380" s="12" t="s">
        <v>130</v>
      </c>
      <c r="K380" s="2">
        <v>0</v>
      </c>
      <c r="M380" s="20">
        <v>1.6000000000000001E-3</v>
      </c>
      <c r="Z380" s="15" t="s">
        <v>161</v>
      </c>
      <c r="AA380" t="s">
        <v>162</v>
      </c>
    </row>
    <row r="381" spans="1:27" x14ac:dyDescent="0.25">
      <c r="A381" s="12">
        <v>116</v>
      </c>
      <c r="B381" s="12">
        <v>8</v>
      </c>
      <c r="C381">
        <f t="shared" si="36"/>
        <v>11608</v>
      </c>
      <c r="D381" s="3" t="s">
        <v>87</v>
      </c>
      <c r="E381" s="11">
        <v>69.7</v>
      </c>
      <c r="F381" s="11">
        <v>16</v>
      </c>
      <c r="G381" s="12" t="s">
        <v>144</v>
      </c>
      <c r="H381" s="12" t="s">
        <v>39</v>
      </c>
      <c r="I381" s="4">
        <v>38718</v>
      </c>
      <c r="J381" s="12" t="s">
        <v>130</v>
      </c>
      <c r="K381" s="2">
        <v>0</v>
      </c>
      <c r="M381" s="20">
        <v>2E-3</v>
      </c>
      <c r="Z381" s="15" t="s">
        <v>161</v>
      </c>
      <c r="AA381" t="s">
        <v>162</v>
      </c>
    </row>
    <row r="382" spans="1:27" x14ac:dyDescent="0.25">
      <c r="A382" s="12">
        <v>116</v>
      </c>
      <c r="B382" s="12">
        <v>9</v>
      </c>
      <c r="C382">
        <f t="shared" si="36"/>
        <v>11609</v>
      </c>
      <c r="D382" s="3" t="s">
        <v>87</v>
      </c>
      <c r="E382" s="11">
        <v>63.8</v>
      </c>
      <c r="F382" s="11">
        <v>4</v>
      </c>
      <c r="G382" s="12" t="s">
        <v>144</v>
      </c>
      <c r="H382" s="12" t="s">
        <v>39</v>
      </c>
      <c r="I382" s="4">
        <v>38718</v>
      </c>
      <c r="J382" s="12" t="s">
        <v>130</v>
      </c>
      <c r="K382" s="2">
        <v>0</v>
      </c>
      <c r="M382" s="20">
        <v>2.3E-3</v>
      </c>
      <c r="Z382" s="15" t="s">
        <v>161</v>
      </c>
      <c r="AA382" t="s">
        <v>162</v>
      </c>
    </row>
    <row r="383" spans="1:27" x14ac:dyDescent="0.25">
      <c r="A383" s="12">
        <v>116</v>
      </c>
      <c r="B383" s="12">
        <v>10</v>
      </c>
      <c r="C383">
        <f t="shared" si="36"/>
        <v>11610</v>
      </c>
      <c r="D383" s="3" t="s">
        <v>87</v>
      </c>
      <c r="E383" s="11">
        <v>63</v>
      </c>
      <c r="F383" s="11">
        <v>4</v>
      </c>
      <c r="G383" s="12" t="s">
        <v>144</v>
      </c>
      <c r="H383" s="12" t="s">
        <v>39</v>
      </c>
      <c r="I383" s="4">
        <v>38718</v>
      </c>
      <c r="J383" s="12" t="s">
        <v>130</v>
      </c>
      <c r="K383" s="2">
        <v>0</v>
      </c>
      <c r="M383" s="20">
        <v>1.83E-3</v>
      </c>
      <c r="Z383" s="15" t="s">
        <v>161</v>
      </c>
      <c r="AA383" t="s">
        <v>162</v>
      </c>
    </row>
    <row r="384" spans="1:27" x14ac:dyDescent="0.25">
      <c r="A384" s="12">
        <v>116</v>
      </c>
      <c r="B384" s="12">
        <v>11</v>
      </c>
      <c r="C384">
        <f t="shared" si="36"/>
        <v>11611</v>
      </c>
      <c r="D384" s="3" t="s">
        <v>87</v>
      </c>
      <c r="E384" s="11">
        <v>63</v>
      </c>
      <c r="F384" s="11">
        <v>5</v>
      </c>
      <c r="G384" s="12" t="s">
        <v>144</v>
      </c>
      <c r="H384" s="12" t="s">
        <v>39</v>
      </c>
      <c r="I384" s="4">
        <v>38718</v>
      </c>
      <c r="J384" s="12" t="s">
        <v>130</v>
      </c>
      <c r="K384" s="2">
        <v>0</v>
      </c>
      <c r="M384" s="20">
        <v>1.9E-3</v>
      </c>
      <c r="Z384" s="15" t="s">
        <v>161</v>
      </c>
      <c r="AA384" t="s">
        <v>162</v>
      </c>
    </row>
    <row r="385" spans="1:27" x14ac:dyDescent="0.25">
      <c r="A385" s="12">
        <v>116</v>
      </c>
      <c r="B385" s="12">
        <v>12</v>
      </c>
      <c r="C385">
        <f t="shared" si="36"/>
        <v>11612</v>
      </c>
      <c r="D385" s="3" t="s">
        <v>87</v>
      </c>
      <c r="E385" s="11">
        <v>60.542249057971006</v>
      </c>
      <c r="F385" s="11">
        <v>3.9990973478260865</v>
      </c>
      <c r="G385" s="12" t="s">
        <v>144</v>
      </c>
      <c r="H385" s="12" t="s">
        <v>39</v>
      </c>
      <c r="I385" s="4">
        <v>38718</v>
      </c>
      <c r="J385" s="12" t="s">
        <v>163</v>
      </c>
      <c r="K385" s="2">
        <v>0</v>
      </c>
      <c r="M385" s="20">
        <f>460/144</f>
        <v>3.1944444444444446</v>
      </c>
      <c r="N385" s="20">
        <f>390/144</f>
        <v>2.7083333333333335</v>
      </c>
      <c r="Z385" s="15" t="s">
        <v>161</v>
      </c>
      <c r="AA385" t="s">
        <v>164</v>
      </c>
    </row>
    <row r="386" spans="1:27" x14ac:dyDescent="0.25">
      <c r="A386" s="12">
        <v>117</v>
      </c>
      <c r="B386" s="12">
        <v>1</v>
      </c>
      <c r="C386">
        <f t="shared" si="36"/>
        <v>11701</v>
      </c>
      <c r="D386" s="3" t="s">
        <v>87</v>
      </c>
      <c r="E386" s="11">
        <v>60.542249057971006</v>
      </c>
      <c r="F386" s="11">
        <v>3.9990973478260865</v>
      </c>
      <c r="G386" s="12" t="s">
        <v>144</v>
      </c>
      <c r="H386" s="12" t="s">
        <v>39</v>
      </c>
      <c r="I386" s="4">
        <v>39083</v>
      </c>
      <c r="J386" s="12" t="s">
        <v>163</v>
      </c>
      <c r="K386" s="2">
        <v>0</v>
      </c>
      <c r="M386" s="20">
        <f>530/162</f>
        <v>3.2716049382716048</v>
      </c>
      <c r="N386" s="20">
        <f>400/162</f>
        <v>2.4691358024691357</v>
      </c>
      <c r="Z386" s="15" t="s">
        <v>167</v>
      </c>
      <c r="AA386" t="s">
        <v>168</v>
      </c>
    </row>
    <row r="387" spans="1:27" x14ac:dyDescent="0.25">
      <c r="A387" s="12">
        <v>118</v>
      </c>
      <c r="B387" s="12">
        <v>1</v>
      </c>
      <c r="C387">
        <f t="shared" ref="C387:C450" si="37">A387*100+B387</f>
        <v>11801</v>
      </c>
      <c r="D387" s="3" t="s">
        <v>87</v>
      </c>
      <c r="E387" s="11">
        <v>60.542249057971006</v>
      </c>
      <c r="F387" s="11">
        <v>3.9990973478260865</v>
      </c>
      <c r="G387" s="12" t="s">
        <v>144</v>
      </c>
      <c r="H387" s="12" t="s">
        <v>39</v>
      </c>
      <c r="I387" s="4">
        <v>39448</v>
      </c>
      <c r="J387" s="12" t="s">
        <v>163</v>
      </c>
      <c r="K387" s="2">
        <v>0</v>
      </c>
      <c r="M387" s="20">
        <f>460/149</f>
        <v>3.087248322147651</v>
      </c>
      <c r="N387" s="20">
        <f>370/149</f>
        <v>2.4832214765100673</v>
      </c>
      <c r="Z387" s="15" t="s">
        <v>169</v>
      </c>
      <c r="AA387" t="s">
        <v>164</v>
      </c>
    </row>
    <row r="388" spans="1:27" x14ac:dyDescent="0.25">
      <c r="A388" s="12">
        <v>118</v>
      </c>
      <c r="B388" s="12">
        <v>1</v>
      </c>
      <c r="C388">
        <f t="shared" si="37"/>
        <v>11801</v>
      </c>
      <c r="D388" s="3" t="s">
        <v>87</v>
      </c>
      <c r="E388" s="11">
        <v>60.542249057971006</v>
      </c>
      <c r="F388" s="11">
        <v>3.9990973478260865</v>
      </c>
      <c r="G388" s="12" t="s">
        <v>144</v>
      </c>
      <c r="H388" s="12" t="s">
        <v>39</v>
      </c>
      <c r="I388" s="4">
        <v>39814</v>
      </c>
      <c r="J388" s="12" t="s">
        <v>163</v>
      </c>
      <c r="K388" s="2">
        <v>0</v>
      </c>
      <c r="M388" s="20">
        <f>480/134</f>
        <v>3.5820895522388061</v>
      </c>
      <c r="N388" s="20">
        <f>360/134</f>
        <v>2.6865671641791047</v>
      </c>
      <c r="Z388" s="15" t="s">
        <v>169</v>
      </c>
      <c r="AA388" t="s">
        <v>164</v>
      </c>
    </row>
    <row r="389" spans="1:27" x14ac:dyDescent="0.25">
      <c r="A389" s="12">
        <v>119</v>
      </c>
      <c r="B389" s="12">
        <v>1</v>
      </c>
      <c r="C389">
        <f t="shared" si="37"/>
        <v>11901</v>
      </c>
      <c r="D389" s="3" t="s">
        <v>87</v>
      </c>
      <c r="E389" s="11">
        <v>60.542249057971006</v>
      </c>
      <c r="F389" s="11">
        <v>3.9990973478260865</v>
      </c>
      <c r="G389" s="12" t="s">
        <v>144</v>
      </c>
      <c r="H389" s="12" t="s">
        <v>39</v>
      </c>
      <c r="I389" s="4">
        <v>40179</v>
      </c>
      <c r="J389" s="12" t="s">
        <v>163</v>
      </c>
      <c r="K389" s="2">
        <v>0</v>
      </c>
      <c r="M389" s="20">
        <f>490/129</f>
        <v>3.7984496124031009</v>
      </c>
      <c r="N389" s="20">
        <f>390/129</f>
        <v>3.0232558139534884</v>
      </c>
      <c r="Z389" t="s">
        <v>170</v>
      </c>
      <c r="AA389" t="s">
        <v>171</v>
      </c>
    </row>
    <row r="390" spans="1:27" x14ac:dyDescent="0.25">
      <c r="A390" s="12">
        <v>119</v>
      </c>
      <c r="B390" s="12">
        <v>1</v>
      </c>
      <c r="C390">
        <f t="shared" si="37"/>
        <v>11901</v>
      </c>
      <c r="D390" s="3" t="s">
        <v>87</v>
      </c>
      <c r="E390" s="11">
        <v>60.542249057971006</v>
      </c>
      <c r="F390" s="11">
        <v>3.9990973478260865</v>
      </c>
      <c r="G390" s="12" t="s">
        <v>144</v>
      </c>
      <c r="H390" s="12" t="s">
        <v>39</v>
      </c>
      <c r="I390" s="4">
        <v>40544</v>
      </c>
      <c r="J390" s="12" t="s">
        <v>163</v>
      </c>
      <c r="K390" s="2">
        <v>0</v>
      </c>
      <c r="M390" s="20">
        <f>468/128</f>
        <v>3.65625</v>
      </c>
      <c r="N390" s="20">
        <f>371/128</f>
        <v>2.8984375</v>
      </c>
      <c r="Z390" t="s">
        <v>170</v>
      </c>
      <c r="AA390" t="s">
        <v>171</v>
      </c>
    </row>
    <row r="391" spans="1:27" x14ac:dyDescent="0.25">
      <c r="A391" s="12">
        <v>119</v>
      </c>
      <c r="B391" s="12">
        <v>2</v>
      </c>
      <c r="C391">
        <f t="shared" si="37"/>
        <v>11902</v>
      </c>
      <c r="D391" s="3" t="s">
        <v>87</v>
      </c>
      <c r="E391" s="11">
        <v>70.3</v>
      </c>
      <c r="F391" s="11">
        <v>9.51</v>
      </c>
      <c r="G391" s="12" t="s">
        <v>144</v>
      </c>
      <c r="H391" s="12" t="s">
        <v>47</v>
      </c>
      <c r="I391" s="4">
        <v>40544</v>
      </c>
      <c r="J391" s="12" t="s">
        <v>20</v>
      </c>
      <c r="K391" s="2">
        <v>0</v>
      </c>
      <c r="M391" s="20">
        <v>43</v>
      </c>
      <c r="N391" s="20">
        <v>19</v>
      </c>
      <c r="O391" s="8">
        <v>220</v>
      </c>
      <c r="Z391" t="s">
        <v>170</v>
      </c>
      <c r="AA391" t="s">
        <v>173</v>
      </c>
    </row>
    <row r="392" spans="1:27" x14ac:dyDescent="0.25">
      <c r="A392" s="12">
        <v>119</v>
      </c>
      <c r="B392" s="12">
        <v>3</v>
      </c>
      <c r="C392">
        <f t="shared" si="37"/>
        <v>11903</v>
      </c>
      <c r="D392" s="3" t="s">
        <v>87</v>
      </c>
      <c r="E392" s="11">
        <v>70.2</v>
      </c>
      <c r="F392" s="11">
        <v>8.65</v>
      </c>
      <c r="G392" s="12" t="s">
        <v>144</v>
      </c>
      <c r="H392" s="12" t="s">
        <v>47</v>
      </c>
      <c r="I392" s="4">
        <v>40544</v>
      </c>
      <c r="J392" s="12" t="s">
        <v>20</v>
      </c>
      <c r="K392" s="2">
        <v>0</v>
      </c>
      <c r="M392" s="20">
        <v>29</v>
      </c>
      <c r="N392" s="20">
        <v>23</v>
      </c>
      <c r="O392" s="8">
        <v>220</v>
      </c>
      <c r="Z392" t="s">
        <v>170</v>
      </c>
      <c r="AA392" t="s">
        <v>173</v>
      </c>
    </row>
    <row r="393" spans="1:27" x14ac:dyDescent="0.25">
      <c r="A393" s="12">
        <v>119</v>
      </c>
      <c r="B393" s="12">
        <v>4</v>
      </c>
      <c r="C393">
        <f t="shared" si="37"/>
        <v>11904</v>
      </c>
      <c r="D393" s="3" t="s">
        <v>87</v>
      </c>
      <c r="E393" s="11">
        <v>70</v>
      </c>
      <c r="F393" s="11">
        <v>8.9499999999999993</v>
      </c>
      <c r="G393" s="12" t="s">
        <v>144</v>
      </c>
      <c r="H393" s="12" t="s">
        <v>47</v>
      </c>
      <c r="I393" s="4">
        <v>40544</v>
      </c>
      <c r="J393" s="12" t="s">
        <v>20</v>
      </c>
      <c r="K393" s="2">
        <v>0</v>
      </c>
      <c r="M393" s="20">
        <v>31</v>
      </c>
      <c r="N393" s="20">
        <v>27</v>
      </c>
      <c r="O393" s="8">
        <v>230</v>
      </c>
      <c r="Z393" t="s">
        <v>170</v>
      </c>
      <c r="AA393" t="s">
        <v>173</v>
      </c>
    </row>
    <row r="394" spans="1:27" x14ac:dyDescent="0.25">
      <c r="A394" s="12">
        <v>119</v>
      </c>
      <c r="B394" s="12">
        <v>5</v>
      </c>
      <c r="C394">
        <f t="shared" si="37"/>
        <v>11905</v>
      </c>
      <c r="D394" s="3" t="s">
        <v>87</v>
      </c>
      <c r="E394" s="11">
        <v>69.92</v>
      </c>
      <c r="F394" s="11">
        <v>8.3000000000000007</v>
      </c>
      <c r="G394" s="12" t="s">
        <v>144</v>
      </c>
      <c r="H394" s="12" t="s">
        <v>47</v>
      </c>
      <c r="I394" s="4">
        <v>40544</v>
      </c>
      <c r="J394" s="12" t="s">
        <v>20</v>
      </c>
      <c r="K394" s="2">
        <v>0</v>
      </c>
      <c r="M394" s="20">
        <v>32</v>
      </c>
      <c r="N394" s="20">
        <v>22</v>
      </c>
      <c r="O394" s="8">
        <v>210</v>
      </c>
      <c r="Z394" t="s">
        <v>170</v>
      </c>
      <c r="AA394" t="s">
        <v>173</v>
      </c>
    </row>
    <row r="395" spans="1:27" x14ac:dyDescent="0.25">
      <c r="A395" s="12">
        <v>119</v>
      </c>
      <c r="B395" s="12">
        <v>6</v>
      </c>
      <c r="C395">
        <f t="shared" si="37"/>
        <v>11906</v>
      </c>
      <c r="D395" s="3" t="s">
        <v>87</v>
      </c>
      <c r="E395" s="11">
        <v>69.5</v>
      </c>
      <c r="F395" s="11">
        <v>9.15</v>
      </c>
      <c r="G395" s="12" t="s">
        <v>144</v>
      </c>
      <c r="H395" s="12" t="s">
        <v>47</v>
      </c>
      <c r="I395" s="4">
        <v>40544</v>
      </c>
      <c r="J395" s="12" t="s">
        <v>20</v>
      </c>
      <c r="K395" s="2">
        <v>0</v>
      </c>
      <c r="M395" s="20">
        <v>32</v>
      </c>
      <c r="N395" s="20">
        <v>15</v>
      </c>
      <c r="O395" s="8">
        <v>170</v>
      </c>
      <c r="Z395" t="s">
        <v>170</v>
      </c>
      <c r="AA395" t="s">
        <v>173</v>
      </c>
    </row>
    <row r="396" spans="1:27" x14ac:dyDescent="0.25">
      <c r="A396" s="12">
        <v>119</v>
      </c>
      <c r="B396" s="12">
        <v>7</v>
      </c>
      <c r="C396">
        <f t="shared" si="37"/>
        <v>11907</v>
      </c>
      <c r="D396" s="3" t="s">
        <v>87</v>
      </c>
      <c r="E396" s="11">
        <f>AVERAGE(E391:E395)</f>
        <v>69.984000000000009</v>
      </c>
      <c r="F396" s="11">
        <f>AVERAGE(F391:F395)</f>
        <v>8.911999999999999</v>
      </c>
      <c r="G396" s="12" t="s">
        <v>144</v>
      </c>
      <c r="H396" s="12" t="s">
        <v>47</v>
      </c>
      <c r="I396" s="4">
        <v>40544</v>
      </c>
      <c r="J396" s="12" t="s">
        <v>130</v>
      </c>
      <c r="K396" s="2">
        <v>0</v>
      </c>
      <c r="M396" s="20">
        <v>1.2999999999999999E-3</v>
      </c>
      <c r="V396" s="3">
        <v>2.9999999999999997E-4</v>
      </c>
      <c r="Z396" t="s">
        <v>170</v>
      </c>
      <c r="AA396" t="s">
        <v>172</v>
      </c>
    </row>
    <row r="397" spans="1:27" x14ac:dyDescent="0.25">
      <c r="A397" s="12">
        <v>120</v>
      </c>
      <c r="B397" s="12">
        <v>1</v>
      </c>
      <c r="C397">
        <f t="shared" si="37"/>
        <v>12001</v>
      </c>
      <c r="D397" s="3" t="s">
        <v>87</v>
      </c>
      <c r="E397" s="11">
        <v>80</v>
      </c>
      <c r="F397" s="11">
        <v>32</v>
      </c>
      <c r="G397" s="12" t="s">
        <v>144</v>
      </c>
      <c r="H397" s="12" t="s">
        <v>143</v>
      </c>
      <c r="I397" t="s">
        <v>187</v>
      </c>
      <c r="J397" s="12" t="s">
        <v>130</v>
      </c>
      <c r="K397" s="2">
        <v>0</v>
      </c>
      <c r="M397" s="20">
        <v>2.9999999999999997E-4</v>
      </c>
      <c r="Z397" s="27" t="s">
        <v>185</v>
      </c>
      <c r="AA397" t="s">
        <v>188</v>
      </c>
    </row>
    <row r="398" spans="1:27" x14ac:dyDescent="0.25">
      <c r="A398" s="12">
        <v>120</v>
      </c>
      <c r="B398" s="12">
        <v>2</v>
      </c>
      <c r="C398">
        <f t="shared" si="37"/>
        <v>12002</v>
      </c>
      <c r="D398" s="3" t="s">
        <v>87</v>
      </c>
      <c r="E398" s="11">
        <v>72</v>
      </c>
      <c r="F398" s="11">
        <v>15</v>
      </c>
      <c r="G398" s="12" t="s">
        <v>144</v>
      </c>
      <c r="H398" s="12" t="s">
        <v>143</v>
      </c>
      <c r="I398" t="s">
        <v>187</v>
      </c>
      <c r="J398" s="12" t="s">
        <v>130</v>
      </c>
      <c r="K398" s="2">
        <v>0</v>
      </c>
      <c r="M398" s="20">
        <v>4.0000000000000002E-4</v>
      </c>
      <c r="Z398" s="27" t="s">
        <v>185</v>
      </c>
      <c r="AA398" t="s">
        <v>188</v>
      </c>
    </row>
    <row r="399" spans="1:27" x14ac:dyDescent="0.25">
      <c r="A399" s="12">
        <v>120</v>
      </c>
      <c r="B399" s="12">
        <v>3</v>
      </c>
      <c r="C399">
        <f t="shared" si="37"/>
        <v>12003</v>
      </c>
      <c r="D399" s="3" t="s">
        <v>87</v>
      </c>
      <c r="E399" s="11">
        <v>75</v>
      </c>
      <c r="F399" s="11">
        <v>18</v>
      </c>
      <c r="G399" s="12" t="s">
        <v>144</v>
      </c>
      <c r="H399" s="12" t="s">
        <v>143</v>
      </c>
      <c r="I399" t="s">
        <v>187</v>
      </c>
      <c r="J399" s="12" t="s">
        <v>130</v>
      </c>
      <c r="K399" s="2">
        <v>0</v>
      </c>
      <c r="M399" s="20">
        <v>2.9E-4</v>
      </c>
      <c r="Z399" s="27" t="s">
        <v>185</v>
      </c>
      <c r="AA399" t="s">
        <v>188</v>
      </c>
    </row>
    <row r="400" spans="1:27" x14ac:dyDescent="0.25">
      <c r="A400" s="12">
        <v>120</v>
      </c>
      <c r="B400" s="12">
        <v>4</v>
      </c>
      <c r="C400">
        <f t="shared" si="37"/>
        <v>12004</v>
      </c>
      <c r="D400" s="3" t="s">
        <v>87</v>
      </c>
      <c r="E400" s="11">
        <v>73</v>
      </c>
      <c r="F400" s="11">
        <v>15</v>
      </c>
      <c r="G400" s="12" t="s">
        <v>144</v>
      </c>
      <c r="H400" s="12" t="s">
        <v>143</v>
      </c>
      <c r="I400" t="s">
        <v>187</v>
      </c>
      <c r="J400" s="12" t="s">
        <v>130</v>
      </c>
      <c r="K400" s="2">
        <v>0</v>
      </c>
      <c r="M400" s="20">
        <v>7.7999999999999999E-4</v>
      </c>
      <c r="Z400" s="27" t="s">
        <v>185</v>
      </c>
      <c r="AA400" t="s">
        <v>188</v>
      </c>
    </row>
    <row r="401" spans="1:27" x14ac:dyDescent="0.25">
      <c r="A401" s="12">
        <v>120</v>
      </c>
      <c r="B401" s="12">
        <v>5</v>
      </c>
      <c r="C401">
        <f t="shared" si="37"/>
        <v>12005</v>
      </c>
      <c r="D401" s="3" t="s">
        <v>87</v>
      </c>
      <c r="E401" s="11">
        <v>73</v>
      </c>
      <c r="F401" s="11">
        <v>27</v>
      </c>
      <c r="G401" s="12" t="s">
        <v>144</v>
      </c>
      <c r="H401" s="12" t="s">
        <v>143</v>
      </c>
      <c r="I401" t="s">
        <v>187</v>
      </c>
      <c r="J401" s="12" t="s">
        <v>130</v>
      </c>
      <c r="K401" s="2">
        <v>0</v>
      </c>
      <c r="M401" s="20">
        <v>4.0000000000000002E-4</v>
      </c>
      <c r="Z401" s="27" t="s">
        <v>185</v>
      </c>
      <c r="AA401" t="s">
        <v>188</v>
      </c>
    </row>
    <row r="402" spans="1:27" x14ac:dyDescent="0.25">
      <c r="A402" s="12">
        <v>120</v>
      </c>
      <c r="B402" s="12">
        <v>6</v>
      </c>
      <c r="C402">
        <f t="shared" si="37"/>
        <v>12006</v>
      </c>
      <c r="D402" s="3" t="s">
        <v>87</v>
      </c>
      <c r="E402" s="11">
        <v>71</v>
      </c>
      <c r="F402" s="11">
        <v>22</v>
      </c>
      <c r="G402" s="12" t="s">
        <v>144</v>
      </c>
      <c r="H402" s="12" t="s">
        <v>143</v>
      </c>
      <c r="I402" t="s">
        <v>187</v>
      </c>
      <c r="J402" s="12" t="s">
        <v>130</v>
      </c>
      <c r="K402" s="2">
        <v>0</v>
      </c>
      <c r="M402" s="20">
        <v>5.2999999999999998E-4</v>
      </c>
      <c r="Z402" s="27" t="s">
        <v>185</v>
      </c>
      <c r="AA402" t="s">
        <v>188</v>
      </c>
    </row>
    <row r="403" spans="1:27" x14ac:dyDescent="0.25">
      <c r="A403" s="12">
        <v>120</v>
      </c>
      <c r="B403" s="12">
        <v>7</v>
      </c>
      <c r="C403">
        <f t="shared" si="37"/>
        <v>12007</v>
      </c>
      <c r="D403" s="3" t="s">
        <v>87</v>
      </c>
      <c r="E403" s="11">
        <v>64.5</v>
      </c>
      <c r="F403" s="11">
        <v>6.5</v>
      </c>
      <c r="G403" s="12" t="s">
        <v>144</v>
      </c>
      <c r="H403" s="12" t="s">
        <v>47</v>
      </c>
      <c r="I403" t="s">
        <v>187</v>
      </c>
      <c r="J403" s="12" t="s">
        <v>130</v>
      </c>
      <c r="K403" s="2">
        <v>0</v>
      </c>
      <c r="M403" s="20">
        <v>2.3999999999999998E-3</v>
      </c>
      <c r="Z403" s="27" t="s">
        <v>185</v>
      </c>
      <c r="AA403" t="s">
        <v>188</v>
      </c>
    </row>
    <row r="404" spans="1:27" x14ac:dyDescent="0.25">
      <c r="A404" s="12">
        <v>120</v>
      </c>
      <c r="B404" s="12">
        <v>8</v>
      </c>
      <c r="C404">
        <f t="shared" si="37"/>
        <v>12008</v>
      </c>
      <c r="D404" s="3" t="s">
        <v>87</v>
      </c>
      <c r="E404" s="11">
        <v>64</v>
      </c>
      <c r="F404" s="11">
        <v>7.2</v>
      </c>
      <c r="G404" s="12" t="s">
        <v>144</v>
      </c>
      <c r="H404" s="12" t="s">
        <v>47</v>
      </c>
      <c r="I404" t="s">
        <v>187</v>
      </c>
      <c r="J404" s="12" t="s">
        <v>130</v>
      </c>
      <c r="K404" s="2">
        <v>0</v>
      </c>
      <c r="M404" s="20">
        <v>2.8E-3</v>
      </c>
      <c r="Z404" s="27" t="s">
        <v>185</v>
      </c>
      <c r="AA404" t="s">
        <v>188</v>
      </c>
    </row>
    <row r="405" spans="1:27" x14ac:dyDescent="0.25">
      <c r="A405" s="12">
        <v>120</v>
      </c>
      <c r="B405" s="12">
        <v>9</v>
      </c>
      <c r="C405">
        <f t="shared" si="37"/>
        <v>12009</v>
      </c>
      <c r="D405" s="3" t="s">
        <v>87</v>
      </c>
      <c r="E405" s="11">
        <v>64</v>
      </c>
      <c r="F405" s="11">
        <v>7.25</v>
      </c>
      <c r="G405" s="12" t="s">
        <v>144</v>
      </c>
      <c r="H405" s="12" t="s">
        <v>47</v>
      </c>
      <c r="I405" t="s">
        <v>187</v>
      </c>
      <c r="J405" s="12" t="s">
        <v>130</v>
      </c>
      <c r="K405" s="2">
        <v>0</v>
      </c>
      <c r="M405" s="20">
        <v>2.1000000000000003E-3</v>
      </c>
      <c r="Z405" s="27" t="s">
        <v>185</v>
      </c>
      <c r="AA405" t="s">
        <v>188</v>
      </c>
    </row>
    <row r="406" spans="1:27" x14ac:dyDescent="0.25">
      <c r="A406" s="12">
        <v>120</v>
      </c>
      <c r="B406" s="12">
        <v>10</v>
      </c>
      <c r="C406">
        <f t="shared" si="37"/>
        <v>12010</v>
      </c>
      <c r="D406" s="3" t="s">
        <v>87</v>
      </c>
      <c r="E406" s="11">
        <v>63</v>
      </c>
      <c r="F406" s="11">
        <v>7.2</v>
      </c>
      <c r="G406" s="12" t="s">
        <v>144</v>
      </c>
      <c r="H406" s="12" t="s">
        <v>47</v>
      </c>
      <c r="I406" t="s">
        <v>187</v>
      </c>
      <c r="J406" s="12" t="s">
        <v>130</v>
      </c>
      <c r="K406" s="2">
        <v>0</v>
      </c>
      <c r="M406" s="20">
        <v>1.9E-3</v>
      </c>
      <c r="Z406" s="27" t="s">
        <v>185</v>
      </c>
      <c r="AA406" t="s">
        <v>188</v>
      </c>
    </row>
    <row r="407" spans="1:27" x14ac:dyDescent="0.25">
      <c r="A407" s="12">
        <v>120</v>
      </c>
      <c r="B407" s="12">
        <v>11</v>
      </c>
      <c r="C407">
        <f t="shared" si="37"/>
        <v>12011</v>
      </c>
      <c r="D407" s="3" t="s">
        <v>87</v>
      </c>
      <c r="E407" s="11">
        <v>60.5</v>
      </c>
      <c r="F407" s="11">
        <v>5</v>
      </c>
      <c r="G407" s="12" t="s">
        <v>144</v>
      </c>
      <c r="H407" s="12" t="s">
        <v>39</v>
      </c>
      <c r="I407" t="s">
        <v>187</v>
      </c>
      <c r="J407" s="12" t="s">
        <v>130</v>
      </c>
      <c r="K407" s="2">
        <v>0</v>
      </c>
      <c r="M407" s="20">
        <v>1.8E-3</v>
      </c>
      <c r="Z407" s="27" t="s">
        <v>185</v>
      </c>
      <c r="AA407" t="s">
        <v>188</v>
      </c>
    </row>
    <row r="408" spans="1:27" x14ac:dyDescent="0.25">
      <c r="A408" s="12">
        <v>120</v>
      </c>
      <c r="B408" s="12">
        <v>12</v>
      </c>
      <c r="C408">
        <f t="shared" si="37"/>
        <v>12012</v>
      </c>
      <c r="D408" s="3" t="s">
        <v>87</v>
      </c>
      <c r="E408" s="11">
        <v>59.5</v>
      </c>
      <c r="F408" s="11">
        <v>5</v>
      </c>
      <c r="G408" s="12" t="s">
        <v>144</v>
      </c>
      <c r="H408" s="12" t="s">
        <v>39</v>
      </c>
      <c r="I408" t="s">
        <v>187</v>
      </c>
      <c r="J408" s="12" t="s">
        <v>130</v>
      </c>
      <c r="K408" s="2">
        <v>0</v>
      </c>
      <c r="M408" s="20">
        <v>1.8E-3</v>
      </c>
      <c r="Z408" s="27" t="s">
        <v>185</v>
      </c>
      <c r="AA408" t="s">
        <v>188</v>
      </c>
    </row>
    <row r="409" spans="1:27" x14ac:dyDescent="0.25">
      <c r="A409" s="12">
        <v>120</v>
      </c>
      <c r="B409" s="12">
        <v>13</v>
      </c>
      <c r="C409">
        <f t="shared" si="37"/>
        <v>12013</v>
      </c>
      <c r="D409" s="3" t="s">
        <v>87</v>
      </c>
      <c r="E409" s="11">
        <v>57</v>
      </c>
      <c r="F409" s="11">
        <v>5.5</v>
      </c>
      <c r="G409" s="12" t="s">
        <v>144</v>
      </c>
      <c r="H409" s="12" t="s">
        <v>39</v>
      </c>
      <c r="I409" t="s">
        <v>187</v>
      </c>
      <c r="J409" s="12" t="s">
        <v>130</v>
      </c>
      <c r="K409" s="2">
        <v>0</v>
      </c>
      <c r="M409" s="20">
        <v>1.8E-3</v>
      </c>
      <c r="Z409" s="27" t="s">
        <v>185</v>
      </c>
      <c r="AA409" t="s">
        <v>188</v>
      </c>
    </row>
    <row r="410" spans="1:27" x14ac:dyDescent="0.25">
      <c r="A410" s="12">
        <v>120</v>
      </c>
      <c r="B410" s="12">
        <v>14</v>
      </c>
      <c r="C410">
        <f t="shared" si="37"/>
        <v>12014</v>
      </c>
      <c r="D410" s="3" t="s">
        <v>87</v>
      </c>
      <c r="E410" s="11">
        <v>61</v>
      </c>
      <c r="F410" s="11">
        <v>0</v>
      </c>
      <c r="G410" s="12" t="s">
        <v>144</v>
      </c>
      <c r="H410" s="12" t="s">
        <v>39</v>
      </c>
      <c r="I410" t="s">
        <v>187</v>
      </c>
      <c r="J410" s="12" t="s">
        <v>130</v>
      </c>
      <c r="K410" s="2">
        <v>0</v>
      </c>
      <c r="M410" s="20">
        <v>1.16E-3</v>
      </c>
      <c r="Z410" s="27" t="s">
        <v>185</v>
      </c>
      <c r="AA410" t="s">
        <v>188</v>
      </c>
    </row>
    <row r="411" spans="1:27" x14ac:dyDescent="0.25">
      <c r="A411" s="12">
        <v>120</v>
      </c>
      <c r="B411" s="12">
        <v>15</v>
      </c>
      <c r="C411">
        <f t="shared" si="37"/>
        <v>12015</v>
      </c>
      <c r="D411" s="3" t="s">
        <v>87</v>
      </c>
      <c r="E411" s="11">
        <v>60</v>
      </c>
      <c r="F411" s="11">
        <v>-3</v>
      </c>
      <c r="G411" s="12" t="s">
        <v>144</v>
      </c>
      <c r="H411" s="12" t="s">
        <v>39</v>
      </c>
      <c r="I411" t="s">
        <v>187</v>
      </c>
      <c r="J411" s="12" t="s">
        <v>130</v>
      </c>
      <c r="K411" s="2">
        <v>0</v>
      </c>
      <c r="M411" s="20">
        <v>1.6999999999999999E-3</v>
      </c>
      <c r="Z411" s="27" t="s">
        <v>185</v>
      </c>
      <c r="AA411" t="s">
        <v>188</v>
      </c>
    </row>
    <row r="412" spans="1:27" x14ac:dyDescent="0.25">
      <c r="A412" s="12">
        <v>120</v>
      </c>
      <c r="B412" s="12">
        <v>16</v>
      </c>
      <c r="C412">
        <f t="shared" si="37"/>
        <v>12016</v>
      </c>
      <c r="D412" s="3" t="s">
        <v>87</v>
      </c>
      <c r="E412" s="11">
        <v>59</v>
      </c>
      <c r="F412" s="11">
        <v>0.5</v>
      </c>
      <c r="G412" s="12" t="s">
        <v>144</v>
      </c>
      <c r="H412" s="12" t="s">
        <v>39</v>
      </c>
      <c r="I412" t="s">
        <v>187</v>
      </c>
      <c r="J412" s="12" t="s">
        <v>130</v>
      </c>
      <c r="K412" s="2">
        <v>0</v>
      </c>
      <c r="M412" s="20">
        <v>1.5E-3</v>
      </c>
      <c r="Z412" s="27" t="s">
        <v>185</v>
      </c>
      <c r="AA412" t="s">
        <v>188</v>
      </c>
    </row>
    <row r="413" spans="1:27" x14ac:dyDescent="0.25">
      <c r="A413" s="12">
        <v>120</v>
      </c>
      <c r="B413" s="12">
        <v>17</v>
      </c>
      <c r="C413">
        <f t="shared" si="37"/>
        <v>12017</v>
      </c>
      <c r="D413" s="3" t="s">
        <v>87</v>
      </c>
      <c r="E413" s="11">
        <v>57</v>
      </c>
      <c r="F413" s="11">
        <v>2</v>
      </c>
      <c r="G413" s="12" t="s">
        <v>144</v>
      </c>
      <c r="H413" s="12" t="s">
        <v>39</v>
      </c>
      <c r="I413" t="s">
        <v>187</v>
      </c>
      <c r="J413" s="12" t="s">
        <v>130</v>
      </c>
      <c r="K413" s="2">
        <v>0</v>
      </c>
      <c r="M413" s="20">
        <v>1.5E-3</v>
      </c>
      <c r="Z413" s="27" t="s">
        <v>185</v>
      </c>
      <c r="AA413" t="s">
        <v>188</v>
      </c>
    </row>
    <row r="414" spans="1:27" x14ac:dyDescent="0.25">
      <c r="A414" s="12">
        <v>120</v>
      </c>
      <c r="B414" s="12">
        <v>18</v>
      </c>
      <c r="C414">
        <f t="shared" si="37"/>
        <v>12018</v>
      </c>
      <c r="D414" s="3" t="s">
        <v>87</v>
      </c>
      <c r="E414" s="11">
        <v>60.542249057971006</v>
      </c>
      <c r="F414" s="11">
        <v>3.9990973478260865</v>
      </c>
      <c r="G414" s="12" t="s">
        <v>144</v>
      </c>
      <c r="H414" s="12" t="s">
        <v>39</v>
      </c>
      <c r="I414" s="4">
        <v>40909</v>
      </c>
      <c r="J414" s="12" t="s">
        <v>163</v>
      </c>
      <c r="K414" s="2">
        <v>0</v>
      </c>
      <c r="M414" s="20">
        <f>437/131</f>
        <v>3.33587786259542</v>
      </c>
      <c r="N414" s="20">
        <f>372/131</f>
        <v>2.8396946564885495</v>
      </c>
      <c r="Z414" s="27" t="s">
        <v>185</v>
      </c>
      <c r="AA414" t="s">
        <v>186</v>
      </c>
    </row>
    <row r="415" spans="1:27" x14ac:dyDescent="0.25">
      <c r="A415" s="12">
        <v>120</v>
      </c>
      <c r="B415" s="12">
        <v>18</v>
      </c>
      <c r="C415">
        <f t="shared" si="37"/>
        <v>12018</v>
      </c>
      <c r="D415" s="3" t="s">
        <v>87</v>
      </c>
      <c r="E415" s="11">
        <v>60.542249057971006</v>
      </c>
      <c r="F415" s="11">
        <v>3.9990973478260865</v>
      </c>
      <c r="G415" s="12" t="s">
        <v>144</v>
      </c>
      <c r="H415" s="12" t="s">
        <v>39</v>
      </c>
      <c r="I415" s="4">
        <v>41275</v>
      </c>
      <c r="J415" s="12" t="s">
        <v>163</v>
      </c>
      <c r="K415" s="2">
        <v>0</v>
      </c>
      <c r="M415" s="20">
        <f>380/127</f>
        <v>2.9921259842519685</v>
      </c>
      <c r="N415" s="20">
        <f>326/127</f>
        <v>2.5669291338582676</v>
      </c>
      <c r="Z415" s="27" t="s">
        <v>185</v>
      </c>
      <c r="AA415" t="s">
        <v>186</v>
      </c>
    </row>
    <row r="416" spans="1:27" x14ac:dyDescent="0.25">
      <c r="A416" s="12">
        <v>120</v>
      </c>
      <c r="B416" s="12">
        <v>18</v>
      </c>
      <c r="C416">
        <f t="shared" si="37"/>
        <v>12018</v>
      </c>
      <c r="D416" s="3" t="s">
        <v>87</v>
      </c>
      <c r="E416" s="11">
        <v>60.542249057971006</v>
      </c>
      <c r="F416" s="11">
        <v>3.9990973478260865</v>
      </c>
      <c r="G416" s="12" t="s">
        <v>144</v>
      </c>
      <c r="H416" s="12" t="s">
        <v>39</v>
      </c>
      <c r="I416" s="4">
        <v>41640</v>
      </c>
      <c r="J416" s="12" t="s">
        <v>163</v>
      </c>
      <c r="K416" s="2">
        <v>0</v>
      </c>
      <c r="M416" s="20">
        <f>402/141</f>
        <v>2.8510638297872339</v>
      </c>
      <c r="N416" s="20">
        <f>349/141</f>
        <v>2.4751773049645389</v>
      </c>
      <c r="Z416" s="27" t="s">
        <v>185</v>
      </c>
      <c r="AA416" t="s">
        <v>186</v>
      </c>
    </row>
    <row r="417" spans="1:27" x14ac:dyDescent="0.25">
      <c r="A417" s="12">
        <v>121</v>
      </c>
      <c r="B417" s="12">
        <v>1</v>
      </c>
      <c r="C417">
        <f t="shared" si="37"/>
        <v>12101</v>
      </c>
      <c r="D417" s="3" t="s">
        <v>87</v>
      </c>
      <c r="E417" s="11">
        <v>80.599999999999994</v>
      </c>
      <c r="F417" s="11">
        <v>38</v>
      </c>
      <c r="G417" s="12" t="s">
        <v>144</v>
      </c>
      <c r="H417" s="12" t="s">
        <v>143</v>
      </c>
      <c r="I417" s="4">
        <v>42005</v>
      </c>
      <c r="J417" s="12" t="s">
        <v>130</v>
      </c>
      <c r="K417" s="2">
        <v>0</v>
      </c>
      <c r="M417" s="20">
        <v>8.9999999999999998E-4</v>
      </c>
      <c r="Z417" s="27" t="s">
        <v>189</v>
      </c>
      <c r="AA417" t="s">
        <v>190</v>
      </c>
    </row>
    <row r="418" spans="1:27" x14ac:dyDescent="0.25">
      <c r="A418" s="12">
        <v>121</v>
      </c>
      <c r="B418" s="12">
        <v>2</v>
      </c>
      <c r="C418">
        <f t="shared" si="37"/>
        <v>12102</v>
      </c>
      <c r="D418" s="3" t="s">
        <v>87</v>
      </c>
      <c r="E418" s="11">
        <v>77.099999999999994</v>
      </c>
      <c r="F418" s="11">
        <v>32.1</v>
      </c>
      <c r="G418" s="12" t="s">
        <v>144</v>
      </c>
      <c r="H418" s="12" t="s">
        <v>143</v>
      </c>
      <c r="I418" s="4">
        <v>42005</v>
      </c>
      <c r="J418" s="12" t="s">
        <v>130</v>
      </c>
      <c r="K418" s="2">
        <v>0</v>
      </c>
      <c r="M418" s="20">
        <v>8.9999999999999998E-4</v>
      </c>
      <c r="Z418" s="27" t="s">
        <v>189</v>
      </c>
      <c r="AA418" t="s">
        <v>190</v>
      </c>
    </row>
    <row r="419" spans="1:27" x14ac:dyDescent="0.25">
      <c r="A419" s="12">
        <v>121</v>
      </c>
      <c r="B419" s="12">
        <v>3</v>
      </c>
      <c r="C419">
        <f t="shared" si="37"/>
        <v>12103</v>
      </c>
      <c r="D419" s="3" t="s">
        <v>87</v>
      </c>
      <c r="E419" s="11">
        <v>74.3</v>
      </c>
      <c r="F419" s="11">
        <v>32</v>
      </c>
      <c r="G419" s="12" t="s">
        <v>144</v>
      </c>
      <c r="H419" s="12" t="s">
        <v>143</v>
      </c>
      <c r="I419" s="4">
        <v>42005</v>
      </c>
      <c r="J419" s="12" t="s">
        <v>130</v>
      </c>
      <c r="K419" s="2">
        <v>0</v>
      </c>
      <c r="M419" s="20">
        <v>1.2999999999999999E-3</v>
      </c>
      <c r="Z419" s="27" t="s">
        <v>189</v>
      </c>
      <c r="AA419" t="s">
        <v>190</v>
      </c>
    </row>
    <row r="420" spans="1:27" x14ac:dyDescent="0.25">
      <c r="A420" s="12">
        <v>121</v>
      </c>
      <c r="B420" s="12">
        <v>4</v>
      </c>
      <c r="C420">
        <f t="shared" si="37"/>
        <v>12104</v>
      </c>
      <c r="D420" s="3" t="s">
        <v>87</v>
      </c>
      <c r="E420" s="11">
        <v>73.66</v>
      </c>
      <c r="F420" s="11">
        <v>12.75</v>
      </c>
      <c r="G420" s="12" t="s">
        <v>144</v>
      </c>
      <c r="H420" s="12" t="s">
        <v>143</v>
      </c>
      <c r="I420" s="4">
        <v>42005</v>
      </c>
      <c r="J420" s="12" t="s">
        <v>130</v>
      </c>
      <c r="K420" s="2">
        <v>0</v>
      </c>
      <c r="M420" s="20">
        <v>1.4E-3</v>
      </c>
      <c r="Z420" s="27" t="s">
        <v>189</v>
      </c>
      <c r="AA420" t="s">
        <v>190</v>
      </c>
    </row>
    <row r="421" spans="1:27" x14ac:dyDescent="0.25">
      <c r="A421" s="12">
        <v>121</v>
      </c>
      <c r="B421" s="12">
        <v>5</v>
      </c>
      <c r="C421">
        <f t="shared" si="37"/>
        <v>12105</v>
      </c>
      <c r="D421" s="3" t="s">
        <v>87</v>
      </c>
      <c r="E421" s="11">
        <v>70.97</v>
      </c>
      <c r="F421" s="11">
        <v>32.119999999999997</v>
      </c>
      <c r="G421" s="12" t="s">
        <v>144</v>
      </c>
      <c r="H421" s="12" t="s">
        <v>143</v>
      </c>
      <c r="I421" s="4">
        <v>42005</v>
      </c>
      <c r="J421" s="12" t="s">
        <v>130</v>
      </c>
      <c r="K421" s="2">
        <v>0</v>
      </c>
      <c r="M421" s="20">
        <v>1.2999999999999999E-3</v>
      </c>
      <c r="Z421" s="27" t="s">
        <v>189</v>
      </c>
      <c r="AA421" t="s">
        <v>190</v>
      </c>
    </row>
    <row r="422" spans="1:27" x14ac:dyDescent="0.25">
      <c r="A422" s="12">
        <v>121</v>
      </c>
      <c r="B422" s="12">
        <v>6</v>
      </c>
      <c r="C422">
        <f t="shared" si="37"/>
        <v>12106</v>
      </c>
      <c r="D422" s="3" t="s">
        <v>87</v>
      </c>
      <c r="E422" s="11">
        <v>70.87</v>
      </c>
      <c r="F422" s="11">
        <v>18.91</v>
      </c>
      <c r="G422" s="12" t="s">
        <v>144</v>
      </c>
      <c r="H422" s="12" t="s">
        <v>47</v>
      </c>
      <c r="I422" s="4">
        <v>42005</v>
      </c>
      <c r="J422" s="12" t="s">
        <v>130</v>
      </c>
      <c r="K422" s="2">
        <v>0</v>
      </c>
      <c r="M422" s="20">
        <v>1E-3</v>
      </c>
      <c r="Z422" s="27" t="s">
        <v>189</v>
      </c>
      <c r="AA422" t="s">
        <v>190</v>
      </c>
    </row>
    <row r="423" spans="1:27" x14ac:dyDescent="0.25">
      <c r="A423" s="12">
        <v>121</v>
      </c>
      <c r="B423" s="12">
        <v>7</v>
      </c>
      <c r="C423">
        <f t="shared" si="37"/>
        <v>12107</v>
      </c>
      <c r="D423" s="3" t="s">
        <v>87</v>
      </c>
      <c r="E423" s="11">
        <v>69.739999999999995</v>
      </c>
      <c r="F423" s="11">
        <v>17.670000000000002</v>
      </c>
      <c r="G423" s="12" t="s">
        <v>144</v>
      </c>
      <c r="H423" s="12" t="s">
        <v>47</v>
      </c>
      <c r="I423" s="4">
        <v>42736</v>
      </c>
      <c r="J423" s="12" t="s">
        <v>130</v>
      </c>
      <c r="K423" s="2">
        <v>0</v>
      </c>
      <c r="M423" s="20">
        <v>1.2999999999999999E-3</v>
      </c>
      <c r="Z423" s="27" t="s">
        <v>189</v>
      </c>
      <c r="AA423" t="s">
        <v>190</v>
      </c>
    </row>
    <row r="424" spans="1:27" x14ac:dyDescent="0.25">
      <c r="A424" s="12">
        <v>121</v>
      </c>
      <c r="B424" s="12">
        <v>8</v>
      </c>
      <c r="C424">
        <f t="shared" si="37"/>
        <v>12108</v>
      </c>
      <c r="D424" s="3" t="s">
        <v>87</v>
      </c>
      <c r="E424" s="11">
        <v>68.16</v>
      </c>
      <c r="F424" s="11">
        <v>14.78</v>
      </c>
      <c r="G424" s="12" t="s">
        <v>144</v>
      </c>
      <c r="H424" s="12" t="s">
        <v>47</v>
      </c>
      <c r="I424" s="4">
        <v>42736</v>
      </c>
      <c r="J424" s="12" t="s">
        <v>130</v>
      </c>
      <c r="K424" s="2">
        <v>0</v>
      </c>
      <c r="M424" s="20">
        <v>1.1000000000000001E-3</v>
      </c>
      <c r="Z424" s="27" t="s">
        <v>189</v>
      </c>
      <c r="AA424" t="s">
        <v>190</v>
      </c>
    </row>
    <row r="425" spans="1:27" x14ac:dyDescent="0.25">
      <c r="A425" s="12">
        <v>121</v>
      </c>
      <c r="B425" s="12">
        <v>9</v>
      </c>
      <c r="C425">
        <f t="shared" si="37"/>
        <v>12109</v>
      </c>
      <c r="D425" s="3" t="s">
        <v>87</v>
      </c>
      <c r="E425" s="11">
        <v>67.796199999999999</v>
      </c>
      <c r="F425" s="11">
        <v>14.025399999999999</v>
      </c>
      <c r="G425" s="12" t="s">
        <v>144</v>
      </c>
      <c r="H425" s="12" t="s">
        <v>47</v>
      </c>
      <c r="I425" s="4">
        <v>42736</v>
      </c>
      <c r="J425" s="12" t="s">
        <v>130</v>
      </c>
      <c r="K425" s="2">
        <v>0</v>
      </c>
      <c r="M425" s="20">
        <v>1.1999999999999999E-3</v>
      </c>
      <c r="Z425" s="27" t="s">
        <v>189</v>
      </c>
      <c r="AA425" t="s">
        <v>190</v>
      </c>
    </row>
    <row r="426" spans="1:27" x14ac:dyDescent="0.25">
      <c r="A426" s="12">
        <v>121</v>
      </c>
      <c r="B426" s="12">
        <v>10</v>
      </c>
      <c r="C426">
        <f t="shared" si="37"/>
        <v>12110</v>
      </c>
      <c r="D426" s="3" t="s">
        <v>87</v>
      </c>
      <c r="E426" s="11">
        <v>65.679500000000004</v>
      </c>
      <c r="F426" s="11">
        <v>11.825100000000001</v>
      </c>
      <c r="G426" s="12" t="s">
        <v>144</v>
      </c>
      <c r="H426" s="12" t="s">
        <v>47</v>
      </c>
      <c r="I426" s="4">
        <v>42736</v>
      </c>
      <c r="J426" s="12" t="s">
        <v>130</v>
      </c>
      <c r="K426" s="2">
        <v>0</v>
      </c>
      <c r="M426" s="20">
        <v>1.1000000000000001E-3</v>
      </c>
      <c r="Z426" s="27" t="s">
        <v>189</v>
      </c>
      <c r="AA426" t="s">
        <v>190</v>
      </c>
    </row>
    <row r="427" spans="1:27" x14ac:dyDescent="0.25">
      <c r="A427" s="12">
        <v>121</v>
      </c>
      <c r="B427" s="12">
        <v>11</v>
      </c>
      <c r="C427">
        <f t="shared" si="37"/>
        <v>12111</v>
      </c>
      <c r="D427" s="3" t="s">
        <v>87</v>
      </c>
      <c r="E427" s="11">
        <v>65.0745</v>
      </c>
      <c r="F427" s="11">
        <v>8.0434000000000001</v>
      </c>
      <c r="G427" s="12" t="s">
        <v>144</v>
      </c>
      <c r="H427" s="12" t="s">
        <v>47</v>
      </c>
      <c r="I427" s="4">
        <v>42736</v>
      </c>
      <c r="J427" s="12" t="s">
        <v>130</v>
      </c>
      <c r="K427" s="2">
        <v>0</v>
      </c>
      <c r="M427" s="20">
        <v>1.4E-3</v>
      </c>
      <c r="Z427" s="27" t="s">
        <v>189</v>
      </c>
      <c r="AA427" t="s">
        <v>190</v>
      </c>
    </row>
    <row r="428" spans="1:27" x14ac:dyDescent="0.25">
      <c r="A428" s="12">
        <v>121</v>
      </c>
      <c r="B428" s="12">
        <v>12</v>
      </c>
      <c r="C428">
        <f t="shared" si="37"/>
        <v>12112</v>
      </c>
      <c r="D428" s="3" t="s">
        <v>87</v>
      </c>
      <c r="E428" s="11">
        <v>63.2819</v>
      </c>
      <c r="F428" s="11">
        <v>6.8745000000000003</v>
      </c>
      <c r="G428" s="12" t="s">
        <v>144</v>
      </c>
      <c r="H428" s="12" t="s">
        <v>47</v>
      </c>
      <c r="I428" s="4">
        <v>42736</v>
      </c>
      <c r="J428" s="12" t="s">
        <v>130</v>
      </c>
      <c r="K428" s="2">
        <v>0</v>
      </c>
      <c r="M428" s="20">
        <v>1.4E-3</v>
      </c>
      <c r="Z428" s="27" t="s">
        <v>189</v>
      </c>
      <c r="AA428" t="s">
        <v>190</v>
      </c>
    </row>
    <row r="429" spans="1:27" x14ac:dyDescent="0.25">
      <c r="A429" s="12">
        <v>121</v>
      </c>
      <c r="B429" s="12">
        <v>13</v>
      </c>
      <c r="C429">
        <f t="shared" si="37"/>
        <v>12113</v>
      </c>
      <c r="D429" s="3" t="s">
        <v>87</v>
      </c>
      <c r="E429" s="11">
        <v>62.275500000000001</v>
      </c>
      <c r="F429" s="11">
        <v>4.7428999999999997</v>
      </c>
      <c r="G429" s="12" t="s">
        <v>144</v>
      </c>
      <c r="H429" s="12" t="s">
        <v>47</v>
      </c>
      <c r="I429" s="4">
        <v>42736</v>
      </c>
      <c r="J429" s="12" t="s">
        <v>130</v>
      </c>
      <c r="K429" s="2">
        <v>0</v>
      </c>
      <c r="M429" s="20">
        <v>8.9999999999999998E-4</v>
      </c>
      <c r="Z429" s="27" t="s">
        <v>189</v>
      </c>
      <c r="AA429" t="s">
        <v>190</v>
      </c>
    </row>
    <row r="430" spans="1:27" x14ac:dyDescent="0.25">
      <c r="A430" s="12">
        <v>121</v>
      </c>
      <c r="B430" s="12">
        <v>14</v>
      </c>
      <c r="C430">
        <f t="shared" si="37"/>
        <v>12114</v>
      </c>
      <c r="D430" s="3" t="s">
        <v>87</v>
      </c>
      <c r="E430" s="11">
        <v>59.325099999999999</v>
      </c>
      <c r="F430" s="11">
        <v>-2.3807</v>
      </c>
      <c r="G430" s="12" t="s">
        <v>144</v>
      </c>
      <c r="H430" s="12" t="s">
        <v>39</v>
      </c>
      <c r="I430" s="4">
        <v>42370</v>
      </c>
      <c r="J430" s="12" t="s">
        <v>130</v>
      </c>
      <c r="K430" s="2">
        <v>0</v>
      </c>
      <c r="M430" s="20">
        <v>1.9E-3</v>
      </c>
      <c r="Z430" s="27" t="s">
        <v>189</v>
      </c>
      <c r="AA430" t="s">
        <v>190</v>
      </c>
    </row>
    <row r="431" spans="1:27" x14ac:dyDescent="0.25">
      <c r="A431" s="12">
        <v>121</v>
      </c>
      <c r="B431" s="12">
        <v>15</v>
      </c>
      <c r="C431">
        <f t="shared" si="37"/>
        <v>12115</v>
      </c>
      <c r="D431" s="3" t="s">
        <v>87</v>
      </c>
      <c r="E431" s="11">
        <v>58.084699999999998</v>
      </c>
      <c r="F431" s="11">
        <v>1.3776999999999999</v>
      </c>
      <c r="G431" s="12" t="s">
        <v>144</v>
      </c>
      <c r="H431" s="12" t="s">
        <v>39</v>
      </c>
      <c r="I431" s="4">
        <v>42370</v>
      </c>
      <c r="J431" s="12" t="s">
        <v>130</v>
      </c>
      <c r="K431" s="2">
        <v>0</v>
      </c>
      <c r="M431" s="20">
        <v>1.6000000000000001E-3</v>
      </c>
      <c r="Z431" s="27" t="s">
        <v>189</v>
      </c>
      <c r="AA431" t="s">
        <v>190</v>
      </c>
    </row>
    <row r="432" spans="1:27" x14ac:dyDescent="0.25">
      <c r="A432" s="12">
        <v>121</v>
      </c>
      <c r="B432" s="12">
        <v>16</v>
      </c>
      <c r="C432">
        <f t="shared" si="37"/>
        <v>12116</v>
      </c>
      <c r="D432" s="3" t="s">
        <v>87</v>
      </c>
      <c r="E432" s="11">
        <v>56.6492</v>
      </c>
      <c r="F432" s="11">
        <v>1.9650000000000001</v>
      </c>
      <c r="G432" s="12" t="s">
        <v>144</v>
      </c>
      <c r="H432" s="12" t="s">
        <v>39</v>
      </c>
      <c r="I432" s="4">
        <v>42370</v>
      </c>
      <c r="J432" s="12" t="s">
        <v>130</v>
      </c>
      <c r="K432" s="2">
        <v>0</v>
      </c>
      <c r="M432" s="20">
        <v>1.5E-3</v>
      </c>
      <c r="Z432" s="27" t="s">
        <v>189</v>
      </c>
      <c r="AA432" t="s">
        <v>190</v>
      </c>
    </row>
    <row r="433" spans="1:27" x14ac:dyDescent="0.25">
      <c r="A433" s="12">
        <v>121</v>
      </c>
      <c r="B433" s="12">
        <v>17</v>
      </c>
      <c r="C433">
        <f t="shared" si="37"/>
        <v>12117</v>
      </c>
      <c r="D433" s="3" t="s">
        <v>87</v>
      </c>
      <c r="E433" s="11">
        <v>60.694699999999997</v>
      </c>
      <c r="F433" s="11">
        <v>1.6126</v>
      </c>
      <c r="G433" s="12" t="s">
        <v>144</v>
      </c>
      <c r="H433" s="12" t="s">
        <v>39</v>
      </c>
      <c r="I433" s="4">
        <v>42370</v>
      </c>
      <c r="J433" s="12" t="s">
        <v>130</v>
      </c>
      <c r="K433" s="2">
        <v>0</v>
      </c>
      <c r="M433" s="20">
        <v>1.9E-3</v>
      </c>
      <c r="Z433" s="27" t="s">
        <v>189</v>
      </c>
      <c r="AA433" t="s">
        <v>190</v>
      </c>
    </row>
    <row r="434" spans="1:27" x14ac:dyDescent="0.25">
      <c r="A434" s="12">
        <v>121</v>
      </c>
      <c r="B434" s="12">
        <v>18</v>
      </c>
      <c r="C434">
        <f t="shared" si="37"/>
        <v>12118</v>
      </c>
      <c r="D434" s="3" t="s">
        <v>87</v>
      </c>
      <c r="E434" s="11">
        <v>60.9619</v>
      </c>
      <c r="F434" s="11">
        <v>3.9617</v>
      </c>
      <c r="G434" s="12" t="s">
        <v>144</v>
      </c>
      <c r="H434" s="12" t="s">
        <v>39</v>
      </c>
      <c r="I434" s="4">
        <v>42370</v>
      </c>
      <c r="J434" s="12" t="s">
        <v>130</v>
      </c>
      <c r="K434" s="2">
        <v>0</v>
      </c>
      <c r="M434" s="20">
        <v>1.6999999999999999E-3</v>
      </c>
      <c r="Z434" s="27" t="s">
        <v>189</v>
      </c>
      <c r="AA434" t="s">
        <v>190</v>
      </c>
    </row>
    <row r="435" spans="1:27" x14ac:dyDescent="0.25">
      <c r="A435" s="12">
        <v>121</v>
      </c>
      <c r="B435" s="12">
        <v>19</v>
      </c>
      <c r="C435">
        <f t="shared" si="37"/>
        <v>12119</v>
      </c>
      <c r="D435" s="3" t="s">
        <v>87</v>
      </c>
      <c r="E435" s="11">
        <v>59.5837</v>
      </c>
      <c r="F435" s="11">
        <v>4.6272000000000002</v>
      </c>
      <c r="G435" s="12" t="s">
        <v>144</v>
      </c>
      <c r="H435" s="12" t="s">
        <v>39</v>
      </c>
      <c r="I435" s="4">
        <v>42370</v>
      </c>
      <c r="J435" s="12" t="s">
        <v>130</v>
      </c>
      <c r="K435" s="2">
        <v>0</v>
      </c>
      <c r="M435" s="20">
        <v>1.4E-3</v>
      </c>
      <c r="Z435" s="27" t="s">
        <v>189</v>
      </c>
      <c r="AA435" t="s">
        <v>190</v>
      </c>
    </row>
    <row r="436" spans="1:27" x14ac:dyDescent="0.25">
      <c r="A436" s="12">
        <v>121</v>
      </c>
      <c r="B436" s="12">
        <v>20</v>
      </c>
      <c r="C436">
        <f t="shared" si="37"/>
        <v>12120</v>
      </c>
      <c r="D436" s="3" t="s">
        <v>87</v>
      </c>
      <c r="E436" s="11">
        <v>57.981000000000002</v>
      </c>
      <c r="F436" s="11">
        <v>5.8409000000000004</v>
      </c>
      <c r="G436" s="12" t="s">
        <v>144</v>
      </c>
      <c r="H436" s="12" t="s">
        <v>39</v>
      </c>
      <c r="I436" s="4">
        <v>42370</v>
      </c>
      <c r="J436" s="12" t="s">
        <v>130</v>
      </c>
      <c r="K436" s="2">
        <v>0</v>
      </c>
      <c r="M436" s="20">
        <v>1.4E-3</v>
      </c>
      <c r="Z436" s="27" t="s">
        <v>189</v>
      </c>
      <c r="AA436" t="s">
        <v>190</v>
      </c>
    </row>
    <row r="437" spans="1:27" x14ac:dyDescent="0.25">
      <c r="A437" s="12">
        <v>121</v>
      </c>
      <c r="B437" s="12">
        <v>21</v>
      </c>
      <c r="C437">
        <f t="shared" si="37"/>
        <v>12121</v>
      </c>
      <c r="D437" s="3" t="s">
        <v>87</v>
      </c>
      <c r="E437" s="11">
        <v>59.860100000000003</v>
      </c>
      <c r="F437" s="11">
        <v>10.4998</v>
      </c>
      <c r="G437" s="12" t="s">
        <v>144</v>
      </c>
      <c r="H437" s="12" t="s">
        <v>39</v>
      </c>
      <c r="I437" s="4">
        <v>42370</v>
      </c>
      <c r="J437" s="12" t="s">
        <v>130</v>
      </c>
      <c r="K437" s="2">
        <v>0</v>
      </c>
      <c r="M437" s="20">
        <v>2.5000000000000001E-3</v>
      </c>
      <c r="Z437" s="27" t="s">
        <v>189</v>
      </c>
      <c r="AA437" t="s">
        <v>190</v>
      </c>
    </row>
    <row r="438" spans="1:27" x14ac:dyDescent="0.25">
      <c r="A438" s="12">
        <v>121</v>
      </c>
      <c r="B438" s="12">
        <v>22</v>
      </c>
      <c r="C438">
        <f t="shared" si="37"/>
        <v>12122</v>
      </c>
      <c r="D438" s="3" t="s">
        <v>87</v>
      </c>
      <c r="E438" s="11">
        <v>60.542249057971006</v>
      </c>
      <c r="F438" s="11">
        <v>3.9990973478260865</v>
      </c>
      <c r="G438" s="12" t="s">
        <v>144</v>
      </c>
      <c r="H438" s="12" t="s">
        <v>39</v>
      </c>
      <c r="I438" s="4">
        <v>42005</v>
      </c>
      <c r="J438" s="12" t="s">
        <v>163</v>
      </c>
      <c r="K438" s="2">
        <v>0</v>
      </c>
      <c r="M438" s="20">
        <f>440/148</f>
        <v>2.9729729729729728</v>
      </c>
      <c r="N438" s="20">
        <f>390/148</f>
        <v>2.6351351351351351</v>
      </c>
      <c r="Z438" s="27" t="s">
        <v>189</v>
      </c>
      <c r="AA438" t="s">
        <v>191</v>
      </c>
    </row>
    <row r="439" spans="1:27" x14ac:dyDescent="0.25">
      <c r="A439" s="12">
        <v>121</v>
      </c>
      <c r="B439" s="12">
        <v>22</v>
      </c>
      <c r="C439">
        <f t="shared" si="37"/>
        <v>12122</v>
      </c>
      <c r="D439" s="3" t="s">
        <v>87</v>
      </c>
      <c r="E439" s="11">
        <v>60.542249057971006</v>
      </c>
      <c r="F439" s="11">
        <v>3.9990973478260865</v>
      </c>
      <c r="G439" s="12" t="s">
        <v>144</v>
      </c>
      <c r="H439" s="12" t="s">
        <v>39</v>
      </c>
      <c r="I439" s="4">
        <v>42370</v>
      </c>
      <c r="J439" s="12" t="s">
        <v>163</v>
      </c>
      <c r="K439" s="2">
        <v>0</v>
      </c>
      <c r="M439" s="20">
        <f>410/138</f>
        <v>2.9710144927536231</v>
      </c>
      <c r="N439" s="20">
        <f>380/138</f>
        <v>2.7536231884057969</v>
      </c>
      <c r="Z439" s="27" t="s">
        <v>189</v>
      </c>
      <c r="AA439" t="s">
        <v>191</v>
      </c>
    </row>
    <row r="440" spans="1:27" x14ac:dyDescent="0.25">
      <c r="A440" s="12">
        <v>121</v>
      </c>
      <c r="B440" s="12">
        <v>22</v>
      </c>
      <c r="C440">
        <f t="shared" si="37"/>
        <v>12122</v>
      </c>
      <c r="D440" s="3" t="s">
        <v>87</v>
      </c>
      <c r="E440" s="11">
        <v>60.542249057971006</v>
      </c>
      <c r="F440" s="11">
        <v>3.9990973478260865</v>
      </c>
      <c r="G440" s="12" t="s">
        <v>144</v>
      </c>
      <c r="H440" s="12" t="s">
        <v>39</v>
      </c>
      <c r="I440" s="4">
        <v>42736</v>
      </c>
      <c r="J440" s="12" t="s">
        <v>163</v>
      </c>
      <c r="K440" s="2">
        <v>0</v>
      </c>
      <c r="M440" s="20">
        <f>390/135</f>
        <v>2.8888888888888888</v>
      </c>
      <c r="N440" s="20">
        <f>360/135</f>
        <v>2.6666666666666665</v>
      </c>
      <c r="Z440" s="27" t="s">
        <v>189</v>
      </c>
      <c r="AA440" t="s">
        <v>191</v>
      </c>
    </row>
    <row r="441" spans="1:27" x14ac:dyDescent="0.25">
      <c r="A441" s="12">
        <v>122</v>
      </c>
      <c r="B441" s="12">
        <v>1</v>
      </c>
      <c r="C441">
        <f t="shared" si="37"/>
        <v>12201</v>
      </c>
      <c r="D441" s="3" t="s">
        <v>87</v>
      </c>
      <c r="E441" s="11">
        <v>28.128</v>
      </c>
      <c r="F441" s="11">
        <v>33.295000000000002</v>
      </c>
      <c r="G441" s="12" t="s">
        <v>137</v>
      </c>
      <c r="H441" s="12" t="s">
        <v>138</v>
      </c>
      <c r="I441" s="4">
        <v>43101</v>
      </c>
      <c r="J441" s="12" t="s">
        <v>125</v>
      </c>
      <c r="K441" s="2">
        <v>0</v>
      </c>
      <c r="M441" s="20">
        <v>35100</v>
      </c>
      <c r="N441" s="20">
        <v>9500</v>
      </c>
      <c r="Z441" s="27" t="s">
        <v>194</v>
      </c>
      <c r="AA441" t="s">
        <v>193</v>
      </c>
    </row>
    <row r="442" spans="1:27" x14ac:dyDescent="0.25">
      <c r="A442" s="12">
        <v>123</v>
      </c>
      <c r="B442" s="12">
        <v>1</v>
      </c>
      <c r="C442">
        <f t="shared" si="37"/>
        <v>12301</v>
      </c>
      <c r="D442" s="3" t="s">
        <v>87</v>
      </c>
      <c r="E442" s="11">
        <f t="shared" ref="E442:E448" si="38">-(22+26.5/60)</f>
        <v>-22.441666666666666</v>
      </c>
      <c r="F442" s="11">
        <f t="shared" ref="F442:F448" si="39">-(40+24.5/60)</f>
        <v>-40.408333333333331</v>
      </c>
      <c r="G442" s="12" t="s">
        <v>95</v>
      </c>
      <c r="H442" s="12" t="s">
        <v>13</v>
      </c>
      <c r="I442" s="4">
        <v>38718</v>
      </c>
      <c r="J442" s="12" t="s">
        <v>196</v>
      </c>
      <c r="K442" s="2">
        <v>0</v>
      </c>
      <c r="N442" s="3">
        <v>640</v>
      </c>
      <c r="Y442" s="3">
        <v>1180</v>
      </c>
      <c r="Z442" s="27" t="s">
        <v>197</v>
      </c>
      <c r="AA442" t="s">
        <v>202</v>
      </c>
    </row>
    <row r="443" spans="1:27" x14ac:dyDescent="0.25">
      <c r="A443" s="12">
        <v>123</v>
      </c>
      <c r="B443" s="12">
        <v>1</v>
      </c>
      <c r="C443">
        <f t="shared" si="37"/>
        <v>12301</v>
      </c>
      <c r="D443" s="3" t="s">
        <v>87</v>
      </c>
      <c r="E443" s="11">
        <f t="shared" si="38"/>
        <v>-22.441666666666666</v>
      </c>
      <c r="F443" s="11">
        <f t="shared" si="39"/>
        <v>-40.408333333333331</v>
      </c>
      <c r="G443" s="12" t="s">
        <v>95</v>
      </c>
      <c r="H443" s="12" t="s">
        <v>13</v>
      </c>
      <c r="I443" s="4">
        <v>38718</v>
      </c>
      <c r="J443" s="12" t="s">
        <v>196</v>
      </c>
      <c r="K443" s="2">
        <v>0</v>
      </c>
      <c r="N443" s="3">
        <v>11800</v>
      </c>
      <c r="Y443" s="3">
        <v>36900</v>
      </c>
      <c r="Z443" s="27" t="s">
        <v>197</v>
      </c>
      <c r="AA443" t="s">
        <v>202</v>
      </c>
    </row>
    <row r="444" spans="1:27" x14ac:dyDescent="0.25">
      <c r="A444" s="12">
        <v>123</v>
      </c>
      <c r="B444" s="12">
        <v>1</v>
      </c>
      <c r="C444">
        <f t="shared" si="37"/>
        <v>12301</v>
      </c>
      <c r="D444" s="3" t="s">
        <v>87</v>
      </c>
      <c r="E444" s="11">
        <f t="shared" si="38"/>
        <v>-22.441666666666666</v>
      </c>
      <c r="F444" s="11">
        <f t="shared" si="39"/>
        <v>-40.408333333333331</v>
      </c>
      <c r="G444" s="12" t="s">
        <v>95</v>
      </c>
      <c r="H444" s="12" t="s">
        <v>13</v>
      </c>
      <c r="I444" s="4">
        <v>38718</v>
      </c>
      <c r="J444" s="12" t="s">
        <v>203</v>
      </c>
      <c r="K444" s="2">
        <v>0</v>
      </c>
      <c r="N444" s="3">
        <v>18000</v>
      </c>
      <c r="Y444" s="3">
        <v>56700</v>
      </c>
      <c r="Z444" s="27" t="s">
        <v>197</v>
      </c>
      <c r="AA444" t="s">
        <v>202</v>
      </c>
    </row>
    <row r="445" spans="1:27" x14ac:dyDescent="0.25">
      <c r="A445" s="12">
        <v>123</v>
      </c>
      <c r="B445" s="12">
        <v>1</v>
      </c>
      <c r="C445">
        <f t="shared" si="37"/>
        <v>12301</v>
      </c>
      <c r="D445" s="3" t="s">
        <v>87</v>
      </c>
      <c r="E445" s="11">
        <f t="shared" si="38"/>
        <v>-22.441666666666666</v>
      </c>
      <c r="F445" s="11">
        <f t="shared" si="39"/>
        <v>-40.408333333333331</v>
      </c>
      <c r="G445" s="12" t="s">
        <v>95</v>
      </c>
      <c r="H445" s="12" t="s">
        <v>13</v>
      </c>
      <c r="I445" s="4">
        <v>38718</v>
      </c>
      <c r="J445" s="12" t="s">
        <v>201</v>
      </c>
      <c r="K445" s="2">
        <v>0</v>
      </c>
      <c r="N445" s="3">
        <v>18600</v>
      </c>
      <c r="Y445" s="3">
        <v>62800</v>
      </c>
      <c r="Z445" s="27" t="s">
        <v>197</v>
      </c>
      <c r="AA445" t="s">
        <v>202</v>
      </c>
    </row>
    <row r="446" spans="1:27" x14ac:dyDescent="0.25">
      <c r="A446" s="12">
        <v>123</v>
      </c>
      <c r="B446" s="12">
        <v>1</v>
      </c>
      <c r="C446">
        <f t="shared" si="37"/>
        <v>12301</v>
      </c>
      <c r="D446" s="3" t="s">
        <v>87</v>
      </c>
      <c r="E446" s="11">
        <f t="shared" si="38"/>
        <v>-22.441666666666666</v>
      </c>
      <c r="F446" s="11">
        <f t="shared" si="39"/>
        <v>-40.408333333333331</v>
      </c>
      <c r="G446" s="12" t="s">
        <v>95</v>
      </c>
      <c r="H446" s="12" t="s">
        <v>13</v>
      </c>
      <c r="I446" s="4">
        <v>38718</v>
      </c>
      <c r="J446" s="12" t="s">
        <v>203</v>
      </c>
      <c r="K446" s="2">
        <v>0</v>
      </c>
      <c r="N446" s="3">
        <v>20900</v>
      </c>
      <c r="Y446" s="3">
        <v>71400</v>
      </c>
      <c r="Z446" s="27" t="s">
        <v>197</v>
      </c>
      <c r="AA446" t="s">
        <v>202</v>
      </c>
    </row>
    <row r="447" spans="1:27" x14ac:dyDescent="0.25">
      <c r="A447" s="12">
        <v>123</v>
      </c>
      <c r="B447" s="12">
        <v>1</v>
      </c>
      <c r="C447">
        <f t="shared" si="37"/>
        <v>12301</v>
      </c>
      <c r="D447" s="3" t="s">
        <v>87</v>
      </c>
      <c r="E447" s="11">
        <f t="shared" si="38"/>
        <v>-22.441666666666666</v>
      </c>
      <c r="F447" s="11">
        <f t="shared" si="39"/>
        <v>-40.408333333333331</v>
      </c>
      <c r="G447" s="12" t="s">
        <v>95</v>
      </c>
      <c r="H447" s="12" t="s">
        <v>13</v>
      </c>
      <c r="I447" s="4">
        <v>38718</v>
      </c>
      <c r="J447" s="12" t="s">
        <v>204</v>
      </c>
      <c r="K447" s="2">
        <v>0</v>
      </c>
      <c r="N447" s="3">
        <v>23300</v>
      </c>
      <c r="Y447" s="3">
        <v>84200</v>
      </c>
      <c r="Z447" s="27" t="s">
        <v>197</v>
      </c>
      <c r="AA447" t="s">
        <v>202</v>
      </c>
    </row>
    <row r="448" spans="1:27" x14ac:dyDescent="0.25">
      <c r="A448" s="12">
        <v>123</v>
      </c>
      <c r="B448" s="12">
        <v>1</v>
      </c>
      <c r="C448">
        <f t="shared" si="37"/>
        <v>12301</v>
      </c>
      <c r="D448" s="3" t="s">
        <v>87</v>
      </c>
      <c r="E448" s="11">
        <f t="shared" si="38"/>
        <v>-22.441666666666666</v>
      </c>
      <c r="F448" s="11">
        <f t="shared" si="39"/>
        <v>-40.408333333333331</v>
      </c>
      <c r="G448" s="12" t="s">
        <v>95</v>
      </c>
      <c r="H448" s="12" t="s">
        <v>13</v>
      </c>
      <c r="I448" s="4">
        <v>38718</v>
      </c>
      <c r="J448" s="12" t="s">
        <v>196</v>
      </c>
      <c r="K448" s="2">
        <v>0</v>
      </c>
      <c r="N448" s="3">
        <v>440</v>
      </c>
      <c r="Y448" s="3">
        <v>1730</v>
      </c>
      <c r="Z448" s="27" t="s">
        <v>197</v>
      </c>
      <c r="AA448" t="s">
        <v>202</v>
      </c>
    </row>
    <row r="449" spans="1:27" x14ac:dyDescent="0.25">
      <c r="A449" s="12">
        <v>123</v>
      </c>
      <c r="B449" s="12">
        <v>2</v>
      </c>
      <c r="C449">
        <f t="shared" si="37"/>
        <v>12302</v>
      </c>
      <c r="D449" s="3" t="s">
        <v>87</v>
      </c>
      <c r="E449" s="11">
        <f t="shared" ref="E449:E459" si="40">-(22+26/60)</f>
        <v>-22.433333333333334</v>
      </c>
      <c r="F449" s="11">
        <f t="shared" ref="F449:F459" si="41">-(40+24/60)</f>
        <v>-40.4</v>
      </c>
      <c r="G449" s="12" t="s">
        <v>95</v>
      </c>
      <c r="H449" s="12" t="s">
        <v>13</v>
      </c>
      <c r="I449" s="4">
        <v>38718</v>
      </c>
      <c r="J449" s="12" t="s">
        <v>196</v>
      </c>
      <c r="K449" s="2">
        <v>0</v>
      </c>
      <c r="N449" s="3">
        <v>4610</v>
      </c>
      <c r="Y449" s="3">
        <v>7140</v>
      </c>
      <c r="Z449" s="27" t="s">
        <v>197</v>
      </c>
      <c r="AA449" t="s">
        <v>198</v>
      </c>
    </row>
    <row r="450" spans="1:27" x14ac:dyDescent="0.25">
      <c r="A450" s="12">
        <v>123</v>
      </c>
      <c r="B450" s="12">
        <v>2</v>
      </c>
      <c r="C450">
        <f t="shared" si="37"/>
        <v>12302</v>
      </c>
      <c r="D450" s="3" t="s">
        <v>87</v>
      </c>
      <c r="E450" s="11">
        <f t="shared" si="40"/>
        <v>-22.433333333333334</v>
      </c>
      <c r="F450" s="11">
        <f t="shared" si="41"/>
        <v>-40.4</v>
      </c>
      <c r="G450" s="12" t="s">
        <v>95</v>
      </c>
      <c r="H450" s="12" t="s">
        <v>13</v>
      </c>
      <c r="I450" s="4">
        <v>38718</v>
      </c>
      <c r="J450" s="12" t="s">
        <v>196</v>
      </c>
      <c r="K450" s="2">
        <v>0</v>
      </c>
      <c r="N450" s="3">
        <v>5630</v>
      </c>
      <c r="Y450" s="3">
        <v>9010</v>
      </c>
      <c r="Z450" s="27" t="s">
        <v>197</v>
      </c>
      <c r="AA450" t="s">
        <v>198</v>
      </c>
    </row>
    <row r="451" spans="1:27" x14ac:dyDescent="0.25">
      <c r="A451" s="12">
        <v>123</v>
      </c>
      <c r="B451" s="12">
        <v>2</v>
      </c>
      <c r="C451">
        <f t="shared" ref="C451:C514" si="42">A451*100+B451</f>
        <v>12302</v>
      </c>
      <c r="D451" s="3" t="s">
        <v>87</v>
      </c>
      <c r="E451" s="11">
        <f t="shared" si="40"/>
        <v>-22.433333333333334</v>
      </c>
      <c r="F451" s="11">
        <f t="shared" si="41"/>
        <v>-40.4</v>
      </c>
      <c r="G451" s="12" t="s">
        <v>95</v>
      </c>
      <c r="H451" s="12" t="s">
        <v>13</v>
      </c>
      <c r="I451" s="4">
        <v>38718</v>
      </c>
      <c r="J451" s="12" t="s">
        <v>196</v>
      </c>
      <c r="K451" s="2">
        <v>0</v>
      </c>
      <c r="N451" s="3">
        <v>6490</v>
      </c>
      <c r="Y451" s="3">
        <v>10500</v>
      </c>
      <c r="Z451" s="27" t="s">
        <v>197</v>
      </c>
      <c r="AA451" t="s">
        <v>198</v>
      </c>
    </row>
    <row r="452" spans="1:27" x14ac:dyDescent="0.25">
      <c r="A452" s="12">
        <v>123</v>
      </c>
      <c r="B452" s="12">
        <v>2</v>
      </c>
      <c r="C452">
        <f t="shared" si="42"/>
        <v>12302</v>
      </c>
      <c r="D452" s="3" t="s">
        <v>87</v>
      </c>
      <c r="E452" s="11">
        <f t="shared" si="40"/>
        <v>-22.433333333333334</v>
      </c>
      <c r="F452" s="11">
        <f t="shared" si="41"/>
        <v>-40.4</v>
      </c>
      <c r="G452" s="12" t="s">
        <v>95</v>
      </c>
      <c r="H452" s="12" t="s">
        <v>13</v>
      </c>
      <c r="I452" s="4">
        <v>38718</v>
      </c>
      <c r="J452" s="12" t="s">
        <v>196</v>
      </c>
      <c r="K452" s="2">
        <v>0</v>
      </c>
      <c r="N452" s="3">
        <v>6370</v>
      </c>
      <c r="Y452" s="3">
        <v>10500</v>
      </c>
      <c r="Z452" s="27" t="s">
        <v>197</v>
      </c>
      <c r="AA452" t="s">
        <v>198</v>
      </c>
    </row>
    <row r="453" spans="1:27" x14ac:dyDescent="0.25">
      <c r="A453" s="12">
        <v>123</v>
      </c>
      <c r="B453" s="12">
        <v>2</v>
      </c>
      <c r="C453">
        <f t="shared" si="42"/>
        <v>12302</v>
      </c>
      <c r="D453" s="3" t="s">
        <v>87</v>
      </c>
      <c r="E453" s="11">
        <f t="shared" si="40"/>
        <v>-22.433333333333334</v>
      </c>
      <c r="F453" s="11">
        <f t="shared" si="41"/>
        <v>-40.4</v>
      </c>
      <c r="G453" s="12" t="s">
        <v>95</v>
      </c>
      <c r="H453" s="12" t="s">
        <v>13</v>
      </c>
      <c r="I453" s="4">
        <v>38718</v>
      </c>
      <c r="J453" s="12" t="s">
        <v>196</v>
      </c>
      <c r="K453" s="2">
        <v>0</v>
      </c>
      <c r="N453" s="3">
        <v>7420</v>
      </c>
      <c r="Y453" s="3">
        <v>12500</v>
      </c>
      <c r="Z453" s="27" t="s">
        <v>197</v>
      </c>
      <c r="AA453" t="s">
        <v>198</v>
      </c>
    </row>
    <row r="454" spans="1:27" x14ac:dyDescent="0.25">
      <c r="A454" s="12">
        <v>123</v>
      </c>
      <c r="B454" s="12">
        <v>2</v>
      </c>
      <c r="C454">
        <f t="shared" si="42"/>
        <v>12302</v>
      </c>
      <c r="D454" s="3" t="s">
        <v>87</v>
      </c>
      <c r="E454" s="11">
        <f t="shared" si="40"/>
        <v>-22.433333333333334</v>
      </c>
      <c r="F454" s="11">
        <f t="shared" si="41"/>
        <v>-40.4</v>
      </c>
      <c r="G454" s="12" t="s">
        <v>95</v>
      </c>
      <c r="H454" s="12" t="s">
        <v>13</v>
      </c>
      <c r="I454" s="4">
        <v>38718</v>
      </c>
      <c r="J454" s="12" t="s">
        <v>196</v>
      </c>
      <c r="K454" s="2">
        <v>0</v>
      </c>
      <c r="N454" s="3">
        <v>6770</v>
      </c>
      <c r="Y454" s="3">
        <v>11500</v>
      </c>
      <c r="Z454" s="27" t="s">
        <v>197</v>
      </c>
      <c r="AA454" t="s">
        <v>198</v>
      </c>
    </row>
    <row r="455" spans="1:27" x14ac:dyDescent="0.25">
      <c r="A455" s="12">
        <v>123</v>
      </c>
      <c r="B455" s="12">
        <v>2</v>
      </c>
      <c r="C455">
        <f t="shared" si="42"/>
        <v>12302</v>
      </c>
      <c r="D455" s="3" t="s">
        <v>87</v>
      </c>
      <c r="E455" s="11">
        <f t="shared" si="40"/>
        <v>-22.433333333333334</v>
      </c>
      <c r="F455" s="11">
        <f t="shared" si="41"/>
        <v>-40.4</v>
      </c>
      <c r="G455" s="12" t="s">
        <v>95</v>
      </c>
      <c r="H455" s="12" t="s">
        <v>13</v>
      </c>
      <c r="I455" s="4">
        <v>38718</v>
      </c>
      <c r="J455" s="12" t="s">
        <v>196</v>
      </c>
      <c r="K455" s="2">
        <v>0</v>
      </c>
      <c r="N455" s="3">
        <v>7140</v>
      </c>
      <c r="Y455" s="3">
        <v>12200</v>
      </c>
      <c r="Z455" s="27" t="s">
        <v>197</v>
      </c>
      <c r="AA455" t="s">
        <v>198</v>
      </c>
    </row>
    <row r="456" spans="1:27" x14ac:dyDescent="0.25">
      <c r="A456" s="12">
        <v>123</v>
      </c>
      <c r="B456" s="12">
        <v>2</v>
      </c>
      <c r="C456">
        <f t="shared" si="42"/>
        <v>12302</v>
      </c>
      <c r="D456" s="3" t="s">
        <v>87</v>
      </c>
      <c r="E456" s="11">
        <f t="shared" si="40"/>
        <v>-22.433333333333334</v>
      </c>
      <c r="F456" s="11">
        <f t="shared" si="41"/>
        <v>-40.4</v>
      </c>
      <c r="G456" s="12" t="s">
        <v>95</v>
      </c>
      <c r="H456" s="12" t="s">
        <v>13</v>
      </c>
      <c r="I456" s="4">
        <v>38718</v>
      </c>
      <c r="J456" s="12" t="s">
        <v>196</v>
      </c>
      <c r="K456" s="2">
        <v>0</v>
      </c>
      <c r="N456" s="3">
        <v>7250</v>
      </c>
      <c r="Y456" s="3">
        <v>12500</v>
      </c>
      <c r="Z456" s="27" t="s">
        <v>197</v>
      </c>
      <c r="AA456" t="s">
        <v>198</v>
      </c>
    </row>
    <row r="457" spans="1:27" x14ac:dyDescent="0.25">
      <c r="A457" s="12">
        <v>123</v>
      </c>
      <c r="B457" s="12">
        <v>2</v>
      </c>
      <c r="C457">
        <f t="shared" si="42"/>
        <v>12302</v>
      </c>
      <c r="D457" s="3" t="s">
        <v>87</v>
      </c>
      <c r="E457" s="11">
        <f t="shared" si="40"/>
        <v>-22.433333333333334</v>
      </c>
      <c r="F457" s="11">
        <f t="shared" si="41"/>
        <v>-40.4</v>
      </c>
      <c r="G457" s="12" t="s">
        <v>95</v>
      </c>
      <c r="H457" s="12" t="s">
        <v>13</v>
      </c>
      <c r="I457" s="4">
        <v>38718</v>
      </c>
      <c r="J457" s="12" t="s">
        <v>199</v>
      </c>
      <c r="K457" s="2">
        <v>0</v>
      </c>
      <c r="N457" s="3">
        <v>820</v>
      </c>
      <c r="Y457" s="3">
        <v>1550</v>
      </c>
      <c r="Z457" s="27" t="s">
        <v>197</v>
      </c>
      <c r="AA457" t="s">
        <v>198</v>
      </c>
    </row>
    <row r="458" spans="1:27" x14ac:dyDescent="0.25">
      <c r="A458" s="12">
        <v>123</v>
      </c>
      <c r="B458" s="12">
        <v>2</v>
      </c>
      <c r="C458">
        <f t="shared" si="42"/>
        <v>12302</v>
      </c>
      <c r="D458" s="3" t="s">
        <v>87</v>
      </c>
      <c r="E458" s="11">
        <f t="shared" si="40"/>
        <v>-22.433333333333334</v>
      </c>
      <c r="F458" s="11">
        <f t="shared" si="41"/>
        <v>-40.4</v>
      </c>
      <c r="G458" s="12" t="s">
        <v>95</v>
      </c>
      <c r="H458" s="12" t="s">
        <v>13</v>
      </c>
      <c r="I458" s="4">
        <v>38718</v>
      </c>
      <c r="J458" s="12" t="s">
        <v>199</v>
      </c>
      <c r="K458" s="2">
        <v>0</v>
      </c>
      <c r="N458" s="3">
        <v>700</v>
      </c>
      <c r="Y458" s="3">
        <v>1360</v>
      </c>
      <c r="Z458" s="27" t="s">
        <v>197</v>
      </c>
      <c r="AA458" t="s">
        <v>198</v>
      </c>
    </row>
    <row r="459" spans="1:27" x14ac:dyDescent="0.25">
      <c r="A459" s="12">
        <v>123</v>
      </c>
      <c r="B459" s="12">
        <v>2</v>
      </c>
      <c r="C459">
        <f t="shared" si="42"/>
        <v>12302</v>
      </c>
      <c r="D459" s="3" t="s">
        <v>87</v>
      </c>
      <c r="E459" s="11">
        <f t="shared" si="40"/>
        <v>-22.433333333333334</v>
      </c>
      <c r="F459" s="11">
        <f t="shared" si="41"/>
        <v>-40.4</v>
      </c>
      <c r="G459" s="12" t="s">
        <v>95</v>
      </c>
      <c r="H459" s="12" t="s">
        <v>13</v>
      </c>
      <c r="I459" s="4">
        <v>38718</v>
      </c>
      <c r="J459" s="12" t="s">
        <v>199</v>
      </c>
      <c r="K459" s="2">
        <v>0</v>
      </c>
      <c r="N459" s="3">
        <v>840</v>
      </c>
      <c r="Y459" s="3">
        <v>1720</v>
      </c>
      <c r="Z459" s="27" t="s">
        <v>197</v>
      </c>
      <c r="AA459" t="s">
        <v>198</v>
      </c>
    </row>
    <row r="460" spans="1:27" x14ac:dyDescent="0.25">
      <c r="A460" s="12">
        <v>123</v>
      </c>
      <c r="B460" s="12">
        <v>3</v>
      </c>
      <c r="C460">
        <f t="shared" si="42"/>
        <v>12303</v>
      </c>
      <c r="D460" s="3" t="s">
        <v>87</v>
      </c>
      <c r="E460" s="11">
        <f t="shared" ref="E460:E505" si="43">-(22+25/60)</f>
        <v>-22.416666666666668</v>
      </c>
      <c r="F460" s="11">
        <f t="shared" ref="F460:F505" si="44">-(40+23/60)</f>
        <v>-40.383333333333333</v>
      </c>
      <c r="G460" s="12" t="s">
        <v>95</v>
      </c>
      <c r="H460" s="12" t="s">
        <v>13</v>
      </c>
      <c r="I460" s="4">
        <v>38718</v>
      </c>
      <c r="J460" s="12" t="s">
        <v>196</v>
      </c>
      <c r="K460" s="2">
        <v>0</v>
      </c>
      <c r="N460" s="3">
        <v>710</v>
      </c>
      <c r="Y460" s="3">
        <v>1020</v>
      </c>
      <c r="Z460" s="27" t="s">
        <v>197</v>
      </c>
      <c r="AA460" t="s">
        <v>200</v>
      </c>
    </row>
    <row r="461" spans="1:27" x14ac:dyDescent="0.25">
      <c r="A461" s="12">
        <v>123</v>
      </c>
      <c r="B461" s="12">
        <v>3</v>
      </c>
      <c r="C461">
        <f t="shared" si="42"/>
        <v>12303</v>
      </c>
      <c r="D461" s="3" t="s">
        <v>87</v>
      </c>
      <c r="E461" s="11">
        <f t="shared" si="43"/>
        <v>-22.416666666666668</v>
      </c>
      <c r="F461" s="11">
        <f t="shared" si="44"/>
        <v>-40.383333333333333</v>
      </c>
      <c r="G461" s="12" t="s">
        <v>95</v>
      </c>
      <c r="H461" s="12" t="s">
        <v>13</v>
      </c>
      <c r="I461" s="4">
        <v>38718</v>
      </c>
      <c r="J461" s="12" t="s">
        <v>196</v>
      </c>
      <c r="K461" s="2">
        <v>0</v>
      </c>
      <c r="N461" s="3">
        <v>660</v>
      </c>
      <c r="Y461" s="3">
        <v>1030</v>
      </c>
      <c r="Z461" s="27" t="s">
        <v>197</v>
      </c>
      <c r="AA461" t="s">
        <v>200</v>
      </c>
    </row>
    <row r="462" spans="1:27" x14ac:dyDescent="0.25">
      <c r="A462" s="12">
        <v>123</v>
      </c>
      <c r="B462" s="12">
        <v>3</v>
      </c>
      <c r="C462">
        <f t="shared" si="42"/>
        <v>12303</v>
      </c>
      <c r="D462" s="3" t="s">
        <v>87</v>
      </c>
      <c r="E462" s="11">
        <f t="shared" si="43"/>
        <v>-22.416666666666668</v>
      </c>
      <c r="F462" s="11">
        <f t="shared" si="44"/>
        <v>-40.383333333333333</v>
      </c>
      <c r="G462" s="12" t="s">
        <v>95</v>
      </c>
      <c r="H462" s="12" t="s">
        <v>13</v>
      </c>
      <c r="I462" s="4">
        <v>38718</v>
      </c>
      <c r="J462" s="12" t="s">
        <v>196</v>
      </c>
      <c r="K462" s="2">
        <v>0</v>
      </c>
      <c r="N462" s="3">
        <v>700</v>
      </c>
      <c r="Y462" s="3">
        <v>1520</v>
      </c>
      <c r="Z462" s="27" t="s">
        <v>197</v>
      </c>
      <c r="AA462" t="s">
        <v>200</v>
      </c>
    </row>
    <row r="463" spans="1:27" x14ac:dyDescent="0.25">
      <c r="A463" s="12">
        <v>123</v>
      </c>
      <c r="B463" s="12">
        <v>3</v>
      </c>
      <c r="C463">
        <f t="shared" si="42"/>
        <v>12303</v>
      </c>
      <c r="D463" s="3" t="s">
        <v>87</v>
      </c>
      <c r="E463" s="11">
        <f t="shared" si="43"/>
        <v>-22.416666666666668</v>
      </c>
      <c r="F463" s="11">
        <f t="shared" si="44"/>
        <v>-40.383333333333333</v>
      </c>
      <c r="G463" s="12" t="s">
        <v>95</v>
      </c>
      <c r="H463" s="12" t="s">
        <v>13</v>
      </c>
      <c r="I463" s="4">
        <v>38718</v>
      </c>
      <c r="J463" s="12" t="s">
        <v>196</v>
      </c>
      <c r="K463" s="2">
        <v>0</v>
      </c>
      <c r="N463" s="3">
        <v>580</v>
      </c>
      <c r="Y463" s="3">
        <v>1400</v>
      </c>
      <c r="Z463" s="27" t="s">
        <v>197</v>
      </c>
      <c r="AA463" t="s">
        <v>200</v>
      </c>
    </row>
    <row r="464" spans="1:27" x14ac:dyDescent="0.25">
      <c r="A464" s="12">
        <v>123</v>
      </c>
      <c r="B464" s="12">
        <v>3</v>
      </c>
      <c r="C464">
        <f t="shared" si="42"/>
        <v>12303</v>
      </c>
      <c r="D464" s="3" t="s">
        <v>87</v>
      </c>
      <c r="E464" s="11">
        <f t="shared" si="43"/>
        <v>-22.416666666666668</v>
      </c>
      <c r="F464" s="11">
        <f t="shared" si="44"/>
        <v>-40.383333333333333</v>
      </c>
      <c r="G464" s="12" t="s">
        <v>95</v>
      </c>
      <c r="H464" s="12" t="s">
        <v>13</v>
      </c>
      <c r="I464" s="4">
        <v>38718</v>
      </c>
      <c r="J464" s="12" t="s">
        <v>196</v>
      </c>
      <c r="K464" s="2">
        <v>0</v>
      </c>
      <c r="N464" s="3">
        <v>260</v>
      </c>
      <c r="Y464" s="3">
        <v>655</v>
      </c>
      <c r="Z464" s="27" t="s">
        <v>197</v>
      </c>
      <c r="AA464" t="s">
        <v>200</v>
      </c>
    </row>
    <row r="465" spans="1:27" x14ac:dyDescent="0.25">
      <c r="A465" s="12">
        <v>123</v>
      </c>
      <c r="B465" s="12">
        <v>3</v>
      </c>
      <c r="C465">
        <f t="shared" si="42"/>
        <v>12303</v>
      </c>
      <c r="D465" s="3" t="s">
        <v>87</v>
      </c>
      <c r="E465" s="11">
        <f t="shared" si="43"/>
        <v>-22.416666666666668</v>
      </c>
      <c r="F465" s="11">
        <f t="shared" si="44"/>
        <v>-40.383333333333333</v>
      </c>
      <c r="G465" s="12" t="s">
        <v>95</v>
      </c>
      <c r="H465" s="12" t="s">
        <v>13</v>
      </c>
      <c r="I465" s="4">
        <v>38718</v>
      </c>
      <c r="J465" s="12" t="s">
        <v>196</v>
      </c>
      <c r="K465" s="2">
        <v>0</v>
      </c>
      <c r="N465" s="3">
        <v>1180</v>
      </c>
      <c r="Y465" s="3">
        <v>3020</v>
      </c>
      <c r="Z465" s="27" t="s">
        <v>197</v>
      </c>
      <c r="AA465" t="s">
        <v>200</v>
      </c>
    </row>
    <row r="466" spans="1:27" x14ac:dyDescent="0.25">
      <c r="A466" s="12">
        <v>123</v>
      </c>
      <c r="B466" s="12">
        <v>3</v>
      </c>
      <c r="C466">
        <f t="shared" si="42"/>
        <v>12303</v>
      </c>
      <c r="D466" s="3" t="s">
        <v>87</v>
      </c>
      <c r="E466" s="11">
        <f t="shared" si="43"/>
        <v>-22.416666666666668</v>
      </c>
      <c r="F466" s="11">
        <f t="shared" si="44"/>
        <v>-40.383333333333333</v>
      </c>
      <c r="G466" s="12" t="s">
        <v>95</v>
      </c>
      <c r="H466" s="12" t="s">
        <v>13</v>
      </c>
      <c r="I466" s="4">
        <v>38718</v>
      </c>
      <c r="J466" s="12" t="s">
        <v>125</v>
      </c>
      <c r="K466" s="2">
        <v>0</v>
      </c>
      <c r="N466" s="3">
        <v>2230</v>
      </c>
      <c r="Y466" s="3">
        <v>6900</v>
      </c>
      <c r="Z466" s="27" t="s">
        <v>197</v>
      </c>
      <c r="AA466" t="s">
        <v>200</v>
      </c>
    </row>
    <row r="467" spans="1:27" x14ac:dyDescent="0.25">
      <c r="A467" s="12">
        <v>123</v>
      </c>
      <c r="B467" s="12">
        <v>3</v>
      </c>
      <c r="C467">
        <f t="shared" si="42"/>
        <v>12303</v>
      </c>
      <c r="D467" s="3" t="s">
        <v>87</v>
      </c>
      <c r="E467" s="11">
        <f t="shared" si="43"/>
        <v>-22.416666666666668</v>
      </c>
      <c r="F467" s="11">
        <f t="shared" si="44"/>
        <v>-40.383333333333333</v>
      </c>
      <c r="G467" s="12" t="s">
        <v>95</v>
      </c>
      <c r="H467" s="12" t="s">
        <v>13</v>
      </c>
      <c r="I467" s="4">
        <v>38718</v>
      </c>
      <c r="J467" s="12" t="s">
        <v>201</v>
      </c>
      <c r="K467" s="2">
        <v>0</v>
      </c>
      <c r="N467" s="3">
        <v>2740</v>
      </c>
      <c r="Y467" s="3">
        <v>8690</v>
      </c>
      <c r="Z467" s="27" t="s">
        <v>197</v>
      </c>
      <c r="AA467" t="s">
        <v>200</v>
      </c>
    </row>
    <row r="468" spans="1:27" x14ac:dyDescent="0.25">
      <c r="A468" s="12">
        <v>123</v>
      </c>
      <c r="B468" s="12">
        <v>3</v>
      </c>
      <c r="C468">
        <f t="shared" si="42"/>
        <v>12303</v>
      </c>
      <c r="D468" s="3" t="s">
        <v>87</v>
      </c>
      <c r="E468" s="11">
        <f t="shared" si="43"/>
        <v>-22.416666666666668</v>
      </c>
      <c r="F468" s="11">
        <f t="shared" si="44"/>
        <v>-40.383333333333333</v>
      </c>
      <c r="G468" s="12" t="s">
        <v>95</v>
      </c>
      <c r="H468" s="12" t="s">
        <v>13</v>
      </c>
      <c r="I468" s="4">
        <v>38718</v>
      </c>
      <c r="J468" s="12" t="s">
        <v>125</v>
      </c>
      <c r="K468" s="2">
        <v>0</v>
      </c>
      <c r="N468" s="3">
        <v>3630</v>
      </c>
      <c r="Y468" s="3">
        <v>11800</v>
      </c>
      <c r="Z468" s="27" t="s">
        <v>197</v>
      </c>
      <c r="AA468" t="s">
        <v>200</v>
      </c>
    </row>
    <row r="469" spans="1:27" x14ac:dyDescent="0.25">
      <c r="A469" s="12">
        <v>123</v>
      </c>
      <c r="B469" s="12">
        <v>3</v>
      </c>
      <c r="C469">
        <f t="shared" si="42"/>
        <v>12303</v>
      </c>
      <c r="D469" s="3" t="s">
        <v>87</v>
      </c>
      <c r="E469" s="11">
        <f t="shared" si="43"/>
        <v>-22.416666666666668</v>
      </c>
      <c r="F469" s="11">
        <f t="shared" si="44"/>
        <v>-40.383333333333333</v>
      </c>
      <c r="G469" s="12" t="s">
        <v>95</v>
      </c>
      <c r="H469" s="12" t="s">
        <v>13</v>
      </c>
      <c r="I469" s="4">
        <v>38718</v>
      </c>
      <c r="J469" s="12" t="s">
        <v>125</v>
      </c>
      <c r="K469" s="2">
        <v>0</v>
      </c>
      <c r="N469" s="3">
        <v>5790</v>
      </c>
      <c r="Y469" s="3">
        <v>19400</v>
      </c>
      <c r="Z469" s="27" t="s">
        <v>197</v>
      </c>
      <c r="AA469" t="s">
        <v>200</v>
      </c>
    </row>
    <row r="470" spans="1:27" x14ac:dyDescent="0.25">
      <c r="A470" s="12">
        <v>123</v>
      </c>
      <c r="B470" s="12">
        <v>3</v>
      </c>
      <c r="C470">
        <f t="shared" si="42"/>
        <v>12303</v>
      </c>
      <c r="D470" s="3" t="s">
        <v>87</v>
      </c>
      <c r="E470" s="11">
        <f t="shared" si="43"/>
        <v>-22.416666666666668</v>
      </c>
      <c r="F470" s="11">
        <f t="shared" si="44"/>
        <v>-40.383333333333333</v>
      </c>
      <c r="G470" s="12" t="s">
        <v>95</v>
      </c>
      <c r="H470" s="12" t="s">
        <v>13</v>
      </c>
      <c r="I470" s="4">
        <v>38718</v>
      </c>
      <c r="J470" s="12" t="s">
        <v>196</v>
      </c>
      <c r="K470" s="2">
        <v>0</v>
      </c>
      <c r="N470" s="3">
        <v>1430</v>
      </c>
      <c r="Y470" s="3">
        <v>4800</v>
      </c>
      <c r="Z470" s="27" t="s">
        <v>197</v>
      </c>
      <c r="AA470" t="s">
        <v>200</v>
      </c>
    </row>
    <row r="471" spans="1:27" x14ac:dyDescent="0.25">
      <c r="A471" s="12">
        <v>123</v>
      </c>
      <c r="B471" s="12">
        <v>3</v>
      </c>
      <c r="C471">
        <f t="shared" si="42"/>
        <v>12303</v>
      </c>
      <c r="D471" s="3" t="s">
        <v>87</v>
      </c>
      <c r="E471" s="11">
        <f t="shared" si="43"/>
        <v>-22.416666666666668</v>
      </c>
      <c r="F471" s="11">
        <f t="shared" si="44"/>
        <v>-40.383333333333333</v>
      </c>
      <c r="G471" s="12" t="s">
        <v>95</v>
      </c>
      <c r="H471" s="12" t="s">
        <v>13</v>
      </c>
      <c r="I471" s="4">
        <v>38718</v>
      </c>
      <c r="J471" s="12" t="s">
        <v>196</v>
      </c>
      <c r="K471" s="2">
        <v>0</v>
      </c>
      <c r="N471" s="3">
        <v>420</v>
      </c>
      <c r="Y471" s="3">
        <v>1750</v>
      </c>
      <c r="Z471" s="27" t="s">
        <v>197</v>
      </c>
      <c r="AA471" t="s">
        <v>200</v>
      </c>
    </row>
    <row r="472" spans="1:27" x14ac:dyDescent="0.25">
      <c r="A472" s="12">
        <v>123</v>
      </c>
      <c r="B472" s="12">
        <v>3</v>
      </c>
      <c r="C472">
        <f t="shared" si="42"/>
        <v>12303</v>
      </c>
      <c r="D472" s="3" t="s">
        <v>87</v>
      </c>
      <c r="E472" s="11">
        <f t="shared" si="43"/>
        <v>-22.416666666666668</v>
      </c>
      <c r="F472" s="11">
        <f t="shared" si="44"/>
        <v>-40.383333333333333</v>
      </c>
      <c r="G472" s="12" t="s">
        <v>95</v>
      </c>
      <c r="H472" s="12" t="s">
        <v>13</v>
      </c>
      <c r="I472" s="4">
        <v>38718</v>
      </c>
      <c r="J472" s="12" t="s">
        <v>196</v>
      </c>
      <c r="K472" s="2">
        <v>0</v>
      </c>
      <c r="N472" s="3">
        <v>1620</v>
      </c>
      <c r="Y472" s="3">
        <v>6830</v>
      </c>
      <c r="Z472" s="27" t="s">
        <v>197</v>
      </c>
      <c r="AA472" t="s">
        <v>200</v>
      </c>
    </row>
    <row r="473" spans="1:27" x14ac:dyDescent="0.25">
      <c r="A473" s="12">
        <v>123</v>
      </c>
      <c r="B473" s="12">
        <v>3</v>
      </c>
      <c r="C473">
        <f t="shared" si="42"/>
        <v>12303</v>
      </c>
      <c r="D473" s="3" t="s">
        <v>87</v>
      </c>
      <c r="E473" s="11">
        <f t="shared" si="43"/>
        <v>-22.416666666666668</v>
      </c>
      <c r="F473" s="11">
        <f t="shared" si="44"/>
        <v>-40.383333333333333</v>
      </c>
      <c r="G473" s="12" t="s">
        <v>95</v>
      </c>
      <c r="H473" s="12" t="s">
        <v>13</v>
      </c>
      <c r="I473" s="4">
        <v>38718</v>
      </c>
      <c r="J473" s="12" t="s">
        <v>196</v>
      </c>
      <c r="K473" s="2">
        <v>0</v>
      </c>
      <c r="N473" s="3">
        <v>3210</v>
      </c>
      <c r="Y473" s="3">
        <v>13600</v>
      </c>
      <c r="Z473" s="27" t="s">
        <v>197</v>
      </c>
      <c r="AA473" t="s">
        <v>200</v>
      </c>
    </row>
    <row r="474" spans="1:27" x14ac:dyDescent="0.25">
      <c r="A474" s="12">
        <v>123</v>
      </c>
      <c r="B474" s="12">
        <v>3</v>
      </c>
      <c r="C474">
        <f t="shared" si="42"/>
        <v>12303</v>
      </c>
      <c r="D474" s="3" t="s">
        <v>87</v>
      </c>
      <c r="E474" s="11">
        <f t="shared" si="43"/>
        <v>-22.416666666666668</v>
      </c>
      <c r="F474" s="11">
        <f t="shared" si="44"/>
        <v>-40.383333333333333</v>
      </c>
      <c r="G474" s="12" t="s">
        <v>95</v>
      </c>
      <c r="H474" s="12" t="s">
        <v>13</v>
      </c>
      <c r="I474" s="4">
        <v>38718</v>
      </c>
      <c r="J474" s="12" t="s">
        <v>196</v>
      </c>
      <c r="K474" s="2">
        <v>0</v>
      </c>
      <c r="N474" s="3">
        <v>2850</v>
      </c>
      <c r="Y474" s="3">
        <v>12400</v>
      </c>
      <c r="Z474" s="27" t="s">
        <v>197</v>
      </c>
      <c r="AA474" t="s">
        <v>200</v>
      </c>
    </row>
    <row r="475" spans="1:27" x14ac:dyDescent="0.25">
      <c r="A475" s="12">
        <v>123</v>
      </c>
      <c r="B475" s="12">
        <v>3</v>
      </c>
      <c r="C475">
        <f t="shared" si="42"/>
        <v>12303</v>
      </c>
      <c r="D475" s="3" t="s">
        <v>87</v>
      </c>
      <c r="E475" s="11">
        <f t="shared" si="43"/>
        <v>-22.416666666666668</v>
      </c>
      <c r="F475" s="11">
        <f t="shared" si="44"/>
        <v>-40.383333333333333</v>
      </c>
      <c r="G475" s="12" t="s">
        <v>95</v>
      </c>
      <c r="H475" s="12" t="s">
        <v>13</v>
      </c>
      <c r="I475" s="4">
        <v>38718</v>
      </c>
      <c r="J475" s="12" t="s">
        <v>196</v>
      </c>
      <c r="K475" s="2">
        <v>0</v>
      </c>
      <c r="N475" s="3">
        <v>2920</v>
      </c>
      <c r="Y475" s="3">
        <v>13400</v>
      </c>
      <c r="Z475" s="27" t="s">
        <v>197</v>
      </c>
      <c r="AA475" t="s">
        <v>200</v>
      </c>
    </row>
    <row r="476" spans="1:27" x14ac:dyDescent="0.25">
      <c r="A476" s="12">
        <v>123</v>
      </c>
      <c r="B476" s="12">
        <v>3</v>
      </c>
      <c r="C476">
        <f t="shared" si="42"/>
        <v>12303</v>
      </c>
      <c r="D476" s="3" t="s">
        <v>87</v>
      </c>
      <c r="E476" s="11">
        <f t="shared" si="43"/>
        <v>-22.416666666666668</v>
      </c>
      <c r="F476" s="11">
        <f t="shared" si="44"/>
        <v>-40.383333333333333</v>
      </c>
      <c r="G476" s="12" t="s">
        <v>95</v>
      </c>
      <c r="H476" s="12" t="s">
        <v>13</v>
      </c>
      <c r="I476" s="4">
        <v>38718</v>
      </c>
      <c r="J476" s="12" t="s">
        <v>196</v>
      </c>
      <c r="K476" s="2">
        <v>0</v>
      </c>
      <c r="N476" s="3">
        <v>4330</v>
      </c>
      <c r="Y476" s="3">
        <v>21900</v>
      </c>
      <c r="Z476" s="27" t="s">
        <v>197</v>
      </c>
      <c r="AA476" t="s">
        <v>200</v>
      </c>
    </row>
    <row r="477" spans="1:27" x14ac:dyDescent="0.25">
      <c r="A477" s="12">
        <v>123</v>
      </c>
      <c r="B477" s="12">
        <v>3</v>
      </c>
      <c r="C477">
        <f t="shared" si="42"/>
        <v>12303</v>
      </c>
      <c r="D477" s="3" t="s">
        <v>87</v>
      </c>
      <c r="E477" s="11">
        <f t="shared" si="43"/>
        <v>-22.416666666666668</v>
      </c>
      <c r="F477" s="11">
        <f t="shared" si="44"/>
        <v>-40.383333333333333</v>
      </c>
      <c r="G477" s="12" t="s">
        <v>95</v>
      </c>
      <c r="H477" s="12" t="s">
        <v>13</v>
      </c>
      <c r="I477" s="4">
        <v>38718</v>
      </c>
      <c r="J477" s="12" t="s">
        <v>196</v>
      </c>
      <c r="K477" s="2">
        <v>0</v>
      </c>
      <c r="N477" s="3">
        <v>6320</v>
      </c>
      <c r="Y477" s="3">
        <v>33000</v>
      </c>
      <c r="Z477" s="27" t="s">
        <v>197</v>
      </c>
      <c r="AA477" t="s">
        <v>200</v>
      </c>
    </row>
    <row r="478" spans="1:27" x14ac:dyDescent="0.25">
      <c r="A478" s="12">
        <v>123</v>
      </c>
      <c r="B478" s="12">
        <v>3</v>
      </c>
      <c r="C478">
        <f t="shared" si="42"/>
        <v>12303</v>
      </c>
      <c r="D478" s="3" t="s">
        <v>87</v>
      </c>
      <c r="E478" s="11">
        <f t="shared" si="43"/>
        <v>-22.416666666666668</v>
      </c>
      <c r="F478" s="11">
        <f t="shared" si="44"/>
        <v>-40.383333333333333</v>
      </c>
      <c r="G478" s="12" t="s">
        <v>95</v>
      </c>
      <c r="H478" s="12" t="s">
        <v>13</v>
      </c>
      <c r="I478" s="4">
        <v>38718</v>
      </c>
      <c r="J478" s="12" t="s">
        <v>196</v>
      </c>
      <c r="K478" s="2">
        <v>0</v>
      </c>
      <c r="N478" s="3">
        <v>4960</v>
      </c>
      <c r="Y478" s="3">
        <v>26400</v>
      </c>
      <c r="Z478" s="27" t="s">
        <v>197</v>
      </c>
      <c r="AA478" t="s">
        <v>200</v>
      </c>
    </row>
    <row r="479" spans="1:27" x14ac:dyDescent="0.25">
      <c r="A479" s="12">
        <v>123</v>
      </c>
      <c r="B479" s="12">
        <v>3</v>
      </c>
      <c r="C479">
        <f t="shared" si="42"/>
        <v>12303</v>
      </c>
      <c r="D479" s="3" t="s">
        <v>87</v>
      </c>
      <c r="E479" s="11">
        <f t="shared" si="43"/>
        <v>-22.416666666666668</v>
      </c>
      <c r="F479" s="11">
        <f t="shared" si="44"/>
        <v>-40.383333333333333</v>
      </c>
      <c r="G479" s="12" t="s">
        <v>95</v>
      </c>
      <c r="H479" s="12" t="s">
        <v>13</v>
      </c>
      <c r="I479" s="4">
        <v>38718</v>
      </c>
      <c r="J479" s="12" t="s">
        <v>196</v>
      </c>
      <c r="K479" s="2">
        <v>0</v>
      </c>
      <c r="N479" s="3">
        <v>7230</v>
      </c>
      <c r="Y479" s="3">
        <v>39500</v>
      </c>
      <c r="Z479" s="27" t="s">
        <v>197</v>
      </c>
      <c r="AA479" t="s">
        <v>200</v>
      </c>
    </row>
    <row r="480" spans="1:27" x14ac:dyDescent="0.25">
      <c r="A480" s="12">
        <v>123</v>
      </c>
      <c r="B480" s="12">
        <v>3</v>
      </c>
      <c r="C480">
        <f t="shared" si="42"/>
        <v>12303</v>
      </c>
      <c r="D480" s="3" t="s">
        <v>87</v>
      </c>
      <c r="E480" s="11">
        <f t="shared" si="43"/>
        <v>-22.416666666666668</v>
      </c>
      <c r="F480" s="11">
        <f t="shared" si="44"/>
        <v>-40.383333333333333</v>
      </c>
      <c r="G480" s="12" t="s">
        <v>95</v>
      </c>
      <c r="H480" s="12" t="s">
        <v>13</v>
      </c>
      <c r="I480" s="4">
        <v>38718</v>
      </c>
      <c r="J480" s="12" t="s">
        <v>201</v>
      </c>
      <c r="K480" s="2">
        <v>0</v>
      </c>
      <c r="N480" s="3">
        <v>13600</v>
      </c>
      <c r="Y480" s="3">
        <v>76500</v>
      </c>
      <c r="Z480" s="27" t="s">
        <v>197</v>
      </c>
      <c r="AA480" t="s">
        <v>200</v>
      </c>
    </row>
    <row r="481" spans="1:27" x14ac:dyDescent="0.25">
      <c r="A481" s="12">
        <v>123</v>
      </c>
      <c r="B481" s="12">
        <v>3</v>
      </c>
      <c r="C481">
        <f t="shared" si="42"/>
        <v>12303</v>
      </c>
      <c r="D481" s="3" t="s">
        <v>87</v>
      </c>
      <c r="E481" s="11">
        <f t="shared" si="43"/>
        <v>-22.416666666666668</v>
      </c>
      <c r="F481" s="11">
        <f t="shared" si="44"/>
        <v>-40.383333333333333</v>
      </c>
      <c r="G481" s="12" t="s">
        <v>95</v>
      </c>
      <c r="H481" s="12" t="s">
        <v>13</v>
      </c>
      <c r="I481" s="4">
        <v>38718</v>
      </c>
      <c r="J481" s="12" t="s">
        <v>196</v>
      </c>
      <c r="K481" s="2">
        <v>0</v>
      </c>
      <c r="N481" s="3">
        <v>8620</v>
      </c>
      <c r="Y481" s="3">
        <v>48700</v>
      </c>
      <c r="Z481" s="27" t="s">
        <v>197</v>
      </c>
      <c r="AA481" t="s">
        <v>200</v>
      </c>
    </row>
    <row r="482" spans="1:27" x14ac:dyDescent="0.25">
      <c r="A482" s="12">
        <v>123</v>
      </c>
      <c r="B482" s="12">
        <v>3</v>
      </c>
      <c r="C482">
        <f t="shared" si="42"/>
        <v>12303</v>
      </c>
      <c r="D482" s="3" t="s">
        <v>87</v>
      </c>
      <c r="E482" s="11">
        <f t="shared" si="43"/>
        <v>-22.416666666666668</v>
      </c>
      <c r="F482" s="11">
        <f t="shared" si="44"/>
        <v>-40.383333333333333</v>
      </c>
      <c r="G482" s="12" t="s">
        <v>95</v>
      </c>
      <c r="H482" s="12" t="s">
        <v>13</v>
      </c>
      <c r="I482" s="4">
        <v>38718</v>
      </c>
      <c r="J482" s="12" t="s">
        <v>125</v>
      </c>
      <c r="K482" s="2">
        <v>0</v>
      </c>
      <c r="N482" s="3">
        <v>11400</v>
      </c>
      <c r="Y482" s="3">
        <v>66900</v>
      </c>
      <c r="Z482" s="27" t="s">
        <v>197</v>
      </c>
      <c r="AA482" t="s">
        <v>200</v>
      </c>
    </row>
    <row r="483" spans="1:27" x14ac:dyDescent="0.25">
      <c r="A483" s="12">
        <v>123</v>
      </c>
      <c r="B483" s="12">
        <v>3</v>
      </c>
      <c r="C483">
        <f t="shared" si="42"/>
        <v>12303</v>
      </c>
      <c r="D483" s="3" t="s">
        <v>87</v>
      </c>
      <c r="E483" s="11">
        <f t="shared" si="43"/>
        <v>-22.416666666666668</v>
      </c>
      <c r="F483" s="11">
        <f t="shared" si="44"/>
        <v>-40.383333333333333</v>
      </c>
      <c r="G483" s="12" t="s">
        <v>95</v>
      </c>
      <c r="H483" s="12" t="s">
        <v>13</v>
      </c>
      <c r="I483" s="4">
        <v>38718</v>
      </c>
      <c r="J483" s="12" t="s">
        <v>125</v>
      </c>
      <c r="K483" s="2">
        <v>0</v>
      </c>
      <c r="N483" s="3">
        <v>22800</v>
      </c>
      <c r="Y483" s="3">
        <v>134000</v>
      </c>
      <c r="Z483" s="27" t="s">
        <v>197</v>
      </c>
      <c r="AA483" t="s">
        <v>200</v>
      </c>
    </row>
    <row r="484" spans="1:27" x14ac:dyDescent="0.25">
      <c r="A484" s="12">
        <v>123</v>
      </c>
      <c r="B484" s="12">
        <v>3</v>
      </c>
      <c r="C484">
        <f t="shared" si="42"/>
        <v>12303</v>
      </c>
      <c r="D484" s="3" t="s">
        <v>87</v>
      </c>
      <c r="E484" s="11">
        <f t="shared" si="43"/>
        <v>-22.416666666666668</v>
      </c>
      <c r="F484" s="11">
        <f t="shared" si="44"/>
        <v>-40.383333333333333</v>
      </c>
      <c r="G484" s="12" t="s">
        <v>95</v>
      </c>
      <c r="H484" s="12" t="s">
        <v>13</v>
      </c>
      <c r="I484" s="4">
        <v>38718</v>
      </c>
      <c r="J484" s="12" t="s">
        <v>196</v>
      </c>
      <c r="K484" s="2">
        <v>0</v>
      </c>
      <c r="N484" s="3">
        <v>12000</v>
      </c>
      <c r="Y484" s="3">
        <v>71000</v>
      </c>
      <c r="Z484" s="27" t="s">
        <v>197</v>
      </c>
      <c r="AA484" t="s">
        <v>200</v>
      </c>
    </row>
    <row r="485" spans="1:27" x14ac:dyDescent="0.25">
      <c r="A485" s="12">
        <v>123</v>
      </c>
      <c r="B485" s="12">
        <v>3</v>
      </c>
      <c r="C485">
        <f t="shared" si="42"/>
        <v>12303</v>
      </c>
      <c r="D485" s="3" t="s">
        <v>87</v>
      </c>
      <c r="E485" s="11">
        <f t="shared" si="43"/>
        <v>-22.416666666666668</v>
      </c>
      <c r="F485" s="11">
        <f t="shared" si="44"/>
        <v>-40.383333333333333</v>
      </c>
      <c r="G485" s="12" t="s">
        <v>95</v>
      </c>
      <c r="H485" s="12" t="s">
        <v>13</v>
      </c>
      <c r="I485" s="4">
        <v>38718</v>
      </c>
      <c r="J485" s="12" t="s">
        <v>201</v>
      </c>
      <c r="K485" s="2">
        <v>0</v>
      </c>
      <c r="N485" s="3">
        <v>22800</v>
      </c>
      <c r="Y485" s="3">
        <v>136000</v>
      </c>
      <c r="Z485" s="27" t="s">
        <v>197</v>
      </c>
      <c r="AA485" t="s">
        <v>200</v>
      </c>
    </row>
    <row r="486" spans="1:27" x14ac:dyDescent="0.25">
      <c r="A486" s="12">
        <v>123</v>
      </c>
      <c r="B486" s="12">
        <v>3</v>
      </c>
      <c r="C486">
        <f t="shared" si="42"/>
        <v>12303</v>
      </c>
      <c r="D486" s="3" t="s">
        <v>87</v>
      </c>
      <c r="E486" s="11">
        <f t="shared" si="43"/>
        <v>-22.416666666666668</v>
      </c>
      <c r="F486" s="11">
        <f t="shared" si="44"/>
        <v>-40.383333333333333</v>
      </c>
      <c r="G486" s="12" t="s">
        <v>95</v>
      </c>
      <c r="H486" s="12" t="s">
        <v>13</v>
      </c>
      <c r="I486" s="4">
        <v>38718</v>
      </c>
      <c r="J486" s="12" t="s">
        <v>125</v>
      </c>
      <c r="K486" s="2">
        <v>0</v>
      </c>
      <c r="N486" s="3">
        <v>13900</v>
      </c>
      <c r="Y486" s="3">
        <v>83400</v>
      </c>
      <c r="Z486" s="27" t="s">
        <v>197</v>
      </c>
      <c r="AA486" t="s">
        <v>200</v>
      </c>
    </row>
    <row r="487" spans="1:27" x14ac:dyDescent="0.25">
      <c r="A487" s="12">
        <v>123</v>
      </c>
      <c r="B487" s="12">
        <v>3</v>
      </c>
      <c r="C487">
        <f t="shared" si="42"/>
        <v>12303</v>
      </c>
      <c r="D487" s="3" t="s">
        <v>87</v>
      </c>
      <c r="E487" s="11">
        <f t="shared" si="43"/>
        <v>-22.416666666666668</v>
      </c>
      <c r="F487" s="11">
        <f t="shared" si="44"/>
        <v>-40.383333333333333</v>
      </c>
      <c r="G487" s="12" t="s">
        <v>95</v>
      </c>
      <c r="H487" s="12" t="s">
        <v>13</v>
      </c>
      <c r="I487" s="4">
        <v>38718</v>
      </c>
      <c r="J487" s="12" t="s">
        <v>201</v>
      </c>
      <c r="K487" s="2">
        <v>0</v>
      </c>
      <c r="N487" s="3">
        <v>17900</v>
      </c>
      <c r="Y487" s="3">
        <v>108000</v>
      </c>
      <c r="Z487" s="27" t="s">
        <v>197</v>
      </c>
      <c r="AA487" t="s">
        <v>200</v>
      </c>
    </row>
    <row r="488" spans="1:27" x14ac:dyDescent="0.25">
      <c r="A488" s="12">
        <v>123</v>
      </c>
      <c r="B488" s="12">
        <v>3</v>
      </c>
      <c r="C488">
        <f t="shared" si="42"/>
        <v>12303</v>
      </c>
      <c r="D488" s="3" t="s">
        <v>87</v>
      </c>
      <c r="E488" s="11">
        <f t="shared" si="43"/>
        <v>-22.416666666666668</v>
      </c>
      <c r="F488" s="11">
        <f t="shared" si="44"/>
        <v>-40.383333333333333</v>
      </c>
      <c r="G488" s="12" t="s">
        <v>95</v>
      </c>
      <c r="H488" s="12" t="s">
        <v>13</v>
      </c>
      <c r="I488" s="4">
        <v>38718</v>
      </c>
      <c r="J488" s="12" t="s">
        <v>201</v>
      </c>
      <c r="K488" s="2">
        <v>0</v>
      </c>
      <c r="N488" s="3">
        <v>25600</v>
      </c>
      <c r="Y488" s="3">
        <v>155000</v>
      </c>
      <c r="Z488" s="27" t="s">
        <v>197</v>
      </c>
      <c r="AA488" t="s">
        <v>200</v>
      </c>
    </row>
    <row r="489" spans="1:27" x14ac:dyDescent="0.25">
      <c r="A489" s="12">
        <v>123</v>
      </c>
      <c r="B489" s="12">
        <v>3</v>
      </c>
      <c r="C489">
        <f t="shared" si="42"/>
        <v>12303</v>
      </c>
      <c r="D489" s="3" t="s">
        <v>87</v>
      </c>
      <c r="E489" s="11">
        <f t="shared" si="43"/>
        <v>-22.416666666666668</v>
      </c>
      <c r="F489" s="11">
        <f t="shared" si="44"/>
        <v>-40.383333333333333</v>
      </c>
      <c r="G489" s="12" t="s">
        <v>95</v>
      </c>
      <c r="H489" s="12" t="s">
        <v>13</v>
      </c>
      <c r="I489" s="4">
        <v>38718</v>
      </c>
      <c r="J489" s="12" t="s">
        <v>125</v>
      </c>
      <c r="K489" s="2">
        <v>0</v>
      </c>
      <c r="N489" s="3">
        <v>12400</v>
      </c>
      <c r="Y489" s="3">
        <v>75200</v>
      </c>
      <c r="Z489" s="27" t="s">
        <v>197</v>
      </c>
      <c r="AA489" t="s">
        <v>200</v>
      </c>
    </row>
    <row r="490" spans="1:27" x14ac:dyDescent="0.25">
      <c r="A490" s="12">
        <v>123</v>
      </c>
      <c r="B490" s="12">
        <v>3</v>
      </c>
      <c r="C490">
        <f t="shared" si="42"/>
        <v>12303</v>
      </c>
      <c r="D490" s="3" t="s">
        <v>87</v>
      </c>
      <c r="E490" s="11">
        <f t="shared" si="43"/>
        <v>-22.416666666666668</v>
      </c>
      <c r="F490" s="11">
        <f t="shared" si="44"/>
        <v>-40.383333333333333</v>
      </c>
      <c r="G490" s="12" t="s">
        <v>95</v>
      </c>
      <c r="H490" s="12" t="s">
        <v>13</v>
      </c>
      <c r="I490" s="4">
        <v>38718</v>
      </c>
      <c r="J490" s="12" t="s">
        <v>201</v>
      </c>
      <c r="K490" s="2">
        <v>0</v>
      </c>
      <c r="N490" s="3">
        <v>32700.000000000004</v>
      </c>
      <c r="Y490" s="3">
        <v>199000</v>
      </c>
      <c r="Z490" s="27" t="s">
        <v>197</v>
      </c>
      <c r="AA490" t="s">
        <v>200</v>
      </c>
    </row>
    <row r="491" spans="1:27" x14ac:dyDescent="0.25">
      <c r="A491" s="12">
        <v>123</v>
      </c>
      <c r="B491" s="12">
        <v>3</v>
      </c>
      <c r="C491">
        <f t="shared" si="42"/>
        <v>12303</v>
      </c>
      <c r="D491" s="3" t="s">
        <v>87</v>
      </c>
      <c r="E491" s="11">
        <f t="shared" si="43"/>
        <v>-22.416666666666668</v>
      </c>
      <c r="F491" s="11">
        <f t="shared" si="44"/>
        <v>-40.383333333333333</v>
      </c>
      <c r="G491" s="12" t="s">
        <v>95</v>
      </c>
      <c r="H491" s="12" t="s">
        <v>13</v>
      </c>
      <c r="I491" s="4">
        <v>38718</v>
      </c>
      <c r="J491" s="12" t="s">
        <v>125</v>
      </c>
      <c r="K491" s="2">
        <v>0</v>
      </c>
      <c r="N491" s="3">
        <v>22400</v>
      </c>
      <c r="Y491" s="3">
        <v>137000</v>
      </c>
      <c r="Z491" s="27" t="s">
        <v>197</v>
      </c>
      <c r="AA491" t="s">
        <v>200</v>
      </c>
    </row>
    <row r="492" spans="1:27" x14ac:dyDescent="0.25">
      <c r="A492" s="12">
        <v>123</v>
      </c>
      <c r="B492" s="12">
        <v>3</v>
      </c>
      <c r="C492">
        <f t="shared" si="42"/>
        <v>12303</v>
      </c>
      <c r="D492" s="3" t="s">
        <v>87</v>
      </c>
      <c r="E492" s="11">
        <f t="shared" si="43"/>
        <v>-22.416666666666668</v>
      </c>
      <c r="F492" s="11">
        <f t="shared" si="44"/>
        <v>-40.383333333333333</v>
      </c>
      <c r="G492" s="12" t="s">
        <v>95</v>
      </c>
      <c r="H492" s="12" t="s">
        <v>13</v>
      </c>
      <c r="I492" s="4">
        <v>38718</v>
      </c>
      <c r="J492" s="12" t="s">
        <v>125</v>
      </c>
      <c r="K492" s="2">
        <v>0</v>
      </c>
      <c r="N492" s="3">
        <v>22300</v>
      </c>
      <c r="Y492" s="3">
        <v>138000</v>
      </c>
      <c r="Z492" s="27" t="s">
        <v>197</v>
      </c>
      <c r="AA492" t="s">
        <v>200</v>
      </c>
    </row>
    <row r="493" spans="1:27" x14ac:dyDescent="0.25">
      <c r="A493" s="12">
        <v>123</v>
      </c>
      <c r="B493" s="12">
        <v>3</v>
      </c>
      <c r="C493">
        <f t="shared" si="42"/>
        <v>12303</v>
      </c>
      <c r="D493" s="3" t="s">
        <v>87</v>
      </c>
      <c r="E493" s="11">
        <f t="shared" si="43"/>
        <v>-22.416666666666668</v>
      </c>
      <c r="F493" s="11">
        <f t="shared" si="44"/>
        <v>-40.383333333333333</v>
      </c>
      <c r="G493" s="12" t="s">
        <v>95</v>
      </c>
      <c r="H493" s="12" t="s">
        <v>13</v>
      </c>
      <c r="I493" s="4">
        <v>38718</v>
      </c>
      <c r="J493" s="12" t="s">
        <v>196</v>
      </c>
      <c r="K493" s="2">
        <v>0</v>
      </c>
      <c r="N493" s="3">
        <v>15000</v>
      </c>
      <c r="Y493" s="3">
        <v>93000</v>
      </c>
      <c r="Z493" s="27" t="s">
        <v>197</v>
      </c>
      <c r="AA493" t="s">
        <v>200</v>
      </c>
    </row>
    <row r="494" spans="1:27" x14ac:dyDescent="0.25">
      <c r="A494" s="12">
        <v>123</v>
      </c>
      <c r="B494" s="12">
        <v>3</v>
      </c>
      <c r="C494">
        <f t="shared" si="42"/>
        <v>12303</v>
      </c>
      <c r="D494" s="3" t="s">
        <v>87</v>
      </c>
      <c r="E494" s="11">
        <f t="shared" si="43"/>
        <v>-22.416666666666668</v>
      </c>
      <c r="F494" s="11">
        <f t="shared" si="44"/>
        <v>-40.383333333333333</v>
      </c>
      <c r="G494" s="12" t="s">
        <v>95</v>
      </c>
      <c r="H494" s="12" t="s">
        <v>13</v>
      </c>
      <c r="I494" s="4">
        <v>38718</v>
      </c>
      <c r="J494" s="12" t="s">
        <v>125</v>
      </c>
      <c r="K494" s="2">
        <v>0</v>
      </c>
      <c r="N494" s="3">
        <v>27400</v>
      </c>
      <c r="Y494" s="3">
        <v>170000</v>
      </c>
      <c r="Z494" s="27" t="s">
        <v>197</v>
      </c>
      <c r="AA494" t="s">
        <v>200</v>
      </c>
    </row>
    <row r="495" spans="1:27" x14ac:dyDescent="0.25">
      <c r="A495" s="12">
        <v>123</v>
      </c>
      <c r="B495" s="12">
        <v>3</v>
      </c>
      <c r="C495">
        <f t="shared" si="42"/>
        <v>12303</v>
      </c>
      <c r="D495" s="3" t="s">
        <v>87</v>
      </c>
      <c r="E495" s="11">
        <f t="shared" si="43"/>
        <v>-22.416666666666668</v>
      </c>
      <c r="F495" s="11">
        <f t="shared" si="44"/>
        <v>-40.383333333333333</v>
      </c>
      <c r="G495" s="12" t="s">
        <v>95</v>
      </c>
      <c r="H495" s="12" t="s">
        <v>13</v>
      </c>
      <c r="I495" s="4">
        <v>38718</v>
      </c>
      <c r="J495" s="12" t="s">
        <v>125</v>
      </c>
      <c r="K495" s="2">
        <v>0</v>
      </c>
      <c r="N495" s="3">
        <v>20600</v>
      </c>
      <c r="Y495" s="3">
        <v>128000</v>
      </c>
      <c r="Z495" s="27" t="s">
        <v>197</v>
      </c>
      <c r="AA495" t="s">
        <v>200</v>
      </c>
    </row>
    <row r="496" spans="1:27" x14ac:dyDescent="0.25">
      <c r="A496" s="12">
        <v>123</v>
      </c>
      <c r="B496" s="12">
        <v>3</v>
      </c>
      <c r="C496">
        <f t="shared" si="42"/>
        <v>12303</v>
      </c>
      <c r="D496" s="3" t="s">
        <v>87</v>
      </c>
      <c r="E496" s="11">
        <f t="shared" si="43"/>
        <v>-22.416666666666668</v>
      </c>
      <c r="F496" s="11">
        <f t="shared" si="44"/>
        <v>-40.383333333333333</v>
      </c>
      <c r="G496" s="12" t="s">
        <v>95</v>
      </c>
      <c r="H496" s="12" t="s">
        <v>13</v>
      </c>
      <c r="I496" s="4">
        <v>38718</v>
      </c>
      <c r="J496" s="12" t="s">
        <v>125</v>
      </c>
      <c r="K496" s="2">
        <v>0</v>
      </c>
      <c r="N496" s="3">
        <v>31500</v>
      </c>
      <c r="Y496" s="3">
        <v>196000</v>
      </c>
      <c r="Z496" s="27" t="s">
        <v>197</v>
      </c>
      <c r="AA496" t="s">
        <v>200</v>
      </c>
    </row>
    <row r="497" spans="1:27" x14ac:dyDescent="0.25">
      <c r="A497" s="12">
        <v>123</v>
      </c>
      <c r="B497" s="12">
        <v>3</v>
      </c>
      <c r="C497">
        <f t="shared" si="42"/>
        <v>12303</v>
      </c>
      <c r="D497" s="3" t="s">
        <v>87</v>
      </c>
      <c r="E497" s="11">
        <f t="shared" si="43"/>
        <v>-22.416666666666668</v>
      </c>
      <c r="F497" s="11">
        <f t="shared" si="44"/>
        <v>-40.383333333333333</v>
      </c>
      <c r="G497" s="12" t="s">
        <v>95</v>
      </c>
      <c r="H497" s="12" t="s">
        <v>13</v>
      </c>
      <c r="I497" s="4">
        <v>38718</v>
      </c>
      <c r="J497" s="12" t="s">
        <v>125</v>
      </c>
      <c r="K497" s="2">
        <v>0</v>
      </c>
      <c r="N497" s="3">
        <v>28300</v>
      </c>
      <c r="Y497" s="3">
        <v>177000</v>
      </c>
      <c r="Z497" s="27" t="s">
        <v>197</v>
      </c>
      <c r="AA497" t="s">
        <v>200</v>
      </c>
    </row>
    <row r="498" spans="1:27" x14ac:dyDescent="0.25">
      <c r="A498" s="12">
        <v>123</v>
      </c>
      <c r="B498" s="12">
        <v>3</v>
      </c>
      <c r="C498">
        <f t="shared" si="42"/>
        <v>12303</v>
      </c>
      <c r="D498" s="3" t="s">
        <v>87</v>
      </c>
      <c r="E498" s="11">
        <f t="shared" si="43"/>
        <v>-22.416666666666668</v>
      </c>
      <c r="F498" s="11">
        <f t="shared" si="44"/>
        <v>-40.383333333333333</v>
      </c>
      <c r="G498" s="12" t="s">
        <v>95</v>
      </c>
      <c r="H498" s="12" t="s">
        <v>13</v>
      </c>
      <c r="I498" s="4">
        <v>38718</v>
      </c>
      <c r="J498" s="12" t="s">
        <v>125</v>
      </c>
      <c r="K498" s="2">
        <v>0</v>
      </c>
      <c r="N498" s="3">
        <v>28000</v>
      </c>
      <c r="Y498" s="3">
        <v>177000</v>
      </c>
      <c r="Z498" s="27" t="s">
        <v>197</v>
      </c>
      <c r="AA498" t="s">
        <v>200</v>
      </c>
    </row>
    <row r="499" spans="1:27" x14ac:dyDescent="0.25">
      <c r="A499" s="12">
        <v>123</v>
      </c>
      <c r="B499" s="12">
        <v>3</v>
      </c>
      <c r="C499">
        <f t="shared" si="42"/>
        <v>12303</v>
      </c>
      <c r="D499" s="3" t="s">
        <v>87</v>
      </c>
      <c r="E499" s="11">
        <f t="shared" si="43"/>
        <v>-22.416666666666668</v>
      </c>
      <c r="F499" s="11">
        <f t="shared" si="44"/>
        <v>-40.383333333333333</v>
      </c>
      <c r="G499" s="12" t="s">
        <v>95</v>
      </c>
      <c r="H499" s="12" t="s">
        <v>13</v>
      </c>
      <c r="I499" s="4">
        <v>38718</v>
      </c>
      <c r="J499" s="12" t="s">
        <v>125</v>
      </c>
      <c r="K499" s="2">
        <v>0</v>
      </c>
      <c r="N499" s="3">
        <v>24400</v>
      </c>
      <c r="Y499" s="3">
        <v>155000</v>
      </c>
      <c r="Z499" s="27" t="s">
        <v>197</v>
      </c>
      <c r="AA499" t="s">
        <v>200</v>
      </c>
    </row>
    <row r="500" spans="1:27" x14ac:dyDescent="0.25">
      <c r="A500" s="12">
        <v>123</v>
      </c>
      <c r="B500" s="12">
        <v>3</v>
      </c>
      <c r="C500">
        <f t="shared" si="42"/>
        <v>12303</v>
      </c>
      <c r="D500" s="3" t="s">
        <v>87</v>
      </c>
      <c r="E500" s="11">
        <f t="shared" si="43"/>
        <v>-22.416666666666668</v>
      </c>
      <c r="F500" s="11">
        <f t="shared" si="44"/>
        <v>-40.383333333333333</v>
      </c>
      <c r="G500" s="12" t="s">
        <v>95</v>
      </c>
      <c r="H500" s="12" t="s">
        <v>13</v>
      </c>
      <c r="I500" s="4">
        <v>38718</v>
      </c>
      <c r="J500" s="12" t="s">
        <v>125</v>
      </c>
      <c r="K500" s="2">
        <v>0</v>
      </c>
      <c r="N500" s="3">
        <v>27300</v>
      </c>
      <c r="Y500" s="3">
        <v>174000</v>
      </c>
      <c r="Z500" s="27" t="s">
        <v>197</v>
      </c>
      <c r="AA500" t="s">
        <v>200</v>
      </c>
    </row>
    <row r="501" spans="1:27" x14ac:dyDescent="0.25">
      <c r="A501" s="12">
        <v>123</v>
      </c>
      <c r="B501" s="12">
        <v>3</v>
      </c>
      <c r="C501">
        <f t="shared" si="42"/>
        <v>12303</v>
      </c>
      <c r="D501" s="3" t="s">
        <v>87</v>
      </c>
      <c r="E501" s="11">
        <f t="shared" si="43"/>
        <v>-22.416666666666668</v>
      </c>
      <c r="F501" s="11">
        <f t="shared" si="44"/>
        <v>-40.383333333333333</v>
      </c>
      <c r="G501" s="12" t="s">
        <v>95</v>
      </c>
      <c r="H501" s="12" t="s">
        <v>13</v>
      </c>
      <c r="I501" s="4">
        <v>38718</v>
      </c>
      <c r="J501" s="12" t="s">
        <v>196</v>
      </c>
      <c r="K501" s="2">
        <v>0</v>
      </c>
      <c r="N501" s="3">
        <v>24100</v>
      </c>
      <c r="Y501" s="3">
        <v>154000</v>
      </c>
      <c r="Z501" s="27" t="s">
        <v>197</v>
      </c>
      <c r="AA501" t="s">
        <v>200</v>
      </c>
    </row>
    <row r="502" spans="1:27" x14ac:dyDescent="0.25">
      <c r="A502" s="12">
        <v>123</v>
      </c>
      <c r="B502" s="12">
        <v>3</v>
      </c>
      <c r="C502">
        <f t="shared" si="42"/>
        <v>12303</v>
      </c>
      <c r="D502" s="3" t="s">
        <v>87</v>
      </c>
      <c r="E502" s="11">
        <f t="shared" si="43"/>
        <v>-22.416666666666668</v>
      </c>
      <c r="F502" s="11">
        <f t="shared" si="44"/>
        <v>-40.383333333333333</v>
      </c>
      <c r="G502" s="12" t="s">
        <v>95</v>
      </c>
      <c r="H502" s="12" t="s">
        <v>13</v>
      </c>
      <c r="I502" s="4">
        <v>38718</v>
      </c>
      <c r="J502" s="12" t="s">
        <v>125</v>
      </c>
      <c r="K502" s="2">
        <v>0</v>
      </c>
      <c r="N502" s="3">
        <v>34600</v>
      </c>
      <c r="Y502" s="3">
        <v>222000</v>
      </c>
      <c r="Z502" s="27" t="s">
        <v>197</v>
      </c>
      <c r="AA502" t="s">
        <v>200</v>
      </c>
    </row>
    <row r="503" spans="1:27" x14ac:dyDescent="0.25">
      <c r="A503" s="12">
        <v>123</v>
      </c>
      <c r="B503" s="12">
        <v>3</v>
      </c>
      <c r="C503">
        <f t="shared" si="42"/>
        <v>12303</v>
      </c>
      <c r="D503" s="3" t="s">
        <v>87</v>
      </c>
      <c r="E503" s="11">
        <f t="shared" si="43"/>
        <v>-22.416666666666668</v>
      </c>
      <c r="F503" s="11">
        <f t="shared" si="44"/>
        <v>-40.383333333333333</v>
      </c>
      <c r="G503" s="12" t="s">
        <v>95</v>
      </c>
      <c r="H503" s="12" t="s">
        <v>13</v>
      </c>
      <c r="I503" s="4">
        <v>38718</v>
      </c>
      <c r="J503" s="12" t="s">
        <v>125</v>
      </c>
      <c r="K503" s="2">
        <v>0</v>
      </c>
      <c r="N503" s="3">
        <v>14800</v>
      </c>
      <c r="Y503" s="3">
        <v>95200</v>
      </c>
      <c r="Z503" s="27" t="s">
        <v>197</v>
      </c>
      <c r="AA503" t="s">
        <v>200</v>
      </c>
    </row>
    <row r="504" spans="1:27" x14ac:dyDescent="0.25">
      <c r="A504" s="12">
        <v>123</v>
      </c>
      <c r="B504" s="12">
        <v>3</v>
      </c>
      <c r="C504">
        <f t="shared" si="42"/>
        <v>12303</v>
      </c>
      <c r="D504" s="3" t="s">
        <v>87</v>
      </c>
      <c r="E504" s="11">
        <f t="shared" si="43"/>
        <v>-22.416666666666668</v>
      </c>
      <c r="F504" s="11">
        <f t="shared" si="44"/>
        <v>-40.383333333333333</v>
      </c>
      <c r="G504" s="12" t="s">
        <v>95</v>
      </c>
      <c r="H504" s="12" t="s">
        <v>13</v>
      </c>
      <c r="I504" s="4">
        <v>38718</v>
      </c>
      <c r="J504" s="12" t="s">
        <v>125</v>
      </c>
      <c r="K504" s="2">
        <v>0</v>
      </c>
      <c r="N504" s="3">
        <v>25600</v>
      </c>
      <c r="Y504" s="3">
        <v>166000</v>
      </c>
      <c r="Z504" s="27" t="s">
        <v>197</v>
      </c>
      <c r="AA504" t="s">
        <v>200</v>
      </c>
    </row>
    <row r="505" spans="1:27" x14ac:dyDescent="0.25">
      <c r="A505" s="12">
        <v>123</v>
      </c>
      <c r="B505" s="12">
        <v>3</v>
      </c>
      <c r="C505">
        <f t="shared" si="42"/>
        <v>12303</v>
      </c>
      <c r="D505" s="3" t="s">
        <v>87</v>
      </c>
      <c r="E505" s="11">
        <f t="shared" si="43"/>
        <v>-22.416666666666668</v>
      </c>
      <c r="F505" s="11">
        <f t="shared" si="44"/>
        <v>-40.383333333333333</v>
      </c>
      <c r="G505" s="12" t="s">
        <v>95</v>
      </c>
      <c r="H505" s="12" t="s">
        <v>13</v>
      </c>
      <c r="I505" s="4">
        <v>38718</v>
      </c>
      <c r="J505" s="12" t="s">
        <v>125</v>
      </c>
      <c r="K505" s="2">
        <v>0</v>
      </c>
      <c r="N505" s="3">
        <v>24400</v>
      </c>
      <c r="Y505" s="3">
        <v>169000</v>
      </c>
      <c r="Z505" s="27" t="s">
        <v>197</v>
      </c>
      <c r="AA505" t="s">
        <v>200</v>
      </c>
    </row>
    <row r="506" spans="1:27" x14ac:dyDescent="0.25">
      <c r="A506" s="12">
        <v>123</v>
      </c>
      <c r="B506" s="12">
        <v>3</v>
      </c>
      <c r="C506">
        <f t="shared" si="42"/>
        <v>12303</v>
      </c>
      <c r="D506" s="3" t="s">
        <v>86</v>
      </c>
      <c r="E506" s="11">
        <f t="shared" ref="E506:E524" si="45">-(22+27/60+2/3600)</f>
        <v>-22.450555555555553</v>
      </c>
      <c r="F506" s="11">
        <f t="shared" ref="F506:F524" si="46">-(40+24/60+42/3600)</f>
        <v>-40.411666666666662</v>
      </c>
      <c r="G506" s="12" t="s">
        <v>95</v>
      </c>
      <c r="H506" s="12" t="s">
        <v>13</v>
      </c>
      <c r="I506" s="4">
        <v>38718</v>
      </c>
      <c r="J506" s="12" t="s">
        <v>201</v>
      </c>
      <c r="K506" s="2">
        <v>0</v>
      </c>
      <c r="N506" s="3">
        <v>660</v>
      </c>
      <c r="Y506" s="3">
        <v>760</v>
      </c>
      <c r="Z506" s="27" t="s">
        <v>197</v>
      </c>
      <c r="AA506" t="s">
        <v>205</v>
      </c>
    </row>
    <row r="507" spans="1:27" x14ac:dyDescent="0.25">
      <c r="A507" s="12">
        <v>123</v>
      </c>
      <c r="B507" s="12">
        <v>3</v>
      </c>
      <c r="C507">
        <f t="shared" si="42"/>
        <v>12303</v>
      </c>
      <c r="D507" s="3" t="s">
        <v>86</v>
      </c>
      <c r="E507" s="11">
        <f t="shared" si="45"/>
        <v>-22.450555555555553</v>
      </c>
      <c r="F507" s="11">
        <f t="shared" si="46"/>
        <v>-40.411666666666662</v>
      </c>
      <c r="G507" s="12" t="s">
        <v>95</v>
      </c>
      <c r="H507" s="12" t="s">
        <v>13</v>
      </c>
      <c r="I507" s="4">
        <v>38718</v>
      </c>
      <c r="J507" s="12" t="s">
        <v>125</v>
      </c>
      <c r="K507" s="2">
        <v>0</v>
      </c>
      <c r="N507" s="3">
        <v>15400</v>
      </c>
      <c r="Y507" s="3">
        <v>23700</v>
      </c>
      <c r="Z507" s="27" t="s">
        <v>197</v>
      </c>
      <c r="AA507" t="s">
        <v>205</v>
      </c>
    </row>
    <row r="508" spans="1:27" x14ac:dyDescent="0.25">
      <c r="A508" s="12">
        <v>123</v>
      </c>
      <c r="B508" s="12">
        <v>3</v>
      </c>
      <c r="C508">
        <f t="shared" si="42"/>
        <v>12303</v>
      </c>
      <c r="D508" s="3" t="s">
        <v>86</v>
      </c>
      <c r="E508" s="11">
        <f t="shared" si="45"/>
        <v>-22.450555555555553</v>
      </c>
      <c r="F508" s="11">
        <f t="shared" si="46"/>
        <v>-40.411666666666662</v>
      </c>
      <c r="G508" s="12" t="s">
        <v>95</v>
      </c>
      <c r="H508" s="12" t="s">
        <v>13</v>
      </c>
      <c r="I508" s="4">
        <v>38718</v>
      </c>
      <c r="J508" s="12" t="s">
        <v>201</v>
      </c>
      <c r="K508" s="2">
        <v>0</v>
      </c>
      <c r="N508" s="3">
        <v>17000</v>
      </c>
      <c r="Y508" s="3">
        <v>27000</v>
      </c>
      <c r="Z508" s="27" t="s">
        <v>197</v>
      </c>
      <c r="AA508" t="s">
        <v>205</v>
      </c>
    </row>
    <row r="509" spans="1:27" x14ac:dyDescent="0.25">
      <c r="A509" s="12">
        <v>123</v>
      </c>
      <c r="B509" s="12">
        <v>3</v>
      </c>
      <c r="C509">
        <f t="shared" si="42"/>
        <v>12303</v>
      </c>
      <c r="D509" s="3" t="s">
        <v>86</v>
      </c>
      <c r="E509" s="11">
        <f t="shared" si="45"/>
        <v>-22.450555555555553</v>
      </c>
      <c r="F509" s="11">
        <f t="shared" si="46"/>
        <v>-40.411666666666662</v>
      </c>
      <c r="G509" s="12" t="s">
        <v>95</v>
      </c>
      <c r="H509" s="12" t="s">
        <v>13</v>
      </c>
      <c r="I509" s="4">
        <v>38718</v>
      </c>
      <c r="J509" s="12" t="s">
        <v>196</v>
      </c>
      <c r="K509" s="2">
        <v>0</v>
      </c>
      <c r="N509" s="3">
        <v>14500</v>
      </c>
      <c r="Y509" s="3">
        <v>23600</v>
      </c>
      <c r="Z509" s="27" t="s">
        <v>197</v>
      </c>
      <c r="AA509" t="s">
        <v>205</v>
      </c>
    </row>
    <row r="510" spans="1:27" x14ac:dyDescent="0.25">
      <c r="A510" s="12">
        <v>123</v>
      </c>
      <c r="B510" s="12">
        <v>3</v>
      </c>
      <c r="C510">
        <f t="shared" si="42"/>
        <v>12303</v>
      </c>
      <c r="D510" s="3" t="s">
        <v>86</v>
      </c>
      <c r="E510" s="11">
        <f t="shared" si="45"/>
        <v>-22.450555555555553</v>
      </c>
      <c r="F510" s="11">
        <f t="shared" si="46"/>
        <v>-40.411666666666662</v>
      </c>
      <c r="G510" s="12" t="s">
        <v>95</v>
      </c>
      <c r="H510" s="12" t="s">
        <v>13</v>
      </c>
      <c r="I510" s="4">
        <v>38718</v>
      </c>
      <c r="J510" s="12" t="s">
        <v>196</v>
      </c>
      <c r="K510" s="2">
        <v>0</v>
      </c>
      <c r="N510" s="3">
        <v>950</v>
      </c>
      <c r="Y510" s="3">
        <v>1580</v>
      </c>
      <c r="Z510" s="27" t="s">
        <v>197</v>
      </c>
      <c r="AA510" t="s">
        <v>205</v>
      </c>
    </row>
    <row r="511" spans="1:27" x14ac:dyDescent="0.25">
      <c r="A511" s="12">
        <v>123</v>
      </c>
      <c r="B511" s="12">
        <v>3</v>
      </c>
      <c r="C511">
        <f t="shared" si="42"/>
        <v>12303</v>
      </c>
      <c r="D511" s="3" t="s">
        <v>86</v>
      </c>
      <c r="E511" s="11">
        <f t="shared" si="45"/>
        <v>-22.450555555555553</v>
      </c>
      <c r="F511" s="11">
        <f t="shared" si="46"/>
        <v>-40.411666666666662</v>
      </c>
      <c r="G511" s="12" t="s">
        <v>95</v>
      </c>
      <c r="H511" s="12" t="s">
        <v>13</v>
      </c>
      <c r="I511" s="4">
        <v>38718</v>
      </c>
      <c r="J511" s="12" t="s">
        <v>201</v>
      </c>
      <c r="K511" s="2">
        <v>0</v>
      </c>
      <c r="N511" s="3">
        <v>13900</v>
      </c>
      <c r="Y511" s="3">
        <v>23600</v>
      </c>
      <c r="Z511" s="27" t="s">
        <v>197</v>
      </c>
      <c r="AA511" t="s">
        <v>205</v>
      </c>
    </row>
    <row r="512" spans="1:27" x14ac:dyDescent="0.25">
      <c r="A512" s="12">
        <v>123</v>
      </c>
      <c r="B512" s="12">
        <v>3</v>
      </c>
      <c r="C512">
        <f t="shared" si="42"/>
        <v>12303</v>
      </c>
      <c r="D512" s="3" t="s">
        <v>86</v>
      </c>
      <c r="E512" s="11">
        <f t="shared" si="45"/>
        <v>-22.450555555555553</v>
      </c>
      <c r="F512" s="11">
        <f t="shared" si="46"/>
        <v>-40.411666666666662</v>
      </c>
      <c r="G512" s="12" t="s">
        <v>95</v>
      </c>
      <c r="H512" s="12" t="s">
        <v>13</v>
      </c>
      <c r="I512" s="4">
        <v>38718</v>
      </c>
      <c r="J512" s="12" t="s">
        <v>201</v>
      </c>
      <c r="K512" s="2">
        <v>0</v>
      </c>
      <c r="N512" s="3">
        <v>1000</v>
      </c>
      <c r="Y512" s="3">
        <v>1700</v>
      </c>
      <c r="Z512" s="27" t="s">
        <v>197</v>
      </c>
      <c r="AA512" t="s">
        <v>205</v>
      </c>
    </row>
    <row r="513" spans="1:27" x14ac:dyDescent="0.25">
      <c r="A513" s="12">
        <v>123</v>
      </c>
      <c r="B513" s="12">
        <v>3</v>
      </c>
      <c r="C513">
        <f t="shared" si="42"/>
        <v>12303</v>
      </c>
      <c r="D513" s="3" t="s">
        <v>86</v>
      </c>
      <c r="E513" s="11">
        <f t="shared" si="45"/>
        <v>-22.450555555555553</v>
      </c>
      <c r="F513" s="11">
        <f t="shared" si="46"/>
        <v>-40.411666666666662</v>
      </c>
      <c r="G513" s="12" t="s">
        <v>95</v>
      </c>
      <c r="H513" s="12" t="s">
        <v>13</v>
      </c>
      <c r="I513" s="4">
        <v>38718</v>
      </c>
      <c r="J513" s="12" t="s">
        <v>201</v>
      </c>
      <c r="K513" s="2">
        <v>0</v>
      </c>
      <c r="N513" s="3">
        <v>14000</v>
      </c>
      <c r="Y513" s="3">
        <v>24900</v>
      </c>
      <c r="Z513" s="27" t="s">
        <v>197</v>
      </c>
      <c r="AA513" t="s">
        <v>205</v>
      </c>
    </row>
    <row r="514" spans="1:27" x14ac:dyDescent="0.25">
      <c r="A514" s="12">
        <v>123</v>
      </c>
      <c r="B514" s="12">
        <v>3</v>
      </c>
      <c r="C514">
        <f t="shared" si="42"/>
        <v>12303</v>
      </c>
      <c r="D514" s="3" t="s">
        <v>86</v>
      </c>
      <c r="E514" s="11">
        <f t="shared" si="45"/>
        <v>-22.450555555555553</v>
      </c>
      <c r="F514" s="11">
        <f t="shared" si="46"/>
        <v>-40.411666666666662</v>
      </c>
      <c r="G514" s="12" t="s">
        <v>95</v>
      </c>
      <c r="H514" s="12" t="s">
        <v>13</v>
      </c>
      <c r="I514" s="4">
        <v>38718</v>
      </c>
      <c r="J514" s="12" t="s">
        <v>201</v>
      </c>
      <c r="K514" s="2">
        <v>0</v>
      </c>
      <c r="N514" s="3">
        <v>1380</v>
      </c>
      <c r="Y514" s="3">
        <v>2470</v>
      </c>
      <c r="Z514" s="27" t="s">
        <v>197</v>
      </c>
      <c r="AA514" t="s">
        <v>205</v>
      </c>
    </row>
    <row r="515" spans="1:27" x14ac:dyDescent="0.25">
      <c r="A515" s="12">
        <v>123</v>
      </c>
      <c r="B515" s="12">
        <v>3</v>
      </c>
      <c r="C515">
        <f t="shared" ref="C515:C578" si="47">A515*100+B515</f>
        <v>12303</v>
      </c>
      <c r="D515" s="3" t="s">
        <v>86</v>
      </c>
      <c r="E515" s="11">
        <f t="shared" si="45"/>
        <v>-22.450555555555553</v>
      </c>
      <c r="F515" s="11">
        <f t="shared" si="46"/>
        <v>-40.411666666666662</v>
      </c>
      <c r="G515" s="12" t="s">
        <v>95</v>
      </c>
      <c r="H515" s="12" t="s">
        <v>13</v>
      </c>
      <c r="I515" s="4">
        <v>38718</v>
      </c>
      <c r="J515" s="12" t="s">
        <v>201</v>
      </c>
      <c r="K515" s="2">
        <v>0</v>
      </c>
      <c r="N515" s="3">
        <v>13100</v>
      </c>
      <c r="Y515" s="3">
        <v>23600</v>
      </c>
      <c r="Z515" s="27" t="s">
        <v>197</v>
      </c>
      <c r="AA515" t="s">
        <v>205</v>
      </c>
    </row>
    <row r="516" spans="1:27" x14ac:dyDescent="0.25">
      <c r="A516" s="12">
        <v>123</v>
      </c>
      <c r="B516" s="12">
        <v>3</v>
      </c>
      <c r="C516">
        <f t="shared" si="47"/>
        <v>12303</v>
      </c>
      <c r="D516" s="3" t="s">
        <v>86</v>
      </c>
      <c r="E516" s="11">
        <f t="shared" si="45"/>
        <v>-22.450555555555553</v>
      </c>
      <c r="F516" s="11">
        <f t="shared" si="46"/>
        <v>-40.411666666666662</v>
      </c>
      <c r="G516" s="12" t="s">
        <v>95</v>
      </c>
      <c r="H516" s="12" t="s">
        <v>13</v>
      </c>
      <c r="I516" s="4">
        <v>38718</v>
      </c>
      <c r="J516" s="12" t="s">
        <v>201</v>
      </c>
      <c r="K516" s="2">
        <v>0</v>
      </c>
      <c r="N516" s="3">
        <v>12700</v>
      </c>
      <c r="Y516" s="3">
        <v>23600</v>
      </c>
      <c r="Z516" s="27" t="s">
        <v>197</v>
      </c>
      <c r="AA516" t="s">
        <v>205</v>
      </c>
    </row>
    <row r="517" spans="1:27" x14ac:dyDescent="0.25">
      <c r="A517" s="12">
        <v>123</v>
      </c>
      <c r="B517" s="12">
        <v>3</v>
      </c>
      <c r="C517">
        <f t="shared" si="47"/>
        <v>12303</v>
      </c>
      <c r="D517" s="3" t="s">
        <v>86</v>
      </c>
      <c r="E517" s="11">
        <f t="shared" si="45"/>
        <v>-22.450555555555553</v>
      </c>
      <c r="F517" s="11">
        <f t="shared" si="46"/>
        <v>-40.411666666666662</v>
      </c>
      <c r="G517" s="12" t="s">
        <v>95</v>
      </c>
      <c r="H517" s="12" t="s">
        <v>13</v>
      </c>
      <c r="I517" s="4">
        <v>38718</v>
      </c>
      <c r="J517" s="12" t="s">
        <v>125</v>
      </c>
      <c r="K517" s="2">
        <v>0</v>
      </c>
      <c r="N517" s="3">
        <v>1360</v>
      </c>
      <c r="Y517" s="3">
        <v>2540</v>
      </c>
      <c r="Z517" s="27" t="s">
        <v>197</v>
      </c>
      <c r="AA517" t="s">
        <v>205</v>
      </c>
    </row>
    <row r="518" spans="1:27" x14ac:dyDescent="0.25">
      <c r="A518" s="12">
        <v>123</v>
      </c>
      <c r="B518" s="12">
        <v>3</v>
      </c>
      <c r="C518">
        <f t="shared" si="47"/>
        <v>12303</v>
      </c>
      <c r="D518" s="3" t="s">
        <v>86</v>
      </c>
      <c r="E518" s="11">
        <f t="shared" si="45"/>
        <v>-22.450555555555553</v>
      </c>
      <c r="F518" s="11">
        <f t="shared" si="46"/>
        <v>-40.411666666666662</v>
      </c>
      <c r="G518" s="12" t="s">
        <v>95</v>
      </c>
      <c r="H518" s="12" t="s">
        <v>13</v>
      </c>
      <c r="I518" s="4">
        <v>38718</v>
      </c>
      <c r="J518" s="12" t="s">
        <v>196</v>
      </c>
      <c r="K518" s="2">
        <v>0</v>
      </c>
      <c r="N518" s="3">
        <v>760</v>
      </c>
      <c r="Y518" s="3">
        <v>1440</v>
      </c>
      <c r="Z518" s="27" t="s">
        <v>197</v>
      </c>
      <c r="AA518" t="s">
        <v>205</v>
      </c>
    </row>
    <row r="519" spans="1:27" x14ac:dyDescent="0.25">
      <c r="A519" s="12">
        <v>123</v>
      </c>
      <c r="B519" s="12">
        <v>3</v>
      </c>
      <c r="C519">
        <f t="shared" si="47"/>
        <v>12303</v>
      </c>
      <c r="D519" s="3" t="s">
        <v>86</v>
      </c>
      <c r="E519" s="11">
        <f t="shared" si="45"/>
        <v>-22.450555555555553</v>
      </c>
      <c r="F519" s="11">
        <f t="shared" si="46"/>
        <v>-40.411666666666662</v>
      </c>
      <c r="G519" s="12" t="s">
        <v>95</v>
      </c>
      <c r="H519" s="12" t="s">
        <v>13</v>
      </c>
      <c r="I519" s="4">
        <v>38718</v>
      </c>
      <c r="J519" s="12" t="s">
        <v>201</v>
      </c>
      <c r="K519" s="2">
        <v>0</v>
      </c>
      <c r="N519" s="3">
        <v>1020</v>
      </c>
      <c r="Y519" s="3">
        <v>2000</v>
      </c>
      <c r="Z519" s="27" t="s">
        <v>197</v>
      </c>
      <c r="AA519" t="s">
        <v>205</v>
      </c>
    </row>
    <row r="520" spans="1:27" x14ac:dyDescent="0.25">
      <c r="A520" s="12">
        <v>123</v>
      </c>
      <c r="B520" s="12">
        <v>3</v>
      </c>
      <c r="C520">
        <f t="shared" si="47"/>
        <v>12303</v>
      </c>
      <c r="D520" s="3" t="s">
        <v>86</v>
      </c>
      <c r="E520" s="11">
        <f t="shared" si="45"/>
        <v>-22.450555555555553</v>
      </c>
      <c r="F520" s="11">
        <f t="shared" si="46"/>
        <v>-40.411666666666662</v>
      </c>
      <c r="G520" s="12" t="s">
        <v>95</v>
      </c>
      <c r="H520" s="12" t="s">
        <v>13</v>
      </c>
      <c r="I520" s="4">
        <v>38718</v>
      </c>
      <c r="J520" s="12" t="s">
        <v>196</v>
      </c>
      <c r="K520" s="2">
        <v>0</v>
      </c>
      <c r="N520" s="3">
        <v>1210</v>
      </c>
      <c r="Y520" s="3">
        <v>2390</v>
      </c>
      <c r="Z520" s="27" t="s">
        <v>197</v>
      </c>
      <c r="AA520" t="s">
        <v>205</v>
      </c>
    </row>
    <row r="521" spans="1:27" x14ac:dyDescent="0.25">
      <c r="A521" s="12">
        <v>123</v>
      </c>
      <c r="B521" s="12">
        <v>3</v>
      </c>
      <c r="C521">
        <f t="shared" si="47"/>
        <v>12303</v>
      </c>
      <c r="D521" s="3" t="s">
        <v>86</v>
      </c>
      <c r="E521" s="11">
        <f t="shared" si="45"/>
        <v>-22.450555555555553</v>
      </c>
      <c r="F521" s="11">
        <f t="shared" si="46"/>
        <v>-40.411666666666662</v>
      </c>
      <c r="G521" s="12" t="s">
        <v>95</v>
      </c>
      <c r="H521" s="12" t="s">
        <v>13</v>
      </c>
      <c r="I521" s="4">
        <v>38718</v>
      </c>
      <c r="J521" s="12" t="s">
        <v>125</v>
      </c>
      <c r="K521" s="2">
        <v>0</v>
      </c>
      <c r="N521" s="3">
        <v>11600</v>
      </c>
      <c r="Y521" s="3">
        <v>24700</v>
      </c>
      <c r="Z521" s="27" t="s">
        <v>197</v>
      </c>
      <c r="AA521" t="s">
        <v>205</v>
      </c>
    </row>
    <row r="522" spans="1:27" x14ac:dyDescent="0.25">
      <c r="A522" s="12">
        <v>123</v>
      </c>
      <c r="B522" s="12">
        <v>3</v>
      </c>
      <c r="C522">
        <f t="shared" si="47"/>
        <v>12303</v>
      </c>
      <c r="D522" s="3" t="s">
        <v>86</v>
      </c>
      <c r="E522" s="11">
        <f t="shared" si="45"/>
        <v>-22.450555555555553</v>
      </c>
      <c r="F522" s="11">
        <f t="shared" si="46"/>
        <v>-40.411666666666662</v>
      </c>
      <c r="G522" s="12" t="s">
        <v>95</v>
      </c>
      <c r="H522" s="12" t="s">
        <v>13</v>
      </c>
      <c r="I522" s="4">
        <v>38718</v>
      </c>
      <c r="J522" s="12" t="s">
        <v>196</v>
      </c>
      <c r="K522" s="2">
        <v>0</v>
      </c>
      <c r="N522" s="3">
        <v>1310</v>
      </c>
      <c r="Y522" s="3">
        <v>2910</v>
      </c>
      <c r="Z522" s="27" t="s">
        <v>197</v>
      </c>
      <c r="AA522" t="s">
        <v>205</v>
      </c>
    </row>
    <row r="523" spans="1:27" x14ac:dyDescent="0.25">
      <c r="A523" s="12">
        <v>123</v>
      </c>
      <c r="B523" s="12">
        <v>3</v>
      </c>
      <c r="C523">
        <f t="shared" si="47"/>
        <v>12303</v>
      </c>
      <c r="D523" s="3" t="s">
        <v>86</v>
      </c>
      <c r="E523" s="11">
        <f t="shared" si="45"/>
        <v>-22.450555555555553</v>
      </c>
      <c r="F523" s="11">
        <f t="shared" si="46"/>
        <v>-40.411666666666662</v>
      </c>
      <c r="G523" s="12" t="s">
        <v>95</v>
      </c>
      <c r="H523" s="12" t="s">
        <v>13</v>
      </c>
      <c r="I523" s="4">
        <v>38718</v>
      </c>
      <c r="J523" s="12" t="s">
        <v>196</v>
      </c>
      <c r="K523" s="2">
        <v>0</v>
      </c>
      <c r="N523" s="3">
        <v>5330</v>
      </c>
      <c r="Y523" s="3">
        <v>12500</v>
      </c>
      <c r="Z523" s="27" t="s">
        <v>197</v>
      </c>
      <c r="AA523" t="s">
        <v>205</v>
      </c>
    </row>
    <row r="524" spans="1:27" x14ac:dyDescent="0.25">
      <c r="A524" s="12">
        <v>123</v>
      </c>
      <c r="B524" s="12">
        <v>3</v>
      </c>
      <c r="C524">
        <f t="shared" si="47"/>
        <v>12303</v>
      </c>
      <c r="D524" s="3" t="s">
        <v>86</v>
      </c>
      <c r="E524" s="11">
        <f t="shared" si="45"/>
        <v>-22.450555555555553</v>
      </c>
      <c r="F524" s="11">
        <f t="shared" si="46"/>
        <v>-40.411666666666662</v>
      </c>
      <c r="G524" s="12" t="s">
        <v>95</v>
      </c>
      <c r="H524" s="12" t="s">
        <v>13</v>
      </c>
      <c r="I524" s="4">
        <v>38718</v>
      </c>
      <c r="J524" s="12" t="s">
        <v>196</v>
      </c>
      <c r="K524" s="2">
        <v>0</v>
      </c>
      <c r="N524" s="3">
        <v>260</v>
      </c>
      <c r="Y524" s="3">
        <v>690</v>
      </c>
      <c r="Z524" s="27" t="s">
        <v>197</v>
      </c>
      <c r="AA524" t="s">
        <v>205</v>
      </c>
    </row>
    <row r="525" spans="1:27" x14ac:dyDescent="0.25">
      <c r="A525" s="12">
        <v>124</v>
      </c>
      <c r="B525">
        <v>1</v>
      </c>
      <c r="C525">
        <f t="shared" si="47"/>
        <v>12401</v>
      </c>
      <c r="D525" s="3" t="s">
        <v>86</v>
      </c>
      <c r="E525" s="11">
        <f>65+4/60+5.07/3600</f>
        <v>65.068074999999993</v>
      </c>
      <c r="F525" s="11">
        <f>6+36/60+40.44/3600</f>
        <v>6.6112333333333329</v>
      </c>
      <c r="G525" s="12" t="s">
        <v>144</v>
      </c>
      <c r="H525" s="12" t="s">
        <v>47</v>
      </c>
      <c r="I525">
        <v>2002</v>
      </c>
      <c r="J525" s="12" t="s">
        <v>163</v>
      </c>
      <c r="K525" s="2">
        <v>0</v>
      </c>
      <c r="M525" s="33">
        <v>3.1549999999999998</v>
      </c>
      <c r="N525" s="33"/>
      <c r="Z525" s="27" t="s">
        <v>247</v>
      </c>
      <c r="AA525" t="s">
        <v>424</v>
      </c>
    </row>
    <row r="526" spans="1:27" x14ac:dyDescent="0.25">
      <c r="A526" s="12">
        <v>124</v>
      </c>
      <c r="B526">
        <v>1</v>
      </c>
      <c r="C526">
        <f t="shared" si="47"/>
        <v>12401</v>
      </c>
      <c r="D526" s="3" t="s">
        <v>86</v>
      </c>
      <c r="E526" s="11">
        <f t="shared" ref="E526:E544" si="48">65+4/60+5.07/3600</f>
        <v>65.068074999999993</v>
      </c>
      <c r="F526" s="11">
        <f t="shared" ref="F526:F544" si="49">6+36/60+40.44/3600</f>
        <v>6.6112333333333329</v>
      </c>
      <c r="G526" s="12" t="s">
        <v>144</v>
      </c>
      <c r="H526" s="12" t="s">
        <v>47</v>
      </c>
      <c r="I526">
        <v>2003</v>
      </c>
      <c r="J526" s="12" t="s">
        <v>163</v>
      </c>
      <c r="K526" s="2">
        <v>0</v>
      </c>
      <c r="M526" s="33">
        <v>0.9758</v>
      </c>
      <c r="N526" s="33"/>
      <c r="Z526" s="27" t="s">
        <v>247</v>
      </c>
      <c r="AA526" t="s">
        <v>424</v>
      </c>
    </row>
    <row r="527" spans="1:27" x14ac:dyDescent="0.25">
      <c r="A527" s="12">
        <v>124</v>
      </c>
      <c r="B527">
        <v>1</v>
      </c>
      <c r="C527">
        <f t="shared" si="47"/>
        <v>12401</v>
      </c>
      <c r="D527" s="3" t="s">
        <v>86</v>
      </c>
      <c r="E527" s="11">
        <f t="shared" si="48"/>
        <v>65.068074999999993</v>
      </c>
      <c r="F527" s="11">
        <f t="shared" si="49"/>
        <v>6.6112333333333329</v>
      </c>
      <c r="G527" s="12" t="s">
        <v>144</v>
      </c>
      <c r="H527" s="12" t="s">
        <v>47</v>
      </c>
      <c r="I527">
        <v>2004</v>
      </c>
      <c r="J527" s="12" t="s">
        <v>163</v>
      </c>
      <c r="K527" s="2">
        <v>0</v>
      </c>
      <c r="M527" s="33">
        <v>1.3351480145000001</v>
      </c>
      <c r="N527" s="33"/>
      <c r="Z527" s="27" t="s">
        <v>247</v>
      </c>
      <c r="AA527" t="s">
        <v>424</v>
      </c>
    </row>
    <row r="528" spans="1:27" x14ac:dyDescent="0.25">
      <c r="A528" s="12">
        <v>124</v>
      </c>
      <c r="B528">
        <v>1</v>
      </c>
      <c r="C528">
        <f t="shared" si="47"/>
        <v>12401</v>
      </c>
      <c r="D528" s="3" t="s">
        <v>86</v>
      </c>
      <c r="E528" s="11">
        <f t="shared" si="48"/>
        <v>65.068074999999993</v>
      </c>
      <c r="F528" s="11">
        <f t="shared" si="49"/>
        <v>6.6112333333333329</v>
      </c>
      <c r="G528" s="12" t="s">
        <v>144</v>
      </c>
      <c r="H528" s="12" t="s">
        <v>47</v>
      </c>
      <c r="I528">
        <v>2005</v>
      </c>
      <c r="J528" s="12" t="s">
        <v>163</v>
      </c>
      <c r="K528" s="2">
        <v>0</v>
      </c>
      <c r="M528" s="33">
        <v>1.066142331</v>
      </c>
      <c r="N528" s="33">
        <v>1.1805746054999999</v>
      </c>
      <c r="Z528" s="27" t="s">
        <v>247</v>
      </c>
      <c r="AA528" t="s">
        <v>424</v>
      </c>
    </row>
    <row r="529" spans="1:27" x14ac:dyDescent="0.25">
      <c r="A529" s="12">
        <v>124</v>
      </c>
      <c r="B529">
        <v>1</v>
      </c>
      <c r="C529">
        <f t="shared" si="47"/>
        <v>12401</v>
      </c>
      <c r="D529" s="3" t="s">
        <v>86</v>
      </c>
      <c r="E529" s="11">
        <f t="shared" si="48"/>
        <v>65.068074999999993</v>
      </c>
      <c r="F529" s="11">
        <f t="shared" si="49"/>
        <v>6.6112333333333329</v>
      </c>
      <c r="G529" s="12" t="s">
        <v>144</v>
      </c>
      <c r="H529" s="12" t="s">
        <v>47</v>
      </c>
      <c r="I529">
        <v>2006</v>
      </c>
      <c r="J529" s="12" t="s">
        <v>163</v>
      </c>
      <c r="K529" s="2">
        <v>0</v>
      </c>
      <c r="M529" s="33">
        <v>1.7935127515</v>
      </c>
      <c r="N529" s="33">
        <v>1.5228769085</v>
      </c>
      <c r="Z529" s="27" t="s">
        <v>247</v>
      </c>
      <c r="AA529" t="s">
        <v>424</v>
      </c>
    </row>
    <row r="530" spans="1:27" x14ac:dyDescent="0.25">
      <c r="A530" s="12">
        <v>124</v>
      </c>
      <c r="B530">
        <v>1</v>
      </c>
      <c r="C530">
        <f t="shared" si="47"/>
        <v>12401</v>
      </c>
      <c r="D530" s="3" t="s">
        <v>86</v>
      </c>
      <c r="E530" s="11">
        <f t="shared" si="48"/>
        <v>65.068074999999993</v>
      </c>
      <c r="F530" s="11">
        <f t="shared" si="49"/>
        <v>6.6112333333333329</v>
      </c>
      <c r="G530" s="12" t="s">
        <v>144</v>
      </c>
      <c r="H530" s="12" t="s">
        <v>47</v>
      </c>
      <c r="I530">
        <v>2007</v>
      </c>
      <c r="J530" s="12" t="s">
        <v>163</v>
      </c>
      <c r="K530" s="2">
        <v>0</v>
      </c>
      <c r="M530" s="33">
        <v>3.3079049999999999</v>
      </c>
      <c r="N530" s="33">
        <v>3.4142350000000001</v>
      </c>
      <c r="Z530" s="27" t="s">
        <v>247</v>
      </c>
      <c r="AA530" t="s">
        <v>424</v>
      </c>
    </row>
    <row r="531" spans="1:27" x14ac:dyDescent="0.25">
      <c r="A531" s="12">
        <v>124</v>
      </c>
      <c r="B531">
        <v>1</v>
      </c>
      <c r="C531">
        <f t="shared" si="47"/>
        <v>12401</v>
      </c>
      <c r="D531" s="3" t="s">
        <v>86</v>
      </c>
      <c r="E531" s="11">
        <f t="shared" si="48"/>
        <v>65.068074999999993</v>
      </c>
      <c r="F531" s="11">
        <f t="shared" si="49"/>
        <v>6.6112333333333329</v>
      </c>
      <c r="G531" s="12" t="s">
        <v>144</v>
      </c>
      <c r="H531" s="12" t="s">
        <v>47</v>
      </c>
      <c r="I531">
        <v>2008</v>
      </c>
      <c r="J531" s="12" t="s">
        <v>163</v>
      </c>
      <c r="K531" s="2">
        <v>0</v>
      </c>
      <c r="M531" s="33">
        <v>3.3104009479999998</v>
      </c>
      <c r="N531" s="33">
        <v>3.6403722319999998</v>
      </c>
      <c r="Z531" s="27" t="s">
        <v>247</v>
      </c>
      <c r="AA531" t="s">
        <v>424</v>
      </c>
    </row>
    <row r="532" spans="1:27" x14ac:dyDescent="0.25">
      <c r="A532" s="12">
        <v>124</v>
      </c>
      <c r="B532">
        <v>1</v>
      </c>
      <c r="C532">
        <f t="shared" si="47"/>
        <v>12401</v>
      </c>
      <c r="D532" s="3" t="s">
        <v>86</v>
      </c>
      <c r="E532" s="11">
        <f t="shared" si="48"/>
        <v>65.068074999999993</v>
      </c>
      <c r="F532" s="11">
        <f t="shared" si="49"/>
        <v>6.6112333333333329</v>
      </c>
      <c r="G532" s="12" t="s">
        <v>144</v>
      </c>
      <c r="H532" s="12" t="s">
        <v>47</v>
      </c>
      <c r="I532">
        <v>2009</v>
      </c>
      <c r="J532" s="12" t="s">
        <v>163</v>
      </c>
      <c r="K532" s="2">
        <v>0</v>
      </c>
      <c r="M532" s="33">
        <v>5.0247277390000002</v>
      </c>
      <c r="N532" s="33">
        <v>4.9311617625000004</v>
      </c>
      <c r="Z532" s="27" t="s">
        <v>247</v>
      </c>
      <c r="AA532" t="s">
        <v>424</v>
      </c>
    </row>
    <row r="533" spans="1:27" x14ac:dyDescent="0.25">
      <c r="A533" s="12">
        <v>124</v>
      </c>
      <c r="B533">
        <v>1</v>
      </c>
      <c r="C533">
        <f t="shared" si="47"/>
        <v>12401</v>
      </c>
      <c r="D533" s="3" t="s">
        <v>86</v>
      </c>
      <c r="E533" s="11">
        <f t="shared" si="48"/>
        <v>65.068074999999993</v>
      </c>
      <c r="F533" s="11">
        <f t="shared" si="49"/>
        <v>6.6112333333333329</v>
      </c>
      <c r="G533" s="12" t="s">
        <v>144</v>
      </c>
      <c r="H533" s="12" t="s">
        <v>47</v>
      </c>
      <c r="I533">
        <v>2010</v>
      </c>
      <c r="J533" s="12" t="s">
        <v>163</v>
      </c>
      <c r="K533" s="2">
        <v>0</v>
      </c>
      <c r="M533" s="33">
        <v>4.9106225449999998</v>
      </c>
      <c r="N533" s="33">
        <v>5.3945184609999997</v>
      </c>
      <c r="Z533" s="27" t="s">
        <v>247</v>
      </c>
      <c r="AA533" t="s">
        <v>424</v>
      </c>
    </row>
    <row r="534" spans="1:27" x14ac:dyDescent="0.25">
      <c r="A534" s="12">
        <v>124</v>
      </c>
      <c r="B534">
        <v>1</v>
      </c>
      <c r="C534">
        <f t="shared" si="47"/>
        <v>12401</v>
      </c>
      <c r="D534" s="3" t="s">
        <v>86</v>
      </c>
      <c r="E534" s="11">
        <f t="shared" si="48"/>
        <v>65.068074999999993</v>
      </c>
      <c r="F534" s="11">
        <f t="shared" si="49"/>
        <v>6.6112333333333329</v>
      </c>
      <c r="G534" s="12" t="s">
        <v>144</v>
      </c>
      <c r="H534" s="12" t="s">
        <v>47</v>
      </c>
      <c r="I534">
        <v>2011</v>
      </c>
      <c r="J534" s="12" t="s">
        <v>163</v>
      </c>
      <c r="K534" s="2">
        <v>0</v>
      </c>
      <c r="M534" s="33">
        <v>4.9170279299999997</v>
      </c>
      <c r="N534" s="33">
        <v>4.7403484369999997</v>
      </c>
      <c r="Z534" s="27" t="s">
        <v>247</v>
      </c>
      <c r="AA534" t="s">
        <v>424</v>
      </c>
    </row>
    <row r="535" spans="1:27" x14ac:dyDescent="0.25">
      <c r="A535" s="12">
        <v>124</v>
      </c>
      <c r="B535">
        <v>1</v>
      </c>
      <c r="C535">
        <f t="shared" si="47"/>
        <v>12401</v>
      </c>
      <c r="D535" s="3" t="s">
        <v>86</v>
      </c>
      <c r="E535" s="11">
        <f t="shared" si="48"/>
        <v>65.068074999999993</v>
      </c>
      <c r="F535" s="11">
        <f t="shared" si="49"/>
        <v>6.6112333333333329</v>
      </c>
      <c r="G535" s="12" t="s">
        <v>144</v>
      </c>
      <c r="H535" s="12" t="s">
        <v>47</v>
      </c>
      <c r="I535">
        <v>2012</v>
      </c>
      <c r="J535" s="12" t="s">
        <v>163</v>
      </c>
      <c r="K535" s="2">
        <v>0</v>
      </c>
      <c r="M535" s="33">
        <v>4.8493075000000001</v>
      </c>
      <c r="N535" s="33">
        <v>3.9023326666666698</v>
      </c>
      <c r="Z535" s="27" t="s">
        <v>247</v>
      </c>
      <c r="AA535" t="s">
        <v>424</v>
      </c>
    </row>
    <row r="536" spans="1:27" x14ac:dyDescent="0.25">
      <c r="A536" s="12">
        <v>124</v>
      </c>
      <c r="B536">
        <v>1</v>
      </c>
      <c r="C536">
        <f t="shared" si="47"/>
        <v>12401</v>
      </c>
      <c r="D536" s="3" t="s">
        <v>86</v>
      </c>
      <c r="E536" s="11">
        <f t="shared" si="48"/>
        <v>65.068074999999993</v>
      </c>
      <c r="F536" s="11">
        <f t="shared" si="49"/>
        <v>6.6112333333333329</v>
      </c>
      <c r="G536" s="12" t="s">
        <v>144</v>
      </c>
      <c r="H536" s="12" t="s">
        <v>47</v>
      </c>
      <c r="I536">
        <v>2013</v>
      </c>
      <c r="J536" s="12" t="s">
        <v>163</v>
      </c>
      <c r="K536" s="2">
        <v>0</v>
      </c>
      <c r="M536" s="33">
        <v>5.1758401244256298</v>
      </c>
      <c r="N536" s="33">
        <v>4.4790107637174996</v>
      </c>
      <c r="Z536" s="27" t="s">
        <v>247</v>
      </c>
      <c r="AA536" t="s">
        <v>424</v>
      </c>
    </row>
    <row r="537" spans="1:27" x14ac:dyDescent="0.25">
      <c r="A537" s="12">
        <v>124</v>
      </c>
      <c r="B537">
        <v>1</v>
      </c>
      <c r="C537">
        <f t="shared" si="47"/>
        <v>12401</v>
      </c>
      <c r="D537" s="3" t="s">
        <v>86</v>
      </c>
      <c r="E537" s="11">
        <f t="shared" si="48"/>
        <v>65.068074999999993</v>
      </c>
      <c r="F537" s="11">
        <f t="shared" si="49"/>
        <v>6.6112333333333329</v>
      </c>
      <c r="G537" s="12" t="s">
        <v>144</v>
      </c>
      <c r="H537" s="12" t="s">
        <v>47</v>
      </c>
      <c r="I537">
        <v>2014</v>
      </c>
      <c r="J537" s="12" t="s">
        <v>163</v>
      </c>
      <c r="K537" s="2">
        <v>0</v>
      </c>
      <c r="M537" s="33">
        <v>5.2826225805749996</v>
      </c>
      <c r="N537" s="33">
        <v>4.0541336131524996</v>
      </c>
      <c r="Z537" s="27" t="s">
        <v>247</v>
      </c>
      <c r="AA537" t="s">
        <v>424</v>
      </c>
    </row>
    <row r="538" spans="1:27" x14ac:dyDescent="0.25">
      <c r="A538" s="12">
        <v>124</v>
      </c>
      <c r="B538">
        <v>1</v>
      </c>
      <c r="C538">
        <f t="shared" si="47"/>
        <v>12401</v>
      </c>
      <c r="D538" s="3" t="s">
        <v>86</v>
      </c>
      <c r="E538" s="11">
        <f t="shared" si="48"/>
        <v>65.068074999999993</v>
      </c>
      <c r="F538" s="11">
        <f t="shared" si="49"/>
        <v>6.6112333333333329</v>
      </c>
      <c r="G538" s="12" t="s">
        <v>144</v>
      </c>
      <c r="H538" s="12" t="s">
        <v>47</v>
      </c>
      <c r="I538">
        <v>2015</v>
      </c>
      <c r="J538" s="12" t="s">
        <v>163</v>
      </c>
      <c r="K538" s="2">
        <v>0</v>
      </c>
      <c r="M538" s="33">
        <v>5.0769541001813199</v>
      </c>
      <c r="N538" s="33">
        <v>3.88045590633013</v>
      </c>
      <c r="Z538" s="27" t="s">
        <v>247</v>
      </c>
      <c r="AA538" t="s">
        <v>424</v>
      </c>
    </row>
    <row r="539" spans="1:27" x14ac:dyDescent="0.25">
      <c r="A539" s="12">
        <v>124</v>
      </c>
      <c r="B539">
        <v>1</v>
      </c>
      <c r="C539">
        <f t="shared" si="47"/>
        <v>12401</v>
      </c>
      <c r="D539" s="3" t="s">
        <v>86</v>
      </c>
      <c r="E539" s="11">
        <f t="shared" si="48"/>
        <v>65.068074999999993</v>
      </c>
      <c r="F539" s="11">
        <f t="shared" si="49"/>
        <v>6.6112333333333329</v>
      </c>
      <c r="G539" s="12" t="s">
        <v>144</v>
      </c>
      <c r="H539" s="12" t="s">
        <v>47</v>
      </c>
      <c r="I539">
        <v>2016</v>
      </c>
      <c r="J539" s="12" t="s">
        <v>163</v>
      </c>
      <c r="K539" s="2">
        <v>0</v>
      </c>
      <c r="M539" s="33">
        <v>6.65449334314998</v>
      </c>
      <c r="N539" s="33">
        <v>5.4296928286461501</v>
      </c>
      <c r="Z539" s="27" t="s">
        <v>247</v>
      </c>
      <c r="AA539" t="s">
        <v>424</v>
      </c>
    </row>
    <row r="540" spans="1:27" x14ac:dyDescent="0.25">
      <c r="A540" s="12">
        <v>124</v>
      </c>
      <c r="B540">
        <v>1</v>
      </c>
      <c r="C540">
        <f t="shared" si="47"/>
        <v>12401</v>
      </c>
      <c r="D540" s="3" t="s">
        <v>86</v>
      </c>
      <c r="E540" s="11">
        <f t="shared" si="48"/>
        <v>65.068074999999993</v>
      </c>
      <c r="F540" s="11">
        <f t="shared" si="49"/>
        <v>6.6112333333333329</v>
      </c>
      <c r="G540" s="12" t="s">
        <v>144</v>
      </c>
      <c r="H540" s="12" t="s">
        <v>47</v>
      </c>
      <c r="I540">
        <v>2017</v>
      </c>
      <c r="J540" s="12" t="s">
        <v>163</v>
      </c>
      <c r="K540" s="2">
        <v>0</v>
      </c>
      <c r="M540" s="33">
        <v>5.4681438806700902</v>
      </c>
      <c r="N540" s="33">
        <v>5.0690880942793699</v>
      </c>
      <c r="Z540" s="27" t="s">
        <v>247</v>
      </c>
      <c r="AA540" t="s">
        <v>424</v>
      </c>
    </row>
    <row r="541" spans="1:27" x14ac:dyDescent="0.25">
      <c r="A541" s="12">
        <v>124</v>
      </c>
      <c r="B541">
        <v>1</v>
      </c>
      <c r="C541">
        <f t="shared" si="47"/>
        <v>12401</v>
      </c>
      <c r="D541" s="3" t="s">
        <v>86</v>
      </c>
      <c r="E541" s="11">
        <f t="shared" si="48"/>
        <v>65.068074999999993</v>
      </c>
      <c r="F541" s="11">
        <f t="shared" si="49"/>
        <v>6.6112333333333329</v>
      </c>
      <c r="G541" s="12" t="s">
        <v>144</v>
      </c>
      <c r="H541" s="12" t="s">
        <v>47</v>
      </c>
      <c r="I541">
        <v>2018</v>
      </c>
      <c r="J541" s="12" t="s">
        <v>163</v>
      </c>
      <c r="K541" s="2">
        <v>0</v>
      </c>
      <c r="M541" s="33">
        <v>5.1042056538072398</v>
      </c>
      <c r="N541" s="33">
        <v>4.6859414240081998</v>
      </c>
      <c r="Z541" s="27" t="s">
        <v>247</v>
      </c>
      <c r="AA541" t="s">
        <v>424</v>
      </c>
    </row>
    <row r="542" spans="1:27" x14ac:dyDescent="0.25">
      <c r="A542" s="12">
        <v>124</v>
      </c>
      <c r="B542">
        <v>1</v>
      </c>
      <c r="C542">
        <f t="shared" si="47"/>
        <v>12401</v>
      </c>
      <c r="D542" s="3" t="s">
        <v>86</v>
      </c>
      <c r="E542" s="11">
        <f t="shared" si="48"/>
        <v>65.068074999999993</v>
      </c>
      <c r="F542" s="11">
        <f t="shared" si="49"/>
        <v>6.6112333333333329</v>
      </c>
      <c r="G542" s="12" t="s">
        <v>144</v>
      </c>
      <c r="H542" s="12" t="s">
        <v>47</v>
      </c>
      <c r="I542">
        <v>2019</v>
      </c>
      <c r="J542" s="12" t="s">
        <v>163</v>
      </c>
      <c r="K542" s="2">
        <v>0</v>
      </c>
      <c r="M542" s="33">
        <v>5.5990909090909096</v>
      </c>
      <c r="N542" s="33">
        <v>5.75416666666667</v>
      </c>
      <c r="Z542" s="27" t="s">
        <v>247</v>
      </c>
      <c r="AA542" t="s">
        <v>424</v>
      </c>
    </row>
    <row r="543" spans="1:27" x14ac:dyDescent="0.25">
      <c r="A543" s="12">
        <v>124</v>
      </c>
      <c r="B543">
        <v>1</v>
      </c>
      <c r="C543">
        <f t="shared" si="47"/>
        <v>12401</v>
      </c>
      <c r="D543" s="3" t="s">
        <v>86</v>
      </c>
      <c r="E543" s="11">
        <f t="shared" si="48"/>
        <v>65.068074999999993</v>
      </c>
      <c r="F543" s="11">
        <f t="shared" si="49"/>
        <v>6.6112333333333329</v>
      </c>
      <c r="G543" s="12" t="s">
        <v>144</v>
      </c>
      <c r="H543" s="12" t="s">
        <v>47</v>
      </c>
      <c r="I543">
        <v>2020</v>
      </c>
      <c r="J543" s="12" t="s">
        <v>163</v>
      </c>
      <c r="K543" s="2">
        <v>0</v>
      </c>
      <c r="M543" s="33">
        <v>5.62158333333333</v>
      </c>
      <c r="N543" s="33">
        <v>5.9059166666666698</v>
      </c>
      <c r="Z543" s="27" t="s">
        <v>247</v>
      </c>
      <c r="AA543" t="s">
        <v>424</v>
      </c>
    </row>
    <row r="544" spans="1:27" x14ac:dyDescent="0.25">
      <c r="A544" s="12">
        <v>124</v>
      </c>
      <c r="B544">
        <v>1</v>
      </c>
      <c r="C544">
        <f t="shared" si="47"/>
        <v>12401</v>
      </c>
      <c r="D544" s="3" t="s">
        <v>86</v>
      </c>
      <c r="E544" s="11">
        <f t="shared" si="48"/>
        <v>65.068074999999993</v>
      </c>
      <c r="F544" s="11">
        <f t="shared" si="49"/>
        <v>6.6112333333333329</v>
      </c>
      <c r="G544" s="12" t="s">
        <v>144</v>
      </c>
      <c r="H544" s="12" t="s">
        <v>47</v>
      </c>
      <c r="I544">
        <v>2021</v>
      </c>
      <c r="J544" s="12" t="s">
        <v>163</v>
      </c>
      <c r="K544" s="2">
        <v>0</v>
      </c>
      <c r="M544" s="33">
        <v>5.6974999999999998</v>
      </c>
      <c r="N544" s="33">
        <v>5.6335833333333296</v>
      </c>
      <c r="Z544" s="27" t="s">
        <v>247</v>
      </c>
      <c r="AA544" t="s">
        <v>424</v>
      </c>
    </row>
    <row r="545" spans="1:27" x14ac:dyDescent="0.25">
      <c r="A545" s="12">
        <v>124</v>
      </c>
      <c r="B545">
        <v>2</v>
      </c>
      <c r="C545">
        <f t="shared" si="47"/>
        <v>12402</v>
      </c>
      <c r="D545" s="3" t="s">
        <v>86</v>
      </c>
      <c r="E545" s="11">
        <f>67+2/60+3.07/3600</f>
        <v>67.034186111111111</v>
      </c>
      <c r="F545" s="11">
        <f>7+2/60+34.38/3600</f>
        <v>7.0428833333333332</v>
      </c>
      <c r="G545" s="12" t="s">
        <v>144</v>
      </c>
      <c r="H545" s="12" t="s">
        <v>47</v>
      </c>
      <c r="I545">
        <v>2019</v>
      </c>
      <c r="J545" s="12" t="s">
        <v>163</v>
      </c>
      <c r="K545" s="2">
        <v>0</v>
      </c>
      <c r="M545" s="33">
        <v>1.6666666666666701E-2</v>
      </c>
      <c r="N545" s="33">
        <v>1.375E-2</v>
      </c>
      <c r="Z545" s="27" t="s">
        <v>247</v>
      </c>
      <c r="AA545" t="s">
        <v>244</v>
      </c>
    </row>
    <row r="546" spans="1:27" x14ac:dyDescent="0.25">
      <c r="A546" s="12">
        <v>124</v>
      </c>
      <c r="B546">
        <v>2</v>
      </c>
      <c r="C546">
        <f t="shared" si="47"/>
        <v>12402</v>
      </c>
      <c r="D546" s="3" t="s">
        <v>86</v>
      </c>
      <c r="E546" s="11">
        <f t="shared" ref="E546:E547" si="50">67+2/60+3.07/3600</f>
        <v>67.034186111111111</v>
      </c>
      <c r="F546" s="11">
        <f t="shared" ref="F546:F547" si="51">7+2/60+34.38/3600</f>
        <v>7.0428833333333332</v>
      </c>
      <c r="G546" s="12" t="s">
        <v>144</v>
      </c>
      <c r="H546" s="12" t="s">
        <v>47</v>
      </c>
      <c r="I546">
        <v>2020</v>
      </c>
      <c r="J546" s="12" t="s">
        <v>163</v>
      </c>
      <c r="K546" s="2">
        <v>0</v>
      </c>
      <c r="M546" s="33">
        <v>1.4375000000000001E-2</v>
      </c>
      <c r="N546" s="33">
        <v>1.7250000000000001E-2</v>
      </c>
      <c r="Z546" s="27" t="s">
        <v>247</v>
      </c>
      <c r="AA546" t="s">
        <v>244</v>
      </c>
    </row>
    <row r="547" spans="1:27" x14ac:dyDescent="0.25">
      <c r="A547" s="12">
        <v>124</v>
      </c>
      <c r="B547">
        <v>2</v>
      </c>
      <c r="C547">
        <f t="shared" si="47"/>
        <v>12402</v>
      </c>
      <c r="D547" s="3" t="s">
        <v>86</v>
      </c>
      <c r="E547" s="11">
        <f t="shared" si="50"/>
        <v>67.034186111111111</v>
      </c>
      <c r="F547" s="11">
        <f t="shared" si="51"/>
        <v>7.0428833333333332</v>
      </c>
      <c r="G547" s="12" t="s">
        <v>144</v>
      </c>
      <c r="H547" s="12" t="s">
        <v>47</v>
      </c>
      <c r="I547">
        <v>2021</v>
      </c>
      <c r="J547" s="12" t="s">
        <v>163</v>
      </c>
      <c r="K547" s="2">
        <v>0</v>
      </c>
      <c r="M547" s="33">
        <v>3.3625000000000002E-2</v>
      </c>
      <c r="N547" s="33">
        <v>3.06666666666667E-2</v>
      </c>
      <c r="Z547" s="27" t="s">
        <v>247</v>
      </c>
      <c r="AA547" t="s">
        <v>244</v>
      </c>
    </row>
    <row r="548" spans="1:27" x14ac:dyDescent="0.25">
      <c r="A548" s="12">
        <v>124</v>
      </c>
      <c r="B548">
        <v>3</v>
      </c>
      <c r="C548">
        <f t="shared" si="47"/>
        <v>12403</v>
      </c>
      <c r="D548" s="3" t="s">
        <v>86</v>
      </c>
      <c r="E548" s="11">
        <f>59+34/60+3.06/3600</f>
        <v>59.56751666666667</v>
      </c>
      <c r="F548" s="11">
        <f>1+59/60+54.42/3600</f>
        <v>1.9984500000000001</v>
      </c>
      <c r="G548" s="12" t="s">
        <v>144</v>
      </c>
      <c r="H548" s="12" t="s">
        <v>47</v>
      </c>
      <c r="I548">
        <v>2009</v>
      </c>
      <c r="J548" s="12" t="s">
        <v>163</v>
      </c>
      <c r="K548" s="2">
        <v>0</v>
      </c>
      <c r="M548" s="33">
        <v>11.3</v>
      </c>
      <c r="N548" s="33">
        <v>13.3</v>
      </c>
      <c r="Z548" s="27" t="s">
        <v>247</v>
      </c>
      <c r="AA548" t="s">
        <v>234</v>
      </c>
    </row>
    <row r="549" spans="1:27" x14ac:dyDescent="0.25">
      <c r="A549" s="12">
        <v>124</v>
      </c>
      <c r="B549">
        <v>3</v>
      </c>
      <c r="C549">
        <f t="shared" si="47"/>
        <v>12403</v>
      </c>
      <c r="D549" s="3" t="s">
        <v>86</v>
      </c>
      <c r="E549" s="11">
        <f t="shared" ref="E549:E560" si="52">59+34/60+3.06/3600</f>
        <v>59.56751666666667</v>
      </c>
      <c r="F549" s="11">
        <f t="shared" ref="F549:F560" si="53">1+59/60+54.42/3600</f>
        <v>1.9984500000000001</v>
      </c>
      <c r="G549" s="12" t="s">
        <v>144</v>
      </c>
      <c r="H549" s="12" t="s">
        <v>47</v>
      </c>
      <c r="I549">
        <v>2010</v>
      </c>
      <c r="J549" s="12" t="s">
        <v>163</v>
      </c>
      <c r="K549" s="2">
        <v>0</v>
      </c>
      <c r="M549" s="33">
        <v>10.125</v>
      </c>
      <c r="N549" s="33">
        <v>11.975</v>
      </c>
      <c r="Z549" s="27" t="s">
        <v>247</v>
      </c>
      <c r="AA549" t="s">
        <v>234</v>
      </c>
    </row>
    <row r="550" spans="1:27" x14ac:dyDescent="0.25">
      <c r="A550" s="12">
        <v>124</v>
      </c>
      <c r="B550">
        <v>3</v>
      </c>
      <c r="C550">
        <f t="shared" si="47"/>
        <v>12403</v>
      </c>
      <c r="D550" s="3" t="s">
        <v>86</v>
      </c>
      <c r="E550" s="11">
        <f t="shared" si="52"/>
        <v>59.56751666666667</v>
      </c>
      <c r="F550" s="11">
        <f t="shared" si="53"/>
        <v>1.9984500000000001</v>
      </c>
      <c r="G550" s="12" t="s">
        <v>144</v>
      </c>
      <c r="H550" s="12" t="s">
        <v>47</v>
      </c>
      <c r="I550">
        <v>2011</v>
      </c>
      <c r="J550" s="12" t="s">
        <v>163</v>
      </c>
      <c r="K550" s="2">
        <v>0</v>
      </c>
      <c r="M550" s="33">
        <v>8.85</v>
      </c>
      <c r="N550" s="33">
        <v>10</v>
      </c>
      <c r="Z550" s="27" t="s">
        <v>247</v>
      </c>
      <c r="AA550" t="s">
        <v>234</v>
      </c>
    </row>
    <row r="551" spans="1:27" x14ac:dyDescent="0.25">
      <c r="A551" s="12">
        <v>124</v>
      </c>
      <c r="B551">
        <v>3</v>
      </c>
      <c r="C551">
        <f t="shared" si="47"/>
        <v>12403</v>
      </c>
      <c r="D551" s="3" t="s">
        <v>86</v>
      </c>
      <c r="E551" s="11">
        <f t="shared" si="52"/>
        <v>59.56751666666667</v>
      </c>
      <c r="F551" s="11">
        <f t="shared" si="53"/>
        <v>1.9984500000000001</v>
      </c>
      <c r="G551" s="12" t="s">
        <v>144</v>
      </c>
      <c r="H551" s="12" t="s">
        <v>47</v>
      </c>
      <c r="I551">
        <v>2012</v>
      </c>
      <c r="J551" s="12" t="s">
        <v>163</v>
      </c>
      <c r="K551" s="2">
        <v>0</v>
      </c>
      <c r="M551" s="33">
        <v>9.1</v>
      </c>
      <c r="N551" s="33">
        <v>9.8000000000000007</v>
      </c>
      <c r="Z551" s="27" t="s">
        <v>247</v>
      </c>
      <c r="AA551" t="s">
        <v>234</v>
      </c>
    </row>
    <row r="552" spans="1:27" x14ac:dyDescent="0.25">
      <c r="A552" s="12">
        <v>124</v>
      </c>
      <c r="B552">
        <v>3</v>
      </c>
      <c r="C552">
        <f t="shared" si="47"/>
        <v>12403</v>
      </c>
      <c r="D552" s="3" t="s">
        <v>86</v>
      </c>
      <c r="E552" s="11">
        <f t="shared" si="52"/>
        <v>59.56751666666667</v>
      </c>
      <c r="F552" s="11">
        <f t="shared" si="53"/>
        <v>1.9984500000000001</v>
      </c>
      <c r="G552" s="12" t="s">
        <v>144</v>
      </c>
      <c r="H552" s="12" t="s">
        <v>47</v>
      </c>
      <c r="I552">
        <v>2013</v>
      </c>
      <c r="J552" s="12" t="s">
        <v>163</v>
      </c>
      <c r="K552" s="2">
        <v>0</v>
      </c>
      <c r="M552" s="33">
        <v>8.4000252989750006</v>
      </c>
      <c r="N552" s="33">
        <v>9.2000157471833308</v>
      </c>
      <c r="Z552" s="27" t="s">
        <v>247</v>
      </c>
      <c r="AA552" t="s">
        <v>234</v>
      </c>
    </row>
    <row r="553" spans="1:27" x14ac:dyDescent="0.25">
      <c r="A553" s="12">
        <v>124</v>
      </c>
      <c r="B553">
        <v>3</v>
      </c>
      <c r="C553">
        <f t="shared" si="47"/>
        <v>12403</v>
      </c>
      <c r="D553" s="3" t="s">
        <v>86</v>
      </c>
      <c r="E553" s="11">
        <f t="shared" si="52"/>
        <v>59.56751666666667</v>
      </c>
      <c r="F553" s="11">
        <f t="shared" si="53"/>
        <v>1.9984500000000001</v>
      </c>
      <c r="G553" s="12" t="s">
        <v>144</v>
      </c>
      <c r="H553" s="12" t="s">
        <v>47</v>
      </c>
      <c r="I553">
        <v>2014</v>
      </c>
      <c r="J553" s="12" t="s">
        <v>163</v>
      </c>
      <c r="K553" s="2">
        <v>0</v>
      </c>
      <c r="M553" s="33">
        <v>7.5</v>
      </c>
      <c r="N553" s="33">
        <v>8.3249999999999993</v>
      </c>
      <c r="Z553" s="27" t="s">
        <v>247</v>
      </c>
      <c r="AA553" t="s">
        <v>234</v>
      </c>
    </row>
    <row r="554" spans="1:27" x14ac:dyDescent="0.25">
      <c r="A554" s="12">
        <v>124</v>
      </c>
      <c r="B554">
        <v>3</v>
      </c>
      <c r="C554">
        <f t="shared" si="47"/>
        <v>12403</v>
      </c>
      <c r="D554" s="3" t="s">
        <v>86</v>
      </c>
      <c r="E554" s="11">
        <f t="shared" si="52"/>
        <v>59.56751666666667</v>
      </c>
      <c r="F554" s="11">
        <f t="shared" si="53"/>
        <v>1.9984500000000001</v>
      </c>
      <c r="G554" s="12" t="s">
        <v>144</v>
      </c>
      <c r="H554" s="12" t="s">
        <v>47</v>
      </c>
      <c r="I554">
        <v>2015</v>
      </c>
      <c r="J554" s="12" t="s">
        <v>163</v>
      </c>
      <c r="K554" s="2">
        <v>0</v>
      </c>
      <c r="M554" s="33">
        <v>8.4666666666666703</v>
      </c>
      <c r="N554" s="33">
        <v>7.9666666666666703</v>
      </c>
      <c r="Z554" s="27" t="s">
        <v>247</v>
      </c>
      <c r="AA554" t="s">
        <v>234</v>
      </c>
    </row>
    <row r="555" spans="1:27" x14ac:dyDescent="0.25">
      <c r="A555" s="12">
        <v>124</v>
      </c>
      <c r="B555">
        <v>3</v>
      </c>
      <c r="C555">
        <f t="shared" si="47"/>
        <v>12403</v>
      </c>
      <c r="D555" s="3" t="s">
        <v>86</v>
      </c>
      <c r="E555" s="11">
        <f t="shared" si="52"/>
        <v>59.56751666666667</v>
      </c>
      <c r="F555" s="11">
        <f t="shared" si="53"/>
        <v>1.9984500000000001</v>
      </c>
      <c r="G555" s="12" t="s">
        <v>144</v>
      </c>
      <c r="H555" s="12" t="s">
        <v>47</v>
      </c>
      <c r="I555">
        <v>2016</v>
      </c>
      <c r="J555" s="12" t="s">
        <v>163</v>
      </c>
      <c r="K555" s="2">
        <v>0</v>
      </c>
      <c r="M555" s="33">
        <v>7.95</v>
      </c>
      <c r="N555" s="33">
        <v>8.3000000000000007</v>
      </c>
      <c r="Z555" s="27" t="s">
        <v>247</v>
      </c>
      <c r="AA555" t="s">
        <v>234</v>
      </c>
    </row>
    <row r="556" spans="1:27" x14ac:dyDescent="0.25">
      <c r="A556" s="12">
        <v>124</v>
      </c>
      <c r="B556">
        <v>3</v>
      </c>
      <c r="C556">
        <f t="shared" si="47"/>
        <v>12403</v>
      </c>
      <c r="D556" s="3" t="s">
        <v>86</v>
      </c>
      <c r="E556" s="11">
        <f t="shared" si="52"/>
        <v>59.56751666666667</v>
      </c>
      <c r="F556" s="11">
        <f t="shared" si="53"/>
        <v>1.9984500000000001</v>
      </c>
      <c r="G556" s="12" t="s">
        <v>144</v>
      </c>
      <c r="H556" s="12" t="s">
        <v>47</v>
      </c>
      <c r="I556">
        <v>2017</v>
      </c>
      <c r="J556" s="12" t="s">
        <v>163</v>
      </c>
      <c r="K556" s="2">
        <v>0</v>
      </c>
      <c r="M556" s="33">
        <v>8.1749973996000005</v>
      </c>
      <c r="N556" s="33">
        <v>9.0249894562000001</v>
      </c>
      <c r="Z556" s="27" t="s">
        <v>247</v>
      </c>
      <c r="AA556" t="s">
        <v>234</v>
      </c>
    </row>
    <row r="557" spans="1:27" x14ac:dyDescent="0.25">
      <c r="A557" s="12">
        <v>124</v>
      </c>
      <c r="B557">
        <v>3</v>
      </c>
      <c r="C557">
        <f t="shared" si="47"/>
        <v>12403</v>
      </c>
      <c r="D557" s="3" t="s">
        <v>86</v>
      </c>
      <c r="E557" s="11">
        <f t="shared" si="52"/>
        <v>59.56751666666667</v>
      </c>
      <c r="F557" s="11">
        <f t="shared" si="53"/>
        <v>1.9984500000000001</v>
      </c>
      <c r="G557" s="12" t="s">
        <v>144</v>
      </c>
      <c r="H557" s="12" t="s">
        <v>47</v>
      </c>
      <c r="I557">
        <v>2018</v>
      </c>
      <c r="J557" s="12" t="s">
        <v>163</v>
      </c>
      <c r="K557" s="2">
        <v>0</v>
      </c>
      <c r="M557" s="33">
        <v>8.1081275542285702</v>
      </c>
      <c r="N557" s="33">
        <v>8.6013212526499991</v>
      </c>
      <c r="Z557" s="27" t="s">
        <v>247</v>
      </c>
      <c r="AA557" t="s">
        <v>234</v>
      </c>
    </row>
    <row r="558" spans="1:27" x14ac:dyDescent="0.25">
      <c r="A558" s="12">
        <v>124</v>
      </c>
      <c r="B558">
        <v>3</v>
      </c>
      <c r="C558">
        <f t="shared" si="47"/>
        <v>12403</v>
      </c>
      <c r="D558" s="3" t="s">
        <v>86</v>
      </c>
      <c r="E558" s="11">
        <f t="shared" si="52"/>
        <v>59.56751666666667</v>
      </c>
      <c r="F558" s="11">
        <f t="shared" si="53"/>
        <v>1.9984500000000001</v>
      </c>
      <c r="G558" s="12" t="s">
        <v>144</v>
      </c>
      <c r="H558" s="12" t="s">
        <v>47</v>
      </c>
      <c r="I558">
        <v>2019</v>
      </c>
      <c r="J558" s="12" t="s">
        <v>163</v>
      </c>
      <c r="K558" s="2">
        <v>0</v>
      </c>
      <c r="M558" s="33">
        <v>8.6999999999999993</v>
      </c>
      <c r="N558" s="33">
        <v>8.7524999999999995</v>
      </c>
      <c r="Z558" s="27" t="s">
        <v>247</v>
      </c>
      <c r="AA558" t="s">
        <v>234</v>
      </c>
    </row>
    <row r="559" spans="1:27" x14ac:dyDescent="0.25">
      <c r="A559" s="12">
        <v>124</v>
      </c>
      <c r="B559">
        <v>3</v>
      </c>
      <c r="C559">
        <f t="shared" si="47"/>
        <v>12403</v>
      </c>
      <c r="D559" s="3" t="s">
        <v>86</v>
      </c>
      <c r="E559" s="11">
        <f t="shared" si="52"/>
        <v>59.56751666666667</v>
      </c>
      <c r="F559" s="11">
        <f t="shared" si="53"/>
        <v>1.9984500000000001</v>
      </c>
      <c r="G559" s="12" t="s">
        <v>144</v>
      </c>
      <c r="H559" s="12" t="s">
        <v>47</v>
      </c>
      <c r="I559">
        <v>2020</v>
      </c>
      <c r="J559" s="12" t="s">
        <v>163</v>
      </c>
      <c r="K559" s="2">
        <v>0</v>
      </c>
      <c r="M559" s="33">
        <v>7.72</v>
      </c>
      <c r="N559" s="33">
        <v>9.08</v>
      </c>
      <c r="Z559" s="27" t="s">
        <v>247</v>
      </c>
      <c r="AA559" t="s">
        <v>234</v>
      </c>
    </row>
    <row r="560" spans="1:27" x14ac:dyDescent="0.25">
      <c r="A560" s="12">
        <v>124</v>
      </c>
      <c r="B560">
        <v>3</v>
      </c>
      <c r="C560">
        <f t="shared" si="47"/>
        <v>12403</v>
      </c>
      <c r="D560" s="3" t="s">
        <v>86</v>
      </c>
      <c r="E560" s="11">
        <f t="shared" si="52"/>
        <v>59.56751666666667</v>
      </c>
      <c r="F560" s="11">
        <f t="shared" si="53"/>
        <v>1.9984500000000001</v>
      </c>
      <c r="G560" s="12" t="s">
        <v>144</v>
      </c>
      <c r="H560" s="12" t="s">
        <v>47</v>
      </c>
      <c r="I560">
        <v>2021</v>
      </c>
      <c r="J560" s="12" t="s">
        <v>163</v>
      </c>
      <c r="K560" s="2">
        <v>0</v>
      </c>
      <c r="M560" s="33">
        <v>6.9000000690599999</v>
      </c>
      <c r="N560" s="33">
        <v>8.30000002355</v>
      </c>
      <c r="Z560" s="27" t="s">
        <v>247</v>
      </c>
      <c r="AA560" t="s">
        <v>234</v>
      </c>
    </row>
    <row r="561" spans="1:27" x14ac:dyDescent="0.25">
      <c r="A561" s="12">
        <v>124</v>
      </c>
      <c r="B561">
        <v>4</v>
      </c>
      <c r="C561">
        <f t="shared" si="47"/>
        <v>12404</v>
      </c>
      <c r="D561" s="3" t="s">
        <v>86</v>
      </c>
      <c r="E561" s="11">
        <f>59+11/60+29.78/3600</f>
        <v>59.191605555555554</v>
      </c>
      <c r="F561" s="11">
        <f>2+23/60+14.7/3600</f>
        <v>2.3874166666666667</v>
      </c>
      <c r="G561" s="12" t="s">
        <v>144</v>
      </c>
      <c r="H561" s="12" t="s">
        <v>47</v>
      </c>
      <c r="I561">
        <v>2002</v>
      </c>
      <c r="J561" s="12" t="s">
        <v>163</v>
      </c>
      <c r="K561" s="2">
        <v>0</v>
      </c>
      <c r="M561" s="33">
        <v>2.7</v>
      </c>
      <c r="N561" s="33"/>
      <c r="Z561" s="27" t="s">
        <v>247</v>
      </c>
      <c r="AA561" t="s">
        <v>206</v>
      </c>
    </row>
    <row r="562" spans="1:27" x14ac:dyDescent="0.25">
      <c r="A562" s="12">
        <v>124</v>
      </c>
      <c r="B562">
        <v>4</v>
      </c>
      <c r="C562">
        <f t="shared" si="47"/>
        <v>12404</v>
      </c>
      <c r="D562" s="3" t="s">
        <v>86</v>
      </c>
      <c r="E562" s="11">
        <f t="shared" ref="E562:E580" si="54">59+11/60+29.78/3600</f>
        <v>59.191605555555554</v>
      </c>
      <c r="F562" s="11">
        <f t="shared" ref="F562:F580" si="55">2+23/60+14.7/3600</f>
        <v>2.3874166666666667</v>
      </c>
      <c r="G562" s="12" t="s">
        <v>144</v>
      </c>
      <c r="H562" s="12" t="s">
        <v>47</v>
      </c>
      <c r="I562">
        <v>2003</v>
      </c>
      <c r="J562" s="12" t="s">
        <v>163</v>
      </c>
      <c r="K562" s="2">
        <v>0</v>
      </c>
      <c r="M562" s="33">
        <v>3.3</v>
      </c>
      <c r="N562" s="33"/>
      <c r="Z562" s="27" t="s">
        <v>247</v>
      </c>
      <c r="AA562" t="s">
        <v>206</v>
      </c>
    </row>
    <row r="563" spans="1:27" x14ac:dyDescent="0.25">
      <c r="A563" s="12">
        <v>124</v>
      </c>
      <c r="B563">
        <v>4</v>
      </c>
      <c r="C563">
        <f t="shared" si="47"/>
        <v>12404</v>
      </c>
      <c r="D563" s="3" t="s">
        <v>86</v>
      </c>
      <c r="E563" s="11">
        <f t="shared" si="54"/>
        <v>59.191605555555554</v>
      </c>
      <c r="F563" s="11">
        <f t="shared" si="55"/>
        <v>2.3874166666666667</v>
      </c>
      <c r="G563" s="12" t="s">
        <v>144</v>
      </c>
      <c r="H563" s="12" t="s">
        <v>47</v>
      </c>
      <c r="I563">
        <v>2004</v>
      </c>
      <c r="J563" s="12" t="s">
        <v>163</v>
      </c>
      <c r="K563" s="2">
        <v>0</v>
      </c>
      <c r="M563" s="33">
        <v>3.75</v>
      </c>
      <c r="N563" s="33"/>
      <c r="Z563" s="27" t="s">
        <v>247</v>
      </c>
      <c r="AA563" t="s">
        <v>206</v>
      </c>
    </row>
    <row r="564" spans="1:27" x14ac:dyDescent="0.25">
      <c r="A564" s="12">
        <v>124</v>
      </c>
      <c r="B564">
        <v>4</v>
      </c>
      <c r="C564">
        <f t="shared" si="47"/>
        <v>12404</v>
      </c>
      <c r="D564" s="3" t="s">
        <v>86</v>
      </c>
      <c r="E564" s="11">
        <f t="shared" si="54"/>
        <v>59.191605555555554</v>
      </c>
      <c r="F564" s="11">
        <f t="shared" si="55"/>
        <v>2.3874166666666667</v>
      </c>
      <c r="G564" s="12" t="s">
        <v>144</v>
      </c>
      <c r="H564" s="12" t="s">
        <v>47</v>
      </c>
      <c r="I564">
        <v>2005</v>
      </c>
      <c r="J564" s="12" t="s">
        <v>163</v>
      </c>
      <c r="K564" s="2">
        <v>0</v>
      </c>
      <c r="M564" s="33">
        <v>3.43333333</v>
      </c>
      <c r="N564" s="33">
        <v>2.4700000000000002</v>
      </c>
      <c r="Z564" s="27" t="s">
        <v>247</v>
      </c>
      <c r="AA564" t="s">
        <v>206</v>
      </c>
    </row>
    <row r="565" spans="1:27" x14ac:dyDescent="0.25">
      <c r="A565" s="12">
        <v>124</v>
      </c>
      <c r="B565">
        <v>4</v>
      </c>
      <c r="C565">
        <f t="shared" si="47"/>
        <v>12404</v>
      </c>
      <c r="D565" s="3" t="s">
        <v>86</v>
      </c>
      <c r="E565" s="11">
        <f t="shared" si="54"/>
        <v>59.191605555555554</v>
      </c>
      <c r="F565" s="11">
        <f t="shared" si="55"/>
        <v>2.3874166666666667</v>
      </c>
      <c r="G565" s="12" t="s">
        <v>144</v>
      </c>
      <c r="H565" s="12" t="s">
        <v>47</v>
      </c>
      <c r="I565">
        <v>2006</v>
      </c>
      <c r="J565" s="12" t="s">
        <v>163</v>
      </c>
      <c r="K565" s="2">
        <v>0</v>
      </c>
      <c r="M565" s="33">
        <v>3.5083333350000001</v>
      </c>
      <c r="N565" s="33">
        <v>2.8583333350000002</v>
      </c>
      <c r="Z565" s="27" t="s">
        <v>247</v>
      </c>
      <c r="AA565" t="s">
        <v>206</v>
      </c>
    </row>
    <row r="566" spans="1:27" x14ac:dyDescent="0.25">
      <c r="A566" s="12">
        <v>124</v>
      </c>
      <c r="B566">
        <v>4</v>
      </c>
      <c r="C566">
        <f t="shared" si="47"/>
        <v>12404</v>
      </c>
      <c r="D566" s="3" t="s">
        <v>86</v>
      </c>
      <c r="E566" s="11">
        <f t="shared" si="54"/>
        <v>59.191605555555554</v>
      </c>
      <c r="F566" s="11">
        <f t="shared" si="55"/>
        <v>2.3874166666666667</v>
      </c>
      <c r="G566" s="12" t="s">
        <v>144</v>
      </c>
      <c r="H566" s="12" t="s">
        <v>47</v>
      </c>
      <c r="I566">
        <v>2007</v>
      </c>
      <c r="J566" s="12" t="s">
        <v>163</v>
      </c>
      <c r="K566" s="2">
        <v>0</v>
      </c>
      <c r="M566" s="33">
        <v>5.1687500000000002</v>
      </c>
      <c r="N566" s="33">
        <v>4.6812500000000004</v>
      </c>
      <c r="Z566" s="27" t="s">
        <v>247</v>
      </c>
      <c r="AA566" t="s">
        <v>206</v>
      </c>
    </row>
    <row r="567" spans="1:27" x14ac:dyDescent="0.25">
      <c r="A567" s="12">
        <v>124</v>
      </c>
      <c r="B567">
        <v>4</v>
      </c>
      <c r="C567">
        <f t="shared" si="47"/>
        <v>12404</v>
      </c>
      <c r="D567" s="3" t="s">
        <v>86</v>
      </c>
      <c r="E567" s="11">
        <f t="shared" si="54"/>
        <v>59.191605555555554</v>
      </c>
      <c r="F567" s="11">
        <f t="shared" si="55"/>
        <v>2.3874166666666667</v>
      </c>
      <c r="G567" s="12" t="s">
        <v>144</v>
      </c>
      <c r="H567" s="12" t="s">
        <v>47</v>
      </c>
      <c r="I567">
        <v>2008</v>
      </c>
      <c r="J567" s="12" t="s">
        <v>163</v>
      </c>
      <c r="K567" s="2">
        <v>0</v>
      </c>
      <c r="M567" s="33">
        <v>5.6</v>
      </c>
      <c r="N567" s="33">
        <v>6.7287499999999998</v>
      </c>
      <c r="Z567" s="27" t="s">
        <v>247</v>
      </c>
      <c r="AA567" t="s">
        <v>206</v>
      </c>
    </row>
    <row r="568" spans="1:27" x14ac:dyDescent="0.25">
      <c r="A568" s="12">
        <v>124</v>
      </c>
      <c r="B568">
        <v>4</v>
      </c>
      <c r="C568">
        <f t="shared" si="47"/>
        <v>12404</v>
      </c>
      <c r="D568" s="3" t="s">
        <v>86</v>
      </c>
      <c r="E568" s="11">
        <f t="shared" si="54"/>
        <v>59.191605555555554</v>
      </c>
      <c r="F568" s="11">
        <f t="shared" si="55"/>
        <v>2.3874166666666667</v>
      </c>
      <c r="G568" s="12" t="s">
        <v>144</v>
      </c>
      <c r="H568" s="12" t="s">
        <v>47</v>
      </c>
      <c r="I568">
        <v>2009</v>
      </c>
      <c r="J568" s="12" t="s">
        <v>163</v>
      </c>
      <c r="K568" s="2">
        <v>0</v>
      </c>
      <c r="M568" s="33">
        <v>8.373232325</v>
      </c>
      <c r="N568" s="33">
        <v>11.53313131</v>
      </c>
      <c r="Z568" s="27" t="s">
        <v>247</v>
      </c>
      <c r="AA568" t="s">
        <v>206</v>
      </c>
    </row>
    <row r="569" spans="1:27" x14ac:dyDescent="0.25">
      <c r="A569" s="12">
        <v>124</v>
      </c>
      <c r="B569">
        <v>4</v>
      </c>
      <c r="C569">
        <f t="shared" si="47"/>
        <v>12404</v>
      </c>
      <c r="D569" s="3" t="s">
        <v>86</v>
      </c>
      <c r="E569" s="11">
        <f t="shared" si="54"/>
        <v>59.191605555555554</v>
      </c>
      <c r="F569" s="11">
        <f t="shared" si="55"/>
        <v>2.3874166666666667</v>
      </c>
      <c r="G569" s="12" t="s">
        <v>144</v>
      </c>
      <c r="H569" s="12" t="s">
        <v>47</v>
      </c>
      <c r="I569">
        <v>2010</v>
      </c>
      <c r="J569" s="12" t="s">
        <v>163</v>
      </c>
      <c r="K569" s="2">
        <v>0</v>
      </c>
      <c r="M569" s="33">
        <v>8.9017518550000005</v>
      </c>
      <c r="N569" s="33">
        <v>12.089150932000001</v>
      </c>
      <c r="Z569" s="27" t="s">
        <v>247</v>
      </c>
      <c r="AA569" t="s">
        <v>206</v>
      </c>
    </row>
    <row r="570" spans="1:27" x14ac:dyDescent="0.25">
      <c r="A570" s="12">
        <v>124</v>
      </c>
      <c r="B570">
        <v>4</v>
      </c>
      <c r="C570">
        <f t="shared" si="47"/>
        <v>12404</v>
      </c>
      <c r="D570" s="3" t="s">
        <v>86</v>
      </c>
      <c r="E570" s="11">
        <f t="shared" si="54"/>
        <v>59.191605555555554</v>
      </c>
      <c r="F570" s="11">
        <f t="shared" si="55"/>
        <v>2.3874166666666667</v>
      </c>
      <c r="G570" s="12" t="s">
        <v>144</v>
      </c>
      <c r="H570" s="12" t="s">
        <v>47</v>
      </c>
      <c r="I570">
        <v>2011</v>
      </c>
      <c r="J570" s="12" t="s">
        <v>163</v>
      </c>
      <c r="K570" s="2">
        <v>0</v>
      </c>
      <c r="M570" s="33">
        <v>4.5235697640000003</v>
      </c>
      <c r="N570" s="33">
        <v>2.8402522729999999</v>
      </c>
      <c r="Z570" s="27" t="s">
        <v>247</v>
      </c>
      <c r="AA570" t="s">
        <v>206</v>
      </c>
    </row>
    <row r="571" spans="1:27" x14ac:dyDescent="0.25">
      <c r="A571" s="12">
        <v>124</v>
      </c>
      <c r="B571">
        <v>4</v>
      </c>
      <c r="C571">
        <f t="shared" si="47"/>
        <v>12404</v>
      </c>
      <c r="D571" s="3" t="s">
        <v>86</v>
      </c>
      <c r="E571" s="11">
        <f t="shared" si="54"/>
        <v>59.191605555555554</v>
      </c>
      <c r="F571" s="11">
        <f t="shared" si="55"/>
        <v>2.3874166666666667</v>
      </c>
      <c r="G571" s="12" t="s">
        <v>144</v>
      </c>
      <c r="H571" s="12" t="s">
        <v>47</v>
      </c>
      <c r="I571">
        <v>2012</v>
      </c>
      <c r="J571" s="12" t="s">
        <v>163</v>
      </c>
      <c r="K571" s="2">
        <v>0</v>
      </c>
      <c r="M571" s="33">
        <v>6.8714285714285701</v>
      </c>
      <c r="N571" s="33">
        <v>9.8342857142857092</v>
      </c>
      <c r="Z571" s="27" t="s">
        <v>247</v>
      </c>
      <c r="AA571" t="s">
        <v>206</v>
      </c>
    </row>
    <row r="572" spans="1:27" x14ac:dyDescent="0.25">
      <c r="A572" s="12">
        <v>124</v>
      </c>
      <c r="B572">
        <v>4</v>
      </c>
      <c r="C572">
        <f t="shared" si="47"/>
        <v>12404</v>
      </c>
      <c r="D572" s="3" t="s">
        <v>86</v>
      </c>
      <c r="E572" s="11">
        <f t="shared" si="54"/>
        <v>59.191605555555554</v>
      </c>
      <c r="F572" s="11">
        <f t="shared" si="55"/>
        <v>2.3874166666666667</v>
      </c>
      <c r="G572" s="12" t="s">
        <v>144</v>
      </c>
      <c r="H572" s="12" t="s">
        <v>47</v>
      </c>
      <c r="I572">
        <v>2013</v>
      </c>
      <c r="J572" s="12" t="s">
        <v>163</v>
      </c>
      <c r="K572" s="2">
        <v>0</v>
      </c>
      <c r="M572" s="33">
        <v>7.3599997759900004</v>
      </c>
      <c r="N572" s="33">
        <v>8.0480004480300007</v>
      </c>
      <c r="Z572" s="27" t="s">
        <v>247</v>
      </c>
      <c r="AA572" t="s">
        <v>206</v>
      </c>
    </row>
    <row r="573" spans="1:27" x14ac:dyDescent="0.25">
      <c r="A573" s="12">
        <v>124</v>
      </c>
      <c r="B573">
        <v>4</v>
      </c>
      <c r="C573">
        <f t="shared" si="47"/>
        <v>12404</v>
      </c>
      <c r="D573" s="3" t="s">
        <v>86</v>
      </c>
      <c r="E573" s="11">
        <f t="shared" si="54"/>
        <v>59.191605555555554</v>
      </c>
      <c r="F573" s="11">
        <f t="shared" si="55"/>
        <v>2.3874166666666667</v>
      </c>
      <c r="G573" s="12" t="s">
        <v>144</v>
      </c>
      <c r="H573" s="12" t="s">
        <v>47</v>
      </c>
      <c r="I573">
        <v>2014</v>
      </c>
      <c r="J573" s="12" t="s">
        <v>163</v>
      </c>
      <c r="K573" s="2">
        <v>0</v>
      </c>
      <c r="M573" s="33">
        <v>5.8143719702272696</v>
      </c>
      <c r="N573" s="33">
        <v>6.2710479473583298</v>
      </c>
      <c r="Z573" s="27" t="s">
        <v>247</v>
      </c>
      <c r="AA573" t="s">
        <v>206</v>
      </c>
    </row>
    <row r="574" spans="1:27" x14ac:dyDescent="0.25">
      <c r="A574" s="12">
        <v>124</v>
      </c>
      <c r="B574">
        <v>4</v>
      </c>
      <c r="C574">
        <f t="shared" si="47"/>
        <v>12404</v>
      </c>
      <c r="D574" s="3" t="s">
        <v>86</v>
      </c>
      <c r="E574" s="11">
        <f t="shared" si="54"/>
        <v>59.191605555555554</v>
      </c>
      <c r="F574" s="11">
        <f t="shared" si="55"/>
        <v>2.3874166666666667</v>
      </c>
      <c r="G574" s="12" t="s">
        <v>144</v>
      </c>
      <c r="H574" s="12" t="s">
        <v>47</v>
      </c>
      <c r="I574">
        <v>2015</v>
      </c>
      <c r="J574" s="12" t="s">
        <v>163</v>
      </c>
      <c r="K574" s="2">
        <v>0</v>
      </c>
      <c r="M574" s="33">
        <v>7.0125000000000002</v>
      </c>
      <c r="N574" s="33">
        <v>8.0833333333333304</v>
      </c>
      <c r="Z574" s="27" t="s">
        <v>247</v>
      </c>
      <c r="AA574" t="s">
        <v>206</v>
      </c>
    </row>
    <row r="575" spans="1:27" x14ac:dyDescent="0.25">
      <c r="A575" s="12">
        <v>124</v>
      </c>
      <c r="B575">
        <v>4</v>
      </c>
      <c r="C575">
        <f t="shared" si="47"/>
        <v>12404</v>
      </c>
      <c r="D575" s="3" t="s">
        <v>86</v>
      </c>
      <c r="E575" s="11">
        <f t="shared" si="54"/>
        <v>59.191605555555554</v>
      </c>
      <c r="F575" s="11">
        <f t="shared" si="55"/>
        <v>2.3874166666666667</v>
      </c>
      <c r="G575" s="12" t="s">
        <v>144</v>
      </c>
      <c r="H575" s="12" t="s">
        <v>47</v>
      </c>
      <c r="I575">
        <v>2016</v>
      </c>
      <c r="J575" s="12" t="s">
        <v>163</v>
      </c>
      <c r="K575" s="2">
        <v>0</v>
      </c>
      <c r="M575" s="33">
        <v>6.0250000000000004</v>
      </c>
      <c r="N575" s="33">
        <v>7.9</v>
      </c>
      <c r="Z575" s="27" t="s">
        <v>247</v>
      </c>
      <c r="AA575" t="s">
        <v>206</v>
      </c>
    </row>
    <row r="576" spans="1:27" x14ac:dyDescent="0.25">
      <c r="A576" s="12">
        <v>124</v>
      </c>
      <c r="B576">
        <v>4</v>
      </c>
      <c r="C576">
        <f t="shared" si="47"/>
        <v>12404</v>
      </c>
      <c r="D576" s="3" t="s">
        <v>86</v>
      </c>
      <c r="E576" s="11">
        <f t="shared" si="54"/>
        <v>59.191605555555554</v>
      </c>
      <c r="F576" s="11">
        <f t="shared" si="55"/>
        <v>2.3874166666666667</v>
      </c>
      <c r="G576" s="12" t="s">
        <v>144</v>
      </c>
      <c r="H576" s="12" t="s">
        <v>47</v>
      </c>
      <c r="I576">
        <v>2017</v>
      </c>
      <c r="J576" s="12" t="s">
        <v>163</v>
      </c>
      <c r="K576" s="2">
        <v>0</v>
      </c>
      <c r="M576" s="33">
        <v>6.25</v>
      </c>
      <c r="N576" s="33">
        <v>8.28571428571429</v>
      </c>
      <c r="Z576" s="27" t="s">
        <v>247</v>
      </c>
      <c r="AA576" t="s">
        <v>206</v>
      </c>
    </row>
    <row r="577" spans="1:27" x14ac:dyDescent="0.25">
      <c r="A577" s="12">
        <v>124</v>
      </c>
      <c r="B577">
        <v>4</v>
      </c>
      <c r="C577">
        <f t="shared" si="47"/>
        <v>12404</v>
      </c>
      <c r="D577" s="3" t="s">
        <v>86</v>
      </c>
      <c r="E577" s="11">
        <f t="shared" si="54"/>
        <v>59.191605555555554</v>
      </c>
      <c r="F577" s="11">
        <f t="shared" si="55"/>
        <v>2.3874166666666667</v>
      </c>
      <c r="G577" s="12" t="s">
        <v>144</v>
      </c>
      <c r="H577" s="12" t="s">
        <v>47</v>
      </c>
      <c r="I577">
        <v>2018</v>
      </c>
      <c r="J577" s="12" t="s">
        <v>163</v>
      </c>
      <c r="K577" s="2">
        <v>0</v>
      </c>
      <c r="M577" s="33">
        <v>6.4874999999999998</v>
      </c>
      <c r="N577" s="33">
        <v>7.4662499999999996</v>
      </c>
      <c r="Z577" s="27" t="s">
        <v>247</v>
      </c>
      <c r="AA577" t="s">
        <v>206</v>
      </c>
    </row>
    <row r="578" spans="1:27" x14ac:dyDescent="0.25">
      <c r="A578" s="12">
        <v>124</v>
      </c>
      <c r="B578">
        <v>4</v>
      </c>
      <c r="C578">
        <f t="shared" si="47"/>
        <v>12404</v>
      </c>
      <c r="D578" s="3" t="s">
        <v>86</v>
      </c>
      <c r="E578" s="11">
        <f t="shared" si="54"/>
        <v>59.191605555555554</v>
      </c>
      <c r="F578" s="11">
        <f t="shared" si="55"/>
        <v>2.3874166666666667</v>
      </c>
      <c r="G578" s="12" t="s">
        <v>144</v>
      </c>
      <c r="H578" s="12" t="s">
        <v>47</v>
      </c>
      <c r="I578">
        <v>2019</v>
      </c>
      <c r="J578" s="12" t="s">
        <v>163</v>
      </c>
      <c r="K578" s="2">
        <v>0</v>
      </c>
      <c r="M578" s="33">
        <v>6.3250000000000002</v>
      </c>
      <c r="N578" s="33">
        <v>7.3</v>
      </c>
      <c r="Z578" s="27" t="s">
        <v>247</v>
      </c>
      <c r="AA578" t="s">
        <v>206</v>
      </c>
    </row>
    <row r="579" spans="1:27" x14ac:dyDescent="0.25">
      <c r="A579" s="12">
        <v>124</v>
      </c>
      <c r="B579">
        <v>4</v>
      </c>
      <c r="C579">
        <f t="shared" ref="C579:C642" si="56">A579*100+B579</f>
        <v>12404</v>
      </c>
      <c r="D579" s="3" t="s">
        <v>86</v>
      </c>
      <c r="E579" s="11">
        <f t="shared" si="54"/>
        <v>59.191605555555554</v>
      </c>
      <c r="F579" s="11">
        <f t="shared" si="55"/>
        <v>2.3874166666666667</v>
      </c>
      <c r="G579" s="12" t="s">
        <v>144</v>
      </c>
      <c r="H579" s="12" t="s">
        <v>47</v>
      </c>
      <c r="I579">
        <v>2020</v>
      </c>
      <c r="J579" s="12" t="s">
        <v>163</v>
      </c>
      <c r="K579" s="2">
        <v>0</v>
      </c>
      <c r="M579" s="33">
        <v>6.125</v>
      </c>
      <c r="N579" s="33">
        <v>8.4499999999999993</v>
      </c>
      <c r="Z579" s="27" t="s">
        <v>247</v>
      </c>
      <c r="AA579" t="s">
        <v>206</v>
      </c>
    </row>
    <row r="580" spans="1:27" x14ac:dyDescent="0.25">
      <c r="A580" s="12">
        <v>124</v>
      </c>
      <c r="B580">
        <v>4</v>
      </c>
      <c r="C580">
        <f t="shared" si="56"/>
        <v>12404</v>
      </c>
      <c r="D580" s="3" t="s">
        <v>86</v>
      </c>
      <c r="E580" s="11">
        <f t="shared" si="54"/>
        <v>59.191605555555554</v>
      </c>
      <c r="F580" s="11">
        <f t="shared" si="55"/>
        <v>2.3874166666666667</v>
      </c>
      <c r="G580" s="12" t="s">
        <v>144</v>
      </c>
      <c r="H580" s="12" t="s">
        <v>47</v>
      </c>
      <c r="I580">
        <v>2021</v>
      </c>
      <c r="J580" s="12" t="s">
        <v>163</v>
      </c>
      <c r="K580" s="2">
        <v>0</v>
      </c>
      <c r="M580" s="33">
        <v>5.5142857142857098</v>
      </c>
      <c r="N580" s="33">
        <v>6.7874999999999996</v>
      </c>
      <c r="Z580" s="27" t="s">
        <v>247</v>
      </c>
      <c r="AA580" t="s">
        <v>206</v>
      </c>
    </row>
    <row r="581" spans="1:27" x14ac:dyDescent="0.25">
      <c r="A581" s="12">
        <v>124</v>
      </c>
      <c r="B581">
        <v>5</v>
      </c>
      <c r="C581">
        <f t="shared" si="56"/>
        <v>12405</v>
      </c>
      <c r="D581" s="3" t="s">
        <v>86</v>
      </c>
      <c r="E581" s="11">
        <f>60+32/60+33.21/3600</f>
        <v>60.542558333333332</v>
      </c>
      <c r="F581" s="11">
        <f>3+2/60+48.47/3600</f>
        <v>3.0467972222222222</v>
      </c>
      <c r="G581" s="12" t="s">
        <v>144</v>
      </c>
      <c r="H581" s="12" t="s">
        <v>47</v>
      </c>
      <c r="I581">
        <v>2002</v>
      </c>
      <c r="J581" s="12" t="s">
        <v>163</v>
      </c>
      <c r="K581" s="2">
        <v>0</v>
      </c>
      <c r="M581" s="33">
        <v>0.233333333</v>
      </c>
      <c r="N581" s="33"/>
      <c r="Z581" s="27" t="s">
        <v>247</v>
      </c>
      <c r="AA581" t="s">
        <v>207</v>
      </c>
    </row>
    <row r="582" spans="1:27" x14ac:dyDescent="0.25">
      <c r="A582" s="12">
        <v>124</v>
      </c>
      <c r="B582">
        <v>5</v>
      </c>
      <c r="C582">
        <f t="shared" si="56"/>
        <v>12405</v>
      </c>
      <c r="D582" s="3" t="s">
        <v>86</v>
      </c>
      <c r="E582" s="11">
        <f t="shared" ref="E582:E600" si="57">60+32/60+33.21/3600</f>
        <v>60.542558333333332</v>
      </c>
      <c r="F582" s="11">
        <f t="shared" ref="F582:F600" si="58">3+2/60+48.47/3600</f>
        <v>3.0467972222222222</v>
      </c>
      <c r="G582" s="12" t="s">
        <v>144</v>
      </c>
      <c r="H582" s="12" t="s">
        <v>47</v>
      </c>
      <c r="I582">
        <v>2003</v>
      </c>
      <c r="J582" s="12" t="s">
        <v>163</v>
      </c>
      <c r="K582" s="2">
        <v>0</v>
      </c>
      <c r="M582" s="33">
        <v>4.8</v>
      </c>
      <c r="N582" s="33"/>
      <c r="Z582" s="27" t="s">
        <v>247</v>
      </c>
      <c r="AA582" t="s">
        <v>207</v>
      </c>
    </row>
    <row r="583" spans="1:27" x14ac:dyDescent="0.25">
      <c r="A583" s="12">
        <v>124</v>
      </c>
      <c r="B583">
        <v>5</v>
      </c>
      <c r="C583">
        <f t="shared" si="56"/>
        <v>12405</v>
      </c>
      <c r="D583" s="3" t="s">
        <v>86</v>
      </c>
      <c r="E583" s="11">
        <f t="shared" si="57"/>
        <v>60.542558333333332</v>
      </c>
      <c r="F583" s="11">
        <f t="shared" si="58"/>
        <v>3.0467972222222222</v>
      </c>
      <c r="G583" s="12" t="s">
        <v>144</v>
      </c>
      <c r="H583" s="12" t="s">
        <v>47</v>
      </c>
      <c r="I583">
        <v>2004</v>
      </c>
      <c r="J583" s="12" t="s">
        <v>163</v>
      </c>
      <c r="K583" s="2">
        <v>0</v>
      </c>
      <c r="M583" s="33">
        <v>5.3</v>
      </c>
      <c r="N583" s="33"/>
      <c r="Z583" s="27" t="s">
        <v>247</v>
      </c>
      <c r="AA583" t="s">
        <v>207</v>
      </c>
    </row>
    <row r="584" spans="1:27" x14ac:dyDescent="0.25">
      <c r="A584" s="12">
        <v>124</v>
      </c>
      <c r="B584">
        <v>5</v>
      </c>
      <c r="C584">
        <f t="shared" si="56"/>
        <v>12405</v>
      </c>
      <c r="D584" s="3" t="s">
        <v>86</v>
      </c>
      <c r="E584" s="11">
        <f t="shared" si="57"/>
        <v>60.542558333333332</v>
      </c>
      <c r="F584" s="11">
        <f t="shared" si="58"/>
        <v>3.0467972222222222</v>
      </c>
      <c r="G584" s="12" t="s">
        <v>144</v>
      </c>
      <c r="H584" s="12" t="s">
        <v>47</v>
      </c>
      <c r="I584">
        <v>2005</v>
      </c>
      <c r="J584" s="12" t="s">
        <v>163</v>
      </c>
      <c r="K584" s="2">
        <v>0</v>
      </c>
      <c r="M584" s="33">
        <v>1.5</v>
      </c>
      <c r="N584" s="33"/>
      <c r="Z584" s="27" t="s">
        <v>247</v>
      </c>
      <c r="AA584" t="s">
        <v>207</v>
      </c>
    </row>
    <row r="585" spans="1:27" x14ac:dyDescent="0.25">
      <c r="A585" s="12">
        <v>124</v>
      </c>
      <c r="B585">
        <v>5</v>
      </c>
      <c r="C585">
        <f t="shared" si="56"/>
        <v>12405</v>
      </c>
      <c r="D585" s="3" t="s">
        <v>86</v>
      </c>
      <c r="E585" s="11">
        <f t="shared" si="57"/>
        <v>60.542558333333332</v>
      </c>
      <c r="F585" s="11">
        <f t="shared" si="58"/>
        <v>3.0467972222222222</v>
      </c>
      <c r="G585" s="12" t="s">
        <v>144</v>
      </c>
      <c r="H585" s="12" t="s">
        <v>47</v>
      </c>
      <c r="I585">
        <v>2006</v>
      </c>
      <c r="J585" s="12" t="s">
        <v>163</v>
      </c>
      <c r="K585" s="2">
        <v>0</v>
      </c>
      <c r="M585" s="33">
        <v>5.3</v>
      </c>
      <c r="N585" s="33">
        <v>5.3</v>
      </c>
      <c r="Z585" s="27" t="s">
        <v>247</v>
      </c>
      <c r="AA585" t="s">
        <v>207</v>
      </c>
    </row>
    <row r="586" spans="1:27" x14ac:dyDescent="0.25">
      <c r="A586" s="12">
        <v>124</v>
      </c>
      <c r="B586">
        <v>5</v>
      </c>
      <c r="C586">
        <f t="shared" si="56"/>
        <v>12405</v>
      </c>
      <c r="D586" s="3" t="s">
        <v>86</v>
      </c>
      <c r="E586" s="11">
        <f t="shared" si="57"/>
        <v>60.542558333333332</v>
      </c>
      <c r="F586" s="11">
        <f t="shared" si="58"/>
        <v>3.0467972222222222</v>
      </c>
      <c r="G586" s="12" t="s">
        <v>144</v>
      </c>
      <c r="H586" s="12" t="s">
        <v>47</v>
      </c>
      <c r="I586">
        <v>2007</v>
      </c>
      <c r="J586" s="12" t="s">
        <v>163</v>
      </c>
      <c r="K586" s="2">
        <v>0</v>
      </c>
      <c r="M586" s="33">
        <v>8.5</v>
      </c>
      <c r="N586" s="33">
        <v>6.6</v>
      </c>
      <c r="Z586" s="27" t="s">
        <v>247</v>
      </c>
      <c r="AA586" t="s">
        <v>207</v>
      </c>
    </row>
    <row r="587" spans="1:27" x14ac:dyDescent="0.25">
      <c r="A587" s="12">
        <v>124</v>
      </c>
      <c r="B587">
        <v>5</v>
      </c>
      <c r="C587">
        <f t="shared" si="56"/>
        <v>12405</v>
      </c>
      <c r="D587" s="3" t="s">
        <v>86</v>
      </c>
      <c r="E587" s="11">
        <f t="shared" si="57"/>
        <v>60.542558333333332</v>
      </c>
      <c r="F587" s="11">
        <f t="shared" si="58"/>
        <v>3.0467972222222222</v>
      </c>
      <c r="G587" s="12" t="s">
        <v>144</v>
      </c>
      <c r="H587" s="12" t="s">
        <v>47</v>
      </c>
      <c r="I587">
        <v>2008</v>
      </c>
      <c r="J587" s="12" t="s">
        <v>163</v>
      </c>
      <c r="K587" s="2">
        <v>0</v>
      </c>
      <c r="M587" s="33">
        <v>8.7186609629999996</v>
      </c>
      <c r="N587" s="33">
        <v>7.2094545630000004</v>
      </c>
      <c r="Z587" s="27" t="s">
        <v>247</v>
      </c>
      <c r="AA587" t="s">
        <v>207</v>
      </c>
    </row>
    <row r="588" spans="1:27" x14ac:dyDescent="0.25">
      <c r="A588" s="12">
        <v>124</v>
      </c>
      <c r="B588">
        <v>5</v>
      </c>
      <c r="C588">
        <f t="shared" si="56"/>
        <v>12405</v>
      </c>
      <c r="D588" s="3" t="s">
        <v>86</v>
      </c>
      <c r="E588" s="11">
        <f t="shared" si="57"/>
        <v>60.542558333333332</v>
      </c>
      <c r="F588" s="11">
        <f t="shared" si="58"/>
        <v>3.0467972222222222</v>
      </c>
      <c r="G588" s="12" t="s">
        <v>144</v>
      </c>
      <c r="H588" s="12" t="s">
        <v>47</v>
      </c>
      <c r="I588">
        <v>2009</v>
      </c>
      <c r="J588" s="12" t="s">
        <v>163</v>
      </c>
      <c r="K588" s="2">
        <v>0</v>
      </c>
      <c r="M588" s="33">
        <v>7.7814576799999999</v>
      </c>
      <c r="N588" s="33">
        <v>6.7101604100000003</v>
      </c>
      <c r="Z588" s="27" t="s">
        <v>247</v>
      </c>
      <c r="AA588" t="s">
        <v>207</v>
      </c>
    </row>
    <row r="589" spans="1:27" x14ac:dyDescent="0.25">
      <c r="A589" s="12">
        <v>124</v>
      </c>
      <c r="B589">
        <v>5</v>
      </c>
      <c r="C589">
        <f t="shared" si="56"/>
        <v>12405</v>
      </c>
      <c r="D589" s="3" t="s">
        <v>86</v>
      </c>
      <c r="E589" s="11">
        <f t="shared" si="57"/>
        <v>60.542558333333332</v>
      </c>
      <c r="F589" s="11">
        <f t="shared" si="58"/>
        <v>3.0467972222222222</v>
      </c>
      <c r="G589" s="12" t="s">
        <v>144</v>
      </c>
      <c r="H589" s="12" t="s">
        <v>47</v>
      </c>
      <c r="I589">
        <v>2010</v>
      </c>
      <c r="J589" s="12" t="s">
        <v>163</v>
      </c>
      <c r="K589" s="2">
        <v>0</v>
      </c>
      <c r="M589" s="33">
        <v>10.08371876</v>
      </c>
      <c r="N589" s="33">
        <v>8.0706730180000008</v>
      </c>
      <c r="Z589" s="27" t="s">
        <v>247</v>
      </c>
      <c r="AA589" t="s">
        <v>207</v>
      </c>
    </row>
    <row r="590" spans="1:27" x14ac:dyDescent="0.25">
      <c r="A590" s="12">
        <v>124</v>
      </c>
      <c r="B590">
        <v>5</v>
      </c>
      <c r="C590">
        <f t="shared" si="56"/>
        <v>12405</v>
      </c>
      <c r="D590" s="3" t="s">
        <v>86</v>
      </c>
      <c r="E590" s="11">
        <f t="shared" si="57"/>
        <v>60.542558333333332</v>
      </c>
      <c r="F590" s="11">
        <f t="shared" si="58"/>
        <v>3.0467972222222222</v>
      </c>
      <c r="G590" s="12" t="s">
        <v>144</v>
      </c>
      <c r="H590" s="12" t="s">
        <v>47</v>
      </c>
      <c r="I590">
        <v>2011</v>
      </c>
      <c r="J590" s="12" t="s">
        <v>163</v>
      </c>
      <c r="K590" s="2">
        <v>0</v>
      </c>
      <c r="M590" s="33">
        <v>9.1489971780000001</v>
      </c>
      <c r="N590" s="33">
        <v>7.9919854260000003</v>
      </c>
      <c r="Z590" s="27" t="s">
        <v>247</v>
      </c>
      <c r="AA590" t="s">
        <v>207</v>
      </c>
    </row>
    <row r="591" spans="1:27" x14ac:dyDescent="0.25">
      <c r="A591" s="12">
        <v>124</v>
      </c>
      <c r="B591">
        <v>5</v>
      </c>
      <c r="C591">
        <f t="shared" si="56"/>
        <v>12405</v>
      </c>
      <c r="D591" s="3" t="s">
        <v>86</v>
      </c>
      <c r="E591" s="11">
        <f t="shared" si="57"/>
        <v>60.542558333333332</v>
      </c>
      <c r="F591" s="11">
        <f t="shared" si="58"/>
        <v>3.0467972222222222</v>
      </c>
      <c r="G591" s="12" t="s">
        <v>144</v>
      </c>
      <c r="H591" s="12" t="s">
        <v>47</v>
      </c>
      <c r="I591">
        <v>2012</v>
      </c>
      <c r="J591" s="12" t="s">
        <v>163</v>
      </c>
      <c r="K591" s="2">
        <v>0</v>
      </c>
      <c r="M591" s="33">
        <v>8.4815024999999995</v>
      </c>
      <c r="N591" s="33">
        <v>7.52727272727273</v>
      </c>
      <c r="Z591" s="27" t="s">
        <v>247</v>
      </c>
      <c r="AA591" t="s">
        <v>207</v>
      </c>
    </row>
    <row r="592" spans="1:27" x14ac:dyDescent="0.25">
      <c r="A592" s="12">
        <v>124</v>
      </c>
      <c r="B592">
        <v>5</v>
      </c>
      <c r="C592">
        <f t="shared" si="56"/>
        <v>12405</v>
      </c>
      <c r="D592" s="3" t="s">
        <v>86</v>
      </c>
      <c r="E592" s="11">
        <f t="shared" si="57"/>
        <v>60.542558333333332</v>
      </c>
      <c r="F592" s="11">
        <f t="shared" si="58"/>
        <v>3.0467972222222222</v>
      </c>
      <c r="G592" s="12" t="s">
        <v>144</v>
      </c>
      <c r="H592" s="12" t="s">
        <v>47</v>
      </c>
      <c r="I592">
        <v>2013</v>
      </c>
      <c r="J592" s="12" t="s">
        <v>163</v>
      </c>
      <c r="K592" s="2">
        <v>0</v>
      </c>
      <c r="M592" s="33">
        <v>7.8333952232583304</v>
      </c>
      <c r="N592" s="33">
        <v>7.2</v>
      </c>
      <c r="Z592" s="27" t="s">
        <v>247</v>
      </c>
      <c r="AA592" t="s">
        <v>207</v>
      </c>
    </row>
    <row r="593" spans="1:27" x14ac:dyDescent="0.25">
      <c r="A593" s="12">
        <v>124</v>
      </c>
      <c r="B593">
        <v>5</v>
      </c>
      <c r="C593">
        <f t="shared" si="56"/>
        <v>12405</v>
      </c>
      <c r="D593" s="3" t="s">
        <v>86</v>
      </c>
      <c r="E593" s="11">
        <f t="shared" si="57"/>
        <v>60.542558333333332</v>
      </c>
      <c r="F593" s="11">
        <f t="shared" si="58"/>
        <v>3.0467972222222222</v>
      </c>
      <c r="G593" s="12" t="s">
        <v>144</v>
      </c>
      <c r="H593" s="12" t="s">
        <v>47</v>
      </c>
      <c r="I593">
        <v>2014</v>
      </c>
      <c r="J593" s="12" t="s">
        <v>163</v>
      </c>
      <c r="K593" s="2">
        <v>0</v>
      </c>
      <c r="M593" s="33">
        <v>6.6316531533583296</v>
      </c>
      <c r="N593" s="33">
        <v>6.4740602374499998</v>
      </c>
      <c r="Z593" s="27" t="s">
        <v>247</v>
      </c>
      <c r="AA593" t="s">
        <v>207</v>
      </c>
    </row>
    <row r="594" spans="1:27" x14ac:dyDescent="0.25">
      <c r="A594" s="12">
        <v>124</v>
      </c>
      <c r="B594">
        <v>5</v>
      </c>
      <c r="C594">
        <f t="shared" si="56"/>
        <v>12405</v>
      </c>
      <c r="D594" s="3" t="s">
        <v>86</v>
      </c>
      <c r="E594" s="11">
        <f t="shared" si="57"/>
        <v>60.542558333333332</v>
      </c>
      <c r="F594" s="11">
        <f t="shared" si="58"/>
        <v>3.0467972222222222</v>
      </c>
      <c r="G594" s="12" t="s">
        <v>144</v>
      </c>
      <c r="H594" s="12" t="s">
        <v>47</v>
      </c>
      <c r="I594">
        <v>2015</v>
      </c>
      <c r="J594" s="12" t="s">
        <v>163</v>
      </c>
      <c r="K594" s="2">
        <v>0</v>
      </c>
      <c r="M594" s="33">
        <v>7.1</v>
      </c>
      <c r="N594" s="33">
        <v>7.1340000000000003</v>
      </c>
      <c r="Z594" s="27" t="s">
        <v>247</v>
      </c>
      <c r="AA594" t="s">
        <v>207</v>
      </c>
    </row>
    <row r="595" spans="1:27" x14ac:dyDescent="0.25">
      <c r="A595" s="12">
        <v>124</v>
      </c>
      <c r="B595">
        <v>5</v>
      </c>
      <c r="C595">
        <f t="shared" si="56"/>
        <v>12405</v>
      </c>
      <c r="D595" s="3" t="s">
        <v>86</v>
      </c>
      <c r="E595" s="11">
        <f t="shared" si="57"/>
        <v>60.542558333333332</v>
      </c>
      <c r="F595" s="11">
        <f t="shared" si="58"/>
        <v>3.0467972222222222</v>
      </c>
      <c r="G595" s="12" t="s">
        <v>144</v>
      </c>
      <c r="H595" s="12" t="s">
        <v>47</v>
      </c>
      <c r="I595">
        <v>2016</v>
      </c>
      <c r="J595" s="12" t="s">
        <v>163</v>
      </c>
      <c r="K595" s="2">
        <v>0</v>
      </c>
      <c r="M595" s="33">
        <v>7.9272225139749999</v>
      </c>
      <c r="N595" s="33">
        <v>8.2641845444750004</v>
      </c>
      <c r="Z595" s="27" t="s">
        <v>247</v>
      </c>
      <c r="AA595" t="s">
        <v>207</v>
      </c>
    </row>
    <row r="596" spans="1:27" x14ac:dyDescent="0.25">
      <c r="A596" s="12">
        <v>124</v>
      </c>
      <c r="B596">
        <v>5</v>
      </c>
      <c r="C596">
        <f t="shared" si="56"/>
        <v>12405</v>
      </c>
      <c r="D596" s="3" t="s">
        <v>86</v>
      </c>
      <c r="E596" s="11">
        <f t="shared" si="57"/>
        <v>60.542558333333332</v>
      </c>
      <c r="F596" s="11">
        <f t="shared" si="58"/>
        <v>3.0467972222222222</v>
      </c>
      <c r="G596" s="12" t="s">
        <v>144</v>
      </c>
      <c r="H596" s="12" t="s">
        <v>47</v>
      </c>
      <c r="I596">
        <v>2017</v>
      </c>
      <c r="J596" s="12" t="s">
        <v>163</v>
      </c>
      <c r="K596" s="2">
        <v>0</v>
      </c>
      <c r="M596" s="33">
        <v>7.1549907111166702</v>
      </c>
      <c r="N596" s="33">
        <v>8.5099950244200002</v>
      </c>
      <c r="Z596" s="27" t="s">
        <v>247</v>
      </c>
      <c r="AA596" t="s">
        <v>207</v>
      </c>
    </row>
    <row r="597" spans="1:27" x14ac:dyDescent="0.25">
      <c r="A597" s="12">
        <v>124</v>
      </c>
      <c r="B597">
        <v>5</v>
      </c>
      <c r="C597">
        <f t="shared" si="56"/>
        <v>12405</v>
      </c>
      <c r="D597" s="3" t="s">
        <v>86</v>
      </c>
      <c r="E597" s="11">
        <f t="shared" si="57"/>
        <v>60.542558333333332</v>
      </c>
      <c r="F597" s="11">
        <f t="shared" si="58"/>
        <v>3.0467972222222222</v>
      </c>
      <c r="G597" s="12" t="s">
        <v>144</v>
      </c>
      <c r="H597" s="12" t="s">
        <v>47</v>
      </c>
      <c r="I597">
        <v>2018</v>
      </c>
      <c r="J597" s="12" t="s">
        <v>163</v>
      </c>
      <c r="K597" s="2">
        <v>0</v>
      </c>
      <c r="M597" s="33">
        <v>7.4850000000000003</v>
      </c>
      <c r="N597" s="33">
        <v>9.0299999999999994</v>
      </c>
      <c r="Z597" s="27" t="s">
        <v>247</v>
      </c>
      <c r="AA597" t="s">
        <v>207</v>
      </c>
    </row>
    <row r="598" spans="1:27" x14ac:dyDescent="0.25">
      <c r="A598" s="12">
        <v>124</v>
      </c>
      <c r="B598">
        <v>5</v>
      </c>
      <c r="C598">
        <f t="shared" si="56"/>
        <v>12405</v>
      </c>
      <c r="D598" s="3" t="s">
        <v>86</v>
      </c>
      <c r="E598" s="11">
        <f t="shared" si="57"/>
        <v>60.542558333333332</v>
      </c>
      <c r="F598" s="11">
        <f t="shared" si="58"/>
        <v>3.0467972222222222</v>
      </c>
      <c r="G598" s="12" t="s">
        <v>144</v>
      </c>
      <c r="H598" s="12" t="s">
        <v>47</v>
      </c>
      <c r="I598">
        <v>2019</v>
      </c>
      <c r="J598" s="12" t="s">
        <v>163</v>
      </c>
      <c r="K598" s="2">
        <v>0</v>
      </c>
      <c r="M598" s="33">
        <v>6.7133428456666699</v>
      </c>
      <c r="N598" s="33">
        <v>8.4393717522749991</v>
      </c>
      <c r="Z598" s="27" t="s">
        <v>247</v>
      </c>
      <c r="AA598" t="s">
        <v>207</v>
      </c>
    </row>
    <row r="599" spans="1:27" x14ac:dyDescent="0.25">
      <c r="A599" s="12">
        <v>124</v>
      </c>
      <c r="B599">
        <v>5</v>
      </c>
      <c r="C599">
        <f t="shared" si="56"/>
        <v>12405</v>
      </c>
      <c r="D599" s="3" t="s">
        <v>86</v>
      </c>
      <c r="E599" s="11">
        <f t="shared" si="57"/>
        <v>60.542558333333332</v>
      </c>
      <c r="F599" s="11">
        <f t="shared" si="58"/>
        <v>3.0467972222222222</v>
      </c>
      <c r="G599" s="12" t="s">
        <v>144</v>
      </c>
      <c r="H599" s="12" t="s">
        <v>47</v>
      </c>
      <c r="I599">
        <v>2020</v>
      </c>
      <c r="J599" s="12" t="s">
        <v>163</v>
      </c>
      <c r="K599" s="2">
        <v>0</v>
      </c>
      <c r="M599" s="33">
        <v>6.1787098408333296</v>
      </c>
      <c r="N599" s="33">
        <v>8.0071546471749997</v>
      </c>
      <c r="Z599" s="27" t="s">
        <v>247</v>
      </c>
      <c r="AA599" t="s">
        <v>207</v>
      </c>
    </row>
    <row r="600" spans="1:27" x14ac:dyDescent="0.25">
      <c r="A600" s="12">
        <v>124</v>
      </c>
      <c r="B600">
        <v>5</v>
      </c>
      <c r="C600">
        <f t="shared" si="56"/>
        <v>12405</v>
      </c>
      <c r="D600" s="3" t="s">
        <v>86</v>
      </c>
      <c r="E600" s="11">
        <f t="shared" si="57"/>
        <v>60.542558333333332</v>
      </c>
      <c r="F600" s="11">
        <f t="shared" si="58"/>
        <v>3.0467972222222222</v>
      </c>
      <c r="G600" s="12" t="s">
        <v>144</v>
      </c>
      <c r="H600" s="12" t="s">
        <v>47</v>
      </c>
      <c r="I600">
        <v>2021</v>
      </c>
      <c r="J600" s="12" t="s">
        <v>163</v>
      </c>
      <c r="K600" s="2">
        <v>0</v>
      </c>
      <c r="M600" s="33">
        <v>6.0949999999999998</v>
      </c>
      <c r="N600" s="33">
        <v>6.2675000000000001</v>
      </c>
      <c r="Z600" s="27" t="s">
        <v>247</v>
      </c>
      <c r="AA600" t="s">
        <v>207</v>
      </c>
    </row>
    <row r="601" spans="1:27" x14ac:dyDescent="0.25">
      <c r="A601" s="12">
        <v>124</v>
      </c>
      <c r="B601">
        <v>6</v>
      </c>
      <c r="C601">
        <f t="shared" si="56"/>
        <v>12406</v>
      </c>
      <c r="D601" s="3" t="s">
        <v>86</v>
      </c>
      <c r="E601" s="11">
        <f>64+21/60+11.42/3600</f>
        <v>64.353172222222213</v>
      </c>
      <c r="F601" s="11">
        <f>7+46/60+57.38/3600</f>
        <v>7.7826055555555556</v>
      </c>
      <c r="G601" s="12" t="s">
        <v>144</v>
      </c>
      <c r="H601" s="12" t="s">
        <v>47</v>
      </c>
      <c r="I601">
        <v>2002</v>
      </c>
      <c r="J601" s="12" t="s">
        <v>163</v>
      </c>
      <c r="K601" s="2">
        <v>0</v>
      </c>
      <c r="M601" s="33">
        <v>5.233333333</v>
      </c>
      <c r="N601" s="33"/>
      <c r="Z601" s="27" t="s">
        <v>247</v>
      </c>
      <c r="AA601" t="s">
        <v>208</v>
      </c>
    </row>
    <row r="602" spans="1:27" x14ac:dyDescent="0.25">
      <c r="A602" s="12">
        <v>124</v>
      </c>
      <c r="B602">
        <v>6</v>
      </c>
      <c r="C602">
        <f t="shared" si="56"/>
        <v>12406</v>
      </c>
      <c r="D602" s="3" t="s">
        <v>86</v>
      </c>
      <c r="E602" s="11">
        <f t="shared" ref="E602:E620" si="59">64+21/60+11.42/3600</f>
        <v>64.353172222222213</v>
      </c>
      <c r="F602" s="11">
        <f t="shared" ref="F602:F620" si="60">7+46/60+57.38/3600</f>
        <v>7.7826055555555556</v>
      </c>
      <c r="G602" s="12" t="s">
        <v>144</v>
      </c>
      <c r="H602" s="12" t="s">
        <v>47</v>
      </c>
      <c r="I602">
        <v>2003</v>
      </c>
      <c r="J602" s="12" t="s">
        <v>163</v>
      </c>
      <c r="K602" s="2">
        <v>0</v>
      </c>
      <c r="M602" s="33">
        <v>3.8666666670000001</v>
      </c>
      <c r="N602" s="33"/>
      <c r="Z602" s="27" t="s">
        <v>247</v>
      </c>
      <c r="AA602" t="s">
        <v>208</v>
      </c>
    </row>
    <row r="603" spans="1:27" x14ac:dyDescent="0.25">
      <c r="A603" s="12">
        <v>124</v>
      </c>
      <c r="B603">
        <v>6</v>
      </c>
      <c r="C603">
        <f t="shared" si="56"/>
        <v>12406</v>
      </c>
      <c r="D603" s="3" t="s">
        <v>86</v>
      </c>
      <c r="E603" s="11">
        <f t="shared" si="59"/>
        <v>64.353172222222213</v>
      </c>
      <c r="F603" s="11">
        <f t="shared" si="60"/>
        <v>7.7826055555555556</v>
      </c>
      <c r="G603" s="12" t="s">
        <v>144</v>
      </c>
      <c r="H603" s="12" t="s">
        <v>47</v>
      </c>
      <c r="I603">
        <v>2004</v>
      </c>
      <c r="J603" s="12" t="s">
        <v>163</v>
      </c>
      <c r="K603" s="2">
        <v>0</v>
      </c>
      <c r="M603" s="33">
        <v>3.73</v>
      </c>
      <c r="N603" s="33"/>
      <c r="Z603" s="27" t="s">
        <v>247</v>
      </c>
      <c r="AA603" t="s">
        <v>208</v>
      </c>
    </row>
    <row r="604" spans="1:27" x14ac:dyDescent="0.25">
      <c r="A604" s="12">
        <v>124</v>
      </c>
      <c r="B604">
        <v>6</v>
      </c>
      <c r="C604">
        <f t="shared" si="56"/>
        <v>12406</v>
      </c>
      <c r="D604" s="3" t="s">
        <v>86</v>
      </c>
      <c r="E604" s="11">
        <f t="shared" si="59"/>
        <v>64.353172222222213</v>
      </c>
      <c r="F604" s="11">
        <f t="shared" si="60"/>
        <v>7.7826055555555556</v>
      </c>
      <c r="G604" s="12" t="s">
        <v>144</v>
      </c>
      <c r="H604" s="12" t="s">
        <v>47</v>
      </c>
      <c r="I604">
        <v>2005</v>
      </c>
      <c r="J604" s="12" t="s">
        <v>163</v>
      </c>
      <c r="K604" s="2">
        <v>0</v>
      </c>
      <c r="M604" s="33">
        <v>2.4300000000000002</v>
      </c>
      <c r="N604" s="33">
        <v>2.2466666659999999</v>
      </c>
      <c r="Z604" s="27" t="s">
        <v>247</v>
      </c>
      <c r="AA604" t="s">
        <v>208</v>
      </c>
    </row>
    <row r="605" spans="1:27" x14ac:dyDescent="0.25">
      <c r="A605" s="12">
        <v>124</v>
      </c>
      <c r="B605">
        <v>6</v>
      </c>
      <c r="C605">
        <f t="shared" si="56"/>
        <v>12406</v>
      </c>
      <c r="D605" s="3" t="s">
        <v>86</v>
      </c>
      <c r="E605" s="11">
        <f t="shared" si="59"/>
        <v>64.353172222222213</v>
      </c>
      <c r="F605" s="11">
        <f t="shared" si="60"/>
        <v>7.7826055555555556</v>
      </c>
      <c r="G605" s="12" t="s">
        <v>144</v>
      </c>
      <c r="H605" s="12" t="s">
        <v>47</v>
      </c>
      <c r="I605">
        <v>2006</v>
      </c>
      <c r="J605" s="12" t="s">
        <v>163</v>
      </c>
      <c r="K605" s="2">
        <v>0</v>
      </c>
      <c r="M605" s="33">
        <v>4.1333333400000001</v>
      </c>
      <c r="N605" s="33">
        <v>3.4249999999999998</v>
      </c>
      <c r="Z605" s="27" t="s">
        <v>247</v>
      </c>
      <c r="AA605" t="s">
        <v>208</v>
      </c>
    </row>
    <row r="606" spans="1:27" x14ac:dyDescent="0.25">
      <c r="A606" s="12">
        <v>124</v>
      </c>
      <c r="B606">
        <v>6</v>
      </c>
      <c r="C606">
        <f t="shared" si="56"/>
        <v>12406</v>
      </c>
      <c r="D606" s="3" t="s">
        <v>86</v>
      </c>
      <c r="E606" s="11">
        <f t="shared" si="59"/>
        <v>64.353172222222213</v>
      </c>
      <c r="F606" s="11">
        <f t="shared" si="60"/>
        <v>7.7826055555555556</v>
      </c>
      <c r="G606" s="12" t="s">
        <v>144</v>
      </c>
      <c r="H606" s="12" t="s">
        <v>47</v>
      </c>
      <c r="I606">
        <v>2007</v>
      </c>
      <c r="J606" s="12" t="s">
        <v>163</v>
      </c>
      <c r="K606" s="2">
        <v>0</v>
      </c>
      <c r="M606" s="33">
        <v>4.68</v>
      </c>
      <c r="N606" s="33">
        <v>3.75</v>
      </c>
      <c r="Z606" s="27" t="s">
        <v>247</v>
      </c>
      <c r="AA606" t="s">
        <v>208</v>
      </c>
    </row>
    <row r="607" spans="1:27" x14ac:dyDescent="0.25">
      <c r="A607" s="12">
        <v>124</v>
      </c>
      <c r="B607">
        <v>6</v>
      </c>
      <c r="C607">
        <f t="shared" si="56"/>
        <v>12406</v>
      </c>
      <c r="D607" s="3" t="s">
        <v>86</v>
      </c>
      <c r="E607" s="11">
        <f t="shared" si="59"/>
        <v>64.353172222222213</v>
      </c>
      <c r="F607" s="11">
        <f t="shared" si="60"/>
        <v>7.7826055555555556</v>
      </c>
      <c r="G607" s="12" t="s">
        <v>144</v>
      </c>
      <c r="H607" s="12" t="s">
        <v>47</v>
      </c>
      <c r="I607">
        <v>2008</v>
      </c>
      <c r="J607" s="12" t="s">
        <v>163</v>
      </c>
      <c r="K607" s="2">
        <v>0</v>
      </c>
      <c r="M607" s="33">
        <v>4.0770470000000003</v>
      </c>
      <c r="N607" s="33">
        <v>3.5688900000000001</v>
      </c>
      <c r="Z607" s="27" t="s">
        <v>247</v>
      </c>
      <c r="AA607" t="s">
        <v>208</v>
      </c>
    </row>
    <row r="608" spans="1:27" x14ac:dyDescent="0.25">
      <c r="A608" s="12">
        <v>124</v>
      </c>
      <c r="B608">
        <v>6</v>
      </c>
      <c r="C608">
        <f t="shared" si="56"/>
        <v>12406</v>
      </c>
      <c r="D608" s="3" t="s">
        <v>86</v>
      </c>
      <c r="E608" s="11">
        <f t="shared" si="59"/>
        <v>64.353172222222213</v>
      </c>
      <c r="F608" s="11">
        <f t="shared" si="60"/>
        <v>7.7826055555555556</v>
      </c>
      <c r="G608" s="12" t="s">
        <v>144</v>
      </c>
      <c r="H608" s="12" t="s">
        <v>47</v>
      </c>
      <c r="I608">
        <v>2009</v>
      </c>
      <c r="J608" s="12" t="s">
        <v>163</v>
      </c>
      <c r="K608" s="2">
        <v>0</v>
      </c>
      <c r="M608" s="33">
        <v>5.078181507</v>
      </c>
      <c r="N608" s="33">
        <v>3.6523706410000001</v>
      </c>
      <c r="Z608" s="27" t="s">
        <v>247</v>
      </c>
      <c r="AA608" t="s">
        <v>208</v>
      </c>
    </row>
    <row r="609" spans="1:27" x14ac:dyDescent="0.25">
      <c r="A609" s="12">
        <v>124</v>
      </c>
      <c r="B609">
        <v>6</v>
      </c>
      <c r="C609">
        <f t="shared" si="56"/>
        <v>12406</v>
      </c>
      <c r="D609" s="3" t="s">
        <v>86</v>
      </c>
      <c r="E609" s="11">
        <f t="shared" si="59"/>
        <v>64.353172222222213</v>
      </c>
      <c r="F609" s="11">
        <f t="shared" si="60"/>
        <v>7.7826055555555556</v>
      </c>
      <c r="G609" s="12" t="s">
        <v>144</v>
      </c>
      <c r="H609" s="12" t="s">
        <v>47</v>
      </c>
      <c r="I609">
        <v>2010</v>
      </c>
      <c r="J609" s="12" t="s">
        <v>163</v>
      </c>
      <c r="K609" s="2">
        <v>0</v>
      </c>
      <c r="M609" s="33">
        <v>4.9356603379999999</v>
      </c>
      <c r="N609" s="33">
        <v>3.365515415</v>
      </c>
      <c r="Z609" s="27" t="s">
        <v>247</v>
      </c>
      <c r="AA609" t="s">
        <v>208</v>
      </c>
    </row>
    <row r="610" spans="1:27" x14ac:dyDescent="0.25">
      <c r="A610" s="12">
        <v>124</v>
      </c>
      <c r="B610">
        <v>6</v>
      </c>
      <c r="C610">
        <f t="shared" si="56"/>
        <v>12406</v>
      </c>
      <c r="D610" s="3" t="s">
        <v>86</v>
      </c>
      <c r="E610" s="11">
        <f t="shared" si="59"/>
        <v>64.353172222222213</v>
      </c>
      <c r="F610" s="11">
        <f t="shared" si="60"/>
        <v>7.7826055555555556</v>
      </c>
      <c r="G610" s="12" t="s">
        <v>144</v>
      </c>
      <c r="H610" s="12" t="s">
        <v>47</v>
      </c>
      <c r="I610">
        <v>2011</v>
      </c>
      <c r="J610" s="12" t="s">
        <v>163</v>
      </c>
      <c r="K610" s="2">
        <v>0</v>
      </c>
      <c r="M610" s="33">
        <v>3.4796909999999999</v>
      </c>
      <c r="N610" s="33">
        <v>2.2881330000000002</v>
      </c>
      <c r="Z610" s="27" t="s">
        <v>247</v>
      </c>
      <c r="AA610" t="s">
        <v>208</v>
      </c>
    </row>
    <row r="611" spans="1:27" x14ac:dyDescent="0.25">
      <c r="A611" s="12">
        <v>124</v>
      </c>
      <c r="B611">
        <v>6</v>
      </c>
      <c r="C611">
        <f t="shared" si="56"/>
        <v>12406</v>
      </c>
      <c r="D611" s="3" t="s">
        <v>86</v>
      </c>
      <c r="E611" s="11">
        <f t="shared" si="59"/>
        <v>64.353172222222213</v>
      </c>
      <c r="F611" s="11">
        <f t="shared" si="60"/>
        <v>7.7826055555555556</v>
      </c>
      <c r="G611" s="12" t="s">
        <v>144</v>
      </c>
      <c r="H611" s="12" t="s">
        <v>47</v>
      </c>
      <c r="I611">
        <v>2012</v>
      </c>
      <c r="J611" s="12" t="s">
        <v>163</v>
      </c>
      <c r="K611" s="2">
        <v>0</v>
      </c>
      <c r="M611" s="33">
        <v>3.41</v>
      </c>
      <c r="N611" s="33">
        <v>2.1480000000000001</v>
      </c>
      <c r="Z611" s="27" t="s">
        <v>247</v>
      </c>
      <c r="AA611" t="s">
        <v>208</v>
      </c>
    </row>
    <row r="612" spans="1:27" x14ac:dyDescent="0.25">
      <c r="A612" s="12">
        <v>124</v>
      </c>
      <c r="B612">
        <v>6</v>
      </c>
      <c r="C612">
        <f t="shared" si="56"/>
        <v>12406</v>
      </c>
      <c r="D612" s="3" t="s">
        <v>86</v>
      </c>
      <c r="E612" s="11">
        <f t="shared" si="59"/>
        <v>64.353172222222213</v>
      </c>
      <c r="F612" s="11">
        <f t="shared" si="60"/>
        <v>7.7826055555555556</v>
      </c>
      <c r="G612" s="12" t="s">
        <v>144</v>
      </c>
      <c r="H612" s="12" t="s">
        <v>47</v>
      </c>
      <c r="I612">
        <v>2013</v>
      </c>
      <c r="J612" s="12" t="s">
        <v>163</v>
      </c>
      <c r="K612" s="2">
        <v>0</v>
      </c>
      <c r="M612" s="33">
        <v>2.68888888888889</v>
      </c>
      <c r="N612" s="33">
        <v>1.86</v>
      </c>
      <c r="Z612" s="27" t="s">
        <v>247</v>
      </c>
      <c r="AA612" t="s">
        <v>208</v>
      </c>
    </row>
    <row r="613" spans="1:27" x14ac:dyDescent="0.25">
      <c r="A613" s="12">
        <v>124</v>
      </c>
      <c r="B613">
        <v>6</v>
      </c>
      <c r="C613">
        <f t="shared" si="56"/>
        <v>12406</v>
      </c>
      <c r="D613" s="3" t="s">
        <v>86</v>
      </c>
      <c r="E613" s="11">
        <f t="shared" si="59"/>
        <v>64.353172222222213</v>
      </c>
      <c r="F613" s="11">
        <f t="shared" si="60"/>
        <v>7.7826055555555556</v>
      </c>
      <c r="G613" s="12" t="s">
        <v>144</v>
      </c>
      <c r="H613" s="12" t="s">
        <v>47</v>
      </c>
      <c r="I613">
        <v>2014</v>
      </c>
      <c r="J613" s="12" t="s">
        <v>163</v>
      </c>
      <c r="K613" s="2">
        <v>0</v>
      </c>
      <c r="M613" s="33">
        <v>2.5550000000000002</v>
      </c>
      <c r="N613" s="33">
        <v>1.47166666666667</v>
      </c>
      <c r="Z613" s="27" t="s">
        <v>247</v>
      </c>
      <c r="AA613" t="s">
        <v>208</v>
      </c>
    </row>
    <row r="614" spans="1:27" x14ac:dyDescent="0.25">
      <c r="A614" s="12">
        <v>124</v>
      </c>
      <c r="B614">
        <v>6</v>
      </c>
      <c r="C614">
        <f t="shared" si="56"/>
        <v>12406</v>
      </c>
      <c r="D614" s="3" t="s">
        <v>86</v>
      </c>
      <c r="E614" s="11">
        <f t="shared" si="59"/>
        <v>64.353172222222213</v>
      </c>
      <c r="F614" s="11">
        <f t="shared" si="60"/>
        <v>7.7826055555555556</v>
      </c>
      <c r="G614" s="12" t="s">
        <v>144</v>
      </c>
      <c r="H614" s="12" t="s">
        <v>47</v>
      </c>
      <c r="I614">
        <v>2015</v>
      </c>
      <c r="J614" s="12" t="s">
        <v>163</v>
      </c>
      <c r="K614" s="2">
        <v>0</v>
      </c>
      <c r="M614" s="33">
        <v>2.4236363636363598</v>
      </c>
      <c r="N614" s="33">
        <v>1.59</v>
      </c>
      <c r="Z614" s="27" t="s">
        <v>247</v>
      </c>
      <c r="AA614" t="s">
        <v>208</v>
      </c>
    </row>
    <row r="615" spans="1:27" x14ac:dyDescent="0.25">
      <c r="A615" s="12">
        <v>124</v>
      </c>
      <c r="B615">
        <v>6</v>
      </c>
      <c r="C615">
        <f t="shared" si="56"/>
        <v>12406</v>
      </c>
      <c r="D615" s="3" t="s">
        <v>86</v>
      </c>
      <c r="E615" s="11">
        <f t="shared" si="59"/>
        <v>64.353172222222213</v>
      </c>
      <c r="F615" s="11">
        <f t="shared" si="60"/>
        <v>7.7826055555555556</v>
      </c>
      <c r="G615" s="12" t="s">
        <v>144</v>
      </c>
      <c r="H615" s="12" t="s">
        <v>47</v>
      </c>
      <c r="I615">
        <v>2016</v>
      </c>
      <c r="J615" s="12" t="s">
        <v>163</v>
      </c>
      <c r="K615" s="2">
        <v>0</v>
      </c>
      <c r="M615" s="33">
        <v>1.72</v>
      </c>
      <c r="N615" s="33">
        <v>0.85750000000000004</v>
      </c>
      <c r="Z615" s="27" t="s">
        <v>247</v>
      </c>
      <c r="AA615" t="s">
        <v>208</v>
      </c>
    </row>
    <row r="616" spans="1:27" x14ac:dyDescent="0.25">
      <c r="A616" s="12">
        <v>124</v>
      </c>
      <c r="B616">
        <v>6</v>
      </c>
      <c r="C616">
        <f t="shared" si="56"/>
        <v>12406</v>
      </c>
      <c r="D616" s="3" t="s">
        <v>86</v>
      </c>
      <c r="E616" s="11">
        <f t="shared" si="59"/>
        <v>64.353172222222213</v>
      </c>
      <c r="F616" s="11">
        <f t="shared" si="60"/>
        <v>7.7826055555555556</v>
      </c>
      <c r="G616" s="12" t="s">
        <v>144</v>
      </c>
      <c r="H616" s="12" t="s">
        <v>47</v>
      </c>
      <c r="I616">
        <v>2017</v>
      </c>
      <c r="J616" s="12" t="s">
        <v>163</v>
      </c>
      <c r="K616" s="2">
        <v>0</v>
      </c>
      <c r="M616" s="33">
        <v>1.07541481782</v>
      </c>
      <c r="N616" s="33">
        <v>0.76216963157999995</v>
      </c>
      <c r="Z616" s="27" t="s">
        <v>247</v>
      </c>
      <c r="AA616" t="s">
        <v>208</v>
      </c>
    </row>
    <row r="617" spans="1:27" x14ac:dyDescent="0.25">
      <c r="A617" s="12">
        <v>124</v>
      </c>
      <c r="B617">
        <v>6</v>
      </c>
      <c r="C617">
        <f t="shared" si="56"/>
        <v>12406</v>
      </c>
      <c r="D617" s="3" t="s">
        <v>86</v>
      </c>
      <c r="E617" s="11">
        <f t="shared" si="59"/>
        <v>64.353172222222213</v>
      </c>
      <c r="F617" s="11">
        <f t="shared" si="60"/>
        <v>7.7826055555555556</v>
      </c>
      <c r="G617" s="12" t="s">
        <v>144</v>
      </c>
      <c r="H617" s="12" t="s">
        <v>47</v>
      </c>
      <c r="I617">
        <v>2018</v>
      </c>
      <c r="J617" s="12" t="s">
        <v>163</v>
      </c>
      <c r="K617" s="2">
        <v>0</v>
      </c>
      <c r="M617" s="33">
        <v>0.88661348437499998</v>
      </c>
      <c r="N617" s="33">
        <v>0.58498369113750004</v>
      </c>
      <c r="Z617" s="27" t="s">
        <v>247</v>
      </c>
      <c r="AA617" t="s">
        <v>208</v>
      </c>
    </row>
    <row r="618" spans="1:27" x14ac:dyDescent="0.25">
      <c r="A618" s="12">
        <v>124</v>
      </c>
      <c r="B618">
        <v>6</v>
      </c>
      <c r="C618">
        <f t="shared" si="56"/>
        <v>12406</v>
      </c>
      <c r="D618" s="3" t="s">
        <v>86</v>
      </c>
      <c r="E618" s="11">
        <f t="shared" si="59"/>
        <v>64.353172222222213</v>
      </c>
      <c r="F618" s="11">
        <f t="shared" si="60"/>
        <v>7.7826055555555556</v>
      </c>
      <c r="G618" s="12" t="s">
        <v>144</v>
      </c>
      <c r="H618" s="12" t="s">
        <v>47</v>
      </c>
      <c r="I618">
        <v>2019</v>
      </c>
      <c r="J618" s="12" t="s">
        <v>163</v>
      </c>
      <c r="K618" s="2">
        <v>0</v>
      </c>
      <c r="M618" s="33">
        <v>1.2450000000000001</v>
      </c>
      <c r="N618" s="33">
        <v>0.72</v>
      </c>
      <c r="Z618" s="27" t="s">
        <v>247</v>
      </c>
      <c r="AA618" t="s">
        <v>208</v>
      </c>
    </row>
    <row r="619" spans="1:27" x14ac:dyDescent="0.25">
      <c r="A619" s="12">
        <v>124</v>
      </c>
      <c r="B619">
        <v>6</v>
      </c>
      <c r="C619">
        <f t="shared" si="56"/>
        <v>12406</v>
      </c>
      <c r="D619" s="3" t="s">
        <v>86</v>
      </c>
      <c r="E619" s="11">
        <f t="shared" si="59"/>
        <v>64.353172222222213</v>
      </c>
      <c r="F619" s="11">
        <f t="shared" si="60"/>
        <v>7.7826055555555556</v>
      </c>
      <c r="G619" s="12" t="s">
        <v>144</v>
      </c>
      <c r="H619" s="12" t="s">
        <v>47</v>
      </c>
      <c r="I619">
        <v>2020</v>
      </c>
      <c r="J619" s="12" t="s">
        <v>163</v>
      </c>
      <c r="K619" s="2">
        <v>0</v>
      </c>
      <c r="M619" s="33">
        <v>0.98622892278333296</v>
      </c>
      <c r="N619" s="33">
        <v>0.59671834193333295</v>
      </c>
      <c r="Z619" s="27" t="s">
        <v>247</v>
      </c>
      <c r="AA619" t="s">
        <v>208</v>
      </c>
    </row>
    <row r="620" spans="1:27" x14ac:dyDescent="0.25">
      <c r="A620" s="12">
        <v>124</v>
      </c>
      <c r="B620">
        <v>6</v>
      </c>
      <c r="C620">
        <f t="shared" si="56"/>
        <v>12406</v>
      </c>
      <c r="D620" s="3" t="s">
        <v>86</v>
      </c>
      <c r="E620" s="11">
        <f t="shared" si="59"/>
        <v>64.353172222222213</v>
      </c>
      <c r="F620" s="11">
        <f t="shared" si="60"/>
        <v>7.7826055555555556</v>
      </c>
      <c r="G620" s="12" t="s">
        <v>144</v>
      </c>
      <c r="H620" s="12" t="s">
        <v>47</v>
      </c>
      <c r="I620">
        <v>2021</v>
      </c>
      <c r="J620" s="12" t="s">
        <v>163</v>
      </c>
      <c r="K620" s="2">
        <v>0</v>
      </c>
      <c r="M620" s="33">
        <v>0.75928677784999998</v>
      </c>
      <c r="N620" s="33">
        <v>0.65053681466666702</v>
      </c>
      <c r="Z620" s="27" t="s">
        <v>247</v>
      </c>
      <c r="AA620" t="s">
        <v>208</v>
      </c>
    </row>
    <row r="621" spans="1:27" x14ac:dyDescent="0.25">
      <c r="A621" s="12">
        <v>124</v>
      </c>
      <c r="B621">
        <v>7</v>
      </c>
      <c r="C621">
        <f t="shared" si="56"/>
        <v>12407</v>
      </c>
      <c r="D621" s="3" t="s">
        <v>86</v>
      </c>
      <c r="E621" s="11">
        <f>58+50/60+33.84/3600</f>
        <v>58.842733333333335</v>
      </c>
      <c r="F621" s="11">
        <f>2+14/60+54.02/3600</f>
        <v>2.2483388888888891</v>
      </c>
      <c r="G621" s="12" t="s">
        <v>144</v>
      </c>
      <c r="H621" s="12" t="s">
        <v>47</v>
      </c>
      <c r="I621">
        <v>2016</v>
      </c>
      <c r="J621" s="12" t="s">
        <v>163</v>
      </c>
      <c r="K621" s="2">
        <v>0</v>
      </c>
      <c r="M621" s="33">
        <v>3.5</v>
      </c>
      <c r="N621" s="33">
        <v>5.2</v>
      </c>
      <c r="Z621" s="27" t="s">
        <v>247</v>
      </c>
      <c r="AA621" t="s">
        <v>241</v>
      </c>
    </row>
    <row r="622" spans="1:27" x14ac:dyDescent="0.25">
      <c r="A622" s="12">
        <v>124</v>
      </c>
      <c r="B622">
        <v>7</v>
      </c>
      <c r="C622">
        <f t="shared" si="56"/>
        <v>12407</v>
      </c>
      <c r="D622" s="3" t="s">
        <v>86</v>
      </c>
      <c r="E622" s="11">
        <f t="shared" ref="E622:E626" si="61">58+50/60+33.84/3600</f>
        <v>58.842733333333335</v>
      </c>
      <c r="F622" s="11">
        <f t="shared" ref="F622:F626" si="62">2+14/60+54.02/3600</f>
        <v>2.2483388888888891</v>
      </c>
      <c r="G622" s="12" t="s">
        <v>144</v>
      </c>
      <c r="H622" s="12" t="s">
        <v>47</v>
      </c>
      <c r="I622">
        <v>2017</v>
      </c>
      <c r="J622" s="12" t="s">
        <v>163</v>
      </c>
      <c r="K622" s="2">
        <v>0</v>
      </c>
      <c r="M622" s="33">
        <v>13.475</v>
      </c>
      <c r="N622" s="33">
        <v>13.862500000000001</v>
      </c>
      <c r="Z622" s="27" t="s">
        <v>247</v>
      </c>
      <c r="AA622" t="s">
        <v>241</v>
      </c>
    </row>
    <row r="623" spans="1:27" x14ac:dyDescent="0.25">
      <c r="A623" s="12">
        <v>124</v>
      </c>
      <c r="B623">
        <v>7</v>
      </c>
      <c r="C623">
        <f t="shared" si="56"/>
        <v>12407</v>
      </c>
      <c r="D623" s="3" t="s">
        <v>86</v>
      </c>
      <c r="E623" s="11">
        <f t="shared" si="61"/>
        <v>58.842733333333335</v>
      </c>
      <c r="F623" s="11">
        <f t="shared" si="62"/>
        <v>2.2483388888888891</v>
      </c>
      <c r="G623" s="12" t="s">
        <v>144</v>
      </c>
      <c r="H623" s="12" t="s">
        <v>47</v>
      </c>
      <c r="I623">
        <v>2018</v>
      </c>
      <c r="J623" s="12" t="s">
        <v>163</v>
      </c>
      <c r="K623" s="2">
        <v>0</v>
      </c>
      <c r="M623" s="33">
        <v>18.909274003549999</v>
      </c>
      <c r="N623" s="33">
        <v>21.10128374085</v>
      </c>
      <c r="Z623" s="27" t="s">
        <v>247</v>
      </c>
      <c r="AA623" t="s">
        <v>241</v>
      </c>
    </row>
    <row r="624" spans="1:27" x14ac:dyDescent="0.25">
      <c r="A624" s="12">
        <v>124</v>
      </c>
      <c r="B624">
        <v>7</v>
      </c>
      <c r="C624">
        <f t="shared" si="56"/>
        <v>12407</v>
      </c>
      <c r="D624" s="3" t="s">
        <v>86</v>
      </c>
      <c r="E624" s="11">
        <f t="shared" si="61"/>
        <v>58.842733333333335</v>
      </c>
      <c r="F624" s="11">
        <f t="shared" si="62"/>
        <v>2.2483388888888891</v>
      </c>
      <c r="G624" s="12" t="s">
        <v>144</v>
      </c>
      <c r="H624" s="12" t="s">
        <v>47</v>
      </c>
      <c r="I624">
        <v>2019</v>
      </c>
      <c r="J624" s="12" t="s">
        <v>163</v>
      </c>
      <c r="K624" s="2">
        <v>0</v>
      </c>
      <c r="M624" s="33">
        <v>7.2501805799833301</v>
      </c>
      <c r="N624" s="33">
        <v>9.3000496872333294</v>
      </c>
      <c r="Z624" s="27" t="s">
        <v>247</v>
      </c>
      <c r="AA624" t="s">
        <v>241</v>
      </c>
    </row>
    <row r="625" spans="1:27" x14ac:dyDescent="0.25">
      <c r="A625" s="12">
        <v>124</v>
      </c>
      <c r="B625">
        <v>7</v>
      </c>
      <c r="C625">
        <f t="shared" si="56"/>
        <v>12407</v>
      </c>
      <c r="D625" s="3" t="s">
        <v>86</v>
      </c>
      <c r="E625" s="11">
        <f t="shared" si="61"/>
        <v>58.842733333333335</v>
      </c>
      <c r="F625" s="11">
        <f t="shared" si="62"/>
        <v>2.2483388888888891</v>
      </c>
      <c r="G625" s="12" t="s">
        <v>144</v>
      </c>
      <c r="H625" s="12" t="s">
        <v>47</v>
      </c>
      <c r="I625">
        <v>2020</v>
      </c>
      <c r="J625" s="12" t="s">
        <v>163</v>
      </c>
      <c r="K625" s="2">
        <v>0</v>
      </c>
      <c r="M625" s="33">
        <v>11.125</v>
      </c>
      <c r="N625" s="33">
        <v>14.175000000000001</v>
      </c>
      <c r="Z625" s="27" t="s">
        <v>247</v>
      </c>
      <c r="AA625" t="s">
        <v>241</v>
      </c>
    </row>
    <row r="626" spans="1:27" x14ac:dyDescent="0.25">
      <c r="A626" s="12">
        <v>124</v>
      </c>
      <c r="B626">
        <v>7</v>
      </c>
      <c r="C626">
        <f t="shared" si="56"/>
        <v>12407</v>
      </c>
      <c r="D626" s="3" t="s">
        <v>86</v>
      </c>
      <c r="E626" s="11">
        <f t="shared" si="61"/>
        <v>58.842733333333335</v>
      </c>
      <c r="F626" s="11">
        <f t="shared" si="62"/>
        <v>2.2483388888888891</v>
      </c>
      <c r="G626" s="12" t="s">
        <v>144</v>
      </c>
      <c r="H626" s="12" t="s">
        <v>47</v>
      </c>
      <c r="I626">
        <v>2022</v>
      </c>
      <c r="J626" s="12" t="s">
        <v>163</v>
      </c>
      <c r="K626" s="2">
        <v>0</v>
      </c>
      <c r="M626" s="33">
        <v>4.4249999999999998</v>
      </c>
      <c r="N626" s="33">
        <v>10.8</v>
      </c>
      <c r="Z626" s="27" t="s">
        <v>247</v>
      </c>
      <c r="AA626" t="s">
        <v>241</v>
      </c>
    </row>
    <row r="627" spans="1:27" x14ac:dyDescent="0.25">
      <c r="A627" s="12">
        <v>124</v>
      </c>
      <c r="B627">
        <v>8</v>
      </c>
      <c r="C627">
        <f t="shared" si="56"/>
        <v>12408</v>
      </c>
      <c r="D627" s="3" t="s">
        <v>86</v>
      </c>
      <c r="E627" s="11">
        <f>56+33/60+55.27/3600</f>
        <v>56.565352777777775</v>
      </c>
      <c r="F627" s="11">
        <f>3+12/60+13.28/3600</f>
        <v>3.2036888888888893</v>
      </c>
      <c r="G627" s="12" t="s">
        <v>144</v>
      </c>
      <c r="H627" s="12" t="s">
        <v>47</v>
      </c>
      <c r="I627">
        <v>2002</v>
      </c>
      <c r="J627" s="12" t="s">
        <v>163</v>
      </c>
      <c r="K627" s="2">
        <v>0</v>
      </c>
      <c r="M627" s="33">
        <v>0.86666666666666703</v>
      </c>
      <c r="N627" s="33"/>
      <c r="Z627" s="27" t="s">
        <v>247</v>
      </c>
      <c r="AA627" t="s">
        <v>209</v>
      </c>
    </row>
    <row r="628" spans="1:27" x14ac:dyDescent="0.25">
      <c r="A628" s="12">
        <v>124</v>
      </c>
      <c r="B628">
        <v>8</v>
      </c>
      <c r="C628">
        <f t="shared" si="56"/>
        <v>12408</v>
      </c>
      <c r="D628" s="3" t="s">
        <v>86</v>
      </c>
      <c r="E628" s="11">
        <f t="shared" ref="E628:E646" si="63">56+33/60+55.27/3600</f>
        <v>56.565352777777775</v>
      </c>
      <c r="F628" s="11">
        <f t="shared" ref="F628:F646" si="64">3+12/60+13.28/3600</f>
        <v>3.2036888888888893</v>
      </c>
      <c r="G628" s="12" t="s">
        <v>144</v>
      </c>
      <c r="H628" s="12" t="s">
        <v>47</v>
      </c>
      <c r="I628">
        <v>2003</v>
      </c>
      <c r="J628" s="12" t="s">
        <v>163</v>
      </c>
      <c r="K628" s="2">
        <v>0</v>
      </c>
      <c r="M628" s="33">
        <v>1.2134816664999999</v>
      </c>
      <c r="N628" s="33"/>
      <c r="Z628" s="27" t="s">
        <v>247</v>
      </c>
      <c r="AA628" t="s">
        <v>209</v>
      </c>
    </row>
    <row r="629" spans="1:27" x14ac:dyDescent="0.25">
      <c r="A629" s="12">
        <v>124</v>
      </c>
      <c r="B629">
        <v>8</v>
      </c>
      <c r="C629">
        <f t="shared" si="56"/>
        <v>12408</v>
      </c>
      <c r="D629" s="3" t="s">
        <v>86</v>
      </c>
      <c r="E629" s="11">
        <f t="shared" si="63"/>
        <v>56.565352777777775</v>
      </c>
      <c r="F629" s="11">
        <f t="shared" si="64"/>
        <v>3.2036888888888893</v>
      </c>
      <c r="G629" s="12" t="s">
        <v>144</v>
      </c>
      <c r="H629" s="12" t="s">
        <v>47</v>
      </c>
      <c r="I629">
        <v>2004</v>
      </c>
      <c r="J629" s="12" t="s">
        <v>163</v>
      </c>
      <c r="K629" s="2">
        <v>0</v>
      </c>
      <c r="M629" s="33">
        <v>1.456198758</v>
      </c>
      <c r="N629" s="33"/>
      <c r="Z629" s="27" t="s">
        <v>247</v>
      </c>
      <c r="AA629" t="s">
        <v>209</v>
      </c>
    </row>
    <row r="630" spans="1:27" x14ac:dyDescent="0.25">
      <c r="A630" s="12">
        <v>124</v>
      </c>
      <c r="B630">
        <v>8</v>
      </c>
      <c r="C630">
        <f t="shared" si="56"/>
        <v>12408</v>
      </c>
      <c r="D630" s="3" t="s">
        <v>86</v>
      </c>
      <c r="E630" s="11">
        <f t="shared" si="63"/>
        <v>56.565352777777775</v>
      </c>
      <c r="F630" s="11">
        <f t="shared" si="64"/>
        <v>3.2036888888888893</v>
      </c>
      <c r="G630" s="12" t="s">
        <v>144</v>
      </c>
      <c r="H630" s="12" t="s">
        <v>47</v>
      </c>
      <c r="I630">
        <v>2005</v>
      </c>
      <c r="J630" s="12" t="s">
        <v>163</v>
      </c>
      <c r="K630" s="2">
        <v>0</v>
      </c>
      <c r="M630" s="33">
        <v>0.671366666666667</v>
      </c>
      <c r="N630" s="33">
        <v>0.33172943733333299</v>
      </c>
      <c r="Z630" s="27" t="s">
        <v>247</v>
      </c>
      <c r="AA630" t="s">
        <v>209</v>
      </c>
    </row>
    <row r="631" spans="1:27" x14ac:dyDescent="0.25">
      <c r="A631" s="12">
        <v>124</v>
      </c>
      <c r="B631">
        <v>8</v>
      </c>
      <c r="C631">
        <f t="shared" si="56"/>
        <v>12408</v>
      </c>
      <c r="D631" s="3" t="s">
        <v>86</v>
      </c>
      <c r="E631" s="11">
        <f t="shared" si="63"/>
        <v>56.565352777777775</v>
      </c>
      <c r="F631" s="11">
        <f t="shared" si="64"/>
        <v>3.2036888888888893</v>
      </c>
      <c r="G631" s="12" t="s">
        <v>144</v>
      </c>
      <c r="H631" s="12" t="s">
        <v>47</v>
      </c>
      <c r="I631">
        <v>2006</v>
      </c>
      <c r="J631" s="12" t="s">
        <v>163</v>
      </c>
      <c r="K631" s="2">
        <v>0</v>
      </c>
      <c r="M631" s="33">
        <v>1.735239703</v>
      </c>
      <c r="N631" s="33">
        <v>0.54515323500000001</v>
      </c>
      <c r="Z631" s="27" t="s">
        <v>247</v>
      </c>
      <c r="AA631" t="s">
        <v>209</v>
      </c>
    </row>
    <row r="632" spans="1:27" x14ac:dyDescent="0.25">
      <c r="A632" s="12">
        <v>124</v>
      </c>
      <c r="B632">
        <v>8</v>
      </c>
      <c r="C632">
        <f t="shared" si="56"/>
        <v>12408</v>
      </c>
      <c r="D632" s="3" t="s">
        <v>86</v>
      </c>
      <c r="E632" s="11">
        <f t="shared" si="63"/>
        <v>56.565352777777775</v>
      </c>
      <c r="F632" s="11">
        <f t="shared" si="64"/>
        <v>3.2036888888888893</v>
      </c>
      <c r="G632" s="12" t="s">
        <v>144</v>
      </c>
      <c r="H632" s="12" t="s">
        <v>47</v>
      </c>
      <c r="I632">
        <v>2007</v>
      </c>
      <c r="J632" s="12" t="s">
        <v>163</v>
      </c>
      <c r="K632" s="2">
        <v>0</v>
      </c>
      <c r="M632" s="33">
        <v>2.1361593293333301</v>
      </c>
      <c r="N632" s="33">
        <v>0.64820534600000002</v>
      </c>
      <c r="Z632" s="27" t="s">
        <v>247</v>
      </c>
      <c r="AA632" t="s">
        <v>209</v>
      </c>
    </row>
    <row r="633" spans="1:27" x14ac:dyDescent="0.25">
      <c r="A633" s="12">
        <v>124</v>
      </c>
      <c r="B633">
        <v>8</v>
      </c>
      <c r="C633">
        <f t="shared" si="56"/>
        <v>12408</v>
      </c>
      <c r="D633" s="3" t="s">
        <v>86</v>
      </c>
      <c r="E633" s="11">
        <f t="shared" si="63"/>
        <v>56.565352777777775</v>
      </c>
      <c r="F633" s="11">
        <f t="shared" si="64"/>
        <v>3.2036888888888893</v>
      </c>
      <c r="G633" s="12" t="s">
        <v>144</v>
      </c>
      <c r="H633" s="12" t="s">
        <v>47</v>
      </c>
      <c r="I633">
        <v>2008</v>
      </c>
      <c r="J633" s="12" t="s">
        <v>163</v>
      </c>
      <c r="K633" s="2">
        <v>0</v>
      </c>
      <c r="M633" s="33">
        <v>1.459605539</v>
      </c>
      <c r="N633" s="33">
        <v>0.52750446500000003</v>
      </c>
      <c r="Z633" s="27" t="s">
        <v>247</v>
      </c>
      <c r="AA633" t="s">
        <v>209</v>
      </c>
    </row>
    <row r="634" spans="1:27" x14ac:dyDescent="0.25">
      <c r="A634" s="12">
        <v>124</v>
      </c>
      <c r="B634">
        <v>8</v>
      </c>
      <c r="C634">
        <f t="shared" si="56"/>
        <v>12408</v>
      </c>
      <c r="D634" s="3" t="s">
        <v>86</v>
      </c>
      <c r="E634" s="11">
        <f t="shared" si="63"/>
        <v>56.565352777777775</v>
      </c>
      <c r="F634" s="11">
        <f t="shared" si="64"/>
        <v>3.2036888888888893</v>
      </c>
      <c r="G634" s="12" t="s">
        <v>144</v>
      </c>
      <c r="H634" s="12" t="s">
        <v>47</v>
      </c>
      <c r="I634">
        <v>2009</v>
      </c>
      <c r="J634" s="12" t="s">
        <v>163</v>
      </c>
      <c r="K634" s="2">
        <v>0</v>
      </c>
      <c r="M634" s="33">
        <v>1.72</v>
      </c>
      <c r="N634" s="33">
        <v>0.53400000000000003</v>
      </c>
      <c r="Z634" s="27" t="s">
        <v>247</v>
      </c>
      <c r="AA634" t="s">
        <v>209</v>
      </c>
    </row>
    <row r="635" spans="1:27" x14ac:dyDescent="0.25">
      <c r="A635" s="12">
        <v>124</v>
      </c>
      <c r="B635">
        <v>8</v>
      </c>
      <c r="C635">
        <f t="shared" si="56"/>
        <v>12408</v>
      </c>
      <c r="D635" s="3" t="s">
        <v>86</v>
      </c>
      <c r="E635" s="11">
        <f t="shared" si="63"/>
        <v>56.565352777777775</v>
      </c>
      <c r="F635" s="11">
        <f t="shared" si="64"/>
        <v>3.2036888888888893</v>
      </c>
      <c r="G635" s="12" t="s">
        <v>144</v>
      </c>
      <c r="H635" s="12" t="s">
        <v>47</v>
      </c>
      <c r="I635">
        <v>2010</v>
      </c>
      <c r="J635" s="12" t="s">
        <v>163</v>
      </c>
      <c r="K635" s="2">
        <v>0</v>
      </c>
      <c r="M635" s="33">
        <v>1.4595362059999999</v>
      </c>
      <c r="N635" s="33">
        <v>0.43824925149999999</v>
      </c>
      <c r="Z635" s="27" t="s">
        <v>247</v>
      </c>
      <c r="AA635" t="s">
        <v>209</v>
      </c>
    </row>
    <row r="636" spans="1:27" x14ac:dyDescent="0.25">
      <c r="A636" s="12">
        <v>124</v>
      </c>
      <c r="B636">
        <v>8</v>
      </c>
      <c r="C636">
        <f t="shared" si="56"/>
        <v>12408</v>
      </c>
      <c r="D636" s="3" t="s">
        <v>86</v>
      </c>
      <c r="E636" s="11">
        <f t="shared" si="63"/>
        <v>56.565352777777775</v>
      </c>
      <c r="F636" s="11">
        <f t="shared" si="64"/>
        <v>3.2036888888888893</v>
      </c>
      <c r="G636" s="12" t="s">
        <v>144</v>
      </c>
      <c r="H636" s="12" t="s">
        <v>47</v>
      </c>
      <c r="I636">
        <v>2011</v>
      </c>
      <c r="J636" s="12" t="s">
        <v>163</v>
      </c>
      <c r="K636" s="2">
        <v>0</v>
      </c>
      <c r="M636" s="33">
        <v>1.1106549999999999</v>
      </c>
      <c r="N636" s="33">
        <v>0.36379499999999998</v>
      </c>
      <c r="Z636" s="27" t="s">
        <v>247</v>
      </c>
      <c r="AA636" t="s">
        <v>209</v>
      </c>
    </row>
    <row r="637" spans="1:27" x14ac:dyDescent="0.25">
      <c r="A637" s="12">
        <v>124</v>
      </c>
      <c r="B637">
        <v>8</v>
      </c>
      <c r="C637">
        <f t="shared" si="56"/>
        <v>12408</v>
      </c>
      <c r="D637" s="3" t="s">
        <v>86</v>
      </c>
      <c r="E637" s="11">
        <f t="shared" si="63"/>
        <v>56.565352777777775</v>
      </c>
      <c r="F637" s="11">
        <f t="shared" si="64"/>
        <v>3.2036888888888893</v>
      </c>
      <c r="G637" s="12" t="s">
        <v>144</v>
      </c>
      <c r="H637" s="12" t="s">
        <v>47</v>
      </c>
      <c r="I637">
        <v>2012</v>
      </c>
      <c r="J637" s="12" t="s">
        <v>163</v>
      </c>
      <c r="K637" s="2">
        <v>0</v>
      </c>
      <c r="M637" s="33">
        <v>0.88133333333333297</v>
      </c>
      <c r="N637" s="33">
        <v>0.53874999999999995</v>
      </c>
      <c r="Z637" s="27" t="s">
        <v>247</v>
      </c>
      <c r="AA637" t="s">
        <v>209</v>
      </c>
    </row>
    <row r="638" spans="1:27" x14ac:dyDescent="0.25">
      <c r="A638" s="12">
        <v>124</v>
      </c>
      <c r="B638">
        <v>8</v>
      </c>
      <c r="C638">
        <f t="shared" si="56"/>
        <v>12408</v>
      </c>
      <c r="D638" s="3" t="s">
        <v>86</v>
      </c>
      <c r="E638" s="11">
        <f t="shared" si="63"/>
        <v>56.565352777777775</v>
      </c>
      <c r="F638" s="11">
        <f t="shared" si="64"/>
        <v>3.2036888888888893</v>
      </c>
      <c r="G638" s="12" t="s">
        <v>144</v>
      </c>
      <c r="H638" s="12" t="s">
        <v>47</v>
      </c>
      <c r="I638">
        <v>2013</v>
      </c>
      <c r="J638" s="12" t="s">
        <v>163</v>
      </c>
      <c r="K638" s="2">
        <v>0</v>
      </c>
      <c r="M638" s="33">
        <v>0.96413888888888899</v>
      </c>
      <c r="N638" s="33">
        <v>0.41624</v>
      </c>
      <c r="Z638" s="27" t="s">
        <v>247</v>
      </c>
      <c r="AA638" t="s">
        <v>209</v>
      </c>
    </row>
    <row r="639" spans="1:27" x14ac:dyDescent="0.25">
      <c r="A639" s="12">
        <v>124</v>
      </c>
      <c r="B639">
        <v>8</v>
      </c>
      <c r="C639">
        <f t="shared" si="56"/>
        <v>12408</v>
      </c>
      <c r="D639" s="3" t="s">
        <v>86</v>
      </c>
      <c r="E639" s="11">
        <f t="shared" si="63"/>
        <v>56.565352777777775</v>
      </c>
      <c r="F639" s="11">
        <f t="shared" si="64"/>
        <v>3.2036888888888893</v>
      </c>
      <c r="G639" s="12" t="s">
        <v>144</v>
      </c>
      <c r="H639" s="12" t="s">
        <v>47</v>
      </c>
      <c r="I639">
        <v>2014</v>
      </c>
      <c r="J639" s="12" t="s">
        <v>163</v>
      </c>
      <c r="K639" s="2">
        <v>0</v>
      </c>
      <c r="M639" s="33">
        <v>0.92353535353555605</v>
      </c>
      <c r="N639" s="33">
        <v>0.58344155844157097</v>
      </c>
      <c r="Z639" s="27" t="s">
        <v>247</v>
      </c>
      <c r="AA639" t="s">
        <v>209</v>
      </c>
    </row>
    <row r="640" spans="1:27" x14ac:dyDescent="0.25">
      <c r="A640" s="12">
        <v>124</v>
      </c>
      <c r="B640">
        <v>8</v>
      </c>
      <c r="C640">
        <f t="shared" si="56"/>
        <v>12408</v>
      </c>
      <c r="D640" s="3" t="s">
        <v>86</v>
      </c>
      <c r="E640" s="11">
        <f t="shared" si="63"/>
        <v>56.565352777777775</v>
      </c>
      <c r="F640" s="11">
        <f t="shared" si="64"/>
        <v>3.2036888888888893</v>
      </c>
      <c r="G640" s="12" t="s">
        <v>144</v>
      </c>
      <c r="H640" s="12" t="s">
        <v>47</v>
      </c>
      <c r="I640">
        <v>2015</v>
      </c>
      <c r="J640" s="12" t="s">
        <v>163</v>
      </c>
      <c r="K640" s="2">
        <v>0</v>
      </c>
      <c r="M640" s="33">
        <v>0.83518181818181803</v>
      </c>
      <c r="N640" s="33">
        <v>0.59479797979797999</v>
      </c>
      <c r="Z640" s="27" t="s">
        <v>247</v>
      </c>
      <c r="AA640" t="s">
        <v>209</v>
      </c>
    </row>
    <row r="641" spans="1:27" x14ac:dyDescent="0.25">
      <c r="A641" s="12">
        <v>124</v>
      </c>
      <c r="B641">
        <v>8</v>
      </c>
      <c r="C641">
        <f t="shared" si="56"/>
        <v>12408</v>
      </c>
      <c r="D641" s="3" t="s">
        <v>86</v>
      </c>
      <c r="E641" s="11">
        <f t="shared" si="63"/>
        <v>56.565352777777775</v>
      </c>
      <c r="F641" s="11">
        <f t="shared" si="64"/>
        <v>3.2036888888888893</v>
      </c>
      <c r="G641" s="12" t="s">
        <v>144</v>
      </c>
      <c r="H641" s="12" t="s">
        <v>47</v>
      </c>
      <c r="I641">
        <v>2016</v>
      </c>
      <c r="J641" s="12" t="s">
        <v>163</v>
      </c>
      <c r="K641" s="2">
        <v>0</v>
      </c>
      <c r="M641" s="33">
        <v>0.35499999999999998</v>
      </c>
      <c r="N641" s="33">
        <v>0.18</v>
      </c>
      <c r="Z641" s="27" t="s">
        <v>247</v>
      </c>
      <c r="AA641" t="s">
        <v>209</v>
      </c>
    </row>
    <row r="642" spans="1:27" x14ac:dyDescent="0.25">
      <c r="A642" s="12">
        <v>124</v>
      </c>
      <c r="B642">
        <v>8</v>
      </c>
      <c r="C642">
        <f t="shared" si="56"/>
        <v>12408</v>
      </c>
      <c r="D642" s="3" t="s">
        <v>86</v>
      </c>
      <c r="E642" s="11">
        <f t="shared" si="63"/>
        <v>56.565352777777775</v>
      </c>
      <c r="F642" s="11">
        <f t="shared" si="64"/>
        <v>3.2036888888888893</v>
      </c>
      <c r="G642" s="12" t="s">
        <v>144</v>
      </c>
      <c r="H642" s="12" t="s">
        <v>47</v>
      </c>
      <c r="I642">
        <v>2017</v>
      </c>
      <c r="J642" s="12" t="s">
        <v>163</v>
      </c>
      <c r="K642" s="2">
        <v>0</v>
      </c>
      <c r="M642" s="33">
        <v>0.544761904761905</v>
      </c>
      <c r="N642" s="33">
        <v>0.215</v>
      </c>
      <c r="Z642" s="27" t="s">
        <v>247</v>
      </c>
      <c r="AA642" t="s">
        <v>209</v>
      </c>
    </row>
    <row r="643" spans="1:27" x14ac:dyDescent="0.25">
      <c r="A643" s="12">
        <v>124</v>
      </c>
      <c r="B643">
        <v>8</v>
      </c>
      <c r="C643">
        <f t="shared" ref="C643:C706" si="65">A643*100+B643</f>
        <v>12408</v>
      </c>
      <c r="D643" s="3" t="s">
        <v>86</v>
      </c>
      <c r="E643" s="11">
        <f t="shared" si="63"/>
        <v>56.565352777777775</v>
      </c>
      <c r="F643" s="11">
        <f t="shared" si="64"/>
        <v>3.2036888888888893</v>
      </c>
      <c r="G643" s="12" t="s">
        <v>144</v>
      </c>
      <c r="H643" s="12" t="s">
        <v>47</v>
      </c>
      <c r="I643">
        <v>2018</v>
      </c>
      <c r="J643" s="12" t="s">
        <v>163</v>
      </c>
      <c r="K643" s="2">
        <v>0</v>
      </c>
      <c r="M643" s="33">
        <v>0.53285714285714303</v>
      </c>
      <c r="N643" s="33">
        <v>0.21285714285714299</v>
      </c>
      <c r="Z643" s="27" t="s">
        <v>247</v>
      </c>
      <c r="AA643" t="s">
        <v>209</v>
      </c>
    </row>
    <row r="644" spans="1:27" x14ac:dyDescent="0.25">
      <c r="A644" s="12">
        <v>124</v>
      </c>
      <c r="B644">
        <v>8</v>
      </c>
      <c r="C644">
        <f t="shared" si="65"/>
        <v>12408</v>
      </c>
      <c r="D644" s="3" t="s">
        <v>86</v>
      </c>
      <c r="E644" s="11">
        <f t="shared" si="63"/>
        <v>56.565352777777775</v>
      </c>
      <c r="F644" s="11">
        <f t="shared" si="64"/>
        <v>3.2036888888888893</v>
      </c>
      <c r="G644" s="12" t="s">
        <v>144</v>
      </c>
      <c r="H644" s="12" t="s">
        <v>47</v>
      </c>
      <c r="I644">
        <v>2019</v>
      </c>
      <c r="J644" s="12" t="s">
        <v>163</v>
      </c>
      <c r="K644" s="2">
        <v>0</v>
      </c>
      <c r="M644" s="33">
        <v>0.48857142857142899</v>
      </c>
      <c r="N644" s="33">
        <v>0.21875</v>
      </c>
      <c r="Z644" s="27" t="s">
        <v>247</v>
      </c>
      <c r="AA644" t="s">
        <v>209</v>
      </c>
    </row>
    <row r="645" spans="1:27" x14ac:dyDescent="0.25">
      <c r="A645" s="12">
        <v>124</v>
      </c>
      <c r="B645">
        <v>8</v>
      </c>
      <c r="C645">
        <f t="shared" si="65"/>
        <v>12408</v>
      </c>
      <c r="D645" s="3" t="s">
        <v>86</v>
      </c>
      <c r="E645" s="11">
        <f t="shared" si="63"/>
        <v>56.565352777777775</v>
      </c>
      <c r="F645" s="11">
        <f t="shared" si="64"/>
        <v>3.2036888888888893</v>
      </c>
      <c r="G645" s="12" t="s">
        <v>144</v>
      </c>
      <c r="H645" s="12" t="s">
        <v>47</v>
      </c>
      <c r="I645">
        <v>2020</v>
      </c>
      <c r="J645" s="12" t="s">
        <v>163</v>
      </c>
      <c r="K645" s="2">
        <v>0</v>
      </c>
      <c r="M645" s="33">
        <v>0.53714285714285703</v>
      </c>
      <c r="N645" s="33">
        <v>0.23928571428571399</v>
      </c>
      <c r="Z645" s="27" t="s">
        <v>247</v>
      </c>
      <c r="AA645" t="s">
        <v>209</v>
      </c>
    </row>
    <row r="646" spans="1:27" x14ac:dyDescent="0.25">
      <c r="A646" s="12">
        <v>124</v>
      </c>
      <c r="B646">
        <v>8</v>
      </c>
      <c r="C646">
        <f t="shared" si="65"/>
        <v>12408</v>
      </c>
      <c r="D646" s="3" t="s">
        <v>86</v>
      </c>
      <c r="E646" s="11">
        <f t="shared" si="63"/>
        <v>56.565352777777775</v>
      </c>
      <c r="F646" s="11">
        <f t="shared" si="64"/>
        <v>3.2036888888888893</v>
      </c>
      <c r="G646" s="12" t="s">
        <v>144</v>
      </c>
      <c r="H646" s="12" t="s">
        <v>47</v>
      </c>
      <c r="I646">
        <v>2021</v>
      </c>
      <c r="J646" s="12" t="s">
        <v>163</v>
      </c>
      <c r="K646" s="2">
        <v>0</v>
      </c>
      <c r="M646" s="33">
        <v>0.44833333333333297</v>
      </c>
      <c r="N646" s="33">
        <v>0.251428571428571</v>
      </c>
      <c r="Z646" s="27" t="s">
        <v>247</v>
      </c>
      <c r="AA646" t="s">
        <v>209</v>
      </c>
    </row>
    <row r="647" spans="1:27" x14ac:dyDescent="0.25">
      <c r="A647" s="12">
        <v>124</v>
      </c>
      <c r="B647">
        <v>9</v>
      </c>
      <c r="C647">
        <f t="shared" si="65"/>
        <v>12409</v>
      </c>
      <c r="D647" s="3" t="s">
        <v>86</v>
      </c>
      <c r="E647" s="11">
        <f>56+22/60+36.77/3600</f>
        <v>56.376880555555559</v>
      </c>
      <c r="F647" s="11">
        <f>3+15/60+56.89/3600</f>
        <v>3.2658027777777776</v>
      </c>
      <c r="G647" s="12" t="s">
        <v>144</v>
      </c>
      <c r="H647" s="12" t="s">
        <v>47</v>
      </c>
      <c r="I647">
        <v>2002</v>
      </c>
      <c r="J647" s="12" t="s">
        <v>163</v>
      </c>
      <c r="K647" s="2">
        <v>0</v>
      </c>
      <c r="M647" s="33">
        <v>0.2</v>
      </c>
      <c r="N647" s="33"/>
      <c r="Z647" s="27" t="s">
        <v>247</v>
      </c>
      <c r="AA647" t="s">
        <v>210</v>
      </c>
    </row>
    <row r="648" spans="1:27" x14ac:dyDescent="0.25">
      <c r="A648" s="12">
        <v>124</v>
      </c>
      <c r="B648">
        <v>9</v>
      </c>
      <c r="C648">
        <f t="shared" si="65"/>
        <v>12409</v>
      </c>
      <c r="D648" s="3" t="s">
        <v>86</v>
      </c>
      <c r="E648" s="11">
        <f t="shared" ref="E648:E666" si="66">56+22/60+36.77/3600</f>
        <v>56.376880555555559</v>
      </c>
      <c r="F648" s="11">
        <f t="shared" ref="F648:F666" si="67">3+15/60+56.89/3600</f>
        <v>3.2658027777777776</v>
      </c>
      <c r="G648" s="12" t="s">
        <v>144</v>
      </c>
      <c r="H648" s="12" t="s">
        <v>47</v>
      </c>
      <c r="I648">
        <v>2003</v>
      </c>
      <c r="J648" s="12" t="s">
        <v>163</v>
      </c>
      <c r="K648" s="2">
        <v>0</v>
      </c>
      <c r="M648" s="33">
        <v>2.2666666664999999</v>
      </c>
      <c r="N648" s="33"/>
      <c r="Z648" s="27" t="s">
        <v>247</v>
      </c>
      <c r="AA648" t="s">
        <v>210</v>
      </c>
    </row>
    <row r="649" spans="1:27" x14ac:dyDescent="0.25">
      <c r="A649" s="12">
        <v>124</v>
      </c>
      <c r="B649">
        <v>9</v>
      </c>
      <c r="C649">
        <f t="shared" si="65"/>
        <v>12409</v>
      </c>
      <c r="D649" s="3" t="s">
        <v>86</v>
      </c>
      <c r="E649" s="11">
        <f t="shared" si="66"/>
        <v>56.376880555555559</v>
      </c>
      <c r="F649" s="11">
        <f t="shared" si="67"/>
        <v>3.2658027777777776</v>
      </c>
      <c r="G649" s="12" t="s">
        <v>144</v>
      </c>
      <c r="H649" s="12" t="s">
        <v>47</v>
      </c>
      <c r="I649">
        <v>2004</v>
      </c>
      <c r="J649" s="12" t="s">
        <v>163</v>
      </c>
      <c r="K649" s="2">
        <v>0</v>
      </c>
      <c r="M649" s="33">
        <v>5.7333350000000003</v>
      </c>
      <c r="N649" s="33"/>
      <c r="Z649" s="27" t="s">
        <v>247</v>
      </c>
      <c r="AA649" t="s">
        <v>210</v>
      </c>
    </row>
    <row r="650" spans="1:27" x14ac:dyDescent="0.25">
      <c r="A650" s="12">
        <v>124</v>
      </c>
      <c r="B650">
        <v>9</v>
      </c>
      <c r="C650">
        <f t="shared" si="65"/>
        <v>12409</v>
      </c>
      <c r="D650" s="3" t="s">
        <v>86</v>
      </c>
      <c r="E650" s="11">
        <f t="shared" si="66"/>
        <v>56.376880555555559</v>
      </c>
      <c r="F650" s="11">
        <f t="shared" si="67"/>
        <v>3.2658027777777776</v>
      </c>
      <c r="G650" s="12" t="s">
        <v>144</v>
      </c>
      <c r="H650" s="12" t="s">
        <v>47</v>
      </c>
      <c r="I650">
        <v>2005</v>
      </c>
      <c r="J650" s="12" t="s">
        <v>163</v>
      </c>
      <c r="K650" s="2">
        <v>0</v>
      </c>
      <c r="M650" s="33">
        <v>2.66778</v>
      </c>
      <c r="N650" s="33">
        <v>1.5625</v>
      </c>
      <c r="Z650" s="27" t="s">
        <v>247</v>
      </c>
      <c r="AA650" t="s">
        <v>210</v>
      </c>
    </row>
    <row r="651" spans="1:27" x14ac:dyDescent="0.25">
      <c r="A651" s="12">
        <v>124</v>
      </c>
      <c r="B651">
        <v>9</v>
      </c>
      <c r="C651">
        <f t="shared" si="65"/>
        <v>12409</v>
      </c>
      <c r="D651" s="3" t="s">
        <v>86</v>
      </c>
      <c r="E651" s="11">
        <f t="shared" si="66"/>
        <v>56.376880555555559</v>
      </c>
      <c r="F651" s="11">
        <f t="shared" si="67"/>
        <v>3.2658027777777776</v>
      </c>
      <c r="G651" s="12" t="s">
        <v>144</v>
      </c>
      <c r="H651" s="12" t="s">
        <v>47</v>
      </c>
      <c r="I651">
        <v>2006</v>
      </c>
      <c r="J651" s="12" t="s">
        <v>163</v>
      </c>
      <c r="K651" s="2">
        <v>0</v>
      </c>
      <c r="M651" s="33">
        <v>6.2611150000000002</v>
      </c>
      <c r="N651" s="33">
        <v>1.1186149999999999</v>
      </c>
      <c r="Z651" s="27" t="s">
        <v>247</v>
      </c>
      <c r="AA651" t="s">
        <v>210</v>
      </c>
    </row>
    <row r="652" spans="1:27" x14ac:dyDescent="0.25">
      <c r="A652" s="12">
        <v>124</v>
      </c>
      <c r="B652">
        <v>9</v>
      </c>
      <c r="C652">
        <f t="shared" si="65"/>
        <v>12409</v>
      </c>
      <c r="D652" s="3" t="s">
        <v>86</v>
      </c>
      <c r="E652" s="11">
        <f t="shared" si="66"/>
        <v>56.376880555555559</v>
      </c>
      <c r="F652" s="11">
        <f t="shared" si="67"/>
        <v>3.2658027777777776</v>
      </c>
      <c r="G652" s="12" t="s">
        <v>144</v>
      </c>
      <c r="H652" s="12" t="s">
        <v>47</v>
      </c>
      <c r="I652">
        <v>2007</v>
      </c>
      <c r="J652" s="12" t="s">
        <v>163</v>
      </c>
      <c r="K652" s="2">
        <v>0</v>
      </c>
      <c r="M652" s="33">
        <v>7.1145800000000001</v>
      </c>
      <c r="N652" s="33">
        <v>1.090835</v>
      </c>
      <c r="Z652" s="27" t="s">
        <v>247</v>
      </c>
      <c r="AA652" t="s">
        <v>210</v>
      </c>
    </row>
    <row r="653" spans="1:27" x14ac:dyDescent="0.25">
      <c r="A653" s="12">
        <v>124</v>
      </c>
      <c r="B653">
        <v>9</v>
      </c>
      <c r="C653">
        <f t="shared" si="65"/>
        <v>12409</v>
      </c>
      <c r="D653" s="3" t="s">
        <v>86</v>
      </c>
      <c r="E653" s="11">
        <f t="shared" si="66"/>
        <v>56.376880555555559</v>
      </c>
      <c r="F653" s="11">
        <f t="shared" si="67"/>
        <v>3.2658027777777776</v>
      </c>
      <c r="G653" s="12" t="s">
        <v>144</v>
      </c>
      <c r="H653" s="12" t="s">
        <v>47</v>
      </c>
      <c r="I653">
        <v>2008</v>
      </c>
      <c r="J653" s="12" t="s">
        <v>163</v>
      </c>
      <c r="K653" s="2">
        <v>0</v>
      </c>
      <c r="M653" s="33">
        <v>6.9124999999999996</v>
      </c>
      <c r="N653" s="33">
        <v>1.0862499999999999</v>
      </c>
      <c r="Z653" s="27" t="s">
        <v>247</v>
      </c>
      <c r="AA653" t="s">
        <v>210</v>
      </c>
    </row>
    <row r="654" spans="1:27" x14ac:dyDescent="0.25">
      <c r="A654" s="12">
        <v>124</v>
      </c>
      <c r="B654">
        <v>9</v>
      </c>
      <c r="C654">
        <f t="shared" si="65"/>
        <v>12409</v>
      </c>
      <c r="D654" s="3" t="s">
        <v>86</v>
      </c>
      <c r="E654" s="11">
        <f t="shared" si="66"/>
        <v>56.376880555555559</v>
      </c>
      <c r="F654" s="11">
        <f t="shared" si="67"/>
        <v>3.2658027777777776</v>
      </c>
      <c r="G654" s="12" t="s">
        <v>144</v>
      </c>
      <c r="H654" s="12" t="s">
        <v>47</v>
      </c>
      <c r="I654">
        <v>2009</v>
      </c>
      <c r="J654" s="12" t="s">
        <v>163</v>
      </c>
      <c r="K654" s="2">
        <v>0</v>
      </c>
      <c r="M654" s="33">
        <v>10.3375</v>
      </c>
      <c r="N654" s="33">
        <v>1.62</v>
      </c>
      <c r="Z654" s="27" t="s">
        <v>247</v>
      </c>
      <c r="AA654" t="s">
        <v>210</v>
      </c>
    </row>
    <row r="655" spans="1:27" x14ac:dyDescent="0.25">
      <c r="A655" s="12">
        <v>124</v>
      </c>
      <c r="B655">
        <v>9</v>
      </c>
      <c r="C655">
        <f t="shared" si="65"/>
        <v>12409</v>
      </c>
      <c r="D655" s="3" t="s">
        <v>86</v>
      </c>
      <c r="E655" s="11">
        <f t="shared" si="66"/>
        <v>56.376880555555559</v>
      </c>
      <c r="F655" s="11">
        <f t="shared" si="67"/>
        <v>3.2658027777777776</v>
      </c>
      <c r="G655" s="12" t="s">
        <v>144</v>
      </c>
      <c r="H655" s="12" t="s">
        <v>47</v>
      </c>
      <c r="I655">
        <v>2010</v>
      </c>
      <c r="J655" s="12" t="s">
        <v>163</v>
      </c>
      <c r="K655" s="2">
        <v>0</v>
      </c>
      <c r="M655" s="33">
        <v>11.830705</v>
      </c>
      <c r="N655" s="33">
        <v>1.110865</v>
      </c>
      <c r="Z655" s="27" t="s">
        <v>247</v>
      </c>
      <c r="AA655" t="s">
        <v>210</v>
      </c>
    </row>
    <row r="656" spans="1:27" x14ac:dyDescent="0.25">
      <c r="A656" s="12">
        <v>124</v>
      </c>
      <c r="B656">
        <v>9</v>
      </c>
      <c r="C656">
        <f t="shared" si="65"/>
        <v>12409</v>
      </c>
      <c r="D656" s="3" t="s">
        <v>86</v>
      </c>
      <c r="E656" s="11">
        <f t="shared" si="66"/>
        <v>56.376880555555559</v>
      </c>
      <c r="F656" s="11">
        <f t="shared" si="67"/>
        <v>3.2658027777777776</v>
      </c>
      <c r="G656" s="12" t="s">
        <v>144</v>
      </c>
      <c r="H656" s="12" t="s">
        <v>47</v>
      </c>
      <c r="I656">
        <v>2011</v>
      </c>
      <c r="J656" s="12" t="s">
        <v>163</v>
      </c>
      <c r="K656" s="2">
        <v>0</v>
      </c>
      <c r="M656" s="33">
        <v>9.2372267684999994</v>
      </c>
      <c r="N656" s="33">
        <v>1.1589811565000001</v>
      </c>
      <c r="Z656" s="27" t="s">
        <v>247</v>
      </c>
      <c r="AA656" t="s">
        <v>210</v>
      </c>
    </row>
    <row r="657" spans="1:27" x14ac:dyDescent="0.25">
      <c r="A657" s="12">
        <v>124</v>
      </c>
      <c r="B657">
        <v>9</v>
      </c>
      <c r="C657">
        <f t="shared" si="65"/>
        <v>12409</v>
      </c>
      <c r="D657" s="3" t="s">
        <v>86</v>
      </c>
      <c r="E657" s="11">
        <f t="shared" si="66"/>
        <v>56.376880555555559</v>
      </c>
      <c r="F657" s="11">
        <f t="shared" si="67"/>
        <v>3.2658027777777776</v>
      </c>
      <c r="G657" s="12" t="s">
        <v>144</v>
      </c>
      <c r="H657" s="12" t="s">
        <v>47</v>
      </c>
      <c r="I657">
        <v>2012</v>
      </c>
      <c r="J657" s="12" t="s">
        <v>163</v>
      </c>
      <c r="K657" s="2">
        <v>0</v>
      </c>
      <c r="M657" s="33">
        <v>6.0674999999999999</v>
      </c>
      <c r="N657" s="33">
        <v>0.92500000000000004</v>
      </c>
      <c r="Z657" s="27" t="s">
        <v>247</v>
      </c>
      <c r="AA657" t="s">
        <v>210</v>
      </c>
    </row>
    <row r="658" spans="1:27" x14ac:dyDescent="0.25">
      <c r="A658" s="12">
        <v>124</v>
      </c>
      <c r="B658">
        <v>9</v>
      </c>
      <c r="C658">
        <f t="shared" si="65"/>
        <v>12409</v>
      </c>
      <c r="D658" s="3" t="s">
        <v>86</v>
      </c>
      <c r="E658" s="11">
        <f t="shared" si="66"/>
        <v>56.376880555555559</v>
      </c>
      <c r="F658" s="11">
        <f t="shared" si="67"/>
        <v>3.2658027777777776</v>
      </c>
      <c r="G658" s="12" t="s">
        <v>144</v>
      </c>
      <c r="H658" s="12" t="s">
        <v>47</v>
      </c>
      <c r="I658">
        <v>2013</v>
      </c>
      <c r="J658" s="12" t="s">
        <v>163</v>
      </c>
      <c r="K658" s="2">
        <v>0</v>
      </c>
      <c r="M658" s="33">
        <v>6.6832500000000001</v>
      </c>
      <c r="N658" s="33">
        <v>0.95237142857142898</v>
      </c>
      <c r="Z658" s="27" t="s">
        <v>247</v>
      </c>
      <c r="AA658" t="s">
        <v>210</v>
      </c>
    </row>
    <row r="659" spans="1:27" x14ac:dyDescent="0.25">
      <c r="A659" s="12">
        <v>124</v>
      </c>
      <c r="B659">
        <v>9</v>
      </c>
      <c r="C659">
        <f t="shared" si="65"/>
        <v>12409</v>
      </c>
      <c r="D659" s="3" t="s">
        <v>86</v>
      </c>
      <c r="E659" s="11">
        <f t="shared" si="66"/>
        <v>56.376880555555559</v>
      </c>
      <c r="F659" s="11">
        <f t="shared" si="67"/>
        <v>3.2658027777777776</v>
      </c>
      <c r="G659" s="12" t="s">
        <v>144</v>
      </c>
      <c r="H659" s="12" t="s">
        <v>47</v>
      </c>
      <c r="I659">
        <v>2014</v>
      </c>
      <c r="J659" s="12" t="s">
        <v>163</v>
      </c>
      <c r="K659" s="2">
        <v>0</v>
      </c>
      <c r="M659" s="33">
        <v>7.75142857142857</v>
      </c>
      <c r="N659" s="33">
        <v>1.04571428571429</v>
      </c>
      <c r="Z659" s="27" t="s">
        <v>247</v>
      </c>
      <c r="AA659" t="s">
        <v>210</v>
      </c>
    </row>
    <row r="660" spans="1:27" x14ac:dyDescent="0.25">
      <c r="A660" s="12">
        <v>124</v>
      </c>
      <c r="B660">
        <v>9</v>
      </c>
      <c r="C660">
        <f t="shared" si="65"/>
        <v>12409</v>
      </c>
      <c r="D660" s="3" t="s">
        <v>86</v>
      </c>
      <c r="E660" s="11">
        <f t="shared" si="66"/>
        <v>56.376880555555559</v>
      </c>
      <c r="F660" s="11">
        <f t="shared" si="67"/>
        <v>3.2658027777777776</v>
      </c>
      <c r="G660" s="12" t="s">
        <v>144</v>
      </c>
      <c r="H660" s="12" t="s">
        <v>47</v>
      </c>
      <c r="I660">
        <v>2015</v>
      </c>
      <c r="J660" s="12" t="s">
        <v>163</v>
      </c>
      <c r="K660" s="2">
        <v>0</v>
      </c>
      <c r="M660" s="33">
        <v>5.3576190476190497</v>
      </c>
      <c r="N660" s="33">
        <v>0.91785714285714304</v>
      </c>
      <c r="Z660" s="27" t="s">
        <v>247</v>
      </c>
      <c r="AA660" t="s">
        <v>210</v>
      </c>
    </row>
    <row r="661" spans="1:27" x14ac:dyDescent="0.25">
      <c r="A661" s="12">
        <v>124</v>
      </c>
      <c r="B661">
        <v>9</v>
      </c>
      <c r="C661">
        <f t="shared" si="65"/>
        <v>12409</v>
      </c>
      <c r="D661" s="3" t="s">
        <v>86</v>
      </c>
      <c r="E661" s="11">
        <f t="shared" si="66"/>
        <v>56.376880555555559</v>
      </c>
      <c r="F661" s="11">
        <f t="shared" si="67"/>
        <v>3.2658027777777776</v>
      </c>
      <c r="G661" s="12" t="s">
        <v>144</v>
      </c>
      <c r="H661" s="12" t="s">
        <v>47</v>
      </c>
      <c r="I661">
        <v>2016</v>
      </c>
      <c r="J661" s="12" t="s">
        <v>163</v>
      </c>
      <c r="K661" s="2">
        <v>0</v>
      </c>
      <c r="M661" s="33">
        <v>5.9312500000000004</v>
      </c>
      <c r="N661" s="33">
        <v>0.78958333333333297</v>
      </c>
      <c r="Z661" s="27" t="s">
        <v>247</v>
      </c>
      <c r="AA661" t="s">
        <v>210</v>
      </c>
    </row>
    <row r="662" spans="1:27" x14ac:dyDescent="0.25">
      <c r="A662" s="12">
        <v>124</v>
      </c>
      <c r="B662">
        <v>9</v>
      </c>
      <c r="C662">
        <f t="shared" si="65"/>
        <v>12409</v>
      </c>
      <c r="D662" s="3" t="s">
        <v>86</v>
      </c>
      <c r="E662" s="11">
        <f t="shared" si="66"/>
        <v>56.376880555555559</v>
      </c>
      <c r="F662" s="11">
        <f t="shared" si="67"/>
        <v>3.2658027777777776</v>
      </c>
      <c r="G662" s="12" t="s">
        <v>144</v>
      </c>
      <c r="H662" s="12" t="s">
        <v>47</v>
      </c>
      <c r="I662">
        <v>2017</v>
      </c>
      <c r="J662" s="12" t="s">
        <v>163</v>
      </c>
      <c r="K662" s="2">
        <v>0</v>
      </c>
      <c r="M662" s="33">
        <v>6.0750000000000002</v>
      </c>
      <c r="N662" s="33">
        <v>0.76833333333333298</v>
      </c>
      <c r="Z662" s="27" t="s">
        <v>247</v>
      </c>
      <c r="AA662" t="s">
        <v>210</v>
      </c>
    </row>
    <row r="663" spans="1:27" x14ac:dyDescent="0.25">
      <c r="A663" s="12">
        <v>124</v>
      </c>
      <c r="B663">
        <v>9</v>
      </c>
      <c r="C663">
        <f t="shared" si="65"/>
        <v>12409</v>
      </c>
      <c r="D663" s="3" t="s">
        <v>86</v>
      </c>
      <c r="E663" s="11">
        <f t="shared" si="66"/>
        <v>56.376880555555559</v>
      </c>
      <c r="F663" s="11">
        <f t="shared" si="67"/>
        <v>3.2658027777777776</v>
      </c>
      <c r="G663" s="12" t="s">
        <v>144</v>
      </c>
      <c r="H663" s="12" t="s">
        <v>47</v>
      </c>
      <c r="I663">
        <v>2018</v>
      </c>
      <c r="J663" s="12" t="s">
        <v>163</v>
      </c>
      <c r="K663" s="2">
        <v>0</v>
      </c>
      <c r="M663" s="33">
        <v>5.2785714285714302</v>
      </c>
      <c r="N663" s="33">
        <v>0.71125000000000005</v>
      </c>
      <c r="Z663" s="27" t="s">
        <v>247</v>
      </c>
      <c r="AA663" t="s">
        <v>210</v>
      </c>
    </row>
    <row r="664" spans="1:27" x14ac:dyDescent="0.25">
      <c r="A664" s="12">
        <v>124</v>
      </c>
      <c r="B664">
        <v>9</v>
      </c>
      <c r="C664">
        <f t="shared" si="65"/>
        <v>12409</v>
      </c>
      <c r="D664" s="3" t="s">
        <v>86</v>
      </c>
      <c r="E664" s="11">
        <f t="shared" si="66"/>
        <v>56.376880555555559</v>
      </c>
      <c r="F664" s="11">
        <f t="shared" si="67"/>
        <v>3.2658027777777776</v>
      </c>
      <c r="G664" s="12" t="s">
        <v>144</v>
      </c>
      <c r="H664" s="12" t="s">
        <v>47</v>
      </c>
      <c r="I664">
        <v>2019</v>
      </c>
      <c r="J664" s="12" t="s">
        <v>163</v>
      </c>
      <c r="K664" s="2">
        <v>0</v>
      </c>
      <c r="M664" s="33">
        <v>5.95583333333333</v>
      </c>
      <c r="N664" s="33">
        <v>0.68833333333333302</v>
      </c>
      <c r="Z664" s="27" t="s">
        <v>247</v>
      </c>
      <c r="AA664" t="s">
        <v>210</v>
      </c>
    </row>
    <row r="665" spans="1:27" x14ac:dyDescent="0.25">
      <c r="A665" s="12">
        <v>124</v>
      </c>
      <c r="B665">
        <v>9</v>
      </c>
      <c r="C665">
        <f t="shared" si="65"/>
        <v>12409</v>
      </c>
      <c r="D665" s="3" t="s">
        <v>86</v>
      </c>
      <c r="E665" s="11">
        <f t="shared" si="66"/>
        <v>56.376880555555559</v>
      </c>
      <c r="F665" s="11">
        <f t="shared" si="67"/>
        <v>3.2658027777777776</v>
      </c>
      <c r="G665" s="12" t="s">
        <v>144</v>
      </c>
      <c r="H665" s="12" t="s">
        <v>47</v>
      </c>
      <c r="I665">
        <v>2020</v>
      </c>
      <c r="J665" s="12" t="s">
        <v>163</v>
      </c>
      <c r="K665" s="2">
        <v>0</v>
      </c>
      <c r="M665" s="33">
        <v>5.9114285714285701</v>
      </c>
      <c r="N665" s="33">
        <v>0.65</v>
      </c>
      <c r="Z665" s="27" t="s">
        <v>247</v>
      </c>
      <c r="AA665" t="s">
        <v>210</v>
      </c>
    </row>
    <row r="666" spans="1:27" x14ac:dyDescent="0.25">
      <c r="A666" s="12">
        <v>124</v>
      </c>
      <c r="B666">
        <v>9</v>
      </c>
      <c r="C666">
        <f t="shared" si="65"/>
        <v>12409</v>
      </c>
      <c r="D666" s="3" t="s">
        <v>86</v>
      </c>
      <c r="E666" s="11">
        <f t="shared" si="66"/>
        <v>56.376880555555559</v>
      </c>
      <c r="F666" s="11">
        <f t="shared" si="67"/>
        <v>3.2658027777777776</v>
      </c>
      <c r="G666" s="12" t="s">
        <v>144</v>
      </c>
      <c r="H666" s="12" t="s">
        <v>47</v>
      </c>
      <c r="I666">
        <v>2021</v>
      </c>
      <c r="J666" s="12" t="s">
        <v>163</v>
      </c>
      <c r="K666" s="2">
        <v>0</v>
      </c>
      <c r="M666" s="33">
        <v>5.15625</v>
      </c>
      <c r="N666" s="33">
        <v>0.76</v>
      </c>
      <c r="Z666" s="27" t="s">
        <v>247</v>
      </c>
      <c r="AA666" t="s">
        <v>210</v>
      </c>
    </row>
    <row r="667" spans="1:27" x14ac:dyDescent="0.25">
      <c r="A667" s="12">
        <v>124</v>
      </c>
      <c r="B667">
        <v>10</v>
      </c>
      <c r="C667">
        <f t="shared" si="65"/>
        <v>12410</v>
      </c>
      <c r="D667" s="3" t="s">
        <v>86</v>
      </c>
      <c r="E667" s="11">
        <f>58+34/60+19.85/3600</f>
        <v>58.572180555555562</v>
      </c>
      <c r="F667" s="11">
        <f>1+41/60+48.44/3600</f>
        <v>1.6967888888888889</v>
      </c>
      <c r="G667" s="12" t="s">
        <v>144</v>
      </c>
      <c r="H667" s="12" t="s">
        <v>47</v>
      </c>
      <c r="I667">
        <v>2021</v>
      </c>
      <c r="J667" s="12" t="s">
        <v>163</v>
      </c>
      <c r="K667" s="2">
        <v>0</v>
      </c>
      <c r="M667" s="33">
        <v>0.17849999999999999</v>
      </c>
      <c r="N667" s="33">
        <v>0.13262499999999999</v>
      </c>
      <c r="Z667" s="27" t="s">
        <v>247</v>
      </c>
      <c r="AA667" t="s">
        <v>245</v>
      </c>
    </row>
    <row r="668" spans="1:27" x14ac:dyDescent="0.25">
      <c r="A668" s="12">
        <v>124</v>
      </c>
      <c r="B668">
        <v>11</v>
      </c>
      <c r="C668">
        <f t="shared" si="65"/>
        <v>12411</v>
      </c>
      <c r="D668" s="3" t="s">
        <v>86</v>
      </c>
      <c r="E668" s="11">
        <f>61+20/60+25.11/3600</f>
        <v>61.340308333333333</v>
      </c>
      <c r="F668" s="11">
        <f>3+57/60+31.27/3600</f>
        <v>3.9586861111111111</v>
      </c>
      <c r="G668" s="12" t="s">
        <v>144</v>
      </c>
      <c r="H668" s="12" t="s">
        <v>47</v>
      </c>
      <c r="I668">
        <v>2011</v>
      </c>
      <c r="J668" s="12" t="s">
        <v>163</v>
      </c>
      <c r="K668" s="2">
        <v>0</v>
      </c>
      <c r="M668" s="33">
        <v>2.8833011000000002</v>
      </c>
      <c r="N668" s="33">
        <v>2.4021971</v>
      </c>
      <c r="Z668" s="27" t="s">
        <v>247</v>
      </c>
      <c r="AA668" t="s">
        <v>423</v>
      </c>
    </row>
    <row r="669" spans="1:27" x14ac:dyDescent="0.25">
      <c r="A669" s="12">
        <v>124</v>
      </c>
      <c r="B669">
        <v>11</v>
      </c>
      <c r="C669">
        <f t="shared" si="65"/>
        <v>12411</v>
      </c>
      <c r="D669" s="3" t="s">
        <v>86</v>
      </c>
      <c r="E669" s="11">
        <f t="shared" ref="E669:E678" si="68">61+20/60+25.11/3600</f>
        <v>61.340308333333333</v>
      </c>
      <c r="F669" s="11">
        <f t="shared" ref="F669:F678" si="69">3+57/60+31.27/3600</f>
        <v>3.9586861111111111</v>
      </c>
      <c r="G669" s="12" t="s">
        <v>144</v>
      </c>
      <c r="H669" s="12" t="s">
        <v>47</v>
      </c>
      <c r="I669">
        <v>2012</v>
      </c>
      <c r="J669" s="12" t="s">
        <v>163</v>
      </c>
      <c r="K669" s="2">
        <v>0</v>
      </c>
      <c r="M669" s="33">
        <v>1.78564700558333</v>
      </c>
      <c r="N669" s="33">
        <v>2.4183293634999998</v>
      </c>
      <c r="Z669" s="27" t="s">
        <v>247</v>
      </c>
      <c r="AA669" t="s">
        <v>423</v>
      </c>
    </row>
    <row r="670" spans="1:27" x14ac:dyDescent="0.25">
      <c r="A670" s="12">
        <v>124</v>
      </c>
      <c r="B670">
        <v>11</v>
      </c>
      <c r="C670">
        <f t="shared" si="65"/>
        <v>12411</v>
      </c>
      <c r="D670" s="3" t="s">
        <v>86</v>
      </c>
      <c r="E670" s="11">
        <f t="shared" si="68"/>
        <v>61.340308333333333</v>
      </c>
      <c r="F670" s="11">
        <f t="shared" si="69"/>
        <v>3.9586861111111111</v>
      </c>
      <c r="G670" s="12" t="s">
        <v>144</v>
      </c>
      <c r="H670" s="12" t="s">
        <v>47</v>
      </c>
      <c r="I670">
        <v>2013</v>
      </c>
      <c r="J670" s="12" t="s">
        <v>163</v>
      </c>
      <c r="K670" s="2">
        <v>0</v>
      </c>
      <c r="M670" s="33">
        <v>3.3283874147333301</v>
      </c>
      <c r="N670" s="33">
        <v>4.3929465764583302</v>
      </c>
      <c r="Z670" s="27" t="s">
        <v>247</v>
      </c>
      <c r="AA670" t="s">
        <v>423</v>
      </c>
    </row>
    <row r="671" spans="1:27" x14ac:dyDescent="0.25">
      <c r="A671" s="12">
        <v>124</v>
      </c>
      <c r="B671">
        <v>11</v>
      </c>
      <c r="C671">
        <f t="shared" si="65"/>
        <v>12411</v>
      </c>
      <c r="D671" s="3" t="s">
        <v>86</v>
      </c>
      <c r="E671" s="11">
        <f t="shared" si="68"/>
        <v>61.340308333333333</v>
      </c>
      <c r="F671" s="11">
        <f t="shared" si="69"/>
        <v>3.9586861111111111</v>
      </c>
      <c r="G671" s="12" t="s">
        <v>144</v>
      </c>
      <c r="H671" s="12" t="s">
        <v>47</v>
      </c>
      <c r="I671">
        <v>2014</v>
      </c>
      <c r="J671" s="12" t="s">
        <v>163</v>
      </c>
      <c r="K671" s="2">
        <v>0</v>
      </c>
      <c r="M671" s="33">
        <v>4.7016244425</v>
      </c>
      <c r="N671" s="33">
        <v>5.9501967438916701</v>
      </c>
      <c r="Z671" s="27" t="s">
        <v>247</v>
      </c>
      <c r="AA671" t="s">
        <v>423</v>
      </c>
    </row>
    <row r="672" spans="1:27" x14ac:dyDescent="0.25">
      <c r="A672" s="12">
        <v>124</v>
      </c>
      <c r="B672">
        <v>11</v>
      </c>
      <c r="C672">
        <f t="shared" si="65"/>
        <v>12411</v>
      </c>
      <c r="D672" s="3" t="s">
        <v>86</v>
      </c>
      <c r="E672" s="11">
        <f t="shared" si="68"/>
        <v>61.340308333333333</v>
      </c>
      <c r="F672" s="11">
        <f t="shared" si="69"/>
        <v>3.9586861111111111</v>
      </c>
      <c r="G672" s="12" t="s">
        <v>144</v>
      </c>
      <c r="H672" s="12" t="s">
        <v>47</v>
      </c>
      <c r="I672">
        <v>2015</v>
      </c>
      <c r="J672" s="12" t="s">
        <v>163</v>
      </c>
      <c r="K672" s="2">
        <v>0</v>
      </c>
      <c r="M672" s="33">
        <v>4.6492668317583297</v>
      </c>
      <c r="N672" s="33">
        <v>6.3569336023750003</v>
      </c>
      <c r="Z672" s="27" t="s">
        <v>247</v>
      </c>
      <c r="AA672" t="s">
        <v>423</v>
      </c>
    </row>
    <row r="673" spans="1:27" x14ac:dyDescent="0.25">
      <c r="A673" s="12">
        <v>124</v>
      </c>
      <c r="B673">
        <v>11</v>
      </c>
      <c r="C673">
        <f t="shared" si="65"/>
        <v>12411</v>
      </c>
      <c r="D673" s="3" t="s">
        <v>86</v>
      </c>
      <c r="E673" s="11">
        <f t="shared" si="68"/>
        <v>61.340308333333333</v>
      </c>
      <c r="F673" s="11">
        <f t="shared" si="69"/>
        <v>3.9586861111111111</v>
      </c>
      <c r="G673" s="12" t="s">
        <v>144</v>
      </c>
      <c r="H673" s="12" t="s">
        <v>47</v>
      </c>
      <c r="I673">
        <v>2016</v>
      </c>
      <c r="J673" s="12" t="s">
        <v>163</v>
      </c>
      <c r="K673" s="2">
        <v>0</v>
      </c>
      <c r="M673" s="33">
        <v>4.1383010500916697</v>
      </c>
      <c r="N673" s="33">
        <v>7.1479801513916703</v>
      </c>
      <c r="Z673" s="27" t="s">
        <v>247</v>
      </c>
      <c r="AA673" t="s">
        <v>423</v>
      </c>
    </row>
    <row r="674" spans="1:27" x14ac:dyDescent="0.25">
      <c r="A674" s="12">
        <v>124</v>
      </c>
      <c r="B674">
        <v>11</v>
      </c>
      <c r="C674">
        <f t="shared" si="65"/>
        <v>12411</v>
      </c>
      <c r="D674" s="3" t="s">
        <v>86</v>
      </c>
      <c r="E674" s="11">
        <f t="shared" si="68"/>
        <v>61.340308333333333</v>
      </c>
      <c r="F674" s="11">
        <f t="shared" si="69"/>
        <v>3.9586861111111111</v>
      </c>
      <c r="G674" s="12" t="s">
        <v>144</v>
      </c>
      <c r="H674" s="12" t="s">
        <v>47</v>
      </c>
      <c r="I674">
        <v>2017</v>
      </c>
      <c r="J674" s="12" t="s">
        <v>163</v>
      </c>
      <c r="K674" s="2">
        <v>0</v>
      </c>
      <c r="M674" s="33">
        <v>4.5423651746166698</v>
      </c>
      <c r="N674" s="33">
        <v>6.1212577883916701</v>
      </c>
      <c r="Z674" s="27" t="s">
        <v>247</v>
      </c>
      <c r="AA674" t="s">
        <v>423</v>
      </c>
    </row>
    <row r="675" spans="1:27" x14ac:dyDescent="0.25">
      <c r="A675" s="12">
        <v>124</v>
      </c>
      <c r="B675">
        <v>11</v>
      </c>
      <c r="C675">
        <f t="shared" si="65"/>
        <v>12411</v>
      </c>
      <c r="D675" s="3" t="s">
        <v>86</v>
      </c>
      <c r="E675" s="11">
        <f t="shared" si="68"/>
        <v>61.340308333333333</v>
      </c>
      <c r="F675" s="11">
        <f t="shared" si="69"/>
        <v>3.9586861111111111</v>
      </c>
      <c r="G675" s="12" t="s">
        <v>144</v>
      </c>
      <c r="H675" s="12" t="s">
        <v>47</v>
      </c>
      <c r="I675">
        <v>2018</v>
      </c>
      <c r="J675" s="12" t="s">
        <v>163</v>
      </c>
      <c r="K675" s="2">
        <v>0</v>
      </c>
      <c r="M675" s="33">
        <v>5.3720414204916702</v>
      </c>
      <c r="N675" s="33">
        <v>6.9238667706249997</v>
      </c>
      <c r="Z675" s="27" t="s">
        <v>247</v>
      </c>
      <c r="AA675" t="s">
        <v>423</v>
      </c>
    </row>
    <row r="676" spans="1:27" x14ac:dyDescent="0.25">
      <c r="A676" s="12">
        <v>124</v>
      </c>
      <c r="B676">
        <v>11</v>
      </c>
      <c r="C676">
        <f t="shared" si="65"/>
        <v>12411</v>
      </c>
      <c r="D676" s="3" t="s">
        <v>86</v>
      </c>
      <c r="E676" s="11">
        <f t="shared" si="68"/>
        <v>61.340308333333333</v>
      </c>
      <c r="F676" s="11">
        <f t="shared" si="69"/>
        <v>3.9586861111111111</v>
      </c>
      <c r="G676" s="12" t="s">
        <v>144</v>
      </c>
      <c r="H676" s="12" t="s">
        <v>47</v>
      </c>
      <c r="I676">
        <v>2019</v>
      </c>
      <c r="J676" s="12" t="s">
        <v>163</v>
      </c>
      <c r="K676" s="2">
        <v>0</v>
      </c>
      <c r="M676" s="33">
        <v>5.7544960731666697</v>
      </c>
      <c r="N676" s="33">
        <v>7.1135874456166697</v>
      </c>
      <c r="Z676" s="27" t="s">
        <v>247</v>
      </c>
      <c r="AA676" t="s">
        <v>423</v>
      </c>
    </row>
    <row r="677" spans="1:27" x14ac:dyDescent="0.25">
      <c r="A677" s="12">
        <v>124</v>
      </c>
      <c r="B677">
        <v>11</v>
      </c>
      <c r="C677">
        <f t="shared" si="65"/>
        <v>12411</v>
      </c>
      <c r="D677" s="3" t="s">
        <v>86</v>
      </c>
      <c r="E677" s="11">
        <f t="shared" si="68"/>
        <v>61.340308333333333</v>
      </c>
      <c r="F677" s="11">
        <f t="shared" si="69"/>
        <v>3.9586861111111111</v>
      </c>
      <c r="G677" s="12" t="s">
        <v>144</v>
      </c>
      <c r="H677" s="12" t="s">
        <v>47</v>
      </c>
      <c r="I677">
        <v>2020</v>
      </c>
      <c r="J677" s="12" t="s">
        <v>163</v>
      </c>
      <c r="K677" s="2">
        <v>0</v>
      </c>
      <c r="M677" s="33">
        <v>6.0407467118416696</v>
      </c>
      <c r="N677" s="33">
        <v>8.5531417242583299</v>
      </c>
      <c r="Z677" s="27" t="s">
        <v>247</v>
      </c>
      <c r="AA677" t="s">
        <v>423</v>
      </c>
    </row>
    <row r="678" spans="1:27" x14ac:dyDescent="0.25">
      <c r="A678" s="12">
        <v>124</v>
      </c>
      <c r="B678">
        <v>11</v>
      </c>
      <c r="C678">
        <f t="shared" si="65"/>
        <v>12411</v>
      </c>
      <c r="D678" s="3" t="s">
        <v>86</v>
      </c>
      <c r="E678" s="11">
        <f t="shared" si="68"/>
        <v>61.340308333333333</v>
      </c>
      <c r="F678" s="11">
        <f t="shared" si="69"/>
        <v>3.9586861111111111</v>
      </c>
      <c r="G678" s="12" t="s">
        <v>144</v>
      </c>
      <c r="H678" s="12" t="s">
        <v>47</v>
      </c>
      <c r="I678">
        <v>2021</v>
      </c>
      <c r="J678" s="12" t="s">
        <v>163</v>
      </c>
      <c r="K678" s="2">
        <v>0</v>
      </c>
      <c r="M678" s="33">
        <v>5.3427002811750004</v>
      </c>
      <c r="N678" s="33">
        <v>7.4048010403916704</v>
      </c>
      <c r="Z678" s="27" t="s">
        <v>247</v>
      </c>
      <c r="AA678" t="s">
        <v>423</v>
      </c>
    </row>
    <row r="679" spans="1:27" x14ac:dyDescent="0.25">
      <c r="A679" s="12">
        <v>124</v>
      </c>
      <c r="B679">
        <v>12</v>
      </c>
      <c r="C679">
        <f t="shared" si="65"/>
        <v>12412</v>
      </c>
      <c r="D679" s="3" t="s">
        <v>86</v>
      </c>
      <c r="E679" s="11">
        <f>58+42/60+46.9/3600</f>
        <v>58.713027777777782</v>
      </c>
      <c r="F679" s="11">
        <f>1+40/60+5.2/3600</f>
        <v>1.6681111111111109</v>
      </c>
      <c r="G679" s="12" t="s">
        <v>144</v>
      </c>
      <c r="H679" s="12" t="s">
        <v>47</v>
      </c>
      <c r="I679">
        <v>2002</v>
      </c>
      <c r="J679" s="12" t="s">
        <v>163</v>
      </c>
      <c r="K679" s="2">
        <v>0</v>
      </c>
      <c r="M679" s="33">
        <v>7.5</v>
      </c>
      <c r="N679" s="33"/>
      <c r="Z679" s="27" t="s">
        <v>247</v>
      </c>
      <c r="AA679" t="s">
        <v>211</v>
      </c>
    </row>
    <row r="680" spans="1:27" x14ac:dyDescent="0.25">
      <c r="A680" s="12">
        <v>124</v>
      </c>
      <c r="B680">
        <v>12</v>
      </c>
      <c r="C680">
        <f t="shared" si="65"/>
        <v>12412</v>
      </c>
      <c r="D680" s="3" t="s">
        <v>86</v>
      </c>
      <c r="E680" s="11">
        <f t="shared" ref="E680:E689" si="70">58+42/60+46.9/3600</f>
        <v>58.713027777777782</v>
      </c>
      <c r="F680" s="11">
        <f t="shared" ref="F680:F689" si="71">1+40/60+5.2/3600</f>
        <v>1.6681111111111109</v>
      </c>
      <c r="G680" s="12" t="s">
        <v>144</v>
      </c>
      <c r="H680" s="12" t="s">
        <v>47</v>
      </c>
      <c r="I680">
        <v>2003</v>
      </c>
      <c r="J680" s="12" t="s">
        <v>163</v>
      </c>
      <c r="K680" s="2">
        <v>0</v>
      </c>
      <c r="M680" s="33">
        <v>9.9</v>
      </c>
      <c r="N680" s="33"/>
      <c r="Z680" s="27" t="s">
        <v>247</v>
      </c>
      <c r="AA680" t="s">
        <v>211</v>
      </c>
    </row>
    <row r="681" spans="1:27" x14ac:dyDescent="0.25">
      <c r="A681" s="12">
        <v>124</v>
      </c>
      <c r="B681">
        <v>12</v>
      </c>
      <c r="C681">
        <f t="shared" si="65"/>
        <v>12412</v>
      </c>
      <c r="D681" s="3" t="s">
        <v>86</v>
      </c>
      <c r="E681" s="11">
        <f t="shared" si="70"/>
        <v>58.713027777777782</v>
      </c>
      <c r="F681" s="11">
        <f t="shared" si="71"/>
        <v>1.6681111111111109</v>
      </c>
      <c r="G681" s="12" t="s">
        <v>144</v>
      </c>
      <c r="H681" s="12" t="s">
        <v>47</v>
      </c>
      <c r="I681">
        <v>2005</v>
      </c>
      <c r="J681" s="12" t="s">
        <v>163</v>
      </c>
      <c r="K681" s="2">
        <v>0</v>
      </c>
      <c r="M681" s="33">
        <v>7</v>
      </c>
      <c r="N681" s="33">
        <v>7.5</v>
      </c>
      <c r="Z681" s="27" t="s">
        <v>247</v>
      </c>
      <c r="AA681" t="s">
        <v>211</v>
      </c>
    </row>
    <row r="682" spans="1:27" x14ac:dyDescent="0.25">
      <c r="A682" s="12">
        <v>124</v>
      </c>
      <c r="B682">
        <v>12</v>
      </c>
      <c r="C682">
        <f t="shared" si="65"/>
        <v>12412</v>
      </c>
      <c r="D682" s="3" t="s">
        <v>86</v>
      </c>
      <c r="E682" s="11">
        <f t="shared" si="70"/>
        <v>58.713027777777782</v>
      </c>
      <c r="F682" s="11">
        <f t="shared" si="71"/>
        <v>1.6681111111111109</v>
      </c>
      <c r="G682" s="12" t="s">
        <v>144</v>
      </c>
      <c r="H682" s="12" t="s">
        <v>47</v>
      </c>
      <c r="I682">
        <v>2006</v>
      </c>
      <c r="J682" s="12" t="s">
        <v>163</v>
      </c>
      <c r="K682" s="2">
        <v>0</v>
      </c>
      <c r="M682" s="33">
        <v>6.9211</v>
      </c>
      <c r="N682" s="33">
        <v>7.79</v>
      </c>
      <c r="Z682" s="27" t="s">
        <v>247</v>
      </c>
      <c r="AA682" t="s">
        <v>211</v>
      </c>
    </row>
    <row r="683" spans="1:27" x14ac:dyDescent="0.25">
      <c r="A683" s="12">
        <v>124</v>
      </c>
      <c r="B683">
        <v>12</v>
      </c>
      <c r="C683">
        <f t="shared" si="65"/>
        <v>12412</v>
      </c>
      <c r="D683" s="3" t="s">
        <v>86</v>
      </c>
      <c r="E683" s="11">
        <f t="shared" si="70"/>
        <v>58.713027777777782</v>
      </c>
      <c r="F683" s="11">
        <f t="shared" si="71"/>
        <v>1.6681111111111109</v>
      </c>
      <c r="G683" s="12" t="s">
        <v>144</v>
      </c>
      <c r="H683" s="12" t="s">
        <v>47</v>
      </c>
      <c r="I683">
        <v>2007</v>
      </c>
      <c r="J683" s="12" t="s">
        <v>163</v>
      </c>
      <c r="K683" s="2">
        <v>0</v>
      </c>
      <c r="M683" s="33">
        <v>8.5976700000000008</v>
      </c>
      <c r="N683" s="33">
        <v>8.6798999999999999</v>
      </c>
      <c r="Z683" s="27" t="s">
        <v>247</v>
      </c>
      <c r="AA683" t="s">
        <v>211</v>
      </c>
    </row>
    <row r="684" spans="1:27" x14ac:dyDescent="0.25">
      <c r="A684" s="12">
        <v>124</v>
      </c>
      <c r="B684">
        <v>12</v>
      </c>
      <c r="C684">
        <f t="shared" si="65"/>
        <v>12412</v>
      </c>
      <c r="D684" s="3" t="s">
        <v>86</v>
      </c>
      <c r="E684" s="11">
        <f t="shared" si="70"/>
        <v>58.713027777777782</v>
      </c>
      <c r="F684" s="11">
        <f t="shared" si="71"/>
        <v>1.6681111111111109</v>
      </c>
      <c r="G684" s="12" t="s">
        <v>144</v>
      </c>
      <c r="H684" s="12" t="s">
        <v>47</v>
      </c>
      <c r="I684">
        <v>2008</v>
      </c>
      <c r="J684" s="12" t="s">
        <v>163</v>
      </c>
      <c r="K684" s="2">
        <v>0</v>
      </c>
      <c r="M684" s="33">
        <v>7.3425804929999998</v>
      </c>
      <c r="N684" s="33">
        <v>7.7723264910000003</v>
      </c>
      <c r="Z684" s="27" t="s">
        <v>247</v>
      </c>
      <c r="AA684" t="s">
        <v>211</v>
      </c>
    </row>
    <row r="685" spans="1:27" x14ac:dyDescent="0.25">
      <c r="A685" s="12">
        <v>124</v>
      </c>
      <c r="B685">
        <v>12</v>
      </c>
      <c r="C685">
        <f t="shared" si="65"/>
        <v>12412</v>
      </c>
      <c r="D685" s="3" t="s">
        <v>86</v>
      </c>
      <c r="E685" s="11">
        <f t="shared" si="70"/>
        <v>58.713027777777782</v>
      </c>
      <c r="F685" s="11">
        <f t="shared" si="71"/>
        <v>1.6681111111111109</v>
      </c>
      <c r="G685" s="12" t="s">
        <v>144</v>
      </c>
      <c r="H685" s="12" t="s">
        <v>47</v>
      </c>
      <c r="I685">
        <v>2009</v>
      </c>
      <c r="J685" s="12" t="s">
        <v>163</v>
      </c>
      <c r="K685" s="2">
        <v>0</v>
      </c>
      <c r="M685" s="33">
        <v>7.2497695389999999</v>
      </c>
      <c r="N685" s="33">
        <v>6.9169695859999996</v>
      </c>
      <c r="Z685" s="27" t="s">
        <v>247</v>
      </c>
      <c r="AA685" t="s">
        <v>211</v>
      </c>
    </row>
    <row r="686" spans="1:27" x14ac:dyDescent="0.25">
      <c r="A686" s="12">
        <v>124</v>
      </c>
      <c r="B686">
        <v>12</v>
      </c>
      <c r="C686">
        <f t="shared" si="65"/>
        <v>12412</v>
      </c>
      <c r="D686" s="3" t="s">
        <v>86</v>
      </c>
      <c r="E686" s="11">
        <f t="shared" si="70"/>
        <v>58.713027777777782</v>
      </c>
      <c r="F686" s="11">
        <f t="shared" si="71"/>
        <v>1.6681111111111109</v>
      </c>
      <c r="G686" s="12" t="s">
        <v>144</v>
      </c>
      <c r="H686" s="12" t="s">
        <v>47</v>
      </c>
      <c r="I686">
        <v>2010</v>
      </c>
      <c r="J686" s="12" t="s">
        <v>163</v>
      </c>
      <c r="K686" s="2">
        <v>0</v>
      </c>
      <c r="M686" s="33">
        <v>9.93392667</v>
      </c>
      <c r="N686" s="33">
        <v>5.6509846320000001</v>
      </c>
      <c r="Z686" s="27" t="s">
        <v>247</v>
      </c>
      <c r="AA686" t="s">
        <v>211</v>
      </c>
    </row>
    <row r="687" spans="1:27" x14ac:dyDescent="0.25">
      <c r="A687" s="12">
        <v>124</v>
      </c>
      <c r="B687">
        <v>12</v>
      </c>
      <c r="C687">
        <f t="shared" si="65"/>
        <v>12412</v>
      </c>
      <c r="D687" s="3" t="s">
        <v>86</v>
      </c>
      <c r="E687" s="11">
        <f t="shared" si="70"/>
        <v>58.713027777777782</v>
      </c>
      <c r="F687" s="11">
        <f t="shared" si="71"/>
        <v>1.6681111111111109</v>
      </c>
      <c r="G687" s="12" t="s">
        <v>144</v>
      </c>
      <c r="H687" s="12" t="s">
        <v>47</v>
      </c>
      <c r="I687">
        <v>2011</v>
      </c>
      <c r="J687" s="12" t="s">
        <v>163</v>
      </c>
      <c r="K687" s="2">
        <v>0</v>
      </c>
      <c r="M687" s="33">
        <v>7.0800075089999996</v>
      </c>
      <c r="N687" s="33">
        <v>7.8231236810000002</v>
      </c>
      <c r="Z687" s="27" t="s">
        <v>247</v>
      </c>
      <c r="AA687" t="s">
        <v>211</v>
      </c>
    </row>
    <row r="688" spans="1:27" x14ac:dyDescent="0.25">
      <c r="A688" s="12">
        <v>124</v>
      </c>
      <c r="B688">
        <v>12</v>
      </c>
      <c r="C688">
        <f t="shared" si="65"/>
        <v>12412</v>
      </c>
      <c r="D688" s="3" t="s">
        <v>86</v>
      </c>
      <c r="E688" s="11">
        <f t="shared" si="70"/>
        <v>58.713027777777782</v>
      </c>
      <c r="F688" s="11">
        <f t="shared" si="71"/>
        <v>1.6681111111111109</v>
      </c>
      <c r="G688" s="12" t="s">
        <v>144</v>
      </c>
      <c r="H688" s="12" t="s">
        <v>47</v>
      </c>
      <c r="I688">
        <v>2012</v>
      </c>
      <c r="J688" s="12" t="s">
        <v>163</v>
      </c>
      <c r="K688" s="2">
        <v>0</v>
      </c>
      <c r="M688" s="33">
        <v>7.3453274999999998</v>
      </c>
      <c r="N688" s="33">
        <v>7.75</v>
      </c>
      <c r="Z688" s="27" t="s">
        <v>247</v>
      </c>
      <c r="AA688" t="s">
        <v>211</v>
      </c>
    </row>
    <row r="689" spans="1:27" x14ac:dyDescent="0.25">
      <c r="A689" s="12">
        <v>124</v>
      </c>
      <c r="B689">
        <v>12</v>
      </c>
      <c r="C689">
        <f t="shared" si="65"/>
        <v>12412</v>
      </c>
      <c r="D689" s="3" t="s">
        <v>86</v>
      </c>
      <c r="E689" s="11">
        <f t="shared" si="70"/>
        <v>58.713027777777782</v>
      </c>
      <c r="F689" s="11">
        <f t="shared" si="71"/>
        <v>1.6681111111111109</v>
      </c>
      <c r="G689" s="12" t="s">
        <v>144</v>
      </c>
      <c r="H689" s="12" t="s">
        <v>47</v>
      </c>
      <c r="I689">
        <v>2013</v>
      </c>
      <c r="J689" s="12" t="s">
        <v>163</v>
      </c>
      <c r="K689" s="2">
        <v>0</v>
      </c>
      <c r="M689" s="33">
        <v>6.4838111086000003</v>
      </c>
      <c r="N689" s="33">
        <v>7.4</v>
      </c>
      <c r="Z689" s="27" t="s">
        <v>247</v>
      </c>
      <c r="AA689" t="s">
        <v>211</v>
      </c>
    </row>
    <row r="690" spans="1:27" x14ac:dyDescent="0.25">
      <c r="A690" s="12">
        <v>124</v>
      </c>
      <c r="B690">
        <v>13</v>
      </c>
      <c r="C690">
        <f t="shared" si="65"/>
        <v>12413</v>
      </c>
      <c r="D690" s="3" t="s">
        <v>86</v>
      </c>
      <c r="E690" s="11">
        <f>71+17/60+11.03/3600</f>
        <v>71.28639722222222</v>
      </c>
      <c r="F690" s="11">
        <f>22+17/60+6.51/3600</f>
        <v>22.285141666666668</v>
      </c>
      <c r="G690" s="12" t="s">
        <v>144</v>
      </c>
      <c r="H690" s="12" t="s">
        <v>47</v>
      </c>
      <c r="I690">
        <v>2018</v>
      </c>
      <c r="J690" s="12" t="s">
        <v>163</v>
      </c>
      <c r="K690" s="2">
        <v>0</v>
      </c>
      <c r="M690" s="33">
        <v>14.1423222803</v>
      </c>
      <c r="N690" s="33">
        <v>10.855726257400001</v>
      </c>
      <c r="Z690" s="27" t="s">
        <v>247</v>
      </c>
      <c r="AA690" t="s">
        <v>242</v>
      </c>
    </row>
    <row r="691" spans="1:27" x14ac:dyDescent="0.25">
      <c r="A691" s="12">
        <v>124</v>
      </c>
      <c r="B691">
        <v>13</v>
      </c>
      <c r="C691">
        <f t="shared" si="65"/>
        <v>12413</v>
      </c>
      <c r="D691" s="3" t="s">
        <v>86</v>
      </c>
      <c r="E691" s="11">
        <f t="shared" ref="E691:E693" si="72">71+17/60+11.03/3600</f>
        <v>71.28639722222222</v>
      </c>
      <c r="F691" s="11">
        <f t="shared" ref="F691:F693" si="73">22+17/60+6.51/3600</f>
        <v>22.285141666666668</v>
      </c>
      <c r="G691" s="12" t="s">
        <v>144</v>
      </c>
      <c r="H691" s="12" t="s">
        <v>47</v>
      </c>
      <c r="I691">
        <v>2019</v>
      </c>
      <c r="J691" s="12" t="s">
        <v>163</v>
      </c>
      <c r="K691" s="2">
        <v>0</v>
      </c>
      <c r="M691" s="33">
        <v>4.6526029165555602</v>
      </c>
      <c r="N691" s="33">
        <v>3.7886070303222201</v>
      </c>
      <c r="Z691" s="27" t="s">
        <v>247</v>
      </c>
      <c r="AA691" t="s">
        <v>242</v>
      </c>
    </row>
    <row r="692" spans="1:27" x14ac:dyDescent="0.25">
      <c r="A692" s="12">
        <v>124</v>
      </c>
      <c r="B692">
        <v>13</v>
      </c>
      <c r="C692">
        <f t="shared" si="65"/>
        <v>12413</v>
      </c>
      <c r="D692" s="3" t="s">
        <v>86</v>
      </c>
      <c r="E692" s="11">
        <f t="shared" si="72"/>
        <v>71.28639722222222</v>
      </c>
      <c r="F692" s="11">
        <f t="shared" si="73"/>
        <v>22.285141666666668</v>
      </c>
      <c r="G692" s="12" t="s">
        <v>144</v>
      </c>
      <c r="H692" s="12" t="s">
        <v>47</v>
      </c>
      <c r="I692">
        <v>2020</v>
      </c>
      <c r="J692" s="12" t="s">
        <v>163</v>
      </c>
      <c r="K692" s="2">
        <v>0</v>
      </c>
      <c r="M692" s="33">
        <v>3.84</v>
      </c>
      <c r="N692" s="33">
        <v>3.1775000000000002</v>
      </c>
      <c r="Z692" s="27" t="s">
        <v>247</v>
      </c>
      <c r="AA692" t="s">
        <v>242</v>
      </c>
    </row>
    <row r="693" spans="1:27" x14ac:dyDescent="0.25">
      <c r="A693" s="12">
        <v>124</v>
      </c>
      <c r="B693">
        <v>13</v>
      </c>
      <c r="C693">
        <f t="shared" si="65"/>
        <v>12413</v>
      </c>
      <c r="D693" s="3" t="s">
        <v>86</v>
      </c>
      <c r="E693" s="11">
        <f t="shared" si="72"/>
        <v>71.28639722222222</v>
      </c>
      <c r="F693" s="11">
        <f t="shared" si="73"/>
        <v>22.285141666666668</v>
      </c>
      <c r="G693" s="12" t="s">
        <v>144</v>
      </c>
      <c r="H693" s="12" t="s">
        <v>47</v>
      </c>
      <c r="I693">
        <v>2021</v>
      </c>
      <c r="J693" s="12" t="s">
        <v>163</v>
      </c>
      <c r="K693" s="2">
        <v>0</v>
      </c>
      <c r="M693" s="33">
        <v>5.9410199075000003</v>
      </c>
      <c r="N693" s="33">
        <v>4.2039642149200001</v>
      </c>
      <c r="Z693" s="27" t="s">
        <v>247</v>
      </c>
      <c r="AA693" t="s">
        <v>242</v>
      </c>
    </row>
    <row r="694" spans="1:27" x14ac:dyDescent="0.25">
      <c r="A694" s="12">
        <v>124</v>
      </c>
      <c r="B694">
        <v>14</v>
      </c>
      <c r="C694">
        <f t="shared" si="65"/>
        <v>12414</v>
      </c>
      <c r="D694" s="3" t="s">
        <v>86</v>
      </c>
      <c r="E694" s="11">
        <f>59+9/60+54.86/3600</f>
        <v>59.165238888888886</v>
      </c>
      <c r="F694" s="11">
        <f>2+29/60+14.6/3600</f>
        <v>2.4873888888888889</v>
      </c>
      <c r="G694" s="12" t="s">
        <v>144</v>
      </c>
      <c r="H694" s="12" t="s">
        <v>47</v>
      </c>
      <c r="I694">
        <v>2003</v>
      </c>
      <c r="J694" s="12" t="s">
        <v>163</v>
      </c>
      <c r="K694" s="2">
        <v>0</v>
      </c>
      <c r="M694" s="33">
        <v>2.9</v>
      </c>
      <c r="N694" s="33"/>
      <c r="Z694" s="27" t="s">
        <v>247</v>
      </c>
      <c r="AA694" t="s">
        <v>227</v>
      </c>
    </row>
    <row r="695" spans="1:27" x14ac:dyDescent="0.25">
      <c r="A695" s="12">
        <v>124</v>
      </c>
      <c r="B695">
        <v>14</v>
      </c>
      <c r="C695">
        <f t="shared" si="65"/>
        <v>12414</v>
      </c>
      <c r="D695" s="3" t="s">
        <v>86</v>
      </c>
      <c r="E695" s="11">
        <f t="shared" ref="E695:E712" si="74">59+9/60+54.86/3600</f>
        <v>59.165238888888886</v>
      </c>
      <c r="F695" s="11">
        <f t="shared" ref="F695:F712" si="75">2+29/60+14.6/3600</f>
        <v>2.4873888888888889</v>
      </c>
      <c r="G695" s="12" t="s">
        <v>144</v>
      </c>
      <c r="H695" s="12" t="s">
        <v>47</v>
      </c>
      <c r="I695">
        <v>2004</v>
      </c>
      <c r="J695" s="12" t="s">
        <v>163</v>
      </c>
      <c r="K695" s="2">
        <v>0</v>
      </c>
      <c r="M695" s="33">
        <v>3.1</v>
      </c>
      <c r="N695" s="33"/>
      <c r="Z695" s="27" t="s">
        <v>247</v>
      </c>
      <c r="AA695" t="s">
        <v>227</v>
      </c>
    </row>
    <row r="696" spans="1:27" x14ac:dyDescent="0.25">
      <c r="A696" s="12">
        <v>124</v>
      </c>
      <c r="B696">
        <v>14</v>
      </c>
      <c r="C696">
        <f t="shared" si="65"/>
        <v>12414</v>
      </c>
      <c r="D696" s="3" t="s">
        <v>86</v>
      </c>
      <c r="E696" s="11">
        <f t="shared" si="74"/>
        <v>59.165238888888886</v>
      </c>
      <c r="F696" s="11">
        <f t="shared" si="75"/>
        <v>2.4873888888888889</v>
      </c>
      <c r="G696" s="12" t="s">
        <v>144</v>
      </c>
      <c r="H696" s="12" t="s">
        <v>47</v>
      </c>
      <c r="I696">
        <v>2005</v>
      </c>
      <c r="J696" s="12" t="s">
        <v>163</v>
      </c>
      <c r="K696" s="2">
        <v>0</v>
      </c>
      <c r="M696" s="33">
        <v>2.6</v>
      </c>
      <c r="N696" s="33"/>
      <c r="Z696" s="27" t="s">
        <v>247</v>
      </c>
      <c r="AA696" t="s">
        <v>227</v>
      </c>
    </row>
    <row r="697" spans="1:27" x14ac:dyDescent="0.25">
      <c r="A697" s="12">
        <v>124</v>
      </c>
      <c r="B697">
        <v>14</v>
      </c>
      <c r="C697">
        <f t="shared" si="65"/>
        <v>12414</v>
      </c>
      <c r="D697" s="3" t="s">
        <v>86</v>
      </c>
      <c r="E697" s="11">
        <f t="shared" si="74"/>
        <v>59.165238888888886</v>
      </c>
      <c r="F697" s="11">
        <f t="shared" si="75"/>
        <v>2.4873888888888889</v>
      </c>
      <c r="G697" s="12" t="s">
        <v>144</v>
      </c>
      <c r="H697" s="12" t="s">
        <v>47</v>
      </c>
      <c r="I697">
        <v>2006</v>
      </c>
      <c r="J697" s="12" t="s">
        <v>163</v>
      </c>
      <c r="K697" s="2">
        <v>0</v>
      </c>
      <c r="M697" s="33">
        <v>2.9</v>
      </c>
      <c r="N697" s="33">
        <v>3.1</v>
      </c>
      <c r="Z697" s="27" t="s">
        <v>247</v>
      </c>
      <c r="AA697" t="s">
        <v>227</v>
      </c>
    </row>
    <row r="698" spans="1:27" x14ac:dyDescent="0.25">
      <c r="A698" s="12">
        <v>124</v>
      </c>
      <c r="B698">
        <v>14</v>
      </c>
      <c r="C698">
        <f t="shared" si="65"/>
        <v>12414</v>
      </c>
      <c r="D698" s="3" t="s">
        <v>86</v>
      </c>
      <c r="E698" s="11">
        <f t="shared" si="74"/>
        <v>59.165238888888886</v>
      </c>
      <c r="F698" s="11">
        <f t="shared" si="75"/>
        <v>2.4873888888888889</v>
      </c>
      <c r="G698" s="12" t="s">
        <v>144</v>
      </c>
      <c r="H698" s="12" t="s">
        <v>47</v>
      </c>
      <c r="I698">
        <v>2007</v>
      </c>
      <c r="J698" s="12" t="s">
        <v>163</v>
      </c>
      <c r="K698" s="2">
        <v>0</v>
      </c>
      <c r="M698" s="33">
        <v>3.8</v>
      </c>
      <c r="N698" s="33">
        <v>3</v>
      </c>
      <c r="Z698" s="27" t="s">
        <v>247</v>
      </c>
      <c r="AA698" t="s">
        <v>227</v>
      </c>
    </row>
    <row r="699" spans="1:27" x14ac:dyDescent="0.25">
      <c r="A699" s="12">
        <v>124</v>
      </c>
      <c r="B699">
        <v>14</v>
      </c>
      <c r="C699">
        <f t="shared" si="65"/>
        <v>12414</v>
      </c>
      <c r="D699" s="3" t="s">
        <v>86</v>
      </c>
      <c r="E699" s="11">
        <f t="shared" si="74"/>
        <v>59.165238888888886</v>
      </c>
      <c r="F699" s="11">
        <f t="shared" si="75"/>
        <v>2.4873888888888889</v>
      </c>
      <c r="G699" s="12" t="s">
        <v>144</v>
      </c>
      <c r="H699" s="12" t="s">
        <v>47</v>
      </c>
      <c r="I699">
        <v>2008</v>
      </c>
      <c r="J699" s="12" t="s">
        <v>163</v>
      </c>
      <c r="K699" s="2">
        <v>0</v>
      </c>
      <c r="M699" s="33">
        <v>3.3649596270000002</v>
      </c>
      <c r="N699" s="33">
        <v>2.8129345940000001</v>
      </c>
      <c r="Z699" s="27" t="s">
        <v>247</v>
      </c>
      <c r="AA699" t="s">
        <v>227</v>
      </c>
    </row>
    <row r="700" spans="1:27" x14ac:dyDescent="0.25">
      <c r="A700" s="12">
        <v>124</v>
      </c>
      <c r="B700">
        <v>14</v>
      </c>
      <c r="C700">
        <f t="shared" si="65"/>
        <v>12414</v>
      </c>
      <c r="D700" s="3" t="s">
        <v>86</v>
      </c>
      <c r="E700" s="11">
        <f t="shared" si="74"/>
        <v>59.165238888888886</v>
      </c>
      <c r="F700" s="11">
        <f t="shared" si="75"/>
        <v>2.4873888888888889</v>
      </c>
      <c r="G700" s="12" t="s">
        <v>144</v>
      </c>
      <c r="H700" s="12" t="s">
        <v>47</v>
      </c>
      <c r="I700">
        <v>2009</v>
      </c>
      <c r="J700" s="12" t="s">
        <v>163</v>
      </c>
      <c r="K700" s="2">
        <v>0</v>
      </c>
      <c r="M700" s="33">
        <v>3.5203071210000001</v>
      </c>
      <c r="N700" s="33">
        <v>2.9219471939999999</v>
      </c>
      <c r="Z700" s="27" t="s">
        <v>247</v>
      </c>
      <c r="AA700" t="s">
        <v>227</v>
      </c>
    </row>
    <row r="701" spans="1:27" x14ac:dyDescent="0.25">
      <c r="A701" s="12">
        <v>124</v>
      </c>
      <c r="B701">
        <v>14</v>
      </c>
      <c r="C701">
        <f t="shared" si="65"/>
        <v>12414</v>
      </c>
      <c r="D701" s="3" t="s">
        <v>86</v>
      </c>
      <c r="E701" s="11">
        <f t="shared" si="74"/>
        <v>59.165238888888886</v>
      </c>
      <c r="F701" s="11">
        <f t="shared" si="75"/>
        <v>2.4873888888888889</v>
      </c>
      <c r="G701" s="12" t="s">
        <v>144</v>
      </c>
      <c r="H701" s="12" t="s">
        <v>47</v>
      </c>
      <c r="I701">
        <v>2010</v>
      </c>
      <c r="J701" s="12" t="s">
        <v>163</v>
      </c>
      <c r="K701" s="2">
        <v>0</v>
      </c>
      <c r="M701" s="33">
        <v>3.9402866909999998</v>
      </c>
      <c r="N701" s="33">
        <v>3.1608040389999998</v>
      </c>
      <c r="Z701" s="27" t="s">
        <v>247</v>
      </c>
      <c r="AA701" t="s">
        <v>227</v>
      </c>
    </row>
    <row r="702" spans="1:27" x14ac:dyDescent="0.25">
      <c r="A702" s="12">
        <v>124</v>
      </c>
      <c r="B702">
        <v>14</v>
      </c>
      <c r="C702">
        <f t="shared" si="65"/>
        <v>12414</v>
      </c>
      <c r="D702" s="3" t="s">
        <v>86</v>
      </c>
      <c r="E702" s="11">
        <f t="shared" si="74"/>
        <v>59.165238888888886</v>
      </c>
      <c r="F702" s="11">
        <f t="shared" si="75"/>
        <v>2.4873888888888889</v>
      </c>
      <c r="G702" s="12" t="s">
        <v>144</v>
      </c>
      <c r="H702" s="12" t="s">
        <v>47</v>
      </c>
      <c r="I702">
        <v>2011</v>
      </c>
      <c r="J702" s="12" t="s">
        <v>163</v>
      </c>
      <c r="K702" s="2">
        <v>0</v>
      </c>
      <c r="M702" s="33">
        <v>3.1625768459999999</v>
      </c>
      <c r="N702" s="33">
        <v>3.2217265880000001</v>
      </c>
      <c r="Z702" s="27" t="s">
        <v>247</v>
      </c>
      <c r="AA702" t="s">
        <v>227</v>
      </c>
    </row>
    <row r="703" spans="1:27" x14ac:dyDescent="0.25">
      <c r="A703" s="12">
        <v>124</v>
      </c>
      <c r="B703">
        <v>14</v>
      </c>
      <c r="C703">
        <f t="shared" si="65"/>
        <v>12414</v>
      </c>
      <c r="D703" s="3" t="s">
        <v>86</v>
      </c>
      <c r="E703" s="11">
        <f t="shared" si="74"/>
        <v>59.165238888888886</v>
      </c>
      <c r="F703" s="11">
        <f t="shared" si="75"/>
        <v>2.4873888888888889</v>
      </c>
      <c r="G703" s="12" t="s">
        <v>144</v>
      </c>
      <c r="H703" s="12" t="s">
        <v>47</v>
      </c>
      <c r="I703">
        <v>2012</v>
      </c>
      <c r="J703" s="12" t="s">
        <v>163</v>
      </c>
      <c r="K703" s="2">
        <v>0</v>
      </c>
      <c r="M703" s="33">
        <v>3.53306916666667</v>
      </c>
      <c r="N703" s="33">
        <v>3.09</v>
      </c>
      <c r="Z703" s="27" t="s">
        <v>247</v>
      </c>
      <c r="AA703" t="s">
        <v>227</v>
      </c>
    </row>
    <row r="704" spans="1:27" x14ac:dyDescent="0.25">
      <c r="A704" s="12">
        <v>124</v>
      </c>
      <c r="B704">
        <v>14</v>
      </c>
      <c r="C704">
        <f t="shared" si="65"/>
        <v>12414</v>
      </c>
      <c r="D704" s="3" t="s">
        <v>86</v>
      </c>
      <c r="E704" s="11">
        <f t="shared" si="74"/>
        <v>59.165238888888886</v>
      </c>
      <c r="F704" s="11">
        <f t="shared" si="75"/>
        <v>2.4873888888888889</v>
      </c>
      <c r="G704" s="12" t="s">
        <v>144</v>
      </c>
      <c r="H704" s="12" t="s">
        <v>47</v>
      </c>
      <c r="I704">
        <v>2013</v>
      </c>
      <c r="J704" s="12" t="s">
        <v>163</v>
      </c>
      <c r="K704" s="2">
        <v>0</v>
      </c>
      <c r="M704" s="33">
        <v>3.0750089750318201</v>
      </c>
      <c r="N704" s="33">
        <v>2.9966666666666701</v>
      </c>
      <c r="Z704" s="27" t="s">
        <v>247</v>
      </c>
      <c r="AA704" t="s">
        <v>227</v>
      </c>
    </row>
    <row r="705" spans="1:27" x14ac:dyDescent="0.25">
      <c r="A705" s="12">
        <v>124</v>
      </c>
      <c r="B705">
        <v>14</v>
      </c>
      <c r="C705">
        <f t="shared" si="65"/>
        <v>12414</v>
      </c>
      <c r="D705" s="3" t="s">
        <v>86</v>
      </c>
      <c r="E705" s="11">
        <f t="shared" si="74"/>
        <v>59.165238888888886</v>
      </c>
      <c r="F705" s="11">
        <f t="shared" si="75"/>
        <v>2.4873888888888889</v>
      </c>
      <c r="G705" s="12" t="s">
        <v>144</v>
      </c>
      <c r="H705" s="12" t="s">
        <v>47</v>
      </c>
      <c r="I705">
        <v>2014</v>
      </c>
      <c r="J705" s="12" t="s">
        <v>163</v>
      </c>
      <c r="K705" s="2">
        <v>0</v>
      </c>
      <c r="M705" s="33">
        <v>2.8050000000000002</v>
      </c>
      <c r="N705" s="33">
        <v>2.855</v>
      </c>
      <c r="Z705" s="27" t="s">
        <v>247</v>
      </c>
      <c r="AA705" t="s">
        <v>227</v>
      </c>
    </row>
    <row r="706" spans="1:27" x14ac:dyDescent="0.25">
      <c r="A706" s="12">
        <v>124</v>
      </c>
      <c r="B706">
        <v>14</v>
      </c>
      <c r="C706">
        <f t="shared" si="65"/>
        <v>12414</v>
      </c>
      <c r="D706" s="3" t="s">
        <v>86</v>
      </c>
      <c r="E706" s="11">
        <f t="shared" si="74"/>
        <v>59.165238888888886</v>
      </c>
      <c r="F706" s="11">
        <f t="shared" si="75"/>
        <v>2.4873888888888889</v>
      </c>
      <c r="G706" s="12" t="s">
        <v>144</v>
      </c>
      <c r="H706" s="12" t="s">
        <v>47</v>
      </c>
      <c r="I706">
        <v>2015</v>
      </c>
      <c r="J706" s="12" t="s">
        <v>163</v>
      </c>
      <c r="K706" s="2">
        <v>0</v>
      </c>
      <c r="M706" s="33">
        <v>3.01857142857143</v>
      </c>
      <c r="N706" s="33">
        <v>2.9166666666666701</v>
      </c>
      <c r="Z706" s="27" t="s">
        <v>247</v>
      </c>
      <c r="AA706" t="s">
        <v>227</v>
      </c>
    </row>
    <row r="707" spans="1:27" x14ac:dyDescent="0.25">
      <c r="A707" s="12">
        <v>124</v>
      </c>
      <c r="B707">
        <v>14</v>
      </c>
      <c r="C707">
        <f t="shared" ref="C707:C770" si="76">A707*100+B707</f>
        <v>12414</v>
      </c>
      <c r="D707" s="3" t="s">
        <v>86</v>
      </c>
      <c r="E707" s="11">
        <f t="shared" si="74"/>
        <v>59.165238888888886</v>
      </c>
      <c r="F707" s="11">
        <f t="shared" si="75"/>
        <v>2.4873888888888889</v>
      </c>
      <c r="G707" s="12" t="s">
        <v>144</v>
      </c>
      <c r="H707" s="12" t="s">
        <v>47</v>
      </c>
      <c r="I707">
        <v>2016</v>
      </c>
      <c r="J707" s="12" t="s">
        <v>163</v>
      </c>
      <c r="K707" s="2">
        <v>0</v>
      </c>
      <c r="M707" s="33">
        <v>3.33</v>
      </c>
      <c r="N707" s="33">
        <v>3.07</v>
      </c>
      <c r="Z707" s="27" t="s">
        <v>247</v>
      </c>
      <c r="AA707" t="s">
        <v>227</v>
      </c>
    </row>
    <row r="708" spans="1:27" x14ac:dyDescent="0.25">
      <c r="A708" s="12">
        <v>124</v>
      </c>
      <c r="B708">
        <v>14</v>
      </c>
      <c r="C708">
        <f t="shared" si="76"/>
        <v>12414</v>
      </c>
      <c r="D708" s="3" t="s">
        <v>86</v>
      </c>
      <c r="E708" s="11">
        <f t="shared" si="74"/>
        <v>59.165238888888886</v>
      </c>
      <c r="F708" s="11">
        <f t="shared" si="75"/>
        <v>2.4873888888888889</v>
      </c>
      <c r="G708" s="12" t="s">
        <v>144</v>
      </c>
      <c r="H708" s="12" t="s">
        <v>47</v>
      </c>
      <c r="I708">
        <v>2017</v>
      </c>
      <c r="J708" s="12" t="s">
        <v>163</v>
      </c>
      <c r="K708" s="2">
        <v>0</v>
      </c>
      <c r="M708" s="33">
        <v>3.0557500000000002</v>
      </c>
      <c r="N708" s="33">
        <v>2.9552499999999999</v>
      </c>
      <c r="Z708" s="27" t="s">
        <v>247</v>
      </c>
      <c r="AA708" t="s">
        <v>227</v>
      </c>
    </row>
    <row r="709" spans="1:27" x14ac:dyDescent="0.25">
      <c r="A709" s="12">
        <v>124</v>
      </c>
      <c r="B709">
        <v>14</v>
      </c>
      <c r="C709">
        <f t="shared" si="76"/>
        <v>12414</v>
      </c>
      <c r="D709" s="3" t="s">
        <v>86</v>
      </c>
      <c r="E709" s="11">
        <f t="shared" si="74"/>
        <v>59.165238888888886</v>
      </c>
      <c r="F709" s="11">
        <f t="shared" si="75"/>
        <v>2.4873888888888889</v>
      </c>
      <c r="G709" s="12" t="s">
        <v>144</v>
      </c>
      <c r="H709" s="12" t="s">
        <v>47</v>
      </c>
      <c r="I709">
        <v>2018</v>
      </c>
      <c r="J709" s="12" t="s">
        <v>163</v>
      </c>
      <c r="K709" s="2">
        <v>0</v>
      </c>
      <c r="M709" s="33">
        <v>3</v>
      </c>
      <c r="N709" s="33">
        <v>2.7949999999999999</v>
      </c>
      <c r="Z709" s="27" t="s">
        <v>247</v>
      </c>
      <c r="AA709" t="s">
        <v>227</v>
      </c>
    </row>
    <row r="710" spans="1:27" x14ac:dyDescent="0.25">
      <c r="A710" s="12">
        <v>124</v>
      </c>
      <c r="B710">
        <v>14</v>
      </c>
      <c r="C710">
        <f t="shared" si="76"/>
        <v>12414</v>
      </c>
      <c r="D710" s="3" t="s">
        <v>86</v>
      </c>
      <c r="E710" s="11">
        <f t="shared" si="74"/>
        <v>59.165238888888886</v>
      </c>
      <c r="F710" s="11">
        <f t="shared" si="75"/>
        <v>2.4873888888888889</v>
      </c>
      <c r="G710" s="12" t="s">
        <v>144</v>
      </c>
      <c r="H710" s="12" t="s">
        <v>47</v>
      </c>
      <c r="I710">
        <v>2019</v>
      </c>
      <c r="J710" s="12" t="s">
        <v>163</v>
      </c>
      <c r="K710" s="2">
        <v>0</v>
      </c>
      <c r="M710" s="33">
        <v>3.3224999999999998</v>
      </c>
      <c r="N710" s="33">
        <v>2.86</v>
      </c>
      <c r="Z710" s="27" t="s">
        <v>247</v>
      </c>
      <c r="AA710" t="s">
        <v>227</v>
      </c>
    </row>
    <row r="711" spans="1:27" x14ac:dyDescent="0.25">
      <c r="A711" s="12">
        <v>124</v>
      </c>
      <c r="B711">
        <v>14</v>
      </c>
      <c r="C711">
        <f t="shared" si="76"/>
        <v>12414</v>
      </c>
      <c r="D711" s="3" t="s">
        <v>86</v>
      </c>
      <c r="E711" s="11">
        <f t="shared" si="74"/>
        <v>59.165238888888886</v>
      </c>
      <c r="F711" s="11">
        <f t="shared" si="75"/>
        <v>2.4873888888888889</v>
      </c>
      <c r="G711" s="12" t="s">
        <v>144</v>
      </c>
      <c r="H711" s="12" t="s">
        <v>47</v>
      </c>
      <c r="I711">
        <v>2020</v>
      </c>
      <c r="J711" s="12" t="s">
        <v>163</v>
      </c>
      <c r="K711" s="2">
        <v>0</v>
      </c>
      <c r="M711" s="33">
        <v>3.0593333333333299</v>
      </c>
      <c r="N711" s="33">
        <v>2.5840000000000001</v>
      </c>
      <c r="Z711" s="27" t="s">
        <v>247</v>
      </c>
      <c r="AA711" t="s">
        <v>227</v>
      </c>
    </row>
    <row r="712" spans="1:27" x14ac:dyDescent="0.25">
      <c r="A712" s="12">
        <v>124</v>
      </c>
      <c r="B712">
        <v>14</v>
      </c>
      <c r="C712">
        <f t="shared" si="76"/>
        <v>12414</v>
      </c>
      <c r="D712" s="3" t="s">
        <v>86</v>
      </c>
      <c r="E712" s="11">
        <f t="shared" si="74"/>
        <v>59.165238888888886</v>
      </c>
      <c r="F712" s="11">
        <f t="shared" si="75"/>
        <v>2.4873888888888889</v>
      </c>
      <c r="G712" s="12" t="s">
        <v>144</v>
      </c>
      <c r="H712" s="12" t="s">
        <v>47</v>
      </c>
      <c r="I712">
        <v>2021</v>
      </c>
      <c r="J712" s="12" t="s">
        <v>163</v>
      </c>
      <c r="K712" s="2">
        <v>0</v>
      </c>
      <c r="M712" s="33">
        <v>3.3995000000000002</v>
      </c>
      <c r="N712" s="33">
        <v>2.9987499999999998</v>
      </c>
      <c r="Z712" s="27" t="s">
        <v>247</v>
      </c>
      <c r="AA712" t="s">
        <v>227</v>
      </c>
    </row>
    <row r="713" spans="1:27" x14ac:dyDescent="0.25">
      <c r="A713" s="12">
        <v>124</v>
      </c>
      <c r="B713">
        <v>15</v>
      </c>
      <c r="C713">
        <f t="shared" si="76"/>
        <v>12415</v>
      </c>
      <c r="D713" s="3" t="s">
        <v>86</v>
      </c>
      <c r="E713" s="11">
        <f>58+50/60+42.8/3600</f>
        <v>58.845222222222226</v>
      </c>
      <c r="F713" s="11">
        <f>1+44/60+37.4/3600</f>
        <v>1.7437222222222222</v>
      </c>
      <c r="G713" s="12" t="s">
        <v>144</v>
      </c>
      <c r="H713" s="12" t="s">
        <v>47</v>
      </c>
      <c r="I713">
        <v>2015</v>
      </c>
      <c r="J713" s="12" t="s">
        <v>163</v>
      </c>
      <c r="K713" s="2">
        <v>0</v>
      </c>
      <c r="M713" s="33">
        <v>8.9824999999999999</v>
      </c>
      <c r="N713" s="33">
        <v>5.5</v>
      </c>
      <c r="Z713" s="27" t="s">
        <v>247</v>
      </c>
      <c r="AA713" t="s">
        <v>238</v>
      </c>
    </row>
    <row r="714" spans="1:27" x14ac:dyDescent="0.25">
      <c r="A714" s="12">
        <v>124</v>
      </c>
      <c r="B714">
        <v>15</v>
      </c>
      <c r="C714">
        <f t="shared" si="76"/>
        <v>12415</v>
      </c>
      <c r="D714" s="3" t="s">
        <v>86</v>
      </c>
      <c r="E714" s="11">
        <f t="shared" ref="E714:E719" si="77">58+50/60+42.8/3600</f>
        <v>58.845222222222226</v>
      </c>
      <c r="F714" s="11">
        <f t="shared" ref="F714:F719" si="78">1+44/60+37.4/3600</f>
        <v>1.7437222222222222</v>
      </c>
      <c r="G714" s="12" t="s">
        <v>144</v>
      </c>
      <c r="H714" s="12" t="s">
        <v>47</v>
      </c>
      <c r="I714">
        <v>2016</v>
      </c>
      <c r="J714" s="12" t="s">
        <v>163</v>
      </c>
      <c r="K714" s="2">
        <v>0</v>
      </c>
      <c r="M714" s="33">
        <v>9.7260000000000009</v>
      </c>
      <c r="N714" s="33">
        <v>4.7350000000000003</v>
      </c>
      <c r="Z714" s="27" t="s">
        <v>247</v>
      </c>
      <c r="AA714" t="s">
        <v>238</v>
      </c>
    </row>
    <row r="715" spans="1:27" x14ac:dyDescent="0.25">
      <c r="A715" s="12">
        <v>124</v>
      </c>
      <c r="B715">
        <v>15</v>
      </c>
      <c r="C715">
        <f t="shared" si="76"/>
        <v>12415</v>
      </c>
      <c r="D715" s="3" t="s">
        <v>86</v>
      </c>
      <c r="E715" s="11">
        <f t="shared" si="77"/>
        <v>58.845222222222226</v>
      </c>
      <c r="F715" s="11">
        <f t="shared" si="78"/>
        <v>1.7437222222222222</v>
      </c>
      <c r="G715" s="12" t="s">
        <v>144</v>
      </c>
      <c r="H715" s="12" t="s">
        <v>47</v>
      </c>
      <c r="I715">
        <v>2017</v>
      </c>
      <c r="J715" s="12" t="s">
        <v>163</v>
      </c>
      <c r="K715" s="2">
        <v>0</v>
      </c>
      <c r="M715" s="33">
        <v>15.525</v>
      </c>
      <c r="N715" s="33">
        <v>6.2850000000000001</v>
      </c>
      <c r="Z715" s="27" t="s">
        <v>247</v>
      </c>
      <c r="AA715" t="s">
        <v>238</v>
      </c>
    </row>
    <row r="716" spans="1:27" x14ac:dyDescent="0.25">
      <c r="A716" s="12">
        <v>124</v>
      </c>
      <c r="B716">
        <v>15</v>
      </c>
      <c r="C716">
        <f t="shared" si="76"/>
        <v>12415</v>
      </c>
      <c r="D716" s="3" t="s">
        <v>86</v>
      </c>
      <c r="E716" s="11">
        <f t="shared" si="77"/>
        <v>58.845222222222226</v>
      </c>
      <c r="F716" s="11">
        <f t="shared" si="78"/>
        <v>1.7437222222222222</v>
      </c>
      <c r="G716" s="12" t="s">
        <v>144</v>
      </c>
      <c r="H716" s="12" t="s">
        <v>47</v>
      </c>
      <c r="I716">
        <v>2018</v>
      </c>
      <c r="J716" s="12" t="s">
        <v>163</v>
      </c>
      <c r="K716" s="2">
        <v>0</v>
      </c>
      <c r="M716" s="33">
        <v>13.672499999999999</v>
      </c>
      <c r="N716" s="33">
        <v>5.9066666666666698</v>
      </c>
      <c r="Z716" s="27" t="s">
        <v>247</v>
      </c>
      <c r="AA716" t="s">
        <v>238</v>
      </c>
    </row>
    <row r="717" spans="1:27" x14ac:dyDescent="0.25">
      <c r="A717" s="12">
        <v>124</v>
      </c>
      <c r="B717">
        <v>15</v>
      </c>
      <c r="C717">
        <f t="shared" si="76"/>
        <v>12415</v>
      </c>
      <c r="D717" s="3" t="s">
        <v>86</v>
      </c>
      <c r="E717" s="11">
        <f t="shared" si="77"/>
        <v>58.845222222222226</v>
      </c>
      <c r="F717" s="11">
        <f t="shared" si="78"/>
        <v>1.7437222222222222</v>
      </c>
      <c r="G717" s="12" t="s">
        <v>144</v>
      </c>
      <c r="H717" s="12" t="s">
        <v>47</v>
      </c>
      <c r="I717">
        <v>2019</v>
      </c>
      <c r="J717" s="12" t="s">
        <v>163</v>
      </c>
      <c r="K717" s="2">
        <v>0</v>
      </c>
      <c r="M717" s="33">
        <v>13.5</v>
      </c>
      <c r="N717" s="33">
        <v>6.0449999999999999</v>
      </c>
      <c r="Z717" s="27" t="s">
        <v>247</v>
      </c>
      <c r="AA717" t="s">
        <v>238</v>
      </c>
    </row>
    <row r="718" spans="1:27" x14ac:dyDescent="0.25">
      <c r="A718" s="12">
        <v>124</v>
      </c>
      <c r="B718">
        <v>15</v>
      </c>
      <c r="C718">
        <f t="shared" si="76"/>
        <v>12415</v>
      </c>
      <c r="D718" s="3" t="s">
        <v>86</v>
      </c>
      <c r="E718" s="11">
        <f t="shared" si="77"/>
        <v>58.845222222222226</v>
      </c>
      <c r="F718" s="11">
        <f t="shared" si="78"/>
        <v>1.7437222222222222</v>
      </c>
      <c r="G718" s="12" t="s">
        <v>144</v>
      </c>
      <c r="H718" s="12" t="s">
        <v>47</v>
      </c>
      <c r="I718">
        <v>2020</v>
      </c>
      <c r="J718" s="12" t="s">
        <v>163</v>
      </c>
      <c r="K718" s="2">
        <v>0</v>
      </c>
      <c r="M718" s="33">
        <v>14.258749999999999</v>
      </c>
      <c r="N718" s="33">
        <v>6.0824999999999996</v>
      </c>
      <c r="Z718" s="27" t="s">
        <v>247</v>
      </c>
      <c r="AA718" t="s">
        <v>238</v>
      </c>
    </row>
    <row r="719" spans="1:27" x14ac:dyDescent="0.25">
      <c r="A719" s="12">
        <v>124</v>
      </c>
      <c r="B719">
        <v>15</v>
      </c>
      <c r="C719">
        <f t="shared" si="76"/>
        <v>12415</v>
      </c>
      <c r="D719" s="3" t="s">
        <v>86</v>
      </c>
      <c r="E719" s="11">
        <f t="shared" si="77"/>
        <v>58.845222222222226</v>
      </c>
      <c r="F719" s="11">
        <f t="shared" si="78"/>
        <v>1.7437222222222222</v>
      </c>
      <c r="G719" s="12" t="s">
        <v>144</v>
      </c>
      <c r="H719" s="12" t="s">
        <v>47</v>
      </c>
      <c r="I719">
        <v>2021</v>
      </c>
      <c r="J719" s="12" t="s">
        <v>163</v>
      </c>
      <c r="K719" s="2">
        <v>0</v>
      </c>
      <c r="M719" s="33">
        <v>15.279500000000001</v>
      </c>
      <c r="N719" s="33">
        <v>6.6022499999999997</v>
      </c>
      <c r="Z719" s="27" t="s">
        <v>247</v>
      </c>
      <c r="AA719" t="s">
        <v>238</v>
      </c>
    </row>
    <row r="720" spans="1:27" x14ac:dyDescent="0.25">
      <c r="A720" s="12">
        <v>124</v>
      </c>
      <c r="B720">
        <v>16</v>
      </c>
      <c r="C720">
        <f t="shared" si="76"/>
        <v>12416</v>
      </c>
      <c r="D720" s="3" t="s">
        <v>86</v>
      </c>
      <c r="E720" s="11">
        <f>61+10/60+33.98/3600</f>
        <v>61.176105555555552</v>
      </c>
      <c r="F720" s="11">
        <f>2+11/60+20.94/3600</f>
        <v>2.1891499999999997</v>
      </c>
      <c r="G720" s="12" t="s">
        <v>144</v>
      </c>
      <c r="H720" s="12" t="s">
        <v>47</v>
      </c>
      <c r="I720">
        <v>2002</v>
      </c>
      <c r="J720" s="12" t="s">
        <v>163</v>
      </c>
      <c r="K720" s="2">
        <v>0</v>
      </c>
      <c r="M720" s="33">
        <v>0.51566666666666705</v>
      </c>
      <c r="N720" s="33"/>
      <c r="Z720" s="27" t="s">
        <v>247</v>
      </c>
      <c r="AA720" t="s">
        <v>212</v>
      </c>
    </row>
    <row r="721" spans="1:27" x14ac:dyDescent="0.25">
      <c r="A721" s="12">
        <v>124</v>
      </c>
      <c r="B721">
        <v>16</v>
      </c>
      <c r="C721">
        <f t="shared" si="76"/>
        <v>12416</v>
      </c>
      <c r="D721" s="3" t="s">
        <v>86</v>
      </c>
      <c r="E721" s="11">
        <f t="shared" ref="E721:E739" si="79">61+10/60+33.98/3600</f>
        <v>61.176105555555552</v>
      </c>
      <c r="F721" s="11">
        <f t="shared" ref="F721:F739" si="80">2+11/60+20.94/3600</f>
        <v>2.1891499999999997</v>
      </c>
      <c r="G721" s="12" t="s">
        <v>144</v>
      </c>
      <c r="H721" s="12" t="s">
        <v>47</v>
      </c>
      <c r="I721">
        <v>2003</v>
      </c>
      <c r="J721" s="12" t="s">
        <v>163</v>
      </c>
      <c r="K721" s="2">
        <v>0</v>
      </c>
      <c r="M721" s="33">
        <v>1.06666666666667</v>
      </c>
      <c r="N721" s="33"/>
      <c r="Z721" s="27" t="s">
        <v>247</v>
      </c>
      <c r="AA721" t="s">
        <v>212</v>
      </c>
    </row>
    <row r="722" spans="1:27" x14ac:dyDescent="0.25">
      <c r="A722" s="12">
        <v>124</v>
      </c>
      <c r="B722">
        <v>16</v>
      </c>
      <c r="C722">
        <f t="shared" si="76"/>
        <v>12416</v>
      </c>
      <c r="D722" s="3" t="s">
        <v>86</v>
      </c>
      <c r="E722" s="11">
        <f t="shared" si="79"/>
        <v>61.176105555555552</v>
      </c>
      <c r="F722" s="11">
        <f t="shared" si="80"/>
        <v>2.1891499999999997</v>
      </c>
      <c r="G722" s="12" t="s">
        <v>144</v>
      </c>
      <c r="H722" s="12" t="s">
        <v>47</v>
      </c>
      <c r="I722">
        <v>2004</v>
      </c>
      <c r="J722" s="12" t="s">
        <v>163</v>
      </c>
      <c r="K722" s="2">
        <v>0</v>
      </c>
      <c r="M722" s="33">
        <v>1.65</v>
      </c>
      <c r="N722" s="33"/>
      <c r="Z722" s="27" t="s">
        <v>247</v>
      </c>
      <c r="AA722" t="s">
        <v>212</v>
      </c>
    </row>
    <row r="723" spans="1:27" x14ac:dyDescent="0.25">
      <c r="A723" s="12">
        <v>124</v>
      </c>
      <c r="B723">
        <v>16</v>
      </c>
      <c r="C723">
        <f t="shared" si="76"/>
        <v>12416</v>
      </c>
      <c r="D723" s="3" t="s">
        <v>86</v>
      </c>
      <c r="E723" s="11">
        <f t="shared" si="79"/>
        <v>61.176105555555552</v>
      </c>
      <c r="F723" s="11">
        <f t="shared" si="80"/>
        <v>2.1891499999999997</v>
      </c>
      <c r="G723" s="12" t="s">
        <v>144</v>
      </c>
      <c r="H723" s="12" t="s">
        <v>47</v>
      </c>
      <c r="I723">
        <v>2005</v>
      </c>
      <c r="J723" s="12" t="s">
        <v>163</v>
      </c>
      <c r="K723" s="2">
        <v>0</v>
      </c>
      <c r="M723" s="33">
        <v>0.74666666666666703</v>
      </c>
      <c r="N723" s="33">
        <v>0.81</v>
      </c>
      <c r="Z723" s="27" t="s">
        <v>247</v>
      </c>
      <c r="AA723" t="s">
        <v>212</v>
      </c>
    </row>
    <row r="724" spans="1:27" x14ac:dyDescent="0.25">
      <c r="A724" s="12">
        <v>124</v>
      </c>
      <c r="B724">
        <v>16</v>
      </c>
      <c r="C724">
        <f t="shared" si="76"/>
        <v>12416</v>
      </c>
      <c r="D724" s="3" t="s">
        <v>86</v>
      </c>
      <c r="E724" s="11">
        <f t="shared" si="79"/>
        <v>61.176105555555552</v>
      </c>
      <c r="F724" s="11">
        <f t="shared" si="80"/>
        <v>2.1891499999999997</v>
      </c>
      <c r="G724" s="12" t="s">
        <v>144</v>
      </c>
      <c r="H724" s="12" t="s">
        <v>47</v>
      </c>
      <c r="I724">
        <v>2006</v>
      </c>
      <c r="J724" s="12" t="s">
        <v>163</v>
      </c>
      <c r="K724" s="2">
        <v>0</v>
      </c>
      <c r="M724" s="33">
        <v>1.92103333333333</v>
      </c>
      <c r="N724" s="33">
        <v>1.4963833333333301</v>
      </c>
      <c r="Z724" s="27" t="s">
        <v>247</v>
      </c>
      <c r="AA724" t="s">
        <v>212</v>
      </c>
    </row>
    <row r="725" spans="1:27" x14ac:dyDescent="0.25">
      <c r="A725" s="12">
        <v>124</v>
      </c>
      <c r="B725">
        <v>16</v>
      </c>
      <c r="C725">
        <f t="shared" si="76"/>
        <v>12416</v>
      </c>
      <c r="D725" s="3" t="s">
        <v>86</v>
      </c>
      <c r="E725" s="11">
        <f t="shared" si="79"/>
        <v>61.176105555555552</v>
      </c>
      <c r="F725" s="11">
        <f t="shared" si="80"/>
        <v>2.1891499999999997</v>
      </c>
      <c r="G725" s="12" t="s">
        <v>144</v>
      </c>
      <c r="H725" s="12" t="s">
        <v>47</v>
      </c>
      <c r="I725">
        <v>2007</v>
      </c>
      <c r="J725" s="12" t="s">
        <v>163</v>
      </c>
      <c r="K725" s="2">
        <v>0</v>
      </c>
      <c r="M725" s="33">
        <v>1.93828333333333</v>
      </c>
      <c r="N725" s="33">
        <v>1.5664733333333301</v>
      </c>
      <c r="Z725" s="27" t="s">
        <v>247</v>
      </c>
      <c r="AA725" t="s">
        <v>212</v>
      </c>
    </row>
    <row r="726" spans="1:27" x14ac:dyDescent="0.25">
      <c r="A726" s="12">
        <v>124</v>
      </c>
      <c r="B726">
        <v>16</v>
      </c>
      <c r="C726">
        <f t="shared" si="76"/>
        <v>12416</v>
      </c>
      <c r="D726" s="3" t="s">
        <v>86</v>
      </c>
      <c r="E726" s="11">
        <f t="shared" si="79"/>
        <v>61.176105555555552</v>
      </c>
      <c r="F726" s="11">
        <f t="shared" si="80"/>
        <v>2.1891499999999997</v>
      </c>
      <c r="G726" s="12" t="s">
        <v>144</v>
      </c>
      <c r="H726" s="12" t="s">
        <v>47</v>
      </c>
      <c r="I726">
        <v>2008</v>
      </c>
      <c r="J726" s="12" t="s">
        <v>163</v>
      </c>
      <c r="K726" s="2">
        <v>0</v>
      </c>
      <c r="M726" s="33">
        <v>1.521489879</v>
      </c>
      <c r="N726" s="33">
        <v>1.3753291756666699</v>
      </c>
      <c r="Z726" s="27" t="s">
        <v>247</v>
      </c>
      <c r="AA726" t="s">
        <v>212</v>
      </c>
    </row>
    <row r="727" spans="1:27" x14ac:dyDescent="0.25">
      <c r="A727" s="12">
        <v>124</v>
      </c>
      <c r="B727">
        <v>16</v>
      </c>
      <c r="C727">
        <f t="shared" si="76"/>
        <v>12416</v>
      </c>
      <c r="D727" s="3" t="s">
        <v>86</v>
      </c>
      <c r="E727" s="11">
        <f t="shared" si="79"/>
        <v>61.176105555555552</v>
      </c>
      <c r="F727" s="11">
        <f t="shared" si="80"/>
        <v>2.1891499999999997</v>
      </c>
      <c r="G727" s="12" t="s">
        <v>144</v>
      </c>
      <c r="H727" s="12" t="s">
        <v>47</v>
      </c>
      <c r="I727">
        <v>2009</v>
      </c>
      <c r="J727" s="12" t="s">
        <v>163</v>
      </c>
      <c r="K727" s="2">
        <v>0</v>
      </c>
      <c r="M727" s="33">
        <v>1.6510841196666699</v>
      </c>
      <c r="N727" s="33">
        <v>1.43906152166667</v>
      </c>
      <c r="Z727" s="27" t="s">
        <v>247</v>
      </c>
      <c r="AA727" t="s">
        <v>212</v>
      </c>
    </row>
    <row r="728" spans="1:27" x14ac:dyDescent="0.25">
      <c r="A728" s="12">
        <v>124</v>
      </c>
      <c r="B728">
        <v>16</v>
      </c>
      <c r="C728">
        <f t="shared" si="76"/>
        <v>12416</v>
      </c>
      <c r="D728" s="3" t="s">
        <v>86</v>
      </c>
      <c r="E728" s="11">
        <f t="shared" si="79"/>
        <v>61.176105555555552</v>
      </c>
      <c r="F728" s="11">
        <f t="shared" si="80"/>
        <v>2.1891499999999997</v>
      </c>
      <c r="G728" s="12" t="s">
        <v>144</v>
      </c>
      <c r="H728" s="12" t="s">
        <v>47</v>
      </c>
      <c r="I728">
        <v>2010</v>
      </c>
      <c r="J728" s="12" t="s">
        <v>163</v>
      </c>
      <c r="K728" s="2">
        <v>0</v>
      </c>
      <c r="M728" s="33">
        <v>1.73687387633333</v>
      </c>
      <c r="N728" s="33">
        <v>1.7037304506666699</v>
      </c>
      <c r="Z728" s="27" t="s">
        <v>247</v>
      </c>
      <c r="AA728" t="s">
        <v>212</v>
      </c>
    </row>
    <row r="729" spans="1:27" x14ac:dyDescent="0.25">
      <c r="A729" s="12">
        <v>124</v>
      </c>
      <c r="B729">
        <v>16</v>
      </c>
      <c r="C729">
        <f t="shared" si="76"/>
        <v>12416</v>
      </c>
      <c r="D729" s="3" t="s">
        <v>86</v>
      </c>
      <c r="E729" s="11">
        <f t="shared" si="79"/>
        <v>61.176105555555552</v>
      </c>
      <c r="F729" s="11">
        <f t="shared" si="80"/>
        <v>2.1891499999999997</v>
      </c>
      <c r="G729" s="12" t="s">
        <v>144</v>
      </c>
      <c r="H729" s="12" t="s">
        <v>47</v>
      </c>
      <c r="I729">
        <v>2011</v>
      </c>
      <c r="J729" s="12" t="s">
        <v>163</v>
      </c>
      <c r="K729" s="2">
        <v>0</v>
      </c>
      <c r="M729" s="33">
        <v>2.2328383053333298</v>
      </c>
      <c r="N729" s="33">
        <v>2.0872484849999999</v>
      </c>
      <c r="Z729" s="27" t="s">
        <v>247</v>
      </c>
      <c r="AA729" t="s">
        <v>212</v>
      </c>
    </row>
    <row r="730" spans="1:27" x14ac:dyDescent="0.25">
      <c r="A730" s="12">
        <v>124</v>
      </c>
      <c r="B730">
        <v>16</v>
      </c>
      <c r="C730">
        <f t="shared" si="76"/>
        <v>12416</v>
      </c>
      <c r="D730" s="3" t="s">
        <v>86</v>
      </c>
      <c r="E730" s="11">
        <f t="shared" si="79"/>
        <v>61.176105555555552</v>
      </c>
      <c r="F730" s="11">
        <f t="shared" si="80"/>
        <v>2.1891499999999997</v>
      </c>
      <c r="G730" s="12" t="s">
        <v>144</v>
      </c>
      <c r="H730" s="12" t="s">
        <v>47</v>
      </c>
      <c r="I730">
        <v>2012</v>
      </c>
      <c r="J730" s="12" t="s">
        <v>163</v>
      </c>
      <c r="K730" s="2">
        <v>0</v>
      </c>
      <c r="M730" s="33">
        <v>1.78339382352941</v>
      </c>
      <c r="N730" s="33">
        <v>1.80242424242424</v>
      </c>
      <c r="Z730" s="27" t="s">
        <v>247</v>
      </c>
      <c r="AA730" t="s">
        <v>212</v>
      </c>
    </row>
    <row r="731" spans="1:27" x14ac:dyDescent="0.25">
      <c r="A731" s="12">
        <v>124</v>
      </c>
      <c r="B731">
        <v>16</v>
      </c>
      <c r="C731">
        <f t="shared" si="76"/>
        <v>12416</v>
      </c>
      <c r="D731" s="3" t="s">
        <v>86</v>
      </c>
      <c r="E731" s="11">
        <f t="shared" si="79"/>
        <v>61.176105555555552</v>
      </c>
      <c r="F731" s="11">
        <f t="shared" si="80"/>
        <v>2.1891499999999997</v>
      </c>
      <c r="G731" s="12" t="s">
        <v>144</v>
      </c>
      <c r="H731" s="12" t="s">
        <v>47</v>
      </c>
      <c r="I731">
        <v>2013</v>
      </c>
      <c r="J731" s="12" t="s">
        <v>163</v>
      </c>
      <c r="K731" s="2">
        <v>0</v>
      </c>
      <c r="M731" s="33">
        <v>1.1575157563102501</v>
      </c>
      <c r="N731" s="33">
        <v>1.25971428571429</v>
      </c>
      <c r="Z731" s="27" t="s">
        <v>247</v>
      </c>
      <c r="AA731" t="s">
        <v>212</v>
      </c>
    </row>
    <row r="732" spans="1:27" x14ac:dyDescent="0.25">
      <c r="A732" s="12">
        <v>124</v>
      </c>
      <c r="B732">
        <v>16</v>
      </c>
      <c r="C732">
        <f t="shared" si="76"/>
        <v>12416</v>
      </c>
      <c r="D732" s="3" t="s">
        <v>86</v>
      </c>
      <c r="E732" s="11">
        <f t="shared" si="79"/>
        <v>61.176105555555552</v>
      </c>
      <c r="F732" s="11">
        <f t="shared" si="80"/>
        <v>2.1891499999999997</v>
      </c>
      <c r="G732" s="12" t="s">
        <v>144</v>
      </c>
      <c r="H732" s="12" t="s">
        <v>47</v>
      </c>
      <c r="I732">
        <v>2014</v>
      </c>
      <c r="J732" s="12" t="s">
        <v>163</v>
      </c>
      <c r="K732" s="2">
        <v>0</v>
      </c>
      <c r="M732" s="33">
        <v>1.2743870967741899</v>
      </c>
      <c r="N732" s="33">
        <v>1.2930666666666699</v>
      </c>
      <c r="Z732" s="27" t="s">
        <v>247</v>
      </c>
      <c r="AA732" t="s">
        <v>212</v>
      </c>
    </row>
    <row r="733" spans="1:27" x14ac:dyDescent="0.25">
      <c r="A733" s="12">
        <v>124</v>
      </c>
      <c r="B733">
        <v>16</v>
      </c>
      <c r="C733">
        <f t="shared" si="76"/>
        <v>12416</v>
      </c>
      <c r="D733" s="3" t="s">
        <v>86</v>
      </c>
      <c r="E733" s="11">
        <f t="shared" si="79"/>
        <v>61.176105555555552</v>
      </c>
      <c r="F733" s="11">
        <f t="shared" si="80"/>
        <v>2.1891499999999997</v>
      </c>
      <c r="G733" s="12" t="s">
        <v>144</v>
      </c>
      <c r="H733" s="12" t="s">
        <v>47</v>
      </c>
      <c r="I733">
        <v>2015</v>
      </c>
      <c r="J733" s="12" t="s">
        <v>163</v>
      </c>
      <c r="K733" s="2">
        <v>0</v>
      </c>
      <c r="M733" s="33">
        <v>1.4007272727272699</v>
      </c>
      <c r="N733" s="33">
        <v>1.4947575757575799</v>
      </c>
      <c r="Z733" s="27" t="s">
        <v>247</v>
      </c>
      <c r="AA733" t="s">
        <v>212</v>
      </c>
    </row>
    <row r="734" spans="1:27" x14ac:dyDescent="0.25">
      <c r="A734" s="12">
        <v>124</v>
      </c>
      <c r="B734">
        <v>16</v>
      </c>
      <c r="C734">
        <f t="shared" si="76"/>
        <v>12416</v>
      </c>
      <c r="D734" s="3" t="s">
        <v>86</v>
      </c>
      <c r="E734" s="11">
        <f t="shared" si="79"/>
        <v>61.176105555555552</v>
      </c>
      <c r="F734" s="11">
        <f t="shared" si="80"/>
        <v>2.1891499999999997</v>
      </c>
      <c r="G734" s="12" t="s">
        <v>144</v>
      </c>
      <c r="H734" s="12" t="s">
        <v>47</v>
      </c>
      <c r="I734">
        <v>2016</v>
      </c>
      <c r="J734" s="12" t="s">
        <v>163</v>
      </c>
      <c r="K734" s="2">
        <v>0</v>
      </c>
      <c r="M734" s="33">
        <v>1.7825</v>
      </c>
      <c r="N734" s="33">
        <v>1.8758333333333299</v>
      </c>
      <c r="Z734" s="27" t="s">
        <v>247</v>
      </c>
      <c r="AA734" t="s">
        <v>212</v>
      </c>
    </row>
    <row r="735" spans="1:27" x14ac:dyDescent="0.25">
      <c r="A735" s="12">
        <v>124</v>
      </c>
      <c r="B735">
        <v>16</v>
      </c>
      <c r="C735">
        <f t="shared" si="76"/>
        <v>12416</v>
      </c>
      <c r="D735" s="3" t="s">
        <v>86</v>
      </c>
      <c r="E735" s="11">
        <f t="shared" si="79"/>
        <v>61.176105555555552</v>
      </c>
      <c r="F735" s="11">
        <f t="shared" si="80"/>
        <v>2.1891499999999997</v>
      </c>
      <c r="G735" s="12" t="s">
        <v>144</v>
      </c>
      <c r="H735" s="12" t="s">
        <v>47</v>
      </c>
      <c r="I735">
        <v>2017</v>
      </c>
      <c r="J735" s="12" t="s">
        <v>163</v>
      </c>
      <c r="K735" s="2">
        <v>0</v>
      </c>
      <c r="M735" s="33">
        <v>1.3760909090909099</v>
      </c>
      <c r="N735" s="33">
        <v>1.5529999999999999</v>
      </c>
      <c r="Z735" s="27" t="s">
        <v>247</v>
      </c>
      <c r="AA735" t="s">
        <v>212</v>
      </c>
    </row>
    <row r="736" spans="1:27" x14ac:dyDescent="0.25">
      <c r="A736" s="12">
        <v>124</v>
      </c>
      <c r="B736">
        <v>16</v>
      </c>
      <c r="C736">
        <f t="shared" si="76"/>
        <v>12416</v>
      </c>
      <c r="D736" s="3" t="s">
        <v>86</v>
      </c>
      <c r="E736" s="11">
        <f t="shared" si="79"/>
        <v>61.176105555555552</v>
      </c>
      <c r="F736" s="11">
        <f t="shared" si="80"/>
        <v>2.1891499999999997</v>
      </c>
      <c r="G736" s="12" t="s">
        <v>144</v>
      </c>
      <c r="H736" s="12" t="s">
        <v>47</v>
      </c>
      <c r="I736">
        <v>2018</v>
      </c>
      <c r="J736" s="12" t="s">
        <v>163</v>
      </c>
      <c r="K736" s="2">
        <v>0</v>
      </c>
      <c r="M736" s="33">
        <v>1.69090909090909</v>
      </c>
      <c r="N736" s="33">
        <v>1.7364545454545499</v>
      </c>
      <c r="Z736" s="27" t="s">
        <v>247</v>
      </c>
      <c r="AA736" t="s">
        <v>212</v>
      </c>
    </row>
    <row r="737" spans="1:27" x14ac:dyDescent="0.25">
      <c r="A737" s="12">
        <v>124</v>
      </c>
      <c r="B737">
        <v>16</v>
      </c>
      <c r="C737">
        <f t="shared" si="76"/>
        <v>12416</v>
      </c>
      <c r="D737" s="3" t="s">
        <v>86</v>
      </c>
      <c r="E737" s="11">
        <f t="shared" si="79"/>
        <v>61.176105555555552</v>
      </c>
      <c r="F737" s="11">
        <f t="shared" si="80"/>
        <v>2.1891499999999997</v>
      </c>
      <c r="G737" s="12" t="s">
        <v>144</v>
      </c>
      <c r="H737" s="12" t="s">
        <v>47</v>
      </c>
      <c r="I737">
        <v>2019</v>
      </c>
      <c r="J737" s="12" t="s">
        <v>163</v>
      </c>
      <c r="K737" s="2">
        <v>0</v>
      </c>
      <c r="M737" s="33">
        <v>1.9410000000000001</v>
      </c>
      <c r="N737" s="33">
        <v>2.1859999999999999</v>
      </c>
      <c r="Z737" s="27" t="s">
        <v>247</v>
      </c>
      <c r="AA737" t="s">
        <v>212</v>
      </c>
    </row>
    <row r="738" spans="1:27" x14ac:dyDescent="0.25">
      <c r="A738" s="12">
        <v>124</v>
      </c>
      <c r="B738">
        <v>16</v>
      </c>
      <c r="C738">
        <f t="shared" si="76"/>
        <v>12416</v>
      </c>
      <c r="D738" s="3" t="s">
        <v>86</v>
      </c>
      <c r="E738" s="11">
        <f t="shared" si="79"/>
        <v>61.176105555555552</v>
      </c>
      <c r="F738" s="11">
        <f t="shared" si="80"/>
        <v>2.1891499999999997</v>
      </c>
      <c r="G738" s="12" t="s">
        <v>144</v>
      </c>
      <c r="H738" s="12" t="s">
        <v>47</v>
      </c>
      <c r="I738">
        <v>2020</v>
      </c>
      <c r="J738" s="12" t="s">
        <v>163</v>
      </c>
      <c r="K738" s="2">
        <v>0</v>
      </c>
      <c r="M738" s="33">
        <v>2.19383333333333</v>
      </c>
      <c r="N738" s="33">
        <v>2.4865833333333298</v>
      </c>
      <c r="Z738" s="27" t="s">
        <v>247</v>
      </c>
      <c r="AA738" t="s">
        <v>212</v>
      </c>
    </row>
    <row r="739" spans="1:27" x14ac:dyDescent="0.25">
      <c r="A739" s="12">
        <v>124</v>
      </c>
      <c r="B739">
        <v>16</v>
      </c>
      <c r="C739">
        <f t="shared" si="76"/>
        <v>12416</v>
      </c>
      <c r="D739" s="3" t="s">
        <v>86</v>
      </c>
      <c r="E739" s="11">
        <f t="shared" si="79"/>
        <v>61.176105555555552</v>
      </c>
      <c r="F739" s="11">
        <f t="shared" si="80"/>
        <v>2.1891499999999997</v>
      </c>
      <c r="G739" s="12" t="s">
        <v>144</v>
      </c>
      <c r="H739" s="12" t="s">
        <v>47</v>
      </c>
      <c r="I739">
        <v>2021</v>
      </c>
      <c r="J739" s="12" t="s">
        <v>163</v>
      </c>
      <c r="K739" s="2">
        <v>0</v>
      </c>
      <c r="M739" s="33">
        <v>2.2285454545454502</v>
      </c>
      <c r="N739" s="33">
        <v>2.5199166666666701</v>
      </c>
      <c r="Z739" s="27" t="s">
        <v>247</v>
      </c>
      <c r="AA739" t="s">
        <v>212</v>
      </c>
    </row>
    <row r="740" spans="1:27" x14ac:dyDescent="0.25">
      <c r="A740" s="12">
        <v>124</v>
      </c>
      <c r="B740">
        <v>17</v>
      </c>
      <c r="C740">
        <f t="shared" si="76"/>
        <v>12417</v>
      </c>
      <c r="D740" s="3" t="s">
        <v>86</v>
      </c>
      <c r="E740" s="11">
        <f>57+4/60+46.14/3600</f>
        <v>57.079483333333336</v>
      </c>
      <c r="F740" s="11">
        <f>2+50/60+49.91/3600</f>
        <v>2.8471972222222224</v>
      </c>
      <c r="G740" s="12" t="s">
        <v>144</v>
      </c>
      <c r="H740" s="12" t="s">
        <v>47</v>
      </c>
      <c r="I740">
        <v>2002</v>
      </c>
      <c r="J740" s="12" t="s">
        <v>163</v>
      </c>
      <c r="K740" s="2">
        <v>0</v>
      </c>
      <c r="M740" s="33">
        <v>0.3</v>
      </c>
      <c r="N740" s="33"/>
      <c r="Z740" s="27" t="s">
        <v>247</v>
      </c>
      <c r="AA740" t="s">
        <v>213</v>
      </c>
    </row>
    <row r="741" spans="1:27" x14ac:dyDescent="0.25">
      <c r="A741" s="12">
        <v>124</v>
      </c>
      <c r="B741">
        <v>17</v>
      </c>
      <c r="C741">
        <f t="shared" si="76"/>
        <v>12417</v>
      </c>
      <c r="D741" s="3" t="s">
        <v>86</v>
      </c>
      <c r="E741" s="11">
        <f t="shared" ref="E741:E758" si="81">57+4/60+46.14/3600</f>
        <v>57.079483333333336</v>
      </c>
      <c r="F741" s="11">
        <f t="shared" ref="F741:F758" si="82">2+50/60+49.91/3600</f>
        <v>2.8471972222222224</v>
      </c>
      <c r="G741" s="12" t="s">
        <v>144</v>
      </c>
      <c r="H741" s="12" t="s">
        <v>47</v>
      </c>
      <c r="I741">
        <v>2003</v>
      </c>
      <c r="J741" s="12" t="s">
        <v>163</v>
      </c>
      <c r="K741" s="2">
        <v>0</v>
      </c>
      <c r="M741" s="33">
        <v>3.4</v>
      </c>
      <c r="N741" s="33"/>
      <c r="Z741" s="27" t="s">
        <v>247</v>
      </c>
      <c r="AA741" t="s">
        <v>213</v>
      </c>
    </row>
    <row r="742" spans="1:27" x14ac:dyDescent="0.25">
      <c r="A742" s="12">
        <v>124</v>
      </c>
      <c r="B742">
        <v>17</v>
      </c>
      <c r="C742">
        <f t="shared" si="76"/>
        <v>12417</v>
      </c>
      <c r="D742" s="3" t="s">
        <v>86</v>
      </c>
      <c r="E742" s="11">
        <f t="shared" si="81"/>
        <v>57.079483333333336</v>
      </c>
      <c r="F742" s="11">
        <f t="shared" si="82"/>
        <v>2.8471972222222224</v>
      </c>
      <c r="G742" s="12" t="s">
        <v>144</v>
      </c>
      <c r="H742" s="12" t="s">
        <v>47</v>
      </c>
      <c r="I742">
        <v>2004</v>
      </c>
      <c r="J742" s="12" t="s">
        <v>163</v>
      </c>
      <c r="K742" s="2">
        <v>0</v>
      </c>
      <c r="M742" s="33">
        <v>5.8333000000000004</v>
      </c>
      <c r="N742" s="33"/>
      <c r="Z742" s="27" t="s">
        <v>247</v>
      </c>
      <c r="AA742" t="s">
        <v>213</v>
      </c>
    </row>
    <row r="743" spans="1:27" x14ac:dyDescent="0.25">
      <c r="A743" s="12">
        <v>124</v>
      </c>
      <c r="B743">
        <v>17</v>
      </c>
      <c r="C743">
        <f t="shared" si="76"/>
        <v>12417</v>
      </c>
      <c r="D743" s="3" t="s">
        <v>86</v>
      </c>
      <c r="E743" s="11">
        <f t="shared" si="81"/>
        <v>57.079483333333336</v>
      </c>
      <c r="F743" s="11">
        <f t="shared" si="82"/>
        <v>2.8471972222222224</v>
      </c>
      <c r="G743" s="12" t="s">
        <v>144</v>
      </c>
      <c r="H743" s="12" t="s">
        <v>47</v>
      </c>
      <c r="I743">
        <v>2005</v>
      </c>
      <c r="J743" s="12" t="s">
        <v>163</v>
      </c>
      <c r="K743" s="2">
        <v>0</v>
      </c>
      <c r="M743" s="33">
        <v>4.4649999999999999</v>
      </c>
      <c r="N743" s="33">
        <v>0.71799999999999997</v>
      </c>
      <c r="Z743" s="27" t="s">
        <v>247</v>
      </c>
      <c r="AA743" t="s">
        <v>213</v>
      </c>
    </row>
    <row r="744" spans="1:27" x14ac:dyDescent="0.25">
      <c r="A744" s="12">
        <v>124</v>
      </c>
      <c r="B744">
        <v>17</v>
      </c>
      <c r="C744">
        <f t="shared" si="76"/>
        <v>12417</v>
      </c>
      <c r="D744" s="3" t="s">
        <v>86</v>
      </c>
      <c r="E744" s="11">
        <f t="shared" si="81"/>
        <v>57.079483333333336</v>
      </c>
      <c r="F744" s="11">
        <f t="shared" si="82"/>
        <v>2.8471972222222224</v>
      </c>
      <c r="G744" s="12" t="s">
        <v>144</v>
      </c>
      <c r="H744" s="12" t="s">
        <v>47</v>
      </c>
      <c r="I744">
        <v>2006</v>
      </c>
      <c r="J744" s="12" t="s">
        <v>163</v>
      </c>
      <c r="K744" s="2">
        <v>0</v>
      </c>
      <c r="M744" s="33">
        <v>2.2666666700000002</v>
      </c>
      <c r="N744" s="33">
        <v>0.76333333000000003</v>
      </c>
      <c r="Z744" s="27" t="s">
        <v>247</v>
      </c>
      <c r="AA744" t="s">
        <v>213</v>
      </c>
    </row>
    <row r="745" spans="1:27" x14ac:dyDescent="0.25">
      <c r="A745" s="12">
        <v>124</v>
      </c>
      <c r="B745">
        <v>17</v>
      </c>
      <c r="C745">
        <f t="shared" si="76"/>
        <v>12417</v>
      </c>
      <c r="D745" s="3" t="s">
        <v>86</v>
      </c>
      <c r="E745" s="11">
        <f t="shared" si="81"/>
        <v>57.079483333333336</v>
      </c>
      <c r="F745" s="11">
        <f t="shared" si="82"/>
        <v>2.8471972222222224</v>
      </c>
      <c r="G745" s="12" t="s">
        <v>144</v>
      </c>
      <c r="H745" s="12" t="s">
        <v>47</v>
      </c>
      <c r="I745">
        <v>2007</v>
      </c>
      <c r="J745" s="12" t="s">
        <v>163</v>
      </c>
      <c r="K745" s="2">
        <v>0</v>
      </c>
      <c r="M745" s="33">
        <v>6.7333333299999998</v>
      </c>
      <c r="N745" s="33">
        <v>1.8666666700000001</v>
      </c>
      <c r="Z745" s="27" t="s">
        <v>247</v>
      </c>
      <c r="AA745" t="s">
        <v>213</v>
      </c>
    </row>
    <row r="746" spans="1:27" x14ac:dyDescent="0.25">
      <c r="A746" s="12">
        <v>124</v>
      </c>
      <c r="B746">
        <v>17</v>
      </c>
      <c r="C746">
        <f t="shared" si="76"/>
        <v>12417</v>
      </c>
      <c r="D746" s="3" t="s">
        <v>86</v>
      </c>
      <c r="E746" s="11">
        <f t="shared" si="81"/>
        <v>57.079483333333336</v>
      </c>
      <c r="F746" s="11">
        <f t="shared" si="82"/>
        <v>2.8471972222222224</v>
      </c>
      <c r="G746" s="12" t="s">
        <v>144</v>
      </c>
      <c r="H746" s="12" t="s">
        <v>47</v>
      </c>
      <c r="I746">
        <v>2008</v>
      </c>
      <c r="J746" s="12" t="s">
        <v>163</v>
      </c>
      <c r="K746" s="2">
        <v>0</v>
      </c>
      <c r="M746" s="33">
        <v>10.675000000000001</v>
      </c>
      <c r="N746" s="33">
        <v>2.4750000000000001</v>
      </c>
      <c r="Z746" s="27" t="s">
        <v>247</v>
      </c>
      <c r="AA746" t="s">
        <v>213</v>
      </c>
    </row>
    <row r="747" spans="1:27" x14ac:dyDescent="0.25">
      <c r="A747" s="12">
        <v>124</v>
      </c>
      <c r="B747">
        <v>17</v>
      </c>
      <c r="C747">
        <f t="shared" si="76"/>
        <v>12417</v>
      </c>
      <c r="D747" s="3" t="s">
        <v>86</v>
      </c>
      <c r="E747" s="11">
        <f t="shared" si="81"/>
        <v>57.079483333333336</v>
      </c>
      <c r="F747" s="11">
        <f t="shared" si="82"/>
        <v>2.8471972222222224</v>
      </c>
      <c r="G747" s="12" t="s">
        <v>144</v>
      </c>
      <c r="H747" s="12" t="s">
        <v>47</v>
      </c>
      <c r="I747">
        <v>2009</v>
      </c>
      <c r="J747" s="12" t="s">
        <v>163</v>
      </c>
      <c r="K747" s="2">
        <v>0</v>
      </c>
      <c r="M747" s="33">
        <v>13.074999999999999</v>
      </c>
      <c r="N747" s="33">
        <v>2.9</v>
      </c>
      <c r="Z747" s="27" t="s">
        <v>247</v>
      </c>
      <c r="AA747" t="s">
        <v>213</v>
      </c>
    </row>
    <row r="748" spans="1:27" x14ac:dyDescent="0.25">
      <c r="A748" s="12">
        <v>124</v>
      </c>
      <c r="B748">
        <v>17</v>
      </c>
      <c r="C748">
        <f t="shared" si="76"/>
        <v>12417</v>
      </c>
      <c r="D748" s="3" t="s">
        <v>86</v>
      </c>
      <c r="E748" s="11">
        <f t="shared" si="81"/>
        <v>57.079483333333336</v>
      </c>
      <c r="F748" s="11">
        <f t="shared" si="82"/>
        <v>2.8471972222222224</v>
      </c>
      <c r="G748" s="12" t="s">
        <v>144</v>
      </c>
      <c r="H748" s="12" t="s">
        <v>47</v>
      </c>
      <c r="I748">
        <v>2010</v>
      </c>
      <c r="J748" s="12" t="s">
        <v>163</v>
      </c>
      <c r="K748" s="2">
        <v>0</v>
      </c>
      <c r="M748" s="33">
        <v>11.675000000000001</v>
      </c>
      <c r="N748" s="33">
        <v>3.15</v>
      </c>
      <c r="Z748" s="27" t="s">
        <v>247</v>
      </c>
      <c r="AA748" t="s">
        <v>213</v>
      </c>
    </row>
    <row r="749" spans="1:27" x14ac:dyDescent="0.25">
      <c r="A749" s="12">
        <v>124</v>
      </c>
      <c r="B749">
        <v>17</v>
      </c>
      <c r="C749">
        <f t="shared" si="76"/>
        <v>12417</v>
      </c>
      <c r="D749" s="3" t="s">
        <v>86</v>
      </c>
      <c r="E749" s="11">
        <f t="shared" si="81"/>
        <v>57.079483333333336</v>
      </c>
      <c r="F749" s="11">
        <f t="shared" si="82"/>
        <v>2.8471972222222224</v>
      </c>
      <c r="G749" s="12" t="s">
        <v>144</v>
      </c>
      <c r="H749" s="12" t="s">
        <v>47</v>
      </c>
      <c r="I749">
        <v>2011</v>
      </c>
      <c r="J749" s="12" t="s">
        <v>163</v>
      </c>
      <c r="K749" s="2">
        <v>0</v>
      </c>
      <c r="M749" s="33">
        <v>7.0333333299999996</v>
      </c>
      <c r="N749" s="33">
        <v>2</v>
      </c>
      <c r="Z749" s="27" t="s">
        <v>247</v>
      </c>
      <c r="AA749" t="s">
        <v>213</v>
      </c>
    </row>
    <row r="750" spans="1:27" x14ac:dyDescent="0.25">
      <c r="A750" s="12">
        <v>124</v>
      </c>
      <c r="B750">
        <v>17</v>
      </c>
      <c r="C750">
        <f t="shared" si="76"/>
        <v>12417</v>
      </c>
      <c r="D750" s="3" t="s">
        <v>86</v>
      </c>
      <c r="E750" s="11">
        <f t="shared" si="81"/>
        <v>57.079483333333336</v>
      </c>
      <c r="F750" s="11">
        <f t="shared" si="82"/>
        <v>2.8471972222222224</v>
      </c>
      <c r="G750" s="12" t="s">
        <v>144</v>
      </c>
      <c r="H750" s="12" t="s">
        <v>47</v>
      </c>
      <c r="I750">
        <v>2012</v>
      </c>
      <c r="J750" s="12" t="s">
        <v>163</v>
      </c>
      <c r="K750" s="2">
        <v>0</v>
      </c>
      <c r="M750" s="33">
        <v>7.3666666666666698</v>
      </c>
      <c r="N750" s="33">
        <v>2.2999999999999998</v>
      </c>
      <c r="Z750" s="27" t="s">
        <v>247</v>
      </c>
      <c r="AA750" t="s">
        <v>213</v>
      </c>
    </row>
    <row r="751" spans="1:27" x14ac:dyDescent="0.25">
      <c r="A751" s="12">
        <v>124</v>
      </c>
      <c r="B751">
        <v>17</v>
      </c>
      <c r="C751">
        <f t="shared" si="76"/>
        <v>12417</v>
      </c>
      <c r="D751" s="3" t="s">
        <v>86</v>
      </c>
      <c r="E751" s="11">
        <f t="shared" si="81"/>
        <v>57.079483333333336</v>
      </c>
      <c r="F751" s="11">
        <f t="shared" si="82"/>
        <v>2.8471972222222224</v>
      </c>
      <c r="G751" s="12" t="s">
        <v>144</v>
      </c>
      <c r="H751" s="12" t="s">
        <v>47</v>
      </c>
      <c r="I751">
        <v>2013</v>
      </c>
      <c r="J751" s="12" t="s">
        <v>163</v>
      </c>
      <c r="K751" s="2">
        <v>0</v>
      </c>
      <c r="M751" s="33">
        <v>7.1923951549714298</v>
      </c>
      <c r="N751" s="33">
        <v>2.3889988438</v>
      </c>
      <c r="Z751" s="27" t="s">
        <v>247</v>
      </c>
      <c r="AA751" t="s">
        <v>213</v>
      </c>
    </row>
    <row r="752" spans="1:27" x14ac:dyDescent="0.25">
      <c r="A752" s="12">
        <v>124</v>
      </c>
      <c r="B752">
        <v>17</v>
      </c>
      <c r="C752">
        <f t="shared" si="76"/>
        <v>12417</v>
      </c>
      <c r="D752" s="3" t="s">
        <v>86</v>
      </c>
      <c r="E752" s="11">
        <f t="shared" si="81"/>
        <v>57.079483333333336</v>
      </c>
      <c r="F752" s="11">
        <f t="shared" si="82"/>
        <v>2.8471972222222224</v>
      </c>
      <c r="G752" s="12" t="s">
        <v>144</v>
      </c>
      <c r="H752" s="12" t="s">
        <v>47</v>
      </c>
      <c r="I752">
        <v>2014</v>
      </c>
      <c r="J752" s="12" t="s">
        <v>163</v>
      </c>
      <c r="K752" s="2">
        <v>0</v>
      </c>
      <c r="M752" s="33">
        <v>5.85</v>
      </c>
      <c r="N752" s="33">
        <v>1.81</v>
      </c>
      <c r="Z752" s="27" t="s">
        <v>247</v>
      </c>
      <c r="AA752" t="s">
        <v>213</v>
      </c>
    </row>
    <row r="753" spans="1:27" x14ac:dyDescent="0.25">
      <c r="A753" s="12">
        <v>124</v>
      </c>
      <c r="B753">
        <v>17</v>
      </c>
      <c r="C753">
        <f t="shared" si="76"/>
        <v>12417</v>
      </c>
      <c r="D753" s="3" t="s">
        <v>86</v>
      </c>
      <c r="E753" s="11">
        <f t="shared" si="81"/>
        <v>57.079483333333336</v>
      </c>
      <c r="F753" s="11">
        <f t="shared" si="82"/>
        <v>2.8471972222222224</v>
      </c>
      <c r="G753" s="12" t="s">
        <v>144</v>
      </c>
      <c r="H753" s="12" t="s">
        <v>47</v>
      </c>
      <c r="I753">
        <v>2015</v>
      </c>
      <c r="J753" s="12" t="s">
        <v>163</v>
      </c>
      <c r="K753" s="2">
        <v>0</v>
      </c>
      <c r="M753" s="33">
        <v>3.55</v>
      </c>
      <c r="N753" s="33">
        <v>1.365</v>
      </c>
      <c r="Z753" s="27" t="s">
        <v>247</v>
      </c>
      <c r="AA753" t="s">
        <v>213</v>
      </c>
    </row>
    <row r="754" spans="1:27" x14ac:dyDescent="0.25">
      <c r="A754" s="12">
        <v>124</v>
      </c>
      <c r="B754">
        <v>17</v>
      </c>
      <c r="C754">
        <f t="shared" si="76"/>
        <v>12417</v>
      </c>
      <c r="D754" s="3" t="s">
        <v>86</v>
      </c>
      <c r="E754" s="11">
        <f t="shared" si="81"/>
        <v>57.079483333333336</v>
      </c>
      <c r="F754" s="11">
        <f t="shared" si="82"/>
        <v>2.8471972222222224</v>
      </c>
      <c r="G754" s="12" t="s">
        <v>144</v>
      </c>
      <c r="H754" s="12" t="s">
        <v>47</v>
      </c>
      <c r="I754">
        <v>2016</v>
      </c>
      <c r="J754" s="12" t="s">
        <v>163</v>
      </c>
      <c r="K754" s="2">
        <v>0</v>
      </c>
      <c r="M754" s="33">
        <v>2.4624999999999999</v>
      </c>
      <c r="N754" s="33">
        <v>1.0449999999999999</v>
      </c>
      <c r="Z754" s="27" t="s">
        <v>247</v>
      </c>
      <c r="AA754" t="s">
        <v>213</v>
      </c>
    </row>
    <row r="755" spans="1:27" x14ac:dyDescent="0.25">
      <c r="A755" s="12">
        <v>124</v>
      </c>
      <c r="B755">
        <v>17</v>
      </c>
      <c r="C755">
        <f t="shared" si="76"/>
        <v>12417</v>
      </c>
      <c r="D755" s="3" t="s">
        <v>86</v>
      </c>
      <c r="E755" s="11">
        <f t="shared" si="81"/>
        <v>57.079483333333336</v>
      </c>
      <c r="F755" s="11">
        <f t="shared" si="82"/>
        <v>2.8471972222222224</v>
      </c>
      <c r="G755" s="12" t="s">
        <v>144</v>
      </c>
      <c r="H755" s="12" t="s">
        <v>47</v>
      </c>
      <c r="I755">
        <v>2017</v>
      </c>
      <c r="J755" s="12" t="s">
        <v>163</v>
      </c>
      <c r="K755" s="2">
        <v>0</v>
      </c>
      <c r="M755" s="33">
        <v>2.5249999999999999</v>
      </c>
      <c r="N755" s="33">
        <v>1.1950000000000001</v>
      </c>
      <c r="Z755" s="27" t="s">
        <v>247</v>
      </c>
      <c r="AA755" t="s">
        <v>213</v>
      </c>
    </row>
    <row r="756" spans="1:27" x14ac:dyDescent="0.25">
      <c r="A756" s="12">
        <v>124</v>
      </c>
      <c r="B756">
        <v>17</v>
      </c>
      <c r="C756">
        <f t="shared" si="76"/>
        <v>12417</v>
      </c>
      <c r="D756" s="3" t="s">
        <v>86</v>
      </c>
      <c r="E756" s="11">
        <f t="shared" si="81"/>
        <v>57.079483333333336</v>
      </c>
      <c r="F756" s="11">
        <f t="shared" si="82"/>
        <v>2.8471972222222224</v>
      </c>
      <c r="G756" s="12" t="s">
        <v>144</v>
      </c>
      <c r="H756" s="12" t="s">
        <v>47</v>
      </c>
      <c r="I756">
        <v>2018</v>
      </c>
      <c r="J756" s="12" t="s">
        <v>163</v>
      </c>
      <c r="K756" s="2">
        <v>0</v>
      </c>
      <c r="M756" s="33">
        <v>4.25</v>
      </c>
      <c r="N756" s="33">
        <v>3.1575000000000002</v>
      </c>
      <c r="Z756" s="27" t="s">
        <v>247</v>
      </c>
      <c r="AA756" t="s">
        <v>213</v>
      </c>
    </row>
    <row r="757" spans="1:27" x14ac:dyDescent="0.25">
      <c r="A757" s="12">
        <v>124</v>
      </c>
      <c r="B757">
        <v>17</v>
      </c>
      <c r="C757">
        <f t="shared" si="76"/>
        <v>12417</v>
      </c>
      <c r="D757" s="3" t="s">
        <v>86</v>
      </c>
      <c r="E757" s="11">
        <f t="shared" si="81"/>
        <v>57.079483333333336</v>
      </c>
      <c r="F757" s="11">
        <f t="shared" si="82"/>
        <v>2.8471972222222224</v>
      </c>
      <c r="G757" s="12" t="s">
        <v>144</v>
      </c>
      <c r="H757" s="12" t="s">
        <v>47</v>
      </c>
      <c r="I757">
        <v>2019</v>
      </c>
      <c r="J757" s="12" t="s">
        <v>163</v>
      </c>
      <c r="K757" s="2">
        <v>0</v>
      </c>
      <c r="M757" s="33">
        <v>3.65</v>
      </c>
      <c r="N757" s="33">
        <v>1.3149999999999999</v>
      </c>
      <c r="Z757" s="27" t="s">
        <v>247</v>
      </c>
      <c r="AA757" t="s">
        <v>213</v>
      </c>
    </row>
    <row r="758" spans="1:27" x14ac:dyDescent="0.25">
      <c r="A758" s="12">
        <v>124</v>
      </c>
      <c r="B758">
        <v>17</v>
      </c>
      <c r="C758">
        <f t="shared" si="76"/>
        <v>12417</v>
      </c>
      <c r="D758" s="3" t="s">
        <v>86</v>
      </c>
      <c r="E758" s="11">
        <f t="shared" si="81"/>
        <v>57.079483333333336</v>
      </c>
      <c r="F758" s="11">
        <f t="shared" si="82"/>
        <v>2.8471972222222224</v>
      </c>
      <c r="G758" s="12" t="s">
        <v>144</v>
      </c>
      <c r="H758" s="12" t="s">
        <v>47</v>
      </c>
      <c r="I758">
        <v>2020</v>
      </c>
      <c r="J758" s="12" t="s">
        <v>163</v>
      </c>
      <c r="K758" s="2">
        <v>0</v>
      </c>
      <c r="M758" s="33">
        <v>3.7</v>
      </c>
      <c r="N758" s="33">
        <v>1.4</v>
      </c>
      <c r="Z758" s="27" t="s">
        <v>247</v>
      </c>
      <c r="AA758" t="s">
        <v>213</v>
      </c>
    </row>
    <row r="759" spans="1:27" x14ac:dyDescent="0.25">
      <c r="A759" s="12">
        <v>124</v>
      </c>
      <c r="B759">
        <v>18</v>
      </c>
      <c r="C759">
        <f t="shared" si="76"/>
        <v>12418</v>
      </c>
      <c r="D759" s="3" t="s">
        <v>86</v>
      </c>
      <c r="E759" s="11">
        <f>65+19/60+33/3600</f>
        <v>65.325833333333335</v>
      </c>
      <c r="F759" s="11">
        <f>7+19/60+3/3600</f>
        <v>7.3174999999999999</v>
      </c>
      <c r="G759" s="12" t="s">
        <v>144</v>
      </c>
      <c r="H759" s="12" t="s">
        <v>47</v>
      </c>
      <c r="I759">
        <v>2002</v>
      </c>
      <c r="J759" s="12" t="s">
        <v>163</v>
      </c>
      <c r="K759" s="2">
        <v>0</v>
      </c>
      <c r="M759" s="33">
        <v>12.9</v>
      </c>
      <c r="N759" s="33"/>
      <c r="Z759" s="27" t="s">
        <v>247</v>
      </c>
      <c r="AA759" t="s">
        <v>214</v>
      </c>
    </row>
    <row r="760" spans="1:27" x14ac:dyDescent="0.25">
      <c r="A760" s="12">
        <v>124</v>
      </c>
      <c r="B760">
        <v>18</v>
      </c>
      <c r="C760">
        <f t="shared" si="76"/>
        <v>12418</v>
      </c>
      <c r="D760" s="3" t="s">
        <v>86</v>
      </c>
      <c r="E760" s="11">
        <f t="shared" ref="E760:E778" si="83">65+19/60+33/3600</f>
        <v>65.325833333333335</v>
      </c>
      <c r="F760" s="11">
        <f t="shared" ref="F760:F778" si="84">7+19/60+3/3600</f>
        <v>7.3174999999999999</v>
      </c>
      <c r="G760" s="12" t="s">
        <v>144</v>
      </c>
      <c r="H760" s="12" t="s">
        <v>47</v>
      </c>
      <c r="I760">
        <v>2003</v>
      </c>
      <c r="J760" s="12" t="s">
        <v>163</v>
      </c>
      <c r="K760" s="2">
        <v>0</v>
      </c>
      <c r="M760" s="33">
        <v>3.5</v>
      </c>
      <c r="N760" s="33"/>
      <c r="Z760" s="27" t="s">
        <v>247</v>
      </c>
      <c r="AA760" t="s">
        <v>214</v>
      </c>
    </row>
    <row r="761" spans="1:27" x14ac:dyDescent="0.25">
      <c r="A761" s="12">
        <v>124</v>
      </c>
      <c r="B761">
        <v>18</v>
      </c>
      <c r="C761">
        <f t="shared" si="76"/>
        <v>12418</v>
      </c>
      <c r="D761" s="3" t="s">
        <v>86</v>
      </c>
      <c r="E761" s="11">
        <f t="shared" si="83"/>
        <v>65.325833333333335</v>
      </c>
      <c r="F761" s="11">
        <f t="shared" si="84"/>
        <v>7.3174999999999999</v>
      </c>
      <c r="G761" s="12" t="s">
        <v>144</v>
      </c>
      <c r="H761" s="12" t="s">
        <v>47</v>
      </c>
      <c r="I761">
        <v>2004</v>
      </c>
      <c r="J761" s="12" t="s">
        <v>163</v>
      </c>
      <c r="K761" s="2">
        <v>0</v>
      </c>
      <c r="M761" s="33">
        <v>12.4</v>
      </c>
      <c r="N761" s="33"/>
      <c r="Z761" s="27" t="s">
        <v>247</v>
      </c>
      <c r="AA761" t="s">
        <v>214</v>
      </c>
    </row>
    <row r="762" spans="1:27" x14ac:dyDescent="0.25">
      <c r="A762" s="12">
        <v>124</v>
      </c>
      <c r="B762">
        <v>18</v>
      </c>
      <c r="C762">
        <f t="shared" si="76"/>
        <v>12418</v>
      </c>
      <c r="D762" s="3" t="s">
        <v>86</v>
      </c>
      <c r="E762" s="11">
        <f t="shared" si="83"/>
        <v>65.325833333333335</v>
      </c>
      <c r="F762" s="11">
        <f t="shared" si="84"/>
        <v>7.3174999999999999</v>
      </c>
      <c r="G762" s="12" t="s">
        <v>144</v>
      </c>
      <c r="H762" s="12" t="s">
        <v>47</v>
      </c>
      <c r="I762">
        <v>2005</v>
      </c>
      <c r="J762" s="12" t="s">
        <v>163</v>
      </c>
      <c r="K762" s="2">
        <v>0</v>
      </c>
      <c r="M762" s="33">
        <v>3.6</v>
      </c>
      <c r="N762" s="33">
        <v>4.0999999999999996</v>
      </c>
      <c r="Z762" s="27" t="s">
        <v>247</v>
      </c>
      <c r="AA762" t="s">
        <v>214</v>
      </c>
    </row>
    <row r="763" spans="1:27" x14ac:dyDescent="0.25">
      <c r="A763" s="12">
        <v>124</v>
      </c>
      <c r="B763">
        <v>18</v>
      </c>
      <c r="C763">
        <f t="shared" si="76"/>
        <v>12418</v>
      </c>
      <c r="D763" s="3" t="s">
        <v>86</v>
      </c>
      <c r="E763" s="11">
        <f t="shared" si="83"/>
        <v>65.325833333333335</v>
      </c>
      <c r="F763" s="11">
        <f t="shared" si="84"/>
        <v>7.3174999999999999</v>
      </c>
      <c r="G763" s="12" t="s">
        <v>144</v>
      </c>
      <c r="H763" s="12" t="s">
        <v>47</v>
      </c>
      <c r="I763">
        <v>2006</v>
      </c>
      <c r="J763" s="12" t="s">
        <v>163</v>
      </c>
      <c r="K763" s="2">
        <v>0</v>
      </c>
      <c r="M763" s="33">
        <v>9.5</v>
      </c>
      <c r="N763" s="33">
        <v>10.135</v>
      </c>
      <c r="Z763" s="27" t="s">
        <v>247</v>
      </c>
      <c r="AA763" t="s">
        <v>214</v>
      </c>
    </row>
    <row r="764" spans="1:27" x14ac:dyDescent="0.25">
      <c r="A764" s="12">
        <v>124</v>
      </c>
      <c r="B764">
        <v>18</v>
      </c>
      <c r="C764">
        <f t="shared" si="76"/>
        <v>12418</v>
      </c>
      <c r="D764" s="3" t="s">
        <v>86</v>
      </c>
      <c r="E764" s="11">
        <f t="shared" si="83"/>
        <v>65.325833333333335</v>
      </c>
      <c r="F764" s="11">
        <f t="shared" si="84"/>
        <v>7.3174999999999999</v>
      </c>
      <c r="G764" s="12" t="s">
        <v>144</v>
      </c>
      <c r="H764" s="12" t="s">
        <v>47</v>
      </c>
      <c r="I764">
        <v>2007</v>
      </c>
      <c r="J764" s="12" t="s">
        <v>163</v>
      </c>
      <c r="K764" s="2">
        <v>0</v>
      </c>
      <c r="M764" s="33">
        <v>10.4</v>
      </c>
      <c r="N764" s="33">
        <v>10.7</v>
      </c>
      <c r="Z764" s="27" t="s">
        <v>247</v>
      </c>
      <c r="AA764" t="s">
        <v>214</v>
      </c>
    </row>
    <row r="765" spans="1:27" x14ac:dyDescent="0.25">
      <c r="A765" s="12">
        <v>124</v>
      </c>
      <c r="B765">
        <v>18</v>
      </c>
      <c r="C765">
        <f t="shared" si="76"/>
        <v>12418</v>
      </c>
      <c r="D765" s="3" t="s">
        <v>86</v>
      </c>
      <c r="E765" s="11">
        <f t="shared" si="83"/>
        <v>65.325833333333335</v>
      </c>
      <c r="F765" s="11">
        <f t="shared" si="84"/>
        <v>7.3174999999999999</v>
      </c>
      <c r="G765" s="12" t="s">
        <v>144</v>
      </c>
      <c r="H765" s="12" t="s">
        <v>47</v>
      </c>
      <c r="I765">
        <v>2008</v>
      </c>
      <c r="J765" s="12" t="s">
        <v>163</v>
      </c>
      <c r="K765" s="2">
        <v>0</v>
      </c>
      <c r="M765" s="33">
        <v>6.9391211459999997</v>
      </c>
      <c r="N765" s="33">
        <v>7.5639895859999999</v>
      </c>
      <c r="Z765" s="27" t="s">
        <v>247</v>
      </c>
      <c r="AA765" t="s">
        <v>214</v>
      </c>
    </row>
    <row r="766" spans="1:27" x14ac:dyDescent="0.25">
      <c r="A766" s="12">
        <v>124</v>
      </c>
      <c r="B766">
        <v>18</v>
      </c>
      <c r="C766">
        <f t="shared" si="76"/>
        <v>12418</v>
      </c>
      <c r="D766" s="3" t="s">
        <v>86</v>
      </c>
      <c r="E766" s="11">
        <f t="shared" si="83"/>
        <v>65.325833333333335</v>
      </c>
      <c r="F766" s="11">
        <f t="shared" si="84"/>
        <v>7.3174999999999999</v>
      </c>
      <c r="G766" s="12" t="s">
        <v>144</v>
      </c>
      <c r="H766" s="12" t="s">
        <v>47</v>
      </c>
      <c r="I766">
        <v>2009</v>
      </c>
      <c r="J766" s="12" t="s">
        <v>163</v>
      </c>
      <c r="K766" s="2">
        <v>0</v>
      </c>
      <c r="M766" s="33">
        <v>8.4031464979999999</v>
      </c>
      <c r="N766" s="33">
        <v>9.3218141059999997</v>
      </c>
      <c r="Z766" s="27" t="s">
        <v>247</v>
      </c>
      <c r="AA766" t="s">
        <v>214</v>
      </c>
    </row>
    <row r="767" spans="1:27" x14ac:dyDescent="0.25">
      <c r="A767" s="12">
        <v>124</v>
      </c>
      <c r="B767">
        <v>18</v>
      </c>
      <c r="C767">
        <f t="shared" si="76"/>
        <v>12418</v>
      </c>
      <c r="D767" s="3" t="s">
        <v>86</v>
      </c>
      <c r="E767" s="11">
        <f t="shared" si="83"/>
        <v>65.325833333333335</v>
      </c>
      <c r="F767" s="11">
        <f t="shared" si="84"/>
        <v>7.3174999999999999</v>
      </c>
      <c r="G767" s="12" t="s">
        <v>144</v>
      </c>
      <c r="H767" s="12" t="s">
        <v>47</v>
      </c>
      <c r="I767">
        <v>2010</v>
      </c>
      <c r="J767" s="12" t="s">
        <v>163</v>
      </c>
      <c r="K767" s="2">
        <v>0</v>
      </c>
      <c r="M767" s="33">
        <v>10.5486535</v>
      </c>
      <c r="N767" s="33">
        <v>11.0037462</v>
      </c>
      <c r="Z767" s="27" t="s">
        <v>247</v>
      </c>
      <c r="AA767" t="s">
        <v>214</v>
      </c>
    </row>
    <row r="768" spans="1:27" x14ac:dyDescent="0.25">
      <c r="A768" s="12">
        <v>124</v>
      </c>
      <c r="B768">
        <v>18</v>
      </c>
      <c r="C768">
        <f t="shared" si="76"/>
        <v>12418</v>
      </c>
      <c r="D768" s="3" t="s">
        <v>86</v>
      </c>
      <c r="E768" s="11">
        <f t="shared" si="83"/>
        <v>65.325833333333335</v>
      </c>
      <c r="F768" s="11">
        <f t="shared" si="84"/>
        <v>7.3174999999999999</v>
      </c>
      <c r="G768" s="12" t="s">
        <v>144</v>
      </c>
      <c r="H768" s="12" t="s">
        <v>47</v>
      </c>
      <c r="I768">
        <v>2011</v>
      </c>
      <c r="J768" s="12" t="s">
        <v>163</v>
      </c>
      <c r="K768" s="2">
        <v>0</v>
      </c>
      <c r="M768" s="33">
        <v>8.0298781570000006</v>
      </c>
      <c r="N768" s="33">
        <v>9.0250921769999994</v>
      </c>
      <c r="Z768" s="27" t="s">
        <v>247</v>
      </c>
      <c r="AA768" t="s">
        <v>214</v>
      </c>
    </row>
    <row r="769" spans="1:27" x14ac:dyDescent="0.25">
      <c r="A769" s="12">
        <v>124</v>
      </c>
      <c r="B769">
        <v>18</v>
      </c>
      <c r="C769">
        <f t="shared" si="76"/>
        <v>12418</v>
      </c>
      <c r="D769" s="3" t="s">
        <v>86</v>
      </c>
      <c r="E769" s="11">
        <f t="shared" si="83"/>
        <v>65.325833333333335</v>
      </c>
      <c r="F769" s="11">
        <f t="shared" si="84"/>
        <v>7.3174999999999999</v>
      </c>
      <c r="G769" s="12" t="s">
        <v>144</v>
      </c>
      <c r="H769" s="12" t="s">
        <v>47</v>
      </c>
      <c r="I769">
        <v>2012</v>
      </c>
      <c r="J769" s="12" t="s">
        <v>163</v>
      </c>
      <c r="K769" s="2">
        <v>0</v>
      </c>
      <c r="M769" s="33">
        <v>7.8478058333333296</v>
      </c>
      <c r="N769" s="33">
        <v>8.58</v>
      </c>
      <c r="Z769" s="27" t="s">
        <v>247</v>
      </c>
      <c r="AA769" t="s">
        <v>214</v>
      </c>
    </row>
    <row r="770" spans="1:27" x14ac:dyDescent="0.25">
      <c r="A770" s="12">
        <v>124</v>
      </c>
      <c r="B770">
        <v>18</v>
      </c>
      <c r="C770">
        <f t="shared" si="76"/>
        <v>12418</v>
      </c>
      <c r="D770" s="3" t="s">
        <v>86</v>
      </c>
      <c r="E770" s="11">
        <f t="shared" si="83"/>
        <v>65.325833333333335</v>
      </c>
      <c r="F770" s="11">
        <f t="shared" si="84"/>
        <v>7.3174999999999999</v>
      </c>
      <c r="G770" s="12" t="s">
        <v>144</v>
      </c>
      <c r="H770" s="12" t="s">
        <v>47</v>
      </c>
      <c r="I770">
        <v>2013</v>
      </c>
      <c r="J770" s="12" t="s">
        <v>163</v>
      </c>
      <c r="K770" s="2">
        <v>0</v>
      </c>
      <c r="M770" s="33">
        <v>7.3151921782575</v>
      </c>
      <c r="N770" s="33">
        <v>7.9427272727272697</v>
      </c>
      <c r="Z770" s="27" t="s">
        <v>247</v>
      </c>
      <c r="AA770" t="s">
        <v>214</v>
      </c>
    </row>
    <row r="771" spans="1:27" x14ac:dyDescent="0.25">
      <c r="A771" s="12">
        <v>124</v>
      </c>
      <c r="B771">
        <v>18</v>
      </c>
      <c r="C771">
        <f t="shared" ref="C771:C834" si="85">A771*100+B771</f>
        <v>12418</v>
      </c>
      <c r="D771" s="3" t="s">
        <v>86</v>
      </c>
      <c r="E771" s="11">
        <f t="shared" si="83"/>
        <v>65.325833333333335</v>
      </c>
      <c r="F771" s="11">
        <f t="shared" si="84"/>
        <v>7.3174999999999999</v>
      </c>
      <c r="G771" s="12" t="s">
        <v>144</v>
      </c>
      <c r="H771" s="12" t="s">
        <v>47</v>
      </c>
      <c r="I771">
        <v>2014</v>
      </c>
      <c r="J771" s="12" t="s">
        <v>163</v>
      </c>
      <c r="K771" s="2">
        <v>0</v>
      </c>
      <c r="M771" s="33">
        <v>6.7172727272727304</v>
      </c>
      <c r="N771" s="33">
        <v>7.5463636363636404</v>
      </c>
      <c r="Z771" s="27" t="s">
        <v>247</v>
      </c>
      <c r="AA771" t="s">
        <v>214</v>
      </c>
    </row>
    <row r="772" spans="1:27" x14ac:dyDescent="0.25">
      <c r="A772" s="12">
        <v>124</v>
      </c>
      <c r="B772">
        <v>18</v>
      </c>
      <c r="C772">
        <f t="shared" si="85"/>
        <v>12418</v>
      </c>
      <c r="D772" s="3" t="s">
        <v>86</v>
      </c>
      <c r="E772" s="11">
        <f t="shared" si="83"/>
        <v>65.325833333333335</v>
      </c>
      <c r="F772" s="11">
        <f t="shared" si="84"/>
        <v>7.3174999999999999</v>
      </c>
      <c r="G772" s="12" t="s">
        <v>144</v>
      </c>
      <c r="H772" s="12" t="s">
        <v>47</v>
      </c>
      <c r="I772">
        <v>2015</v>
      </c>
      <c r="J772" s="12" t="s">
        <v>163</v>
      </c>
      <c r="K772" s="2">
        <v>0</v>
      </c>
      <c r="M772" s="33">
        <v>7.835</v>
      </c>
      <c r="N772" s="33">
        <v>9.0281818181818192</v>
      </c>
      <c r="Z772" s="27" t="s">
        <v>247</v>
      </c>
      <c r="AA772" t="s">
        <v>214</v>
      </c>
    </row>
    <row r="773" spans="1:27" x14ac:dyDescent="0.25">
      <c r="A773" s="12">
        <v>124</v>
      </c>
      <c r="B773">
        <v>18</v>
      </c>
      <c r="C773">
        <f t="shared" si="85"/>
        <v>12418</v>
      </c>
      <c r="D773" s="3" t="s">
        <v>86</v>
      </c>
      <c r="E773" s="11">
        <f t="shared" si="83"/>
        <v>65.325833333333335</v>
      </c>
      <c r="F773" s="11">
        <f t="shared" si="84"/>
        <v>7.3174999999999999</v>
      </c>
      <c r="G773" s="12" t="s">
        <v>144</v>
      </c>
      <c r="H773" s="12" t="s">
        <v>47</v>
      </c>
      <c r="I773">
        <v>2016</v>
      </c>
      <c r="J773" s="12" t="s">
        <v>163</v>
      </c>
      <c r="K773" s="2">
        <v>0</v>
      </c>
      <c r="M773" s="33">
        <v>7.665</v>
      </c>
      <c r="N773" s="33">
        <v>8.5625</v>
      </c>
      <c r="Z773" s="27" t="s">
        <v>247</v>
      </c>
      <c r="AA773" t="s">
        <v>214</v>
      </c>
    </row>
    <row r="774" spans="1:27" x14ac:dyDescent="0.25">
      <c r="A774" s="12">
        <v>124</v>
      </c>
      <c r="B774">
        <v>18</v>
      </c>
      <c r="C774">
        <f t="shared" si="85"/>
        <v>12418</v>
      </c>
      <c r="D774" s="3" t="s">
        <v>86</v>
      </c>
      <c r="E774" s="11">
        <f t="shared" si="83"/>
        <v>65.325833333333335</v>
      </c>
      <c r="F774" s="11">
        <f t="shared" si="84"/>
        <v>7.3174999999999999</v>
      </c>
      <c r="G774" s="12" t="s">
        <v>144</v>
      </c>
      <c r="H774" s="12" t="s">
        <v>47</v>
      </c>
      <c r="I774">
        <v>2017</v>
      </c>
      <c r="J774" s="12" t="s">
        <v>163</v>
      </c>
      <c r="K774" s="2">
        <v>0</v>
      </c>
      <c r="M774" s="33">
        <v>8.3833333333333293</v>
      </c>
      <c r="N774" s="33">
        <v>9.5500000000000007</v>
      </c>
      <c r="Z774" s="27" t="s">
        <v>247</v>
      </c>
      <c r="AA774" t="s">
        <v>214</v>
      </c>
    </row>
    <row r="775" spans="1:27" x14ac:dyDescent="0.25">
      <c r="A775" s="12">
        <v>124</v>
      </c>
      <c r="B775">
        <v>18</v>
      </c>
      <c r="C775">
        <f t="shared" si="85"/>
        <v>12418</v>
      </c>
      <c r="D775" s="3" t="s">
        <v>86</v>
      </c>
      <c r="E775" s="11">
        <f t="shared" si="83"/>
        <v>65.325833333333335</v>
      </c>
      <c r="F775" s="11">
        <f t="shared" si="84"/>
        <v>7.3174999999999999</v>
      </c>
      <c r="G775" s="12" t="s">
        <v>144</v>
      </c>
      <c r="H775" s="12" t="s">
        <v>47</v>
      </c>
      <c r="I775">
        <v>2018</v>
      </c>
      <c r="J775" s="12" t="s">
        <v>163</v>
      </c>
      <c r="K775" s="2">
        <v>0</v>
      </c>
      <c r="M775" s="33">
        <v>8.0425000000000004</v>
      </c>
      <c r="N775" s="33">
        <v>10.9</v>
      </c>
      <c r="Z775" s="27" t="s">
        <v>247</v>
      </c>
      <c r="AA775" t="s">
        <v>214</v>
      </c>
    </row>
    <row r="776" spans="1:27" x14ac:dyDescent="0.25">
      <c r="A776" s="12">
        <v>124</v>
      </c>
      <c r="B776">
        <v>18</v>
      </c>
      <c r="C776">
        <f t="shared" si="85"/>
        <v>12418</v>
      </c>
      <c r="D776" s="3" t="s">
        <v>86</v>
      </c>
      <c r="E776" s="11">
        <f t="shared" si="83"/>
        <v>65.325833333333335</v>
      </c>
      <c r="F776" s="11">
        <f t="shared" si="84"/>
        <v>7.3174999999999999</v>
      </c>
      <c r="G776" s="12" t="s">
        <v>144</v>
      </c>
      <c r="H776" s="12" t="s">
        <v>47</v>
      </c>
      <c r="I776">
        <v>2019</v>
      </c>
      <c r="J776" s="12" t="s">
        <v>163</v>
      </c>
      <c r="K776" s="2">
        <v>0</v>
      </c>
      <c r="M776" s="33">
        <v>7.7925000000000004</v>
      </c>
      <c r="N776" s="33">
        <v>10.775</v>
      </c>
      <c r="Z776" s="27" t="s">
        <v>247</v>
      </c>
      <c r="AA776" t="s">
        <v>214</v>
      </c>
    </row>
    <row r="777" spans="1:27" x14ac:dyDescent="0.25">
      <c r="A777" s="12">
        <v>124</v>
      </c>
      <c r="B777">
        <v>18</v>
      </c>
      <c r="C777">
        <f t="shared" si="85"/>
        <v>12418</v>
      </c>
      <c r="D777" s="3" t="s">
        <v>86</v>
      </c>
      <c r="E777" s="11">
        <f t="shared" si="83"/>
        <v>65.325833333333335</v>
      </c>
      <c r="F777" s="11">
        <f t="shared" si="84"/>
        <v>7.3174999999999999</v>
      </c>
      <c r="G777" s="12" t="s">
        <v>144</v>
      </c>
      <c r="H777" s="12" t="s">
        <v>47</v>
      </c>
      <c r="I777">
        <v>2020</v>
      </c>
      <c r="J777" s="12" t="s">
        <v>163</v>
      </c>
      <c r="K777" s="2">
        <v>0</v>
      </c>
      <c r="M777" s="33">
        <v>8.3975000000000009</v>
      </c>
      <c r="N777" s="33">
        <v>10.797499999999999</v>
      </c>
      <c r="Z777" s="27" t="s">
        <v>247</v>
      </c>
      <c r="AA777" t="s">
        <v>214</v>
      </c>
    </row>
    <row r="778" spans="1:27" x14ac:dyDescent="0.25">
      <c r="A778" s="12">
        <v>124</v>
      </c>
      <c r="B778">
        <v>18</v>
      </c>
      <c r="C778">
        <f t="shared" si="85"/>
        <v>12418</v>
      </c>
      <c r="D778" s="3" t="s">
        <v>86</v>
      </c>
      <c r="E778" s="11">
        <f t="shared" si="83"/>
        <v>65.325833333333335</v>
      </c>
      <c r="F778" s="11">
        <f t="shared" si="84"/>
        <v>7.3174999999999999</v>
      </c>
      <c r="G778" s="12" t="s">
        <v>144</v>
      </c>
      <c r="H778" s="12" t="s">
        <v>47</v>
      </c>
      <c r="I778">
        <v>2021</v>
      </c>
      <c r="J778" s="12" t="s">
        <v>163</v>
      </c>
      <c r="K778" s="2">
        <v>0</v>
      </c>
      <c r="M778" s="33">
        <v>6.9012500000000001</v>
      </c>
      <c r="N778" s="33">
        <v>8.4819999999999993</v>
      </c>
      <c r="Z778" s="27" t="s">
        <v>247</v>
      </c>
      <c r="AA778" t="s">
        <v>214</v>
      </c>
    </row>
    <row r="779" spans="1:27" x14ac:dyDescent="0.25">
      <c r="A779" s="12">
        <v>124</v>
      </c>
      <c r="B779">
        <v>19</v>
      </c>
      <c r="C779">
        <f t="shared" si="85"/>
        <v>12419</v>
      </c>
      <c r="D779" s="3" t="s">
        <v>86</v>
      </c>
      <c r="E779" s="11">
        <f>59+34/60+26.98/3600</f>
        <v>59.574161111111117</v>
      </c>
      <c r="F779" s="11">
        <f>2+13/60+43.7/3600</f>
        <v>2.2288055555555557</v>
      </c>
      <c r="G779" s="12" t="s">
        <v>144</v>
      </c>
      <c r="H779" s="12" t="s">
        <v>47</v>
      </c>
      <c r="I779">
        <v>2003</v>
      </c>
      <c r="J779" s="12" t="s">
        <v>163</v>
      </c>
      <c r="K779" s="2">
        <v>0</v>
      </c>
      <c r="M779" s="33">
        <v>0</v>
      </c>
      <c r="N779" s="33"/>
      <c r="Z779" s="27" t="s">
        <v>247</v>
      </c>
      <c r="AA779" t="s">
        <v>228</v>
      </c>
    </row>
    <row r="780" spans="1:27" x14ac:dyDescent="0.25">
      <c r="A780" s="12">
        <v>124</v>
      </c>
      <c r="B780">
        <v>19</v>
      </c>
      <c r="C780">
        <f t="shared" si="85"/>
        <v>12419</v>
      </c>
      <c r="D780" s="3" t="s">
        <v>86</v>
      </c>
      <c r="E780" s="11">
        <f t="shared" ref="E780:E795" si="86">59+34/60+26.98/3600</f>
        <v>59.574161111111117</v>
      </c>
      <c r="F780" s="11">
        <f t="shared" ref="F780:F795" si="87">2+13/60+43.7/3600</f>
        <v>2.2288055555555557</v>
      </c>
      <c r="G780" s="12" t="s">
        <v>144</v>
      </c>
      <c r="H780" s="12" t="s">
        <v>47</v>
      </c>
      <c r="I780">
        <v>2004</v>
      </c>
      <c r="J780" s="12" t="s">
        <v>163</v>
      </c>
      <c r="K780" s="2">
        <v>0</v>
      </c>
      <c r="M780" s="33">
        <v>0.63</v>
      </c>
      <c r="N780" s="33"/>
      <c r="Z780" s="27" t="s">
        <v>247</v>
      </c>
      <c r="AA780" t="s">
        <v>228</v>
      </c>
    </row>
    <row r="781" spans="1:27" x14ac:dyDescent="0.25">
      <c r="A781" s="12">
        <v>124</v>
      </c>
      <c r="B781">
        <v>19</v>
      </c>
      <c r="C781">
        <f t="shared" si="85"/>
        <v>12419</v>
      </c>
      <c r="D781" s="3" t="s">
        <v>86</v>
      </c>
      <c r="E781" s="11">
        <f t="shared" si="86"/>
        <v>59.574161111111117</v>
      </c>
      <c r="F781" s="11">
        <f t="shared" si="87"/>
        <v>2.2288055555555557</v>
      </c>
      <c r="G781" s="12" t="s">
        <v>144</v>
      </c>
      <c r="H781" s="12" t="s">
        <v>47</v>
      </c>
      <c r="I781">
        <v>2006</v>
      </c>
      <c r="J781" s="12" t="s">
        <v>163</v>
      </c>
      <c r="K781" s="2">
        <v>0</v>
      </c>
      <c r="M781" s="33">
        <v>0.6</v>
      </c>
      <c r="N781" s="33">
        <v>0.04</v>
      </c>
      <c r="Z781" s="27" t="s">
        <v>247</v>
      </c>
      <c r="AA781" t="s">
        <v>228</v>
      </c>
    </row>
    <row r="782" spans="1:27" x14ac:dyDescent="0.25">
      <c r="A782" s="12">
        <v>124</v>
      </c>
      <c r="B782">
        <v>19</v>
      </c>
      <c r="C782">
        <f t="shared" si="85"/>
        <v>12419</v>
      </c>
      <c r="D782" s="3" t="s">
        <v>86</v>
      </c>
      <c r="E782" s="11">
        <f t="shared" si="86"/>
        <v>59.574161111111117</v>
      </c>
      <c r="F782" s="11">
        <f t="shared" si="87"/>
        <v>2.2288055555555557</v>
      </c>
      <c r="G782" s="12" t="s">
        <v>144</v>
      </c>
      <c r="H782" s="12" t="s">
        <v>47</v>
      </c>
      <c r="I782">
        <v>2008</v>
      </c>
      <c r="J782" s="12" t="s">
        <v>163</v>
      </c>
      <c r="K782" s="2">
        <v>0</v>
      </c>
      <c r="M782" s="33">
        <v>1</v>
      </c>
      <c r="N782" s="33">
        <v>0.1</v>
      </c>
      <c r="Z782" s="27" t="s">
        <v>247</v>
      </c>
      <c r="AA782" t="s">
        <v>228</v>
      </c>
    </row>
    <row r="783" spans="1:27" x14ac:dyDescent="0.25">
      <c r="A783" s="12">
        <v>124</v>
      </c>
      <c r="B783">
        <v>19</v>
      </c>
      <c r="C783">
        <f t="shared" si="85"/>
        <v>12419</v>
      </c>
      <c r="D783" s="3" t="s">
        <v>86</v>
      </c>
      <c r="E783" s="11">
        <f t="shared" si="86"/>
        <v>59.574161111111117</v>
      </c>
      <c r="F783" s="11">
        <f t="shared" si="87"/>
        <v>2.2288055555555557</v>
      </c>
      <c r="G783" s="12" t="s">
        <v>144</v>
      </c>
      <c r="H783" s="12" t="s">
        <v>47</v>
      </c>
      <c r="I783">
        <v>2009</v>
      </c>
      <c r="J783" s="12" t="s">
        <v>163</v>
      </c>
      <c r="K783" s="2">
        <v>0</v>
      </c>
      <c r="M783" s="33">
        <v>0.3</v>
      </c>
      <c r="N783" s="33">
        <v>0.1</v>
      </c>
      <c r="Z783" s="27" t="s">
        <v>247</v>
      </c>
      <c r="AA783" t="s">
        <v>228</v>
      </c>
    </row>
    <row r="784" spans="1:27" x14ac:dyDescent="0.25">
      <c r="A784" s="12">
        <v>124</v>
      </c>
      <c r="B784">
        <v>19</v>
      </c>
      <c r="C784">
        <f t="shared" si="85"/>
        <v>12419</v>
      </c>
      <c r="D784" s="3" t="s">
        <v>86</v>
      </c>
      <c r="E784" s="11">
        <f t="shared" si="86"/>
        <v>59.574161111111117</v>
      </c>
      <c r="F784" s="11">
        <f t="shared" si="87"/>
        <v>2.2288055555555557</v>
      </c>
      <c r="G784" s="12" t="s">
        <v>144</v>
      </c>
      <c r="H784" s="12" t="s">
        <v>47</v>
      </c>
      <c r="I784">
        <v>2010</v>
      </c>
      <c r="J784" s="12" t="s">
        <v>163</v>
      </c>
      <c r="K784" s="2">
        <v>0</v>
      </c>
      <c r="M784" s="33">
        <v>0.450284091</v>
      </c>
      <c r="N784" s="33">
        <v>0.150142045</v>
      </c>
      <c r="Z784" s="27" t="s">
        <v>247</v>
      </c>
      <c r="AA784" t="s">
        <v>228</v>
      </c>
    </row>
    <row r="785" spans="1:27" x14ac:dyDescent="0.25">
      <c r="A785" s="12">
        <v>124</v>
      </c>
      <c r="B785">
        <v>19</v>
      </c>
      <c r="C785">
        <f t="shared" si="85"/>
        <v>12419</v>
      </c>
      <c r="D785" s="3" t="s">
        <v>86</v>
      </c>
      <c r="E785" s="11">
        <f t="shared" si="86"/>
        <v>59.574161111111117</v>
      </c>
      <c r="F785" s="11">
        <f t="shared" si="87"/>
        <v>2.2288055555555557</v>
      </c>
      <c r="G785" s="12" t="s">
        <v>144</v>
      </c>
      <c r="H785" s="12" t="s">
        <v>47</v>
      </c>
      <c r="I785">
        <v>2011</v>
      </c>
      <c r="J785" s="12" t="s">
        <v>163</v>
      </c>
      <c r="K785" s="2">
        <v>0</v>
      </c>
      <c r="M785" s="33">
        <v>0.44461134000000002</v>
      </c>
      <c r="N785" s="33">
        <v>0.05</v>
      </c>
      <c r="Z785" s="27" t="s">
        <v>247</v>
      </c>
      <c r="AA785" t="s">
        <v>228</v>
      </c>
    </row>
    <row r="786" spans="1:27" x14ac:dyDescent="0.25">
      <c r="A786" s="12">
        <v>124</v>
      </c>
      <c r="B786">
        <v>19</v>
      </c>
      <c r="C786">
        <f t="shared" si="85"/>
        <v>12419</v>
      </c>
      <c r="D786" s="3" t="s">
        <v>86</v>
      </c>
      <c r="E786" s="11">
        <f t="shared" si="86"/>
        <v>59.574161111111117</v>
      </c>
      <c r="F786" s="11">
        <f t="shared" si="87"/>
        <v>2.2288055555555557</v>
      </c>
      <c r="G786" s="12" t="s">
        <v>144</v>
      </c>
      <c r="H786" s="12" t="s">
        <v>47</v>
      </c>
      <c r="I786">
        <v>2012</v>
      </c>
      <c r="J786" s="12" t="s">
        <v>163</v>
      </c>
      <c r="K786" s="2">
        <v>0</v>
      </c>
      <c r="M786" s="33">
        <v>0.28333333333333299</v>
      </c>
      <c r="N786" s="33">
        <v>0.30499999999999999</v>
      </c>
      <c r="Z786" s="27" t="s">
        <v>247</v>
      </c>
      <c r="AA786" t="s">
        <v>228</v>
      </c>
    </row>
    <row r="787" spans="1:27" x14ac:dyDescent="0.25">
      <c r="A787" s="12">
        <v>124</v>
      </c>
      <c r="B787">
        <v>19</v>
      </c>
      <c r="C787">
        <f t="shared" si="85"/>
        <v>12419</v>
      </c>
      <c r="D787" s="3" t="s">
        <v>86</v>
      </c>
      <c r="E787" s="11">
        <f t="shared" si="86"/>
        <v>59.574161111111117</v>
      </c>
      <c r="F787" s="11">
        <f t="shared" si="87"/>
        <v>2.2288055555555557</v>
      </c>
      <c r="G787" s="12" t="s">
        <v>144</v>
      </c>
      <c r="H787" s="12" t="s">
        <v>47</v>
      </c>
      <c r="I787">
        <v>2013</v>
      </c>
      <c r="J787" s="12" t="s">
        <v>163</v>
      </c>
      <c r="K787" s="2">
        <v>0</v>
      </c>
      <c r="M787" s="33">
        <v>0.23</v>
      </c>
      <c r="N787" s="33">
        <v>0.19562499999999999</v>
      </c>
      <c r="Z787" s="27" t="s">
        <v>247</v>
      </c>
      <c r="AA787" t="s">
        <v>228</v>
      </c>
    </row>
    <row r="788" spans="1:27" x14ac:dyDescent="0.25">
      <c r="A788" s="12">
        <v>124</v>
      </c>
      <c r="B788">
        <v>19</v>
      </c>
      <c r="C788">
        <f t="shared" si="85"/>
        <v>12419</v>
      </c>
      <c r="D788" s="3" t="s">
        <v>86</v>
      </c>
      <c r="E788" s="11">
        <f t="shared" si="86"/>
        <v>59.574161111111117</v>
      </c>
      <c r="F788" s="11">
        <f t="shared" si="87"/>
        <v>2.2288055555555557</v>
      </c>
      <c r="G788" s="12" t="s">
        <v>144</v>
      </c>
      <c r="H788" s="12" t="s">
        <v>47</v>
      </c>
      <c r="I788">
        <v>2014</v>
      </c>
      <c r="J788" s="12" t="s">
        <v>163</v>
      </c>
      <c r="K788" s="2">
        <v>0</v>
      </c>
      <c r="M788" s="33">
        <v>0.04</v>
      </c>
      <c r="N788" s="33">
        <v>5.2999999999999999E-2</v>
      </c>
      <c r="Z788" s="27" t="s">
        <v>247</v>
      </c>
      <c r="AA788" t="s">
        <v>228</v>
      </c>
    </row>
    <row r="789" spans="1:27" x14ac:dyDescent="0.25">
      <c r="A789" s="12">
        <v>124</v>
      </c>
      <c r="B789">
        <v>19</v>
      </c>
      <c r="C789">
        <f t="shared" si="85"/>
        <v>12419</v>
      </c>
      <c r="D789" s="3" t="s">
        <v>86</v>
      </c>
      <c r="E789" s="11">
        <f t="shared" si="86"/>
        <v>59.574161111111117</v>
      </c>
      <c r="F789" s="11">
        <f t="shared" si="87"/>
        <v>2.2288055555555557</v>
      </c>
      <c r="G789" s="12" t="s">
        <v>144</v>
      </c>
      <c r="H789" s="12" t="s">
        <v>47</v>
      </c>
      <c r="I789">
        <v>2015</v>
      </c>
      <c r="J789" s="12" t="s">
        <v>163</v>
      </c>
      <c r="K789" s="2">
        <v>0</v>
      </c>
      <c r="M789" s="33">
        <v>0.80100000000000005</v>
      </c>
      <c r="N789" s="33">
        <v>0.73899999999999999</v>
      </c>
      <c r="Z789" s="27" t="s">
        <v>247</v>
      </c>
      <c r="AA789" t="s">
        <v>228</v>
      </c>
    </row>
    <row r="790" spans="1:27" x14ac:dyDescent="0.25">
      <c r="A790" s="12">
        <v>124</v>
      </c>
      <c r="B790">
        <v>19</v>
      </c>
      <c r="C790">
        <f t="shared" si="85"/>
        <v>12419</v>
      </c>
      <c r="D790" s="3" t="s">
        <v>86</v>
      </c>
      <c r="E790" s="11">
        <f t="shared" si="86"/>
        <v>59.574161111111117</v>
      </c>
      <c r="F790" s="11">
        <f t="shared" si="87"/>
        <v>2.2288055555555557</v>
      </c>
      <c r="G790" s="12" t="s">
        <v>144</v>
      </c>
      <c r="H790" s="12" t="s">
        <v>47</v>
      </c>
      <c r="I790">
        <v>2016</v>
      </c>
      <c r="J790" s="12" t="s">
        <v>163</v>
      </c>
      <c r="K790" s="2">
        <v>0</v>
      </c>
      <c r="M790" s="33">
        <v>2.3475000000000001</v>
      </c>
      <c r="N790" s="33">
        <v>2.2374999999999998</v>
      </c>
      <c r="Z790" s="27" t="s">
        <v>247</v>
      </c>
      <c r="AA790" t="s">
        <v>228</v>
      </c>
    </row>
    <row r="791" spans="1:27" x14ac:dyDescent="0.25">
      <c r="A791" s="12">
        <v>124</v>
      </c>
      <c r="B791">
        <v>19</v>
      </c>
      <c r="C791">
        <f t="shared" si="85"/>
        <v>12419</v>
      </c>
      <c r="D791" s="3" t="s">
        <v>86</v>
      </c>
      <c r="E791" s="11">
        <f t="shared" si="86"/>
        <v>59.574161111111117</v>
      </c>
      <c r="F791" s="11">
        <f t="shared" si="87"/>
        <v>2.2288055555555557</v>
      </c>
      <c r="G791" s="12" t="s">
        <v>144</v>
      </c>
      <c r="H791" s="12" t="s">
        <v>47</v>
      </c>
      <c r="I791">
        <v>2017</v>
      </c>
      <c r="J791" s="12" t="s">
        <v>163</v>
      </c>
      <c r="K791" s="2">
        <v>0</v>
      </c>
      <c r="M791" s="33">
        <v>1.1884999999999999</v>
      </c>
      <c r="N791" s="33">
        <v>1.11025</v>
      </c>
      <c r="Z791" s="27" t="s">
        <v>247</v>
      </c>
      <c r="AA791" t="s">
        <v>228</v>
      </c>
    </row>
    <row r="792" spans="1:27" x14ac:dyDescent="0.25">
      <c r="A792" s="12">
        <v>124</v>
      </c>
      <c r="B792">
        <v>19</v>
      </c>
      <c r="C792">
        <f t="shared" si="85"/>
        <v>12419</v>
      </c>
      <c r="D792" s="3" t="s">
        <v>86</v>
      </c>
      <c r="E792" s="11">
        <f t="shared" si="86"/>
        <v>59.574161111111117</v>
      </c>
      <c r="F792" s="11">
        <f t="shared" si="87"/>
        <v>2.2288055555555557</v>
      </c>
      <c r="G792" s="12" t="s">
        <v>144</v>
      </c>
      <c r="H792" s="12" t="s">
        <v>47</v>
      </c>
      <c r="I792">
        <v>2018</v>
      </c>
      <c r="J792" s="12" t="s">
        <v>163</v>
      </c>
      <c r="K792" s="2">
        <v>0</v>
      </c>
      <c r="M792" s="33">
        <v>0.24975</v>
      </c>
      <c r="N792" s="33">
        <v>0.36249999999999999</v>
      </c>
      <c r="Z792" s="27" t="s">
        <v>247</v>
      </c>
      <c r="AA792" t="s">
        <v>228</v>
      </c>
    </row>
    <row r="793" spans="1:27" x14ac:dyDescent="0.25">
      <c r="A793" s="12">
        <v>124</v>
      </c>
      <c r="B793">
        <v>19</v>
      </c>
      <c r="C793">
        <f t="shared" si="85"/>
        <v>12419</v>
      </c>
      <c r="D793" s="3" t="s">
        <v>86</v>
      </c>
      <c r="E793" s="11">
        <f t="shared" si="86"/>
        <v>59.574161111111117</v>
      </c>
      <c r="F793" s="11">
        <f t="shared" si="87"/>
        <v>2.2288055555555557</v>
      </c>
      <c r="G793" s="12" t="s">
        <v>144</v>
      </c>
      <c r="H793" s="12" t="s">
        <v>47</v>
      </c>
      <c r="I793">
        <v>2019</v>
      </c>
      <c r="J793" s="12" t="s">
        <v>163</v>
      </c>
      <c r="K793" s="2">
        <v>0</v>
      </c>
      <c r="M793" s="33">
        <v>0.56499999999999995</v>
      </c>
      <c r="N793" s="33">
        <v>0.421875</v>
      </c>
      <c r="Z793" s="27" t="s">
        <v>247</v>
      </c>
      <c r="AA793" t="s">
        <v>228</v>
      </c>
    </row>
    <row r="794" spans="1:27" x14ac:dyDescent="0.25">
      <c r="A794" s="12">
        <v>124</v>
      </c>
      <c r="B794">
        <v>19</v>
      </c>
      <c r="C794">
        <f t="shared" si="85"/>
        <v>12419</v>
      </c>
      <c r="D794" s="3" t="s">
        <v>86</v>
      </c>
      <c r="E794" s="11">
        <f t="shared" si="86"/>
        <v>59.574161111111117</v>
      </c>
      <c r="F794" s="11">
        <f t="shared" si="87"/>
        <v>2.2288055555555557</v>
      </c>
      <c r="G794" s="12" t="s">
        <v>144</v>
      </c>
      <c r="H794" s="12" t="s">
        <v>47</v>
      </c>
      <c r="I794">
        <v>2020</v>
      </c>
      <c r="J794" s="12" t="s">
        <v>163</v>
      </c>
      <c r="K794" s="2">
        <v>0</v>
      </c>
      <c r="M794" s="33">
        <v>3.23</v>
      </c>
      <c r="N794" s="33">
        <v>3.2679999999999998</v>
      </c>
      <c r="Z794" s="27" t="s">
        <v>247</v>
      </c>
      <c r="AA794" t="s">
        <v>228</v>
      </c>
    </row>
    <row r="795" spans="1:27" x14ac:dyDescent="0.25">
      <c r="A795" s="12">
        <v>124</v>
      </c>
      <c r="B795">
        <v>19</v>
      </c>
      <c r="C795">
        <f t="shared" si="85"/>
        <v>12419</v>
      </c>
      <c r="D795" s="3" t="s">
        <v>86</v>
      </c>
      <c r="E795" s="11">
        <f t="shared" si="86"/>
        <v>59.574161111111117</v>
      </c>
      <c r="F795" s="11">
        <f t="shared" si="87"/>
        <v>2.2288055555555557</v>
      </c>
      <c r="G795" s="12" t="s">
        <v>144</v>
      </c>
      <c r="H795" s="12" t="s">
        <v>47</v>
      </c>
      <c r="I795">
        <v>2021</v>
      </c>
      <c r="J795" s="12" t="s">
        <v>163</v>
      </c>
      <c r="K795" s="2">
        <v>0</v>
      </c>
      <c r="M795" s="33">
        <v>4.60975</v>
      </c>
      <c r="N795" s="33">
        <v>4.2850000000000001</v>
      </c>
      <c r="Z795" s="27" t="s">
        <v>247</v>
      </c>
      <c r="AA795" t="s">
        <v>228</v>
      </c>
    </row>
    <row r="796" spans="1:27" x14ac:dyDescent="0.25">
      <c r="A796" s="12">
        <v>124</v>
      </c>
      <c r="B796">
        <v>20</v>
      </c>
      <c r="C796">
        <f t="shared" si="85"/>
        <v>12420</v>
      </c>
      <c r="D796" s="3" t="s">
        <v>86</v>
      </c>
      <c r="E796" s="11">
        <f>60+51/60+20.97/3600</f>
        <v>60.855825000000003</v>
      </c>
      <c r="F796" s="11">
        <f>2+39/60+1.17/3600</f>
        <v>2.650325</v>
      </c>
      <c r="G796" s="12" t="s">
        <v>144</v>
      </c>
      <c r="H796" s="12" t="s">
        <v>47</v>
      </c>
      <c r="I796">
        <v>2003</v>
      </c>
      <c r="J796" s="12" t="s">
        <v>163</v>
      </c>
      <c r="K796" s="2">
        <v>0</v>
      </c>
      <c r="M796" s="33">
        <v>4.0999999999999996</v>
      </c>
      <c r="N796" s="33"/>
      <c r="Z796" s="27" t="s">
        <v>247</v>
      </c>
      <c r="AA796" t="s">
        <v>229</v>
      </c>
    </row>
    <row r="797" spans="1:27" x14ac:dyDescent="0.25">
      <c r="A797" s="12">
        <v>124</v>
      </c>
      <c r="B797">
        <v>20</v>
      </c>
      <c r="C797">
        <f t="shared" si="85"/>
        <v>12420</v>
      </c>
      <c r="D797" s="3" t="s">
        <v>86</v>
      </c>
      <c r="E797" s="11">
        <f>60+51/60+20.97/3600</f>
        <v>60.855825000000003</v>
      </c>
      <c r="F797" s="11">
        <f>2+39/60+1.17/3600</f>
        <v>2.650325</v>
      </c>
      <c r="G797" s="12" t="s">
        <v>144</v>
      </c>
      <c r="H797" s="12" t="s">
        <v>47</v>
      </c>
      <c r="I797">
        <v>2004</v>
      </c>
      <c r="J797" s="12" t="s">
        <v>163</v>
      </c>
      <c r="K797" s="2">
        <v>0</v>
      </c>
      <c r="M797" s="33">
        <v>3.5</v>
      </c>
      <c r="N797" s="33"/>
      <c r="Z797" s="27" t="s">
        <v>247</v>
      </c>
      <c r="AA797" t="s">
        <v>229</v>
      </c>
    </row>
    <row r="798" spans="1:27" x14ac:dyDescent="0.25">
      <c r="A798" s="12">
        <v>124</v>
      </c>
      <c r="B798">
        <v>21</v>
      </c>
      <c r="C798">
        <f t="shared" si="85"/>
        <v>12421</v>
      </c>
      <c r="D798" s="3" t="s">
        <v>86</v>
      </c>
      <c r="E798" s="11">
        <f>58+55/60+20.17/3600</f>
        <v>58.922269444444439</v>
      </c>
      <c r="F798" s="11">
        <f>2+11/60+53.25/3600</f>
        <v>2.1981249999999997</v>
      </c>
      <c r="G798" s="12" t="s">
        <v>144</v>
      </c>
      <c r="H798" s="12" t="s">
        <v>47</v>
      </c>
      <c r="I798">
        <v>2018</v>
      </c>
      <c r="J798" s="12" t="s">
        <v>163</v>
      </c>
      <c r="K798" s="2">
        <v>0</v>
      </c>
      <c r="M798" s="33">
        <v>35</v>
      </c>
      <c r="N798" s="33">
        <v>32.424999999999997</v>
      </c>
      <c r="Z798" s="27" t="s">
        <v>247</v>
      </c>
      <c r="AA798" t="s">
        <v>243</v>
      </c>
    </row>
    <row r="799" spans="1:27" x14ac:dyDescent="0.25">
      <c r="A799" s="12">
        <v>124</v>
      </c>
      <c r="B799">
        <v>21</v>
      </c>
      <c r="C799">
        <f t="shared" si="85"/>
        <v>12421</v>
      </c>
      <c r="D799" s="3" t="s">
        <v>86</v>
      </c>
      <c r="E799" s="11">
        <f t="shared" ref="E799:E801" si="88">58+55/60+20.17/3600</f>
        <v>58.922269444444439</v>
      </c>
      <c r="F799" s="11">
        <f t="shared" ref="F799:F801" si="89">2+11/60+53.25/3600</f>
        <v>2.1981249999999997</v>
      </c>
      <c r="G799" s="12" t="s">
        <v>144</v>
      </c>
      <c r="H799" s="12" t="s">
        <v>47</v>
      </c>
      <c r="I799">
        <v>2019</v>
      </c>
      <c r="J799" s="12" t="s">
        <v>163</v>
      </c>
      <c r="K799" s="2">
        <v>0</v>
      </c>
      <c r="M799" s="33">
        <v>116.766344098012</v>
      </c>
      <c r="N799" s="33">
        <v>30.662094046437499</v>
      </c>
      <c r="Z799" s="27" t="s">
        <v>247</v>
      </c>
      <c r="AA799" t="s">
        <v>243</v>
      </c>
    </row>
    <row r="800" spans="1:27" x14ac:dyDescent="0.25">
      <c r="A800" s="12">
        <v>124</v>
      </c>
      <c r="B800">
        <v>21</v>
      </c>
      <c r="C800">
        <f t="shared" si="85"/>
        <v>12421</v>
      </c>
      <c r="D800" s="3" t="s">
        <v>86</v>
      </c>
      <c r="E800" s="11">
        <f t="shared" si="88"/>
        <v>58.922269444444439</v>
      </c>
      <c r="F800" s="11">
        <f t="shared" si="89"/>
        <v>2.1981249999999997</v>
      </c>
      <c r="G800" s="12" t="s">
        <v>144</v>
      </c>
      <c r="H800" s="12" t="s">
        <v>47</v>
      </c>
      <c r="I800">
        <v>2020</v>
      </c>
      <c r="J800" s="12" t="s">
        <v>163</v>
      </c>
      <c r="K800" s="2">
        <v>0</v>
      </c>
      <c r="M800" s="33">
        <v>203.03628187857501</v>
      </c>
      <c r="N800" s="33">
        <v>36.005658484024998</v>
      </c>
      <c r="Z800" s="27" t="s">
        <v>247</v>
      </c>
      <c r="AA800" t="s">
        <v>243</v>
      </c>
    </row>
    <row r="801" spans="1:27" x14ac:dyDescent="0.25">
      <c r="A801" s="12">
        <v>124</v>
      </c>
      <c r="B801">
        <v>21</v>
      </c>
      <c r="C801">
        <f t="shared" si="85"/>
        <v>12421</v>
      </c>
      <c r="D801" s="3" t="s">
        <v>86</v>
      </c>
      <c r="E801" s="11">
        <f t="shared" si="88"/>
        <v>58.922269444444439</v>
      </c>
      <c r="F801" s="11">
        <f t="shared" si="89"/>
        <v>2.1981249999999997</v>
      </c>
      <c r="G801" s="12" t="s">
        <v>144</v>
      </c>
      <c r="H801" s="12" t="s">
        <v>47</v>
      </c>
      <c r="I801">
        <v>2021</v>
      </c>
      <c r="J801" s="12" t="s">
        <v>163</v>
      </c>
      <c r="K801" s="2">
        <v>0</v>
      </c>
      <c r="M801" s="33">
        <v>143.25</v>
      </c>
      <c r="N801" s="33">
        <v>27.25</v>
      </c>
      <c r="Z801" s="27" t="s">
        <v>247</v>
      </c>
      <c r="AA801" t="s">
        <v>243</v>
      </c>
    </row>
    <row r="802" spans="1:27" x14ac:dyDescent="0.25">
      <c r="A802" s="12">
        <v>124</v>
      </c>
      <c r="B802">
        <v>22</v>
      </c>
      <c r="C802">
        <f t="shared" si="85"/>
        <v>12422</v>
      </c>
      <c r="D802" s="3" t="s">
        <v>86</v>
      </c>
      <c r="E802" s="11">
        <f>59+27/60+27.1/3600</f>
        <v>59.457527777777777</v>
      </c>
      <c r="F802" s="11">
        <f>2+21/60+52.15/3600</f>
        <v>2.3644861111111113</v>
      </c>
      <c r="G802" s="12" t="s">
        <v>144</v>
      </c>
      <c r="H802" s="12" t="s">
        <v>47</v>
      </c>
      <c r="I802">
        <v>2002</v>
      </c>
      <c r="J802" s="12" t="s">
        <v>163</v>
      </c>
      <c r="K802" s="2">
        <v>0</v>
      </c>
      <c r="M802" s="33">
        <v>6.4</v>
      </c>
      <c r="N802" s="33"/>
      <c r="Z802" s="27" t="s">
        <v>247</v>
      </c>
      <c r="AA802" t="s">
        <v>215</v>
      </c>
    </row>
    <row r="803" spans="1:27" x14ac:dyDescent="0.25">
      <c r="A803" s="12">
        <v>124</v>
      </c>
      <c r="B803">
        <v>22</v>
      </c>
      <c r="C803">
        <f t="shared" si="85"/>
        <v>12422</v>
      </c>
      <c r="D803" s="3" t="s">
        <v>86</v>
      </c>
      <c r="E803" s="11">
        <f t="shared" ref="E803:E820" si="90">59+27/60+27.1/3600</f>
        <v>59.457527777777777</v>
      </c>
      <c r="F803" s="11">
        <f t="shared" ref="F803:F820" si="91">2+21/60+52.15/3600</f>
        <v>2.3644861111111113</v>
      </c>
      <c r="G803" s="12" t="s">
        <v>144</v>
      </c>
      <c r="H803" s="12" t="s">
        <v>47</v>
      </c>
      <c r="I803">
        <v>2003</v>
      </c>
      <c r="J803" s="12" t="s">
        <v>163</v>
      </c>
      <c r="K803" s="2">
        <v>0</v>
      </c>
      <c r="M803" s="33">
        <v>6.8</v>
      </c>
      <c r="N803" s="33"/>
      <c r="Z803" s="27" t="s">
        <v>247</v>
      </c>
      <c r="AA803" t="s">
        <v>215</v>
      </c>
    </row>
    <row r="804" spans="1:27" x14ac:dyDescent="0.25">
      <c r="A804" s="12">
        <v>124</v>
      </c>
      <c r="B804">
        <v>22</v>
      </c>
      <c r="C804">
        <f t="shared" si="85"/>
        <v>12422</v>
      </c>
      <c r="D804" s="3" t="s">
        <v>86</v>
      </c>
      <c r="E804" s="11">
        <f t="shared" si="90"/>
        <v>59.457527777777777</v>
      </c>
      <c r="F804" s="11">
        <f t="shared" si="91"/>
        <v>2.3644861111111113</v>
      </c>
      <c r="G804" s="12" t="s">
        <v>144</v>
      </c>
      <c r="H804" s="12" t="s">
        <v>47</v>
      </c>
      <c r="I804">
        <v>2004</v>
      </c>
      <c r="J804" s="12" t="s">
        <v>163</v>
      </c>
      <c r="K804" s="2">
        <v>0</v>
      </c>
      <c r="M804" s="33">
        <v>6</v>
      </c>
      <c r="N804" s="33"/>
      <c r="Z804" s="27" t="s">
        <v>247</v>
      </c>
      <c r="AA804" t="s">
        <v>215</v>
      </c>
    </row>
    <row r="805" spans="1:27" x14ac:dyDescent="0.25">
      <c r="A805" s="12">
        <v>124</v>
      </c>
      <c r="B805">
        <v>22</v>
      </c>
      <c r="C805">
        <f t="shared" si="85"/>
        <v>12422</v>
      </c>
      <c r="D805" s="3" t="s">
        <v>86</v>
      </c>
      <c r="E805" s="11">
        <f t="shared" si="90"/>
        <v>59.457527777777777</v>
      </c>
      <c r="F805" s="11">
        <f t="shared" si="91"/>
        <v>2.3644861111111113</v>
      </c>
      <c r="G805" s="12" t="s">
        <v>144</v>
      </c>
      <c r="H805" s="12" t="s">
        <v>47</v>
      </c>
      <c r="I805">
        <v>2005</v>
      </c>
      <c r="J805" s="12" t="s">
        <v>163</v>
      </c>
      <c r="K805" s="2">
        <v>0</v>
      </c>
      <c r="M805" s="33">
        <v>5.9</v>
      </c>
      <c r="N805" s="33">
        <v>6.37</v>
      </c>
      <c r="Z805" s="27" t="s">
        <v>247</v>
      </c>
      <c r="AA805" t="s">
        <v>215</v>
      </c>
    </row>
    <row r="806" spans="1:27" x14ac:dyDescent="0.25">
      <c r="A806" s="12">
        <v>124</v>
      </c>
      <c r="B806">
        <v>22</v>
      </c>
      <c r="C806">
        <f t="shared" si="85"/>
        <v>12422</v>
      </c>
      <c r="D806" s="3" t="s">
        <v>86</v>
      </c>
      <c r="E806" s="11">
        <f t="shared" si="90"/>
        <v>59.457527777777777</v>
      </c>
      <c r="F806" s="11">
        <f t="shared" si="91"/>
        <v>2.3644861111111113</v>
      </c>
      <c r="G806" s="12" t="s">
        <v>144</v>
      </c>
      <c r="H806" s="12" t="s">
        <v>47</v>
      </c>
      <c r="I806">
        <v>2006</v>
      </c>
      <c r="J806" s="12" t="s">
        <v>163</v>
      </c>
      <c r="K806" s="2">
        <v>0</v>
      </c>
      <c r="M806" s="33">
        <v>5.45</v>
      </c>
      <c r="N806" s="33">
        <v>6.56666667</v>
      </c>
      <c r="Z806" s="27" t="s">
        <v>247</v>
      </c>
      <c r="AA806" t="s">
        <v>215</v>
      </c>
    </row>
    <row r="807" spans="1:27" x14ac:dyDescent="0.25">
      <c r="A807" s="12">
        <v>124</v>
      </c>
      <c r="B807">
        <v>22</v>
      </c>
      <c r="C807">
        <f t="shared" si="85"/>
        <v>12422</v>
      </c>
      <c r="D807" s="3" t="s">
        <v>86</v>
      </c>
      <c r="E807" s="11">
        <f t="shared" si="90"/>
        <v>59.457527777777777</v>
      </c>
      <c r="F807" s="11">
        <f t="shared" si="91"/>
        <v>2.3644861111111113</v>
      </c>
      <c r="G807" s="12" t="s">
        <v>144</v>
      </c>
      <c r="H807" s="12" t="s">
        <v>47</v>
      </c>
      <c r="I807">
        <v>2007</v>
      </c>
      <c r="J807" s="12" t="s">
        <v>163</v>
      </c>
      <c r="K807" s="2">
        <v>0</v>
      </c>
      <c r="M807" s="33">
        <v>6.32</v>
      </c>
      <c r="N807" s="33">
        <v>7.16</v>
      </c>
      <c r="Z807" s="27" t="s">
        <v>247</v>
      </c>
      <c r="AA807" t="s">
        <v>215</v>
      </c>
    </row>
    <row r="808" spans="1:27" x14ac:dyDescent="0.25">
      <c r="A808" s="12">
        <v>124</v>
      </c>
      <c r="B808">
        <v>22</v>
      </c>
      <c r="C808">
        <f t="shared" si="85"/>
        <v>12422</v>
      </c>
      <c r="D808" s="3" t="s">
        <v>86</v>
      </c>
      <c r="E808" s="11">
        <f t="shared" si="90"/>
        <v>59.457527777777777</v>
      </c>
      <c r="F808" s="11">
        <f t="shared" si="91"/>
        <v>2.3644861111111113</v>
      </c>
      <c r="G808" s="12" t="s">
        <v>144</v>
      </c>
      <c r="H808" s="12" t="s">
        <v>47</v>
      </c>
      <c r="I808">
        <v>2008</v>
      </c>
      <c r="J808" s="12" t="s">
        <v>163</v>
      </c>
      <c r="K808" s="2">
        <v>0</v>
      </c>
      <c r="M808" s="33">
        <v>6.1</v>
      </c>
      <c r="N808" s="33">
        <v>6.8666666699999999</v>
      </c>
      <c r="Z808" s="27" t="s">
        <v>247</v>
      </c>
      <c r="AA808" t="s">
        <v>215</v>
      </c>
    </row>
    <row r="809" spans="1:27" x14ac:dyDescent="0.25">
      <c r="A809" s="12">
        <v>124</v>
      </c>
      <c r="B809">
        <v>22</v>
      </c>
      <c r="C809">
        <f t="shared" si="85"/>
        <v>12422</v>
      </c>
      <c r="D809" s="3" t="s">
        <v>86</v>
      </c>
      <c r="E809" s="11">
        <f t="shared" si="90"/>
        <v>59.457527777777777</v>
      </c>
      <c r="F809" s="11">
        <f t="shared" si="91"/>
        <v>2.3644861111111113</v>
      </c>
      <c r="G809" s="12" t="s">
        <v>144</v>
      </c>
      <c r="H809" s="12" t="s">
        <v>47</v>
      </c>
      <c r="I809">
        <v>2009</v>
      </c>
      <c r="J809" s="12" t="s">
        <v>163</v>
      </c>
      <c r="K809" s="2">
        <v>0</v>
      </c>
      <c r="M809" s="33">
        <v>6.41818182</v>
      </c>
      <c r="N809" s="33">
        <v>7.0363636400000003</v>
      </c>
      <c r="Z809" s="27" t="s">
        <v>247</v>
      </c>
      <c r="AA809" t="s">
        <v>215</v>
      </c>
    </row>
    <row r="810" spans="1:27" x14ac:dyDescent="0.25">
      <c r="A810" s="12">
        <v>124</v>
      </c>
      <c r="B810">
        <v>22</v>
      </c>
      <c r="C810">
        <f t="shared" si="85"/>
        <v>12422</v>
      </c>
      <c r="D810" s="3" t="s">
        <v>86</v>
      </c>
      <c r="E810" s="11">
        <f t="shared" si="90"/>
        <v>59.457527777777777</v>
      </c>
      <c r="F810" s="11">
        <f t="shared" si="91"/>
        <v>2.3644861111111113</v>
      </c>
      <c r="G810" s="12" t="s">
        <v>144</v>
      </c>
      <c r="H810" s="12" t="s">
        <v>47</v>
      </c>
      <c r="I810">
        <v>2010</v>
      </c>
      <c r="J810" s="12" t="s">
        <v>163</v>
      </c>
      <c r="K810" s="2">
        <v>0</v>
      </c>
      <c r="M810" s="33">
        <v>7.5429078179999998</v>
      </c>
      <c r="N810" s="33">
        <v>8.370390811</v>
      </c>
      <c r="Z810" s="27" t="s">
        <v>247</v>
      </c>
      <c r="AA810" t="s">
        <v>215</v>
      </c>
    </row>
    <row r="811" spans="1:27" x14ac:dyDescent="0.25">
      <c r="A811" s="12">
        <v>124</v>
      </c>
      <c r="B811">
        <v>22</v>
      </c>
      <c r="C811">
        <f t="shared" si="85"/>
        <v>12422</v>
      </c>
      <c r="D811" s="3" t="s">
        <v>86</v>
      </c>
      <c r="E811" s="11">
        <f t="shared" si="90"/>
        <v>59.457527777777777</v>
      </c>
      <c r="F811" s="11">
        <f t="shared" si="91"/>
        <v>2.3644861111111113</v>
      </c>
      <c r="G811" s="12" t="s">
        <v>144</v>
      </c>
      <c r="H811" s="12" t="s">
        <v>47</v>
      </c>
      <c r="I811">
        <v>2011</v>
      </c>
      <c r="J811" s="12" t="s">
        <v>163</v>
      </c>
      <c r="K811" s="2">
        <v>0</v>
      </c>
      <c r="M811" s="33">
        <v>6.5387642440000002</v>
      </c>
      <c r="N811" s="33">
        <v>6.8735238680000004</v>
      </c>
      <c r="Z811" s="27" t="s">
        <v>247</v>
      </c>
      <c r="AA811" t="s">
        <v>215</v>
      </c>
    </row>
    <row r="812" spans="1:27" x14ac:dyDescent="0.25">
      <c r="A812" s="12">
        <v>124</v>
      </c>
      <c r="B812">
        <v>22</v>
      </c>
      <c r="C812">
        <f t="shared" si="85"/>
        <v>12422</v>
      </c>
      <c r="D812" s="3" t="s">
        <v>86</v>
      </c>
      <c r="E812" s="11">
        <f t="shared" si="90"/>
        <v>59.457527777777777</v>
      </c>
      <c r="F812" s="11">
        <f t="shared" si="91"/>
        <v>2.3644861111111113</v>
      </c>
      <c r="G812" s="12" t="s">
        <v>144</v>
      </c>
      <c r="H812" s="12" t="s">
        <v>47</v>
      </c>
      <c r="I812">
        <v>2012</v>
      </c>
      <c r="J812" s="12" t="s">
        <v>163</v>
      </c>
      <c r="K812" s="2">
        <v>0</v>
      </c>
      <c r="M812" s="33">
        <v>5.6571428571428601</v>
      </c>
      <c r="N812" s="33">
        <v>6.0242857142857096</v>
      </c>
      <c r="Z812" s="27" t="s">
        <v>247</v>
      </c>
      <c r="AA812" t="s">
        <v>215</v>
      </c>
    </row>
    <row r="813" spans="1:27" x14ac:dyDescent="0.25">
      <c r="A813" s="12">
        <v>124</v>
      </c>
      <c r="B813">
        <v>22</v>
      </c>
      <c r="C813">
        <f t="shared" si="85"/>
        <v>12422</v>
      </c>
      <c r="D813" s="3" t="s">
        <v>86</v>
      </c>
      <c r="E813" s="11">
        <f t="shared" si="90"/>
        <v>59.457527777777777</v>
      </c>
      <c r="F813" s="11">
        <f t="shared" si="91"/>
        <v>2.3644861111111113</v>
      </c>
      <c r="G813" s="12" t="s">
        <v>144</v>
      </c>
      <c r="H813" s="12" t="s">
        <v>47</v>
      </c>
      <c r="I813">
        <v>2013</v>
      </c>
      <c r="J813" s="12" t="s">
        <v>163</v>
      </c>
      <c r="K813" s="2">
        <v>0</v>
      </c>
      <c r="M813" s="33">
        <v>6.5250028001749998</v>
      </c>
      <c r="N813" s="33">
        <v>7.2857130056285699</v>
      </c>
      <c r="Z813" s="27" t="s">
        <v>247</v>
      </c>
      <c r="AA813" t="s">
        <v>215</v>
      </c>
    </row>
    <row r="814" spans="1:27" x14ac:dyDescent="0.25">
      <c r="A814" s="12">
        <v>124</v>
      </c>
      <c r="B814">
        <v>22</v>
      </c>
      <c r="C814">
        <f t="shared" si="85"/>
        <v>12422</v>
      </c>
      <c r="D814" s="3" t="s">
        <v>86</v>
      </c>
      <c r="E814" s="11">
        <f t="shared" si="90"/>
        <v>59.457527777777777</v>
      </c>
      <c r="F814" s="11">
        <f t="shared" si="91"/>
        <v>2.3644861111111113</v>
      </c>
      <c r="G814" s="12" t="s">
        <v>144</v>
      </c>
      <c r="H814" s="12" t="s">
        <v>47</v>
      </c>
      <c r="I814">
        <v>2014</v>
      </c>
      <c r="J814" s="12" t="s">
        <v>163</v>
      </c>
      <c r="K814" s="2">
        <v>0</v>
      </c>
      <c r="M814" s="33">
        <v>6.3299990427699999</v>
      </c>
      <c r="N814" s="33">
        <v>6.7699999580199997</v>
      </c>
      <c r="Z814" s="27" t="s">
        <v>247</v>
      </c>
      <c r="AA814" t="s">
        <v>215</v>
      </c>
    </row>
    <row r="815" spans="1:27" x14ac:dyDescent="0.25">
      <c r="A815" s="12">
        <v>124</v>
      </c>
      <c r="B815">
        <v>22</v>
      </c>
      <c r="C815">
        <f t="shared" si="85"/>
        <v>12422</v>
      </c>
      <c r="D815" s="3" t="s">
        <v>86</v>
      </c>
      <c r="E815" s="11">
        <f t="shared" si="90"/>
        <v>59.457527777777777</v>
      </c>
      <c r="F815" s="11">
        <f t="shared" si="91"/>
        <v>2.3644861111111113</v>
      </c>
      <c r="G815" s="12" t="s">
        <v>144</v>
      </c>
      <c r="H815" s="12" t="s">
        <v>47</v>
      </c>
      <c r="I815">
        <v>2015</v>
      </c>
      <c r="J815" s="12" t="s">
        <v>163</v>
      </c>
      <c r="K815" s="2">
        <v>0</v>
      </c>
      <c r="M815" s="33">
        <v>6.875</v>
      </c>
      <c r="N815" s="33">
        <v>6.93333333333333</v>
      </c>
      <c r="Z815" s="27" t="s">
        <v>247</v>
      </c>
      <c r="AA815" t="s">
        <v>215</v>
      </c>
    </row>
    <row r="816" spans="1:27" x14ac:dyDescent="0.25">
      <c r="A816" s="12">
        <v>124</v>
      </c>
      <c r="B816">
        <v>22</v>
      </c>
      <c r="C816">
        <f t="shared" si="85"/>
        <v>12422</v>
      </c>
      <c r="D816" s="3" t="s">
        <v>86</v>
      </c>
      <c r="E816" s="11">
        <f t="shared" si="90"/>
        <v>59.457527777777777</v>
      </c>
      <c r="F816" s="11">
        <f t="shared" si="91"/>
        <v>2.3644861111111113</v>
      </c>
      <c r="G816" s="12" t="s">
        <v>144</v>
      </c>
      <c r="H816" s="12" t="s">
        <v>47</v>
      </c>
      <c r="I816">
        <v>2016</v>
      </c>
      <c r="J816" s="12" t="s">
        <v>163</v>
      </c>
      <c r="K816" s="2">
        <v>0</v>
      </c>
      <c r="M816" s="33">
        <v>6.65</v>
      </c>
      <c r="N816" s="33">
        <v>6.75</v>
      </c>
      <c r="Z816" s="27" t="s">
        <v>247</v>
      </c>
      <c r="AA816" t="s">
        <v>215</v>
      </c>
    </row>
    <row r="817" spans="1:27" x14ac:dyDescent="0.25">
      <c r="A817" s="12">
        <v>124</v>
      </c>
      <c r="B817">
        <v>22</v>
      </c>
      <c r="C817">
        <f t="shared" si="85"/>
        <v>12422</v>
      </c>
      <c r="D817" s="3" t="s">
        <v>86</v>
      </c>
      <c r="E817" s="11">
        <f t="shared" si="90"/>
        <v>59.457527777777777</v>
      </c>
      <c r="F817" s="11">
        <f t="shared" si="91"/>
        <v>2.3644861111111113</v>
      </c>
      <c r="G817" s="12" t="s">
        <v>144</v>
      </c>
      <c r="H817" s="12" t="s">
        <v>47</v>
      </c>
      <c r="I817">
        <v>2017</v>
      </c>
      <c r="J817" s="12" t="s">
        <v>163</v>
      </c>
      <c r="K817" s="2">
        <v>0</v>
      </c>
      <c r="M817" s="33">
        <v>8.5250000000000004</v>
      </c>
      <c r="N817" s="33">
        <v>8.875</v>
      </c>
      <c r="Z817" s="27" t="s">
        <v>247</v>
      </c>
      <c r="AA817" t="s">
        <v>215</v>
      </c>
    </row>
    <row r="818" spans="1:27" x14ac:dyDescent="0.25">
      <c r="A818" s="12">
        <v>124</v>
      </c>
      <c r="B818">
        <v>22</v>
      </c>
      <c r="C818">
        <f t="shared" si="85"/>
        <v>12422</v>
      </c>
      <c r="D818" s="3" t="s">
        <v>86</v>
      </c>
      <c r="E818" s="11">
        <f t="shared" si="90"/>
        <v>59.457527777777777</v>
      </c>
      <c r="F818" s="11">
        <f t="shared" si="91"/>
        <v>2.3644861111111113</v>
      </c>
      <c r="G818" s="12" t="s">
        <v>144</v>
      </c>
      <c r="H818" s="12" t="s">
        <v>47</v>
      </c>
      <c r="I818">
        <v>2018</v>
      </c>
      <c r="J818" s="12" t="s">
        <v>163</v>
      </c>
      <c r="K818" s="2">
        <v>0</v>
      </c>
      <c r="M818" s="33">
        <v>11</v>
      </c>
      <c r="N818" s="33">
        <v>12.525</v>
      </c>
      <c r="Z818" s="27" t="s">
        <v>247</v>
      </c>
      <c r="AA818" t="s">
        <v>215</v>
      </c>
    </row>
    <row r="819" spans="1:27" x14ac:dyDescent="0.25">
      <c r="A819" s="12">
        <v>124</v>
      </c>
      <c r="B819">
        <v>22</v>
      </c>
      <c r="C819">
        <f t="shared" si="85"/>
        <v>12422</v>
      </c>
      <c r="D819" s="3" t="s">
        <v>86</v>
      </c>
      <c r="E819" s="11">
        <f t="shared" si="90"/>
        <v>59.457527777777777</v>
      </c>
      <c r="F819" s="11">
        <f t="shared" si="91"/>
        <v>2.3644861111111113</v>
      </c>
      <c r="G819" s="12" t="s">
        <v>144</v>
      </c>
      <c r="H819" s="12" t="s">
        <v>47</v>
      </c>
      <c r="I819">
        <v>2019</v>
      </c>
      <c r="J819" s="12" t="s">
        <v>163</v>
      </c>
      <c r="K819" s="2">
        <v>0</v>
      </c>
      <c r="M819" s="33">
        <v>8.8249999999999993</v>
      </c>
      <c r="N819" s="33">
        <v>9.875</v>
      </c>
      <c r="Z819" s="27" t="s">
        <v>247</v>
      </c>
      <c r="AA819" t="s">
        <v>215</v>
      </c>
    </row>
    <row r="820" spans="1:27" x14ac:dyDescent="0.25">
      <c r="A820" s="12">
        <v>124</v>
      </c>
      <c r="B820">
        <v>22</v>
      </c>
      <c r="C820">
        <f t="shared" si="85"/>
        <v>12422</v>
      </c>
      <c r="D820" s="3" t="s">
        <v>86</v>
      </c>
      <c r="E820" s="11">
        <f t="shared" si="90"/>
        <v>59.457527777777777</v>
      </c>
      <c r="F820" s="11">
        <f t="shared" si="91"/>
        <v>2.3644861111111113</v>
      </c>
      <c r="G820" s="12" t="s">
        <v>144</v>
      </c>
      <c r="H820" s="12" t="s">
        <v>47</v>
      </c>
      <c r="I820">
        <v>2020</v>
      </c>
      <c r="J820" s="12" t="s">
        <v>163</v>
      </c>
      <c r="K820" s="2">
        <v>0</v>
      </c>
      <c r="M820" s="33">
        <v>8</v>
      </c>
      <c r="N820" s="33">
        <v>8.6</v>
      </c>
      <c r="Z820" s="27" t="s">
        <v>247</v>
      </c>
      <c r="AA820" t="s">
        <v>215</v>
      </c>
    </row>
    <row r="821" spans="1:27" x14ac:dyDescent="0.25">
      <c r="A821" s="12">
        <v>124</v>
      </c>
      <c r="B821">
        <v>23</v>
      </c>
      <c r="C821">
        <f t="shared" si="85"/>
        <v>12423</v>
      </c>
      <c r="D821" s="3" t="s">
        <v>86</v>
      </c>
      <c r="E821" s="11">
        <f>61+48/60+43.15/3600</f>
        <v>61.811986111111111</v>
      </c>
      <c r="F821" s="11">
        <f>2+46/60+24.64/3600</f>
        <v>2.773511111111111</v>
      </c>
      <c r="G821" s="12" t="s">
        <v>144</v>
      </c>
      <c r="H821" s="12" t="s">
        <v>47</v>
      </c>
      <c r="I821">
        <v>2015</v>
      </c>
      <c r="J821" s="12" t="s">
        <v>163</v>
      </c>
      <c r="K821" s="2">
        <v>0</v>
      </c>
      <c r="M821" s="33">
        <v>2.6214656551500002</v>
      </c>
      <c r="N821" s="33">
        <v>3.6910992413499999</v>
      </c>
      <c r="Z821" s="27" t="s">
        <v>247</v>
      </c>
      <c r="AA821" t="s">
        <v>239</v>
      </c>
    </row>
    <row r="822" spans="1:27" x14ac:dyDescent="0.25">
      <c r="A822" s="12">
        <v>124</v>
      </c>
      <c r="B822">
        <v>23</v>
      </c>
      <c r="C822">
        <f t="shared" si="85"/>
        <v>12423</v>
      </c>
      <c r="D822" s="3" t="s">
        <v>86</v>
      </c>
      <c r="E822" s="11">
        <f t="shared" ref="E822:E827" si="92">61+48/60+43.15/3600</f>
        <v>61.811986111111111</v>
      </c>
      <c r="F822" s="11">
        <f t="shared" ref="F822:F827" si="93">2+46/60+24.64/3600</f>
        <v>2.773511111111111</v>
      </c>
      <c r="G822" s="12" t="s">
        <v>144</v>
      </c>
      <c r="H822" s="12" t="s">
        <v>47</v>
      </c>
      <c r="I822">
        <v>2016</v>
      </c>
      <c r="J822" s="12" t="s">
        <v>163</v>
      </c>
      <c r="K822" s="2">
        <v>0</v>
      </c>
      <c r="M822" s="33">
        <v>2.5774364796250002</v>
      </c>
      <c r="N822" s="33">
        <v>3.588287045425</v>
      </c>
      <c r="Z822" s="27" t="s">
        <v>247</v>
      </c>
      <c r="AA822" t="s">
        <v>239</v>
      </c>
    </row>
    <row r="823" spans="1:27" x14ac:dyDescent="0.25">
      <c r="A823" s="12">
        <v>124</v>
      </c>
      <c r="B823">
        <v>23</v>
      </c>
      <c r="C823">
        <f t="shared" si="85"/>
        <v>12423</v>
      </c>
      <c r="D823" s="3" t="s">
        <v>86</v>
      </c>
      <c r="E823" s="11">
        <f t="shared" si="92"/>
        <v>61.811986111111111</v>
      </c>
      <c r="F823" s="11">
        <f t="shared" si="93"/>
        <v>2.773511111111111</v>
      </c>
      <c r="G823" s="12" t="s">
        <v>144</v>
      </c>
      <c r="H823" s="12" t="s">
        <v>47</v>
      </c>
      <c r="I823">
        <v>2017</v>
      </c>
      <c r="J823" s="12" t="s">
        <v>163</v>
      </c>
      <c r="K823" s="2">
        <v>0</v>
      </c>
      <c r="M823" s="33">
        <v>3.0025090992750001</v>
      </c>
      <c r="N823" s="33">
        <v>2.9015925339000002</v>
      </c>
      <c r="Z823" s="27" t="s">
        <v>247</v>
      </c>
      <c r="AA823" t="s">
        <v>239</v>
      </c>
    </row>
    <row r="824" spans="1:27" x14ac:dyDescent="0.25">
      <c r="A824" s="12">
        <v>124</v>
      </c>
      <c r="B824">
        <v>23</v>
      </c>
      <c r="C824">
        <f t="shared" si="85"/>
        <v>12423</v>
      </c>
      <c r="D824" s="3" t="s">
        <v>86</v>
      </c>
      <c r="E824" s="11">
        <f t="shared" si="92"/>
        <v>61.811986111111111</v>
      </c>
      <c r="F824" s="11">
        <f t="shared" si="93"/>
        <v>2.773511111111111</v>
      </c>
      <c r="G824" s="12" t="s">
        <v>144</v>
      </c>
      <c r="H824" s="12" t="s">
        <v>47</v>
      </c>
      <c r="I824">
        <v>2018</v>
      </c>
      <c r="J824" s="12" t="s">
        <v>163</v>
      </c>
      <c r="K824" s="2">
        <v>0</v>
      </c>
      <c r="M824" s="33">
        <v>2.75</v>
      </c>
      <c r="N824" s="33">
        <v>3.7</v>
      </c>
      <c r="Z824" s="27" t="s">
        <v>247</v>
      </c>
      <c r="AA824" t="s">
        <v>239</v>
      </c>
    </row>
    <row r="825" spans="1:27" x14ac:dyDescent="0.25">
      <c r="A825" s="12">
        <v>124</v>
      </c>
      <c r="B825">
        <v>23</v>
      </c>
      <c r="C825">
        <f t="shared" si="85"/>
        <v>12423</v>
      </c>
      <c r="D825" s="3" t="s">
        <v>86</v>
      </c>
      <c r="E825" s="11">
        <f t="shared" si="92"/>
        <v>61.811986111111111</v>
      </c>
      <c r="F825" s="11">
        <f t="shared" si="93"/>
        <v>2.773511111111111</v>
      </c>
      <c r="G825" s="12" t="s">
        <v>144</v>
      </c>
      <c r="H825" s="12" t="s">
        <v>47</v>
      </c>
      <c r="I825">
        <v>2019</v>
      </c>
      <c r="J825" s="12" t="s">
        <v>163</v>
      </c>
      <c r="K825" s="2">
        <v>0</v>
      </c>
      <c r="M825" s="33">
        <v>3.2749999999999999</v>
      </c>
      <c r="N825" s="33">
        <v>3.7633333333333301</v>
      </c>
      <c r="Z825" s="27" t="s">
        <v>247</v>
      </c>
      <c r="AA825" t="s">
        <v>239</v>
      </c>
    </row>
    <row r="826" spans="1:27" x14ac:dyDescent="0.25">
      <c r="A826" s="12">
        <v>124</v>
      </c>
      <c r="B826">
        <v>23</v>
      </c>
      <c r="C826">
        <f t="shared" si="85"/>
        <v>12423</v>
      </c>
      <c r="D826" s="3" t="s">
        <v>86</v>
      </c>
      <c r="E826" s="11">
        <f t="shared" si="92"/>
        <v>61.811986111111111</v>
      </c>
      <c r="F826" s="11">
        <f t="shared" si="93"/>
        <v>2.773511111111111</v>
      </c>
      <c r="G826" s="12" t="s">
        <v>144</v>
      </c>
      <c r="H826" s="12" t="s">
        <v>47</v>
      </c>
      <c r="I826">
        <v>2020</v>
      </c>
      <c r="J826" s="12" t="s">
        <v>163</v>
      </c>
      <c r="K826" s="2">
        <v>0</v>
      </c>
      <c r="M826" s="33">
        <v>3.3518890830857102</v>
      </c>
      <c r="N826" s="33">
        <v>4.1989744921199996</v>
      </c>
      <c r="Z826" s="27" t="s">
        <v>247</v>
      </c>
      <c r="AA826" t="s">
        <v>239</v>
      </c>
    </row>
    <row r="827" spans="1:27" x14ac:dyDescent="0.25">
      <c r="A827" s="12">
        <v>124</v>
      </c>
      <c r="B827">
        <v>23</v>
      </c>
      <c r="C827">
        <f t="shared" si="85"/>
        <v>12423</v>
      </c>
      <c r="D827" s="3" t="s">
        <v>86</v>
      </c>
      <c r="E827" s="11">
        <f t="shared" si="92"/>
        <v>61.811986111111111</v>
      </c>
      <c r="F827" s="11">
        <f t="shared" si="93"/>
        <v>2.773511111111111</v>
      </c>
      <c r="G827" s="12" t="s">
        <v>144</v>
      </c>
      <c r="H827" s="12" t="s">
        <v>47</v>
      </c>
      <c r="I827">
        <v>2021</v>
      </c>
      <c r="J827" s="12" t="s">
        <v>163</v>
      </c>
      <c r="K827" s="2">
        <v>0</v>
      </c>
      <c r="M827" s="33">
        <v>2.7333333333333298</v>
      </c>
      <c r="N827" s="33">
        <v>3.875</v>
      </c>
      <c r="Z827" s="27" t="s">
        <v>247</v>
      </c>
      <c r="AA827" t="s">
        <v>239</v>
      </c>
    </row>
    <row r="828" spans="1:27" x14ac:dyDescent="0.25">
      <c r="A828" s="12">
        <v>124</v>
      </c>
      <c r="B828">
        <v>24</v>
      </c>
      <c r="C828">
        <f t="shared" si="85"/>
        <v>12424</v>
      </c>
      <c r="D828" s="3" t="s">
        <v>86</v>
      </c>
      <c r="E828" s="11">
        <f>64+59/60+38.24/3600</f>
        <v>64.993955555555559</v>
      </c>
      <c r="F828" s="11">
        <f>6+33/60+4.83/3600</f>
        <v>6.5513416666666666</v>
      </c>
      <c r="G828" s="12" t="s">
        <v>144</v>
      </c>
      <c r="H828" s="12" t="s">
        <v>47</v>
      </c>
      <c r="I828">
        <v>2006</v>
      </c>
      <c r="J828" s="12" t="s">
        <v>163</v>
      </c>
      <c r="K828" s="2">
        <v>0</v>
      </c>
      <c r="M828" s="33">
        <v>0.29165000000000002</v>
      </c>
      <c r="N828" s="33">
        <v>0.1</v>
      </c>
      <c r="Z828" s="27" t="s">
        <v>247</v>
      </c>
      <c r="AA828" t="s">
        <v>233</v>
      </c>
    </row>
    <row r="829" spans="1:27" x14ac:dyDescent="0.25">
      <c r="A829" s="12">
        <v>124</v>
      </c>
      <c r="B829">
        <v>24</v>
      </c>
      <c r="C829">
        <f t="shared" si="85"/>
        <v>12424</v>
      </c>
      <c r="D829" s="3" t="s">
        <v>86</v>
      </c>
      <c r="E829" s="11">
        <f t="shared" ref="E829:E843" si="94">64+59/60+38.24/3600</f>
        <v>64.993955555555559</v>
      </c>
      <c r="F829" s="11">
        <f t="shared" ref="F829:F843" si="95">6+33/60+4.83/3600</f>
        <v>6.5513416666666666</v>
      </c>
      <c r="G829" s="12" t="s">
        <v>144</v>
      </c>
      <c r="H829" s="12" t="s">
        <v>47</v>
      </c>
      <c r="I829">
        <v>2007</v>
      </c>
      <c r="J829" s="12" t="s">
        <v>163</v>
      </c>
      <c r="K829" s="2">
        <v>0</v>
      </c>
      <c r="M829" s="33">
        <v>3.2047599999999998</v>
      </c>
      <c r="N829" s="33">
        <v>1.1926399999999999</v>
      </c>
      <c r="Z829" s="27" t="s">
        <v>247</v>
      </c>
      <c r="AA829" t="s">
        <v>233</v>
      </c>
    </row>
    <row r="830" spans="1:27" x14ac:dyDescent="0.25">
      <c r="A830" s="12">
        <v>124</v>
      </c>
      <c r="B830">
        <v>24</v>
      </c>
      <c r="C830">
        <f t="shared" si="85"/>
        <v>12424</v>
      </c>
      <c r="D830" s="3" t="s">
        <v>86</v>
      </c>
      <c r="E830" s="11">
        <f t="shared" si="94"/>
        <v>64.993955555555559</v>
      </c>
      <c r="F830" s="11">
        <f t="shared" si="95"/>
        <v>6.5513416666666666</v>
      </c>
      <c r="G830" s="12" t="s">
        <v>144</v>
      </c>
      <c r="H830" s="12" t="s">
        <v>47</v>
      </c>
      <c r="I830">
        <v>2008</v>
      </c>
      <c r="J830" s="12" t="s">
        <v>163</v>
      </c>
      <c r="K830" s="2">
        <v>0</v>
      </c>
      <c r="M830" s="33">
        <v>10.45994789</v>
      </c>
      <c r="N830" s="33">
        <v>6.181552892</v>
      </c>
      <c r="Z830" s="27" t="s">
        <v>247</v>
      </c>
      <c r="AA830" t="s">
        <v>233</v>
      </c>
    </row>
    <row r="831" spans="1:27" x14ac:dyDescent="0.25">
      <c r="A831" s="12">
        <v>124</v>
      </c>
      <c r="B831">
        <v>24</v>
      </c>
      <c r="C831">
        <f t="shared" si="85"/>
        <v>12424</v>
      </c>
      <c r="D831" s="3" t="s">
        <v>86</v>
      </c>
      <c r="E831" s="11">
        <f t="shared" si="94"/>
        <v>64.993955555555559</v>
      </c>
      <c r="F831" s="11">
        <f t="shared" si="95"/>
        <v>6.5513416666666666</v>
      </c>
      <c r="G831" s="12" t="s">
        <v>144</v>
      </c>
      <c r="H831" s="12" t="s">
        <v>47</v>
      </c>
      <c r="I831">
        <v>2009</v>
      </c>
      <c r="J831" s="12" t="s">
        <v>163</v>
      </c>
      <c r="K831" s="2">
        <v>0</v>
      </c>
      <c r="M831" s="33">
        <v>12.114965079999999</v>
      </c>
      <c r="N831" s="33">
        <v>6.8552177690000002</v>
      </c>
      <c r="Z831" s="27" t="s">
        <v>247</v>
      </c>
      <c r="AA831" t="s">
        <v>233</v>
      </c>
    </row>
    <row r="832" spans="1:27" x14ac:dyDescent="0.25">
      <c r="A832" s="12">
        <v>124</v>
      </c>
      <c r="B832">
        <v>24</v>
      </c>
      <c r="C832">
        <f t="shared" si="85"/>
        <v>12424</v>
      </c>
      <c r="D832" s="3" t="s">
        <v>86</v>
      </c>
      <c r="E832" s="11">
        <f t="shared" si="94"/>
        <v>64.993955555555559</v>
      </c>
      <c r="F832" s="11">
        <f t="shared" si="95"/>
        <v>6.5513416666666666</v>
      </c>
      <c r="G832" s="12" t="s">
        <v>144</v>
      </c>
      <c r="H832" s="12" t="s">
        <v>47</v>
      </c>
      <c r="I832">
        <v>2010</v>
      </c>
      <c r="J832" s="12" t="s">
        <v>163</v>
      </c>
      <c r="K832" s="2">
        <v>0</v>
      </c>
      <c r="M832" s="33">
        <v>7.6778906200000003</v>
      </c>
      <c r="N832" s="33">
        <v>4.5802054280000002</v>
      </c>
      <c r="Z832" s="27" t="s">
        <v>247</v>
      </c>
      <c r="AA832" t="s">
        <v>233</v>
      </c>
    </row>
    <row r="833" spans="1:27" x14ac:dyDescent="0.25">
      <c r="A833" s="12">
        <v>124</v>
      </c>
      <c r="B833">
        <v>24</v>
      </c>
      <c r="C833">
        <f t="shared" si="85"/>
        <v>12424</v>
      </c>
      <c r="D833" s="3" t="s">
        <v>86</v>
      </c>
      <c r="E833" s="11">
        <f t="shared" si="94"/>
        <v>64.993955555555559</v>
      </c>
      <c r="F833" s="11">
        <f t="shared" si="95"/>
        <v>6.5513416666666666</v>
      </c>
      <c r="G833" s="12" t="s">
        <v>144</v>
      </c>
      <c r="H833" s="12" t="s">
        <v>47</v>
      </c>
      <c r="I833">
        <v>2011</v>
      </c>
      <c r="J833" s="12" t="s">
        <v>163</v>
      </c>
      <c r="K833" s="2">
        <v>0</v>
      </c>
      <c r="M833" s="33">
        <v>8.9783338740000005</v>
      </c>
      <c r="N833" s="33">
        <v>5.7120166230000002</v>
      </c>
      <c r="Z833" s="27" t="s">
        <v>247</v>
      </c>
      <c r="AA833" t="s">
        <v>233</v>
      </c>
    </row>
    <row r="834" spans="1:27" x14ac:dyDescent="0.25">
      <c r="A834" s="12">
        <v>124</v>
      </c>
      <c r="B834">
        <v>24</v>
      </c>
      <c r="C834">
        <f t="shared" si="85"/>
        <v>12424</v>
      </c>
      <c r="D834" s="3" t="s">
        <v>86</v>
      </c>
      <c r="E834" s="11">
        <f t="shared" si="94"/>
        <v>64.993955555555559</v>
      </c>
      <c r="F834" s="11">
        <f t="shared" si="95"/>
        <v>6.5513416666666666</v>
      </c>
      <c r="G834" s="12" t="s">
        <v>144</v>
      </c>
      <c r="H834" s="12" t="s">
        <v>47</v>
      </c>
      <c r="I834">
        <v>2012</v>
      </c>
      <c r="J834" s="12" t="s">
        <v>163</v>
      </c>
      <c r="K834" s="2">
        <v>0</v>
      </c>
      <c r="M834" s="33">
        <v>8.7144750000000002</v>
      </c>
      <c r="N834" s="33">
        <v>5.43333333333333</v>
      </c>
      <c r="Z834" s="27" t="s">
        <v>247</v>
      </c>
      <c r="AA834" t="s">
        <v>233</v>
      </c>
    </row>
    <row r="835" spans="1:27" x14ac:dyDescent="0.25">
      <c r="A835" s="12">
        <v>124</v>
      </c>
      <c r="B835">
        <v>24</v>
      </c>
      <c r="C835">
        <f t="shared" ref="C835:C898" si="96">A835*100+B835</f>
        <v>12424</v>
      </c>
      <c r="D835" s="3" t="s">
        <v>86</v>
      </c>
      <c r="E835" s="11">
        <f t="shared" si="94"/>
        <v>64.993955555555559</v>
      </c>
      <c r="F835" s="11">
        <f t="shared" si="95"/>
        <v>6.5513416666666666</v>
      </c>
      <c r="G835" s="12" t="s">
        <v>144</v>
      </c>
      <c r="H835" s="12" t="s">
        <v>47</v>
      </c>
      <c r="I835">
        <v>2013</v>
      </c>
      <c r="J835" s="12" t="s">
        <v>163</v>
      </c>
      <c r="K835" s="2">
        <v>0</v>
      </c>
      <c r="M835" s="33">
        <v>6.6471417670525001</v>
      </c>
      <c r="N835" s="33">
        <v>5.36</v>
      </c>
      <c r="Z835" s="27" t="s">
        <v>247</v>
      </c>
      <c r="AA835" t="s">
        <v>233</v>
      </c>
    </row>
    <row r="836" spans="1:27" x14ac:dyDescent="0.25">
      <c r="A836" s="12">
        <v>124</v>
      </c>
      <c r="B836">
        <v>24</v>
      </c>
      <c r="C836">
        <f t="shared" si="96"/>
        <v>12424</v>
      </c>
      <c r="D836" s="3" t="s">
        <v>86</v>
      </c>
      <c r="E836" s="11">
        <f t="shared" si="94"/>
        <v>64.993955555555559</v>
      </c>
      <c r="F836" s="11">
        <f t="shared" si="95"/>
        <v>6.5513416666666666</v>
      </c>
      <c r="G836" s="12" t="s">
        <v>144</v>
      </c>
      <c r="H836" s="12" t="s">
        <v>47</v>
      </c>
      <c r="I836">
        <v>2014</v>
      </c>
      <c r="J836" s="12" t="s">
        <v>163</v>
      </c>
      <c r="K836" s="2">
        <v>0</v>
      </c>
      <c r="M836" s="33">
        <v>8.2750000000000004</v>
      </c>
      <c r="N836" s="33">
        <v>6.9666666666666703</v>
      </c>
      <c r="Z836" s="27" t="s">
        <v>247</v>
      </c>
      <c r="AA836" t="s">
        <v>233</v>
      </c>
    </row>
    <row r="837" spans="1:27" x14ac:dyDescent="0.25">
      <c r="A837" s="12">
        <v>124</v>
      </c>
      <c r="B837">
        <v>24</v>
      </c>
      <c r="C837">
        <f t="shared" si="96"/>
        <v>12424</v>
      </c>
      <c r="D837" s="3" t="s">
        <v>86</v>
      </c>
      <c r="E837" s="11">
        <f t="shared" si="94"/>
        <v>64.993955555555559</v>
      </c>
      <c r="F837" s="11">
        <f t="shared" si="95"/>
        <v>6.5513416666666666</v>
      </c>
      <c r="G837" s="12" t="s">
        <v>144</v>
      </c>
      <c r="H837" s="12" t="s">
        <v>47</v>
      </c>
      <c r="I837">
        <v>2015</v>
      </c>
      <c r="J837" s="12" t="s">
        <v>163</v>
      </c>
      <c r="K837" s="2">
        <v>0</v>
      </c>
      <c r="M837" s="33">
        <v>7.9450000000000003</v>
      </c>
      <c r="N837" s="33">
        <v>6.4524999999999997</v>
      </c>
      <c r="Z837" s="27" t="s">
        <v>247</v>
      </c>
      <c r="AA837" t="s">
        <v>233</v>
      </c>
    </row>
    <row r="838" spans="1:27" x14ac:dyDescent="0.25">
      <c r="A838" s="12">
        <v>124</v>
      </c>
      <c r="B838">
        <v>24</v>
      </c>
      <c r="C838">
        <f t="shared" si="96"/>
        <v>12424</v>
      </c>
      <c r="D838" s="3" t="s">
        <v>86</v>
      </c>
      <c r="E838" s="11">
        <f t="shared" si="94"/>
        <v>64.993955555555559</v>
      </c>
      <c r="F838" s="11">
        <f t="shared" si="95"/>
        <v>6.5513416666666666</v>
      </c>
      <c r="G838" s="12" t="s">
        <v>144</v>
      </c>
      <c r="H838" s="12" t="s">
        <v>47</v>
      </c>
      <c r="I838">
        <v>2016</v>
      </c>
      <c r="J838" s="12" t="s">
        <v>163</v>
      </c>
      <c r="K838" s="2">
        <v>0</v>
      </c>
      <c r="M838" s="33">
        <v>7.4349999999999996</v>
      </c>
      <c r="N838" s="33">
        <v>6.1524999999999999</v>
      </c>
      <c r="Z838" s="27" t="s">
        <v>247</v>
      </c>
      <c r="AA838" t="s">
        <v>233</v>
      </c>
    </row>
    <row r="839" spans="1:27" x14ac:dyDescent="0.25">
      <c r="A839" s="12">
        <v>124</v>
      </c>
      <c r="B839">
        <v>24</v>
      </c>
      <c r="C839">
        <f t="shared" si="96"/>
        <v>12424</v>
      </c>
      <c r="D839" s="3" t="s">
        <v>86</v>
      </c>
      <c r="E839" s="11">
        <f t="shared" si="94"/>
        <v>64.993955555555559</v>
      </c>
      <c r="F839" s="11">
        <f t="shared" si="95"/>
        <v>6.5513416666666666</v>
      </c>
      <c r="G839" s="12" t="s">
        <v>144</v>
      </c>
      <c r="H839" s="12" t="s">
        <v>47</v>
      </c>
      <c r="I839">
        <v>2017</v>
      </c>
      <c r="J839" s="12" t="s">
        <v>163</v>
      </c>
      <c r="K839" s="2">
        <v>0</v>
      </c>
      <c r="M839" s="33">
        <v>7.4749999999999996</v>
      </c>
      <c r="N839" s="33">
        <v>5.93333333333333</v>
      </c>
      <c r="Z839" s="27" t="s">
        <v>247</v>
      </c>
      <c r="AA839" t="s">
        <v>233</v>
      </c>
    </row>
    <row r="840" spans="1:27" x14ac:dyDescent="0.25">
      <c r="A840" s="12">
        <v>124</v>
      </c>
      <c r="B840">
        <v>24</v>
      </c>
      <c r="C840">
        <f t="shared" si="96"/>
        <v>12424</v>
      </c>
      <c r="D840" s="3" t="s">
        <v>86</v>
      </c>
      <c r="E840" s="11">
        <f t="shared" si="94"/>
        <v>64.993955555555559</v>
      </c>
      <c r="F840" s="11">
        <f t="shared" si="95"/>
        <v>6.5513416666666666</v>
      </c>
      <c r="G840" s="12" t="s">
        <v>144</v>
      </c>
      <c r="H840" s="12" t="s">
        <v>47</v>
      </c>
      <c r="I840">
        <v>2018</v>
      </c>
      <c r="J840" s="12" t="s">
        <v>163</v>
      </c>
      <c r="K840" s="2">
        <v>0</v>
      </c>
      <c r="M840" s="33">
        <v>6.8825000000000003</v>
      </c>
      <c r="N840" s="33">
        <v>6.1449999999999996</v>
      </c>
      <c r="Z840" s="27" t="s">
        <v>247</v>
      </c>
      <c r="AA840" t="s">
        <v>233</v>
      </c>
    </row>
    <row r="841" spans="1:27" x14ac:dyDescent="0.25">
      <c r="A841" s="12">
        <v>124</v>
      </c>
      <c r="B841">
        <v>24</v>
      </c>
      <c r="C841">
        <f t="shared" si="96"/>
        <v>12424</v>
      </c>
      <c r="D841" s="3" t="s">
        <v>86</v>
      </c>
      <c r="E841" s="11">
        <f t="shared" si="94"/>
        <v>64.993955555555559</v>
      </c>
      <c r="F841" s="11">
        <f t="shared" si="95"/>
        <v>6.5513416666666666</v>
      </c>
      <c r="G841" s="12" t="s">
        <v>144</v>
      </c>
      <c r="H841" s="12" t="s">
        <v>47</v>
      </c>
      <c r="I841">
        <v>2019</v>
      </c>
      <c r="J841" s="12" t="s">
        <v>163</v>
      </c>
      <c r="K841" s="2">
        <v>0</v>
      </c>
      <c r="M841" s="33">
        <v>6.0049999999999999</v>
      </c>
      <c r="N841" s="33">
        <v>6.0625</v>
      </c>
      <c r="Z841" s="27" t="s">
        <v>247</v>
      </c>
      <c r="AA841" t="s">
        <v>233</v>
      </c>
    </row>
    <row r="842" spans="1:27" x14ac:dyDescent="0.25">
      <c r="A842" s="12">
        <v>124</v>
      </c>
      <c r="B842">
        <v>24</v>
      </c>
      <c r="C842">
        <f t="shared" si="96"/>
        <v>12424</v>
      </c>
      <c r="D842" s="3" t="s">
        <v>86</v>
      </c>
      <c r="E842" s="11">
        <f t="shared" si="94"/>
        <v>64.993955555555559</v>
      </c>
      <c r="F842" s="11">
        <f t="shared" si="95"/>
        <v>6.5513416666666666</v>
      </c>
      <c r="G842" s="12" t="s">
        <v>144</v>
      </c>
      <c r="H842" s="12" t="s">
        <v>47</v>
      </c>
      <c r="I842">
        <v>2020</v>
      </c>
      <c r="J842" s="12" t="s">
        <v>163</v>
      </c>
      <c r="K842" s="2">
        <v>0</v>
      </c>
      <c r="M842" s="33">
        <v>6.3319999999999999</v>
      </c>
      <c r="N842" s="33">
        <v>5.6872499999999997</v>
      </c>
      <c r="Z842" s="27" t="s">
        <v>247</v>
      </c>
      <c r="AA842" t="s">
        <v>233</v>
      </c>
    </row>
    <row r="843" spans="1:27" x14ac:dyDescent="0.25">
      <c r="A843" s="12">
        <v>124</v>
      </c>
      <c r="B843">
        <v>24</v>
      </c>
      <c r="C843">
        <f t="shared" si="96"/>
        <v>12424</v>
      </c>
      <c r="D843" s="3" t="s">
        <v>86</v>
      </c>
      <c r="E843" s="11">
        <f t="shared" si="94"/>
        <v>64.993955555555559</v>
      </c>
      <c r="F843" s="11">
        <f t="shared" si="95"/>
        <v>6.5513416666666666</v>
      </c>
      <c r="G843" s="12" t="s">
        <v>144</v>
      </c>
      <c r="H843" s="12" t="s">
        <v>47</v>
      </c>
      <c r="I843">
        <v>2021</v>
      </c>
      <c r="J843" s="12" t="s">
        <v>163</v>
      </c>
      <c r="K843" s="2">
        <v>0</v>
      </c>
      <c r="M843" s="33">
        <v>5.3102499999999999</v>
      </c>
      <c r="N843" s="33">
        <v>5.1555</v>
      </c>
      <c r="Z843" s="27" t="s">
        <v>247</v>
      </c>
      <c r="AA843" t="s">
        <v>233</v>
      </c>
    </row>
    <row r="844" spans="1:27" x14ac:dyDescent="0.25">
      <c r="A844" s="12">
        <v>124</v>
      </c>
      <c r="B844">
        <v>25</v>
      </c>
      <c r="C844">
        <f t="shared" si="96"/>
        <v>12425</v>
      </c>
      <c r="D844" s="3" t="s">
        <v>86</v>
      </c>
      <c r="E844" s="11">
        <f>61+4/60+49.1/3600</f>
        <v>61.080305555555562</v>
      </c>
      <c r="F844" s="11">
        <f>2+29/60+58.99/3600</f>
        <v>2.4997194444444446</v>
      </c>
      <c r="G844" s="12" t="s">
        <v>144</v>
      </c>
      <c r="H844" s="12" t="s">
        <v>47</v>
      </c>
      <c r="I844">
        <v>2006</v>
      </c>
      <c r="J844" s="12" t="s">
        <v>163</v>
      </c>
      <c r="K844" s="2">
        <v>0</v>
      </c>
      <c r="M844" s="33">
        <v>0.35</v>
      </c>
      <c r="N844" s="33">
        <v>2.3300000000000001E-2</v>
      </c>
      <c r="Z844" s="27" t="s">
        <v>247</v>
      </c>
      <c r="AA844" t="s">
        <v>426</v>
      </c>
    </row>
    <row r="845" spans="1:27" x14ac:dyDescent="0.25">
      <c r="A845" s="12">
        <v>124</v>
      </c>
      <c r="B845">
        <v>25</v>
      </c>
      <c r="C845">
        <f t="shared" si="96"/>
        <v>12425</v>
      </c>
      <c r="D845" s="3" t="s">
        <v>86</v>
      </c>
      <c r="E845" s="11">
        <f t="shared" ref="E845:E857" si="97">61+4/60+49.1/3600</f>
        <v>61.080305555555562</v>
      </c>
      <c r="F845" s="11">
        <f t="shared" ref="F845:F857" si="98">2+29/60+58.99/3600</f>
        <v>2.4997194444444446</v>
      </c>
      <c r="G845" s="12" t="s">
        <v>144</v>
      </c>
      <c r="H845" s="12" t="s">
        <v>47</v>
      </c>
      <c r="I845">
        <v>2007</v>
      </c>
      <c r="J845" s="12" t="s">
        <v>163</v>
      </c>
      <c r="K845" s="2">
        <v>0</v>
      </c>
      <c r="M845" s="33">
        <v>0.3</v>
      </c>
      <c r="N845" s="33">
        <v>0.11</v>
      </c>
      <c r="Z845" s="27" t="s">
        <v>247</v>
      </c>
      <c r="AA845" t="s">
        <v>426</v>
      </c>
    </row>
    <row r="846" spans="1:27" x14ac:dyDescent="0.25">
      <c r="A846" s="12">
        <v>124</v>
      </c>
      <c r="B846">
        <v>25</v>
      </c>
      <c r="C846">
        <f t="shared" si="96"/>
        <v>12425</v>
      </c>
      <c r="D846" s="3" t="s">
        <v>86</v>
      </c>
      <c r="E846" s="11">
        <f t="shared" si="97"/>
        <v>61.080305555555562</v>
      </c>
      <c r="F846" s="11">
        <f t="shared" si="98"/>
        <v>2.4997194444444446</v>
      </c>
      <c r="G846" s="12" t="s">
        <v>144</v>
      </c>
      <c r="H846" s="12" t="s">
        <v>47</v>
      </c>
      <c r="I846">
        <v>2009</v>
      </c>
      <c r="J846" s="12" t="s">
        <v>163</v>
      </c>
      <c r="K846" s="2">
        <v>0</v>
      </c>
      <c r="M846" s="33">
        <v>2.0507621829999998</v>
      </c>
      <c r="N846" s="33">
        <v>1.848914715</v>
      </c>
      <c r="Z846" s="27" t="s">
        <v>247</v>
      </c>
      <c r="AA846" t="s">
        <v>426</v>
      </c>
    </row>
    <row r="847" spans="1:27" x14ac:dyDescent="0.25">
      <c r="A847" s="12">
        <v>124</v>
      </c>
      <c r="B847">
        <v>25</v>
      </c>
      <c r="C847">
        <f t="shared" si="96"/>
        <v>12425</v>
      </c>
      <c r="D847" s="3" t="s">
        <v>86</v>
      </c>
      <c r="E847" s="11">
        <f t="shared" si="97"/>
        <v>61.080305555555562</v>
      </c>
      <c r="F847" s="11">
        <f t="shared" si="98"/>
        <v>2.4997194444444446</v>
      </c>
      <c r="G847" s="12" t="s">
        <v>144</v>
      </c>
      <c r="H847" s="12" t="s">
        <v>47</v>
      </c>
      <c r="I847">
        <v>2010</v>
      </c>
      <c r="J847" s="12" t="s">
        <v>163</v>
      </c>
      <c r="K847" s="2">
        <v>0</v>
      </c>
      <c r="M847" s="33">
        <v>3.132092224</v>
      </c>
      <c r="N847" s="33">
        <v>2.4343184340000001</v>
      </c>
      <c r="Z847" s="27" t="s">
        <v>247</v>
      </c>
      <c r="AA847" t="s">
        <v>426</v>
      </c>
    </row>
    <row r="848" spans="1:27" x14ac:dyDescent="0.25">
      <c r="A848" s="12">
        <v>124</v>
      </c>
      <c r="B848">
        <v>25</v>
      </c>
      <c r="C848">
        <f t="shared" si="96"/>
        <v>12425</v>
      </c>
      <c r="D848" s="3" t="s">
        <v>86</v>
      </c>
      <c r="E848" s="11">
        <f t="shared" si="97"/>
        <v>61.080305555555562</v>
      </c>
      <c r="F848" s="11">
        <f t="shared" si="98"/>
        <v>2.4997194444444446</v>
      </c>
      <c r="G848" s="12" t="s">
        <v>144</v>
      </c>
      <c r="H848" s="12" t="s">
        <v>47</v>
      </c>
      <c r="I848">
        <v>2012</v>
      </c>
      <c r="J848" s="12" t="s">
        <v>163</v>
      </c>
      <c r="K848" s="2">
        <v>0</v>
      </c>
      <c r="M848" s="33">
        <v>0.35</v>
      </c>
      <c r="N848" s="33">
        <v>0.59</v>
      </c>
      <c r="Z848" s="27" t="s">
        <v>247</v>
      </c>
      <c r="AA848" t="s">
        <v>426</v>
      </c>
    </row>
    <row r="849" spans="1:27" x14ac:dyDescent="0.25">
      <c r="A849" s="12">
        <v>124</v>
      </c>
      <c r="B849">
        <v>25</v>
      </c>
      <c r="C849">
        <f t="shared" si="96"/>
        <v>12425</v>
      </c>
      <c r="D849" s="3" t="s">
        <v>86</v>
      </c>
      <c r="E849" s="11">
        <f t="shared" si="97"/>
        <v>61.080305555555562</v>
      </c>
      <c r="F849" s="11">
        <f t="shared" si="98"/>
        <v>2.4997194444444446</v>
      </c>
      <c r="G849" s="12" t="s">
        <v>144</v>
      </c>
      <c r="H849" s="12" t="s">
        <v>47</v>
      </c>
      <c r="I849">
        <v>2013</v>
      </c>
      <c r="J849" s="12" t="s">
        <v>163</v>
      </c>
      <c r="K849" s="2">
        <v>0</v>
      </c>
      <c r="M849" s="33">
        <v>0.86666666666500003</v>
      </c>
      <c r="N849" s="33">
        <v>0.72666666666500002</v>
      </c>
      <c r="Z849" s="27" t="s">
        <v>247</v>
      </c>
      <c r="AA849" t="s">
        <v>426</v>
      </c>
    </row>
    <row r="850" spans="1:27" x14ac:dyDescent="0.25">
      <c r="A850" s="12">
        <v>124</v>
      </c>
      <c r="B850">
        <v>25</v>
      </c>
      <c r="C850">
        <f t="shared" si="96"/>
        <v>12425</v>
      </c>
      <c r="D850" s="3" t="s">
        <v>86</v>
      </c>
      <c r="E850" s="11">
        <f t="shared" si="97"/>
        <v>61.080305555555562</v>
      </c>
      <c r="F850" s="11">
        <f t="shared" si="98"/>
        <v>2.4997194444444446</v>
      </c>
      <c r="G850" s="12" t="s">
        <v>144</v>
      </c>
      <c r="H850" s="12" t="s">
        <v>47</v>
      </c>
      <c r="I850">
        <v>2014</v>
      </c>
      <c r="J850" s="12" t="s">
        <v>163</v>
      </c>
      <c r="K850" s="2">
        <v>0</v>
      </c>
      <c r="M850" s="33">
        <v>2.85</v>
      </c>
      <c r="N850" s="33">
        <v>2.4500000000000002</v>
      </c>
      <c r="Z850" s="27" t="s">
        <v>247</v>
      </c>
      <c r="AA850" t="s">
        <v>426</v>
      </c>
    </row>
    <row r="851" spans="1:27" x14ac:dyDescent="0.25">
      <c r="A851" s="12">
        <v>124</v>
      </c>
      <c r="B851">
        <v>25</v>
      </c>
      <c r="C851">
        <f t="shared" si="96"/>
        <v>12425</v>
      </c>
      <c r="D851" s="3" t="s">
        <v>86</v>
      </c>
      <c r="E851" s="11">
        <f t="shared" si="97"/>
        <v>61.080305555555562</v>
      </c>
      <c r="F851" s="11">
        <f t="shared" si="98"/>
        <v>2.4997194444444446</v>
      </c>
      <c r="G851" s="12" t="s">
        <v>144</v>
      </c>
      <c r="H851" s="12" t="s">
        <v>47</v>
      </c>
      <c r="I851">
        <v>2015</v>
      </c>
      <c r="J851" s="12" t="s">
        <v>163</v>
      </c>
      <c r="K851" s="2">
        <v>0</v>
      </c>
      <c r="M851" s="33">
        <v>4.165</v>
      </c>
      <c r="N851" s="33">
        <v>2.9550000000000001</v>
      </c>
      <c r="Z851" s="27" t="s">
        <v>247</v>
      </c>
      <c r="AA851" t="s">
        <v>426</v>
      </c>
    </row>
    <row r="852" spans="1:27" x14ac:dyDescent="0.25">
      <c r="A852" s="12">
        <v>124</v>
      </c>
      <c r="B852">
        <v>25</v>
      </c>
      <c r="C852">
        <f t="shared" si="96"/>
        <v>12425</v>
      </c>
      <c r="D852" s="3" t="s">
        <v>86</v>
      </c>
      <c r="E852" s="11">
        <f t="shared" si="97"/>
        <v>61.080305555555562</v>
      </c>
      <c r="F852" s="11">
        <f t="shared" si="98"/>
        <v>2.4997194444444446</v>
      </c>
      <c r="G852" s="12" t="s">
        <v>144</v>
      </c>
      <c r="H852" s="12" t="s">
        <v>47</v>
      </c>
      <c r="I852">
        <v>2016</v>
      </c>
      <c r="J852" s="12" t="s">
        <v>163</v>
      </c>
      <c r="K852" s="2">
        <v>0</v>
      </c>
      <c r="M852" s="33">
        <v>2.375</v>
      </c>
      <c r="N852" s="33">
        <v>1.91</v>
      </c>
      <c r="Z852" s="27" t="s">
        <v>247</v>
      </c>
      <c r="AA852" t="s">
        <v>426</v>
      </c>
    </row>
    <row r="853" spans="1:27" x14ac:dyDescent="0.25">
      <c r="A853" s="12">
        <v>124</v>
      </c>
      <c r="B853">
        <v>25</v>
      </c>
      <c r="C853">
        <f t="shared" si="96"/>
        <v>12425</v>
      </c>
      <c r="D853" s="3" t="s">
        <v>86</v>
      </c>
      <c r="E853" s="11">
        <f t="shared" si="97"/>
        <v>61.080305555555562</v>
      </c>
      <c r="F853" s="11">
        <f t="shared" si="98"/>
        <v>2.4997194444444446</v>
      </c>
      <c r="G853" s="12" t="s">
        <v>144</v>
      </c>
      <c r="H853" s="12" t="s">
        <v>47</v>
      </c>
      <c r="I853">
        <v>2017</v>
      </c>
      <c r="J853" s="12" t="s">
        <v>163</v>
      </c>
      <c r="K853" s="2">
        <v>0</v>
      </c>
      <c r="M853" s="33">
        <v>0.82874999999999999</v>
      </c>
      <c r="N853" s="33">
        <v>0.59250000000000003</v>
      </c>
      <c r="Z853" s="27" t="s">
        <v>247</v>
      </c>
      <c r="AA853" t="s">
        <v>426</v>
      </c>
    </row>
    <row r="854" spans="1:27" x14ac:dyDescent="0.25">
      <c r="A854" s="12">
        <v>124</v>
      </c>
      <c r="B854">
        <v>25</v>
      </c>
      <c r="C854">
        <f t="shared" si="96"/>
        <v>12425</v>
      </c>
      <c r="D854" s="3" t="s">
        <v>86</v>
      </c>
      <c r="E854" s="11">
        <f t="shared" si="97"/>
        <v>61.080305555555562</v>
      </c>
      <c r="F854" s="11">
        <f t="shared" si="98"/>
        <v>2.4997194444444446</v>
      </c>
      <c r="G854" s="12" t="s">
        <v>144</v>
      </c>
      <c r="H854" s="12" t="s">
        <v>47</v>
      </c>
      <c r="I854">
        <v>2018</v>
      </c>
      <c r="J854" s="12" t="s">
        <v>163</v>
      </c>
      <c r="K854" s="2">
        <v>0</v>
      </c>
      <c r="M854" s="33">
        <v>1.9575</v>
      </c>
      <c r="N854" s="33">
        <v>1.4775</v>
      </c>
      <c r="Z854" s="27" t="s">
        <v>247</v>
      </c>
      <c r="AA854" t="s">
        <v>426</v>
      </c>
    </row>
    <row r="855" spans="1:27" x14ac:dyDescent="0.25">
      <c r="A855" s="12">
        <v>124</v>
      </c>
      <c r="B855">
        <v>25</v>
      </c>
      <c r="C855">
        <f t="shared" si="96"/>
        <v>12425</v>
      </c>
      <c r="D855" s="3" t="s">
        <v>86</v>
      </c>
      <c r="E855" s="11">
        <f t="shared" si="97"/>
        <v>61.080305555555562</v>
      </c>
      <c r="F855" s="11">
        <f t="shared" si="98"/>
        <v>2.4997194444444446</v>
      </c>
      <c r="G855" s="12" t="s">
        <v>144</v>
      </c>
      <c r="H855" s="12" t="s">
        <v>47</v>
      </c>
      <c r="I855">
        <v>2019</v>
      </c>
      <c r="J855" s="12" t="s">
        <v>163</v>
      </c>
      <c r="K855" s="2">
        <v>0</v>
      </c>
      <c r="M855" s="33">
        <v>2.73</v>
      </c>
      <c r="N855" s="33">
        <v>2.1775000000000002</v>
      </c>
      <c r="Z855" s="27" t="s">
        <v>247</v>
      </c>
      <c r="AA855" t="s">
        <v>426</v>
      </c>
    </row>
    <row r="856" spans="1:27" x14ac:dyDescent="0.25">
      <c r="A856" s="12">
        <v>124</v>
      </c>
      <c r="B856">
        <v>25</v>
      </c>
      <c r="C856">
        <f t="shared" si="96"/>
        <v>12425</v>
      </c>
      <c r="D856" s="3" t="s">
        <v>86</v>
      </c>
      <c r="E856" s="11">
        <f t="shared" si="97"/>
        <v>61.080305555555562</v>
      </c>
      <c r="F856" s="11">
        <f t="shared" si="98"/>
        <v>2.4997194444444446</v>
      </c>
      <c r="G856" s="12" t="s">
        <v>144</v>
      </c>
      <c r="H856" s="12" t="s">
        <v>47</v>
      </c>
      <c r="I856">
        <v>2020</v>
      </c>
      <c r="J856" s="12" t="s">
        <v>163</v>
      </c>
      <c r="K856" s="2">
        <v>0</v>
      </c>
      <c r="M856" s="33">
        <v>1.04</v>
      </c>
      <c r="N856" s="33">
        <v>0.82974999999999999</v>
      </c>
      <c r="Z856" s="27" t="s">
        <v>247</v>
      </c>
      <c r="AA856" t="s">
        <v>426</v>
      </c>
    </row>
    <row r="857" spans="1:27" x14ac:dyDescent="0.25">
      <c r="A857" s="12">
        <v>124</v>
      </c>
      <c r="B857">
        <v>25</v>
      </c>
      <c r="C857">
        <f t="shared" si="96"/>
        <v>12425</v>
      </c>
      <c r="D857" s="3" t="s">
        <v>86</v>
      </c>
      <c r="E857" s="11">
        <f t="shared" si="97"/>
        <v>61.080305555555562</v>
      </c>
      <c r="F857" s="11">
        <f t="shared" si="98"/>
        <v>2.4997194444444446</v>
      </c>
      <c r="G857" s="12" t="s">
        <v>144</v>
      </c>
      <c r="H857" s="12" t="s">
        <v>47</v>
      </c>
      <c r="I857">
        <v>2021</v>
      </c>
      <c r="J857" s="12" t="s">
        <v>163</v>
      </c>
      <c r="K857" s="2">
        <v>0</v>
      </c>
      <c r="M857" s="33">
        <v>1.9973333333333301</v>
      </c>
      <c r="N857" s="33">
        <v>2.3765000000000001</v>
      </c>
      <c r="Z857" s="27" t="s">
        <v>247</v>
      </c>
      <c r="AA857" t="s">
        <v>426</v>
      </c>
    </row>
    <row r="858" spans="1:27" x14ac:dyDescent="0.25">
      <c r="A858" s="12">
        <v>124</v>
      </c>
      <c r="B858">
        <v>26</v>
      </c>
      <c r="C858">
        <f t="shared" si="96"/>
        <v>12426</v>
      </c>
      <c r="D858" s="3" t="s">
        <v>86</v>
      </c>
      <c r="E858" s="11">
        <v>65.938599999999994</v>
      </c>
      <c r="F858" s="11">
        <v>7.2607999999999997</v>
      </c>
      <c r="G858" s="12" t="s">
        <v>144</v>
      </c>
      <c r="H858" s="12" t="s">
        <v>47</v>
      </c>
      <c r="I858">
        <v>2004</v>
      </c>
      <c r="J858" s="12" t="s">
        <v>163</v>
      </c>
      <c r="K858" s="2">
        <v>0</v>
      </c>
      <c r="M858" s="33">
        <v>0</v>
      </c>
      <c r="N858" s="33"/>
      <c r="Z858" s="27" t="s">
        <v>247</v>
      </c>
      <c r="AA858" t="s">
        <v>427</v>
      </c>
    </row>
    <row r="859" spans="1:27" x14ac:dyDescent="0.25">
      <c r="A859" s="12">
        <v>124</v>
      </c>
      <c r="B859">
        <v>27</v>
      </c>
      <c r="C859">
        <f t="shared" si="96"/>
        <v>12427</v>
      </c>
      <c r="D859" s="3" t="s">
        <v>86</v>
      </c>
      <c r="E859" s="11">
        <f>60+30/60+22.28/3600</f>
        <v>60.506188888888886</v>
      </c>
      <c r="F859" s="11">
        <f>2+53.38/3600</f>
        <v>2.0148277777777777</v>
      </c>
      <c r="G859" s="12" t="s">
        <v>144</v>
      </c>
      <c r="H859" s="12" t="s">
        <v>47</v>
      </c>
      <c r="I859">
        <v>2021</v>
      </c>
      <c r="J859" s="12" t="s">
        <v>163</v>
      </c>
      <c r="K859" s="2">
        <v>0</v>
      </c>
      <c r="M859" s="33">
        <v>5.82</v>
      </c>
      <c r="N859" s="33">
        <v>4.28</v>
      </c>
      <c r="Z859" s="27" t="s">
        <v>247</v>
      </c>
      <c r="AA859" t="s">
        <v>246</v>
      </c>
    </row>
    <row r="860" spans="1:27" x14ac:dyDescent="0.25">
      <c r="A860" s="12">
        <v>124</v>
      </c>
      <c r="B860">
        <v>28</v>
      </c>
      <c r="C860">
        <f t="shared" si="96"/>
        <v>12428</v>
      </c>
      <c r="D860" s="3" t="s">
        <v>86</v>
      </c>
      <c r="E860" s="11">
        <f>64+16/60+15.56/3600</f>
        <v>64.270988888888894</v>
      </c>
      <c r="F860" s="11">
        <f>7+12/60+5.48/3600</f>
        <v>7.2015222222222226</v>
      </c>
      <c r="G860" s="12" t="s">
        <v>144</v>
      </c>
      <c r="H860" s="12" t="s">
        <v>47</v>
      </c>
      <c r="I860">
        <v>2002</v>
      </c>
      <c r="J860" s="12" t="s">
        <v>163</v>
      </c>
      <c r="K860" s="2">
        <v>0</v>
      </c>
      <c r="M860" s="33">
        <v>9.5333333329999999</v>
      </c>
      <c r="N860" s="33"/>
      <c r="Z860" s="27" t="s">
        <v>247</v>
      </c>
      <c r="AA860" t="s">
        <v>216</v>
      </c>
    </row>
    <row r="861" spans="1:27" x14ac:dyDescent="0.25">
      <c r="A861" s="12">
        <v>124</v>
      </c>
      <c r="B861">
        <v>28</v>
      </c>
      <c r="C861">
        <f t="shared" si="96"/>
        <v>12428</v>
      </c>
      <c r="D861" s="3" t="s">
        <v>86</v>
      </c>
      <c r="E861" s="11">
        <f t="shared" ref="E861:E874" si="99">64+16/60+15.56/3600</f>
        <v>64.270988888888894</v>
      </c>
      <c r="F861" s="11">
        <f t="shared" ref="F861:F874" si="100">7+12/60+5.48/3600</f>
        <v>7.2015222222222226</v>
      </c>
      <c r="G861" s="12" t="s">
        <v>144</v>
      </c>
      <c r="H861" s="12" t="s">
        <v>47</v>
      </c>
      <c r="I861">
        <v>2003</v>
      </c>
      <c r="J861" s="12" t="s">
        <v>163</v>
      </c>
      <c r="K861" s="2">
        <v>0</v>
      </c>
      <c r="M861" s="33">
        <v>9.3000000000000007</v>
      </c>
      <c r="N861" s="33"/>
      <c r="Z861" s="27" t="s">
        <v>247</v>
      </c>
      <c r="AA861" t="s">
        <v>216</v>
      </c>
    </row>
    <row r="862" spans="1:27" x14ac:dyDescent="0.25">
      <c r="A862" s="12">
        <v>124</v>
      </c>
      <c r="B862">
        <v>28</v>
      </c>
      <c r="C862">
        <f t="shared" si="96"/>
        <v>12428</v>
      </c>
      <c r="D862" s="3" t="s">
        <v>86</v>
      </c>
      <c r="E862" s="11">
        <f t="shared" si="99"/>
        <v>64.270988888888894</v>
      </c>
      <c r="F862" s="11">
        <f t="shared" si="100"/>
        <v>7.2015222222222226</v>
      </c>
      <c r="G862" s="12" t="s">
        <v>144</v>
      </c>
      <c r="H862" s="12" t="s">
        <v>47</v>
      </c>
      <c r="I862">
        <v>2004</v>
      </c>
      <c r="J862" s="12" t="s">
        <v>163</v>
      </c>
      <c r="K862" s="2">
        <v>0</v>
      </c>
      <c r="M862" s="33">
        <v>7.63</v>
      </c>
      <c r="N862" s="33"/>
      <c r="Z862" s="27" t="s">
        <v>247</v>
      </c>
      <c r="AA862" t="s">
        <v>216</v>
      </c>
    </row>
    <row r="863" spans="1:27" x14ac:dyDescent="0.25">
      <c r="A863" s="12">
        <v>124</v>
      </c>
      <c r="B863">
        <v>28</v>
      </c>
      <c r="C863">
        <f t="shared" si="96"/>
        <v>12428</v>
      </c>
      <c r="D863" s="3" t="s">
        <v>86</v>
      </c>
      <c r="E863" s="11">
        <f t="shared" si="99"/>
        <v>64.270988888888894</v>
      </c>
      <c r="F863" s="11">
        <f t="shared" si="100"/>
        <v>7.2015222222222226</v>
      </c>
      <c r="G863" s="12" t="s">
        <v>144</v>
      </c>
      <c r="H863" s="12" t="s">
        <v>47</v>
      </c>
      <c r="I863">
        <v>2005</v>
      </c>
      <c r="J863" s="12" t="s">
        <v>163</v>
      </c>
      <c r="K863" s="2">
        <v>0</v>
      </c>
      <c r="M863" s="33">
        <v>8.5</v>
      </c>
      <c r="N863" s="33"/>
      <c r="Z863" s="27" t="s">
        <v>247</v>
      </c>
      <c r="AA863" t="s">
        <v>216</v>
      </c>
    </row>
    <row r="864" spans="1:27" x14ac:dyDescent="0.25">
      <c r="A864" s="12">
        <v>124</v>
      </c>
      <c r="B864">
        <v>28</v>
      </c>
      <c r="C864">
        <f t="shared" si="96"/>
        <v>12428</v>
      </c>
      <c r="D864" s="3" t="s">
        <v>86</v>
      </c>
      <c r="E864" s="11">
        <f t="shared" si="99"/>
        <v>64.270988888888894</v>
      </c>
      <c r="F864" s="11">
        <f t="shared" si="100"/>
        <v>7.2015222222222226</v>
      </c>
      <c r="G864" s="12" t="s">
        <v>144</v>
      </c>
      <c r="H864" s="12" t="s">
        <v>47</v>
      </c>
      <c r="I864">
        <v>2006</v>
      </c>
      <c r="J864" s="12" t="s">
        <v>163</v>
      </c>
      <c r="K864" s="2">
        <v>0</v>
      </c>
      <c r="M864" s="33">
        <v>10</v>
      </c>
      <c r="N864" s="33">
        <v>11.8</v>
      </c>
      <c r="Z864" s="27" t="s">
        <v>247</v>
      </c>
      <c r="AA864" t="s">
        <v>216</v>
      </c>
    </row>
    <row r="865" spans="1:27" x14ac:dyDescent="0.25">
      <c r="A865" s="12">
        <v>124</v>
      </c>
      <c r="B865">
        <v>28</v>
      </c>
      <c r="C865">
        <f t="shared" si="96"/>
        <v>12428</v>
      </c>
      <c r="D865" s="3" t="s">
        <v>86</v>
      </c>
      <c r="E865" s="11">
        <f t="shared" si="99"/>
        <v>64.270988888888894</v>
      </c>
      <c r="F865" s="11">
        <f t="shared" si="100"/>
        <v>7.2015222222222226</v>
      </c>
      <c r="G865" s="12" t="s">
        <v>144</v>
      </c>
      <c r="H865" s="12" t="s">
        <v>47</v>
      </c>
      <c r="I865">
        <v>2007</v>
      </c>
      <c r="J865" s="12" t="s">
        <v>163</v>
      </c>
      <c r="K865" s="2">
        <v>0</v>
      </c>
      <c r="M865" s="33">
        <v>10.9</v>
      </c>
      <c r="N865" s="33">
        <v>14.2</v>
      </c>
      <c r="Z865" s="27" t="s">
        <v>247</v>
      </c>
      <c r="AA865" t="s">
        <v>216</v>
      </c>
    </row>
    <row r="866" spans="1:27" x14ac:dyDescent="0.25">
      <c r="A866" s="12">
        <v>124</v>
      </c>
      <c r="B866">
        <v>28</v>
      </c>
      <c r="C866">
        <f t="shared" si="96"/>
        <v>12428</v>
      </c>
      <c r="D866" s="3" t="s">
        <v>86</v>
      </c>
      <c r="E866" s="11">
        <f t="shared" si="99"/>
        <v>64.270988888888894</v>
      </c>
      <c r="F866" s="11">
        <f t="shared" si="100"/>
        <v>7.2015222222222226</v>
      </c>
      <c r="G866" s="12" t="s">
        <v>144</v>
      </c>
      <c r="H866" s="12" t="s">
        <v>47</v>
      </c>
      <c r="I866">
        <v>2008</v>
      </c>
      <c r="J866" s="12" t="s">
        <v>163</v>
      </c>
      <c r="K866" s="2">
        <v>0</v>
      </c>
      <c r="M866" s="33">
        <v>7.7290667129999999</v>
      </c>
      <c r="N866" s="33">
        <v>13.563743519999999</v>
      </c>
      <c r="Z866" s="27" t="s">
        <v>247</v>
      </c>
      <c r="AA866" t="s">
        <v>216</v>
      </c>
    </row>
    <row r="867" spans="1:27" x14ac:dyDescent="0.25">
      <c r="A867" s="12">
        <v>124</v>
      </c>
      <c r="B867">
        <v>28</v>
      </c>
      <c r="C867">
        <f t="shared" si="96"/>
        <v>12428</v>
      </c>
      <c r="D867" s="3" t="s">
        <v>86</v>
      </c>
      <c r="E867" s="11">
        <f t="shared" si="99"/>
        <v>64.270988888888894</v>
      </c>
      <c r="F867" s="11">
        <f t="shared" si="100"/>
        <v>7.2015222222222226</v>
      </c>
      <c r="G867" s="12" t="s">
        <v>144</v>
      </c>
      <c r="H867" s="12" t="s">
        <v>47</v>
      </c>
      <c r="I867">
        <v>2009</v>
      </c>
      <c r="J867" s="12" t="s">
        <v>163</v>
      </c>
      <c r="K867" s="2">
        <v>0</v>
      </c>
      <c r="M867" s="33">
        <v>12.08726691</v>
      </c>
      <c r="N867" s="33">
        <v>17.52789409</v>
      </c>
      <c r="Z867" s="27" t="s">
        <v>247</v>
      </c>
      <c r="AA867" t="s">
        <v>216</v>
      </c>
    </row>
    <row r="868" spans="1:27" x14ac:dyDescent="0.25">
      <c r="A868" s="12">
        <v>124</v>
      </c>
      <c r="B868">
        <v>28</v>
      </c>
      <c r="C868">
        <f t="shared" si="96"/>
        <v>12428</v>
      </c>
      <c r="D868" s="3" t="s">
        <v>86</v>
      </c>
      <c r="E868" s="11">
        <f t="shared" si="99"/>
        <v>64.270988888888894</v>
      </c>
      <c r="F868" s="11">
        <f t="shared" si="100"/>
        <v>7.2015222222222226</v>
      </c>
      <c r="G868" s="12" t="s">
        <v>144</v>
      </c>
      <c r="H868" s="12" t="s">
        <v>47</v>
      </c>
      <c r="I868">
        <v>2010</v>
      </c>
      <c r="J868" s="12" t="s">
        <v>163</v>
      </c>
      <c r="K868" s="2">
        <v>0</v>
      </c>
      <c r="M868" s="33">
        <v>14.00186175</v>
      </c>
      <c r="N868" s="33">
        <v>19.01488264</v>
      </c>
      <c r="Z868" s="27" t="s">
        <v>247</v>
      </c>
      <c r="AA868" t="s">
        <v>216</v>
      </c>
    </row>
    <row r="869" spans="1:27" x14ac:dyDescent="0.25">
      <c r="A869" s="12">
        <v>124</v>
      </c>
      <c r="B869">
        <v>28</v>
      </c>
      <c r="C869">
        <f t="shared" si="96"/>
        <v>12428</v>
      </c>
      <c r="D869" s="3" t="s">
        <v>86</v>
      </c>
      <c r="E869" s="11">
        <f t="shared" si="99"/>
        <v>64.270988888888894</v>
      </c>
      <c r="F869" s="11">
        <f t="shared" si="100"/>
        <v>7.2015222222222226</v>
      </c>
      <c r="G869" s="12" t="s">
        <v>144</v>
      </c>
      <c r="H869" s="12" t="s">
        <v>47</v>
      </c>
      <c r="I869">
        <v>2011</v>
      </c>
      <c r="J869" s="12" t="s">
        <v>163</v>
      </c>
      <c r="K869" s="2">
        <v>0</v>
      </c>
      <c r="M869" s="33">
        <v>10.865536179999999</v>
      </c>
      <c r="N869" s="33">
        <v>13.964478509999999</v>
      </c>
      <c r="Z869" s="27" t="s">
        <v>247</v>
      </c>
      <c r="AA869" t="s">
        <v>216</v>
      </c>
    </row>
    <row r="870" spans="1:27" x14ac:dyDescent="0.25">
      <c r="A870" s="12">
        <v>124</v>
      </c>
      <c r="B870">
        <v>28</v>
      </c>
      <c r="C870">
        <f t="shared" si="96"/>
        <v>12428</v>
      </c>
      <c r="D870" s="3" t="s">
        <v>86</v>
      </c>
      <c r="E870" s="11">
        <f t="shared" si="99"/>
        <v>64.270988888888894</v>
      </c>
      <c r="F870" s="11">
        <f t="shared" si="100"/>
        <v>7.2015222222222226</v>
      </c>
      <c r="G870" s="12" t="s">
        <v>144</v>
      </c>
      <c r="H870" s="12" t="s">
        <v>47</v>
      </c>
      <c r="I870">
        <v>2012</v>
      </c>
      <c r="J870" s="12" t="s">
        <v>163</v>
      </c>
      <c r="K870" s="2">
        <v>0</v>
      </c>
      <c r="M870" s="33">
        <v>7.2374999999999998</v>
      </c>
      <c r="N870" s="33">
        <v>9.2750000000000004</v>
      </c>
      <c r="Z870" s="27" t="s">
        <v>247</v>
      </c>
      <c r="AA870" t="s">
        <v>216</v>
      </c>
    </row>
    <row r="871" spans="1:27" x14ac:dyDescent="0.25">
      <c r="A871" s="12">
        <v>124</v>
      </c>
      <c r="B871">
        <v>28</v>
      </c>
      <c r="C871">
        <f t="shared" si="96"/>
        <v>12428</v>
      </c>
      <c r="D871" s="3" t="s">
        <v>86</v>
      </c>
      <c r="E871" s="11">
        <f t="shared" si="99"/>
        <v>64.270988888888894</v>
      </c>
      <c r="F871" s="11">
        <f t="shared" si="100"/>
        <v>7.2015222222222226</v>
      </c>
      <c r="G871" s="12" t="s">
        <v>144</v>
      </c>
      <c r="H871" s="12" t="s">
        <v>47</v>
      </c>
      <c r="I871">
        <v>2013</v>
      </c>
      <c r="J871" s="12" t="s">
        <v>163</v>
      </c>
      <c r="K871" s="2">
        <v>0</v>
      </c>
      <c r="M871" s="33">
        <v>6.6611515957899998</v>
      </c>
      <c r="N871" s="33">
        <v>6.5333333333333297</v>
      </c>
      <c r="Z871" s="27" t="s">
        <v>247</v>
      </c>
      <c r="AA871" t="s">
        <v>216</v>
      </c>
    </row>
    <row r="872" spans="1:27" x14ac:dyDescent="0.25">
      <c r="A872" s="12">
        <v>124</v>
      </c>
      <c r="B872">
        <v>28</v>
      </c>
      <c r="C872">
        <f t="shared" si="96"/>
        <v>12428</v>
      </c>
      <c r="D872" s="3" t="s">
        <v>86</v>
      </c>
      <c r="E872" s="11">
        <f t="shared" si="99"/>
        <v>64.270988888888894</v>
      </c>
      <c r="F872" s="11">
        <f t="shared" si="100"/>
        <v>7.2015222222222226</v>
      </c>
      <c r="G872" s="12" t="s">
        <v>144</v>
      </c>
      <c r="H872" s="12" t="s">
        <v>47</v>
      </c>
      <c r="I872">
        <v>2014</v>
      </c>
      <c r="J872" s="12" t="s">
        <v>163</v>
      </c>
      <c r="K872" s="2">
        <v>0</v>
      </c>
      <c r="M872" s="33">
        <v>8.02</v>
      </c>
      <c r="N872" s="33">
        <v>14.54</v>
      </c>
      <c r="Z872" s="27" t="s">
        <v>247</v>
      </c>
      <c r="AA872" t="s">
        <v>216</v>
      </c>
    </row>
    <row r="873" spans="1:27" x14ac:dyDescent="0.25">
      <c r="A873" s="12">
        <v>124</v>
      </c>
      <c r="B873">
        <v>28</v>
      </c>
      <c r="C873">
        <f t="shared" si="96"/>
        <v>12428</v>
      </c>
      <c r="D873" s="3" t="s">
        <v>86</v>
      </c>
      <c r="E873" s="11">
        <f t="shared" si="99"/>
        <v>64.270988888888894</v>
      </c>
      <c r="F873" s="11">
        <f t="shared" si="100"/>
        <v>7.2015222222222226</v>
      </c>
      <c r="G873" s="12" t="s">
        <v>144</v>
      </c>
      <c r="H873" s="12" t="s">
        <v>47</v>
      </c>
      <c r="I873">
        <v>2015</v>
      </c>
      <c r="J873" s="12" t="s">
        <v>163</v>
      </c>
      <c r="K873" s="2">
        <v>0</v>
      </c>
      <c r="M873" s="33">
        <v>10.005000000000001</v>
      </c>
      <c r="N873" s="33">
        <v>18.225000000000001</v>
      </c>
      <c r="Z873" s="27" t="s">
        <v>247</v>
      </c>
      <c r="AA873" t="s">
        <v>216</v>
      </c>
    </row>
    <row r="874" spans="1:27" x14ac:dyDescent="0.25">
      <c r="A874" s="12">
        <v>124</v>
      </c>
      <c r="B874">
        <v>28</v>
      </c>
      <c r="C874">
        <f t="shared" si="96"/>
        <v>12428</v>
      </c>
      <c r="D874" s="3" t="s">
        <v>86</v>
      </c>
      <c r="E874" s="11">
        <f t="shared" si="99"/>
        <v>64.270988888888894</v>
      </c>
      <c r="F874" s="11">
        <f t="shared" si="100"/>
        <v>7.2015222222222226</v>
      </c>
      <c r="G874" s="12" t="s">
        <v>144</v>
      </c>
      <c r="H874" s="12" t="s">
        <v>47</v>
      </c>
      <c r="I874">
        <v>2016</v>
      </c>
      <c r="J874" s="12" t="s">
        <v>163</v>
      </c>
      <c r="K874" s="2">
        <v>0</v>
      </c>
      <c r="M874" s="33">
        <v>8.65</v>
      </c>
      <c r="N874" s="33">
        <v>17.5</v>
      </c>
      <c r="Z874" s="27" t="s">
        <v>247</v>
      </c>
      <c r="AA874" t="s">
        <v>216</v>
      </c>
    </row>
    <row r="875" spans="1:27" x14ac:dyDescent="0.25">
      <c r="A875" s="12">
        <v>124</v>
      </c>
      <c r="B875">
        <v>29</v>
      </c>
      <c r="C875">
        <f t="shared" si="96"/>
        <v>12429</v>
      </c>
      <c r="D875" s="3" t="s">
        <v>86</v>
      </c>
      <c r="E875" s="11">
        <f>66+54.61/3600</f>
        <v>66.015169444444439</v>
      </c>
      <c r="F875" s="11">
        <f>8+3/60+15.12/3600</f>
        <v>8.0542000000000016</v>
      </c>
      <c r="G875" s="12" t="s">
        <v>144</v>
      </c>
      <c r="H875" s="12" t="s">
        <v>47</v>
      </c>
      <c r="I875">
        <v>2002</v>
      </c>
      <c r="J875" s="12" t="s">
        <v>163</v>
      </c>
      <c r="K875" s="2">
        <v>0</v>
      </c>
      <c r="M875" s="33">
        <v>0.17</v>
      </c>
      <c r="N875" s="33"/>
      <c r="Z875" s="27" t="s">
        <v>247</v>
      </c>
      <c r="AA875" t="s">
        <v>217</v>
      </c>
    </row>
    <row r="876" spans="1:27" x14ac:dyDescent="0.25">
      <c r="A876" s="12">
        <v>124</v>
      </c>
      <c r="B876">
        <v>29</v>
      </c>
      <c r="C876">
        <f t="shared" si="96"/>
        <v>12429</v>
      </c>
      <c r="D876" s="3" t="s">
        <v>86</v>
      </c>
      <c r="E876" s="11">
        <f t="shared" ref="E876:E893" si="101">66+54.61/3600</f>
        <v>66.015169444444439</v>
      </c>
      <c r="F876" s="11">
        <f t="shared" ref="F876:F893" si="102">8+3/60+15.12/3600</f>
        <v>8.0542000000000016</v>
      </c>
      <c r="G876" s="12" t="s">
        <v>144</v>
      </c>
      <c r="H876" s="12" t="s">
        <v>47</v>
      </c>
      <c r="I876">
        <v>2003</v>
      </c>
      <c r="J876" s="12" t="s">
        <v>163</v>
      </c>
      <c r="K876" s="2">
        <v>0</v>
      </c>
      <c r="M876" s="33">
        <v>1.4</v>
      </c>
      <c r="N876" s="33"/>
      <c r="Z876" s="27" t="s">
        <v>247</v>
      </c>
      <c r="AA876" t="s">
        <v>217</v>
      </c>
    </row>
    <row r="877" spans="1:27" x14ac:dyDescent="0.25">
      <c r="A877" s="12">
        <v>124</v>
      </c>
      <c r="B877">
        <v>29</v>
      </c>
      <c r="C877">
        <f t="shared" si="96"/>
        <v>12429</v>
      </c>
      <c r="D877" s="3" t="s">
        <v>86</v>
      </c>
      <c r="E877" s="11">
        <f t="shared" si="101"/>
        <v>66.015169444444439</v>
      </c>
      <c r="F877" s="11">
        <f t="shared" si="102"/>
        <v>8.0542000000000016</v>
      </c>
      <c r="G877" s="12" t="s">
        <v>144</v>
      </c>
      <c r="H877" s="12" t="s">
        <v>47</v>
      </c>
      <c r="I877">
        <v>2005</v>
      </c>
      <c r="J877" s="12" t="s">
        <v>163</v>
      </c>
      <c r="K877" s="2">
        <v>0</v>
      </c>
      <c r="M877" s="33">
        <v>1.9</v>
      </c>
      <c r="N877" s="33">
        <v>2.2999999999999998</v>
      </c>
      <c r="Z877" s="27" t="s">
        <v>247</v>
      </c>
      <c r="AA877" t="s">
        <v>217</v>
      </c>
    </row>
    <row r="878" spans="1:27" x14ac:dyDescent="0.25">
      <c r="A878" s="12">
        <v>124</v>
      </c>
      <c r="B878">
        <v>29</v>
      </c>
      <c r="C878">
        <f t="shared" si="96"/>
        <v>12429</v>
      </c>
      <c r="D878" s="3" t="s">
        <v>86</v>
      </c>
      <c r="E878" s="11">
        <f t="shared" si="101"/>
        <v>66.015169444444439</v>
      </c>
      <c r="F878" s="11">
        <f t="shared" si="102"/>
        <v>8.0542000000000016</v>
      </c>
      <c r="G878" s="12" t="s">
        <v>144</v>
      </c>
      <c r="H878" s="12" t="s">
        <v>47</v>
      </c>
      <c r="I878">
        <v>2006</v>
      </c>
      <c r="J878" s="12" t="s">
        <v>163</v>
      </c>
      <c r="K878" s="2">
        <v>0</v>
      </c>
      <c r="M878" s="33">
        <v>2.0816499999999998</v>
      </c>
      <c r="N878" s="33">
        <v>2.19835</v>
      </c>
      <c r="Z878" s="27" t="s">
        <v>247</v>
      </c>
      <c r="AA878" t="s">
        <v>217</v>
      </c>
    </row>
    <row r="879" spans="1:27" x14ac:dyDescent="0.25">
      <c r="A879" s="12">
        <v>124</v>
      </c>
      <c r="B879">
        <v>29</v>
      </c>
      <c r="C879">
        <f t="shared" si="96"/>
        <v>12429</v>
      </c>
      <c r="D879" s="3" t="s">
        <v>86</v>
      </c>
      <c r="E879" s="11">
        <f t="shared" si="101"/>
        <v>66.015169444444439</v>
      </c>
      <c r="F879" s="11">
        <f t="shared" si="102"/>
        <v>8.0542000000000016</v>
      </c>
      <c r="G879" s="12" t="s">
        <v>144</v>
      </c>
      <c r="H879" s="12" t="s">
        <v>47</v>
      </c>
      <c r="I879">
        <v>2007</v>
      </c>
      <c r="J879" s="12" t="s">
        <v>163</v>
      </c>
      <c r="K879" s="2">
        <v>0</v>
      </c>
      <c r="M879" s="33">
        <v>0.77588000000000001</v>
      </c>
      <c r="N879" s="33">
        <v>1.1660299999999999</v>
      </c>
      <c r="Z879" s="27" t="s">
        <v>247</v>
      </c>
      <c r="AA879" t="s">
        <v>217</v>
      </c>
    </row>
    <row r="880" spans="1:27" x14ac:dyDescent="0.25">
      <c r="A880" s="12">
        <v>124</v>
      </c>
      <c r="B880">
        <v>29</v>
      </c>
      <c r="C880">
        <f t="shared" si="96"/>
        <v>12429</v>
      </c>
      <c r="D880" s="3" t="s">
        <v>86</v>
      </c>
      <c r="E880" s="11">
        <f t="shared" si="101"/>
        <v>66.015169444444439</v>
      </c>
      <c r="F880" s="11">
        <f t="shared" si="102"/>
        <v>8.0542000000000016</v>
      </c>
      <c r="G880" s="12" t="s">
        <v>144</v>
      </c>
      <c r="H880" s="12" t="s">
        <v>47</v>
      </c>
      <c r="I880">
        <v>2008</v>
      </c>
      <c r="J880" s="12" t="s">
        <v>163</v>
      </c>
      <c r="K880" s="2">
        <v>0</v>
      </c>
      <c r="M880" s="33">
        <v>1.03977995</v>
      </c>
      <c r="N880" s="33">
        <v>1.2773816650000001</v>
      </c>
      <c r="Z880" s="27" t="s">
        <v>247</v>
      </c>
      <c r="AA880" t="s">
        <v>217</v>
      </c>
    </row>
    <row r="881" spans="1:27" x14ac:dyDescent="0.25">
      <c r="A881" s="12">
        <v>124</v>
      </c>
      <c r="B881">
        <v>29</v>
      </c>
      <c r="C881">
        <f t="shared" si="96"/>
        <v>12429</v>
      </c>
      <c r="D881" s="3" t="s">
        <v>86</v>
      </c>
      <c r="E881" s="11">
        <f t="shared" si="101"/>
        <v>66.015169444444439</v>
      </c>
      <c r="F881" s="11">
        <f t="shared" si="102"/>
        <v>8.0542000000000016</v>
      </c>
      <c r="G881" s="12" t="s">
        <v>144</v>
      </c>
      <c r="H881" s="12" t="s">
        <v>47</v>
      </c>
      <c r="I881">
        <v>2009</v>
      </c>
      <c r="J881" s="12" t="s">
        <v>163</v>
      </c>
      <c r="K881" s="2">
        <v>0</v>
      </c>
      <c r="M881" s="33">
        <v>1.179002267</v>
      </c>
      <c r="N881" s="33">
        <v>0.99504916300000001</v>
      </c>
      <c r="Z881" s="27" t="s">
        <v>247</v>
      </c>
      <c r="AA881" t="s">
        <v>217</v>
      </c>
    </row>
    <row r="882" spans="1:27" x14ac:dyDescent="0.25">
      <c r="A882" s="12">
        <v>124</v>
      </c>
      <c r="B882">
        <v>29</v>
      </c>
      <c r="C882">
        <f t="shared" si="96"/>
        <v>12429</v>
      </c>
      <c r="D882" s="3" t="s">
        <v>86</v>
      </c>
      <c r="E882" s="11">
        <f t="shared" si="101"/>
        <v>66.015169444444439</v>
      </c>
      <c r="F882" s="11">
        <f t="shared" si="102"/>
        <v>8.0542000000000016</v>
      </c>
      <c r="G882" s="12" t="s">
        <v>144</v>
      </c>
      <c r="H882" s="12" t="s">
        <v>47</v>
      </c>
      <c r="I882">
        <v>2010</v>
      </c>
      <c r="J882" s="12" t="s">
        <v>163</v>
      </c>
      <c r="K882" s="2">
        <v>0</v>
      </c>
      <c r="M882" s="33">
        <v>0.96053075300000001</v>
      </c>
      <c r="N882" s="33">
        <v>0.93521553700000004</v>
      </c>
      <c r="Z882" s="27" t="s">
        <v>247</v>
      </c>
      <c r="AA882" t="s">
        <v>217</v>
      </c>
    </row>
    <row r="883" spans="1:27" x14ac:dyDescent="0.25">
      <c r="A883" s="12">
        <v>124</v>
      </c>
      <c r="B883">
        <v>29</v>
      </c>
      <c r="C883">
        <f t="shared" si="96"/>
        <v>12429</v>
      </c>
      <c r="D883" s="3" t="s">
        <v>86</v>
      </c>
      <c r="E883" s="11">
        <f t="shared" si="101"/>
        <v>66.015169444444439</v>
      </c>
      <c r="F883" s="11">
        <f t="shared" si="102"/>
        <v>8.0542000000000016</v>
      </c>
      <c r="G883" s="12" t="s">
        <v>144</v>
      </c>
      <c r="H883" s="12" t="s">
        <v>47</v>
      </c>
      <c r="I883">
        <v>2011</v>
      </c>
      <c r="J883" s="12" t="s">
        <v>163</v>
      </c>
      <c r="K883" s="2">
        <v>0</v>
      </c>
      <c r="M883" s="33">
        <v>0.79521728000000003</v>
      </c>
      <c r="N883" s="33">
        <v>0.87449870200000002</v>
      </c>
      <c r="Z883" s="27" t="s">
        <v>247</v>
      </c>
      <c r="AA883" t="s">
        <v>217</v>
      </c>
    </row>
    <row r="884" spans="1:27" x14ac:dyDescent="0.25">
      <c r="A884" s="12">
        <v>124</v>
      </c>
      <c r="B884">
        <v>29</v>
      </c>
      <c r="C884">
        <f t="shared" si="96"/>
        <v>12429</v>
      </c>
      <c r="D884" s="3" t="s">
        <v>86</v>
      </c>
      <c r="E884" s="11">
        <f t="shared" si="101"/>
        <v>66.015169444444439</v>
      </c>
      <c r="F884" s="11">
        <f t="shared" si="102"/>
        <v>8.0542000000000016</v>
      </c>
      <c r="G884" s="12" t="s">
        <v>144</v>
      </c>
      <c r="H884" s="12" t="s">
        <v>47</v>
      </c>
      <c r="I884">
        <v>2012</v>
      </c>
      <c r="J884" s="12" t="s">
        <v>163</v>
      </c>
      <c r="K884" s="2">
        <v>0</v>
      </c>
      <c r="M884" s="33">
        <v>0.89803200000000005</v>
      </c>
      <c r="N884" s="33">
        <v>1.3966666666666701</v>
      </c>
      <c r="Z884" s="27" t="s">
        <v>247</v>
      </c>
      <c r="AA884" t="s">
        <v>217</v>
      </c>
    </row>
    <row r="885" spans="1:27" x14ac:dyDescent="0.25">
      <c r="A885" s="12">
        <v>124</v>
      </c>
      <c r="B885">
        <v>29</v>
      </c>
      <c r="C885">
        <f t="shared" si="96"/>
        <v>12429</v>
      </c>
      <c r="D885" s="3" t="s">
        <v>86</v>
      </c>
      <c r="E885" s="11">
        <f t="shared" si="101"/>
        <v>66.015169444444439</v>
      </c>
      <c r="F885" s="11">
        <f t="shared" si="102"/>
        <v>8.0542000000000016</v>
      </c>
      <c r="G885" s="12" t="s">
        <v>144</v>
      </c>
      <c r="H885" s="12" t="s">
        <v>47</v>
      </c>
      <c r="I885">
        <v>2013</v>
      </c>
      <c r="J885" s="12" t="s">
        <v>163</v>
      </c>
      <c r="K885" s="2">
        <v>0</v>
      </c>
      <c r="M885" s="33">
        <v>0.89024645370436395</v>
      </c>
      <c r="N885" s="33">
        <v>1.4909090909090901</v>
      </c>
      <c r="Z885" s="27" t="s">
        <v>247</v>
      </c>
      <c r="AA885" t="s">
        <v>217</v>
      </c>
    </row>
    <row r="886" spans="1:27" x14ac:dyDescent="0.25">
      <c r="A886" s="12">
        <v>124</v>
      </c>
      <c r="B886">
        <v>29</v>
      </c>
      <c r="C886">
        <f t="shared" si="96"/>
        <v>12429</v>
      </c>
      <c r="D886" s="3" t="s">
        <v>86</v>
      </c>
      <c r="E886" s="11">
        <f t="shared" si="101"/>
        <v>66.015169444444439</v>
      </c>
      <c r="F886" s="11">
        <f t="shared" si="102"/>
        <v>8.0542000000000016</v>
      </c>
      <c r="G886" s="12" t="s">
        <v>144</v>
      </c>
      <c r="H886" s="12" t="s">
        <v>47</v>
      </c>
      <c r="I886">
        <v>2014</v>
      </c>
      <c r="J886" s="12" t="s">
        <v>163</v>
      </c>
      <c r="K886" s="2">
        <v>0</v>
      </c>
      <c r="M886" s="33">
        <v>1.1105454545454501</v>
      </c>
      <c r="N886" s="33">
        <v>1.8533333333333299</v>
      </c>
      <c r="Z886" s="27" t="s">
        <v>247</v>
      </c>
      <c r="AA886" t="s">
        <v>217</v>
      </c>
    </row>
    <row r="887" spans="1:27" x14ac:dyDescent="0.25">
      <c r="A887" s="12">
        <v>124</v>
      </c>
      <c r="B887">
        <v>29</v>
      </c>
      <c r="C887">
        <f t="shared" si="96"/>
        <v>12429</v>
      </c>
      <c r="D887" s="3" t="s">
        <v>86</v>
      </c>
      <c r="E887" s="11">
        <f t="shared" si="101"/>
        <v>66.015169444444439</v>
      </c>
      <c r="F887" s="11">
        <f t="shared" si="102"/>
        <v>8.0542000000000016</v>
      </c>
      <c r="G887" s="12" t="s">
        <v>144</v>
      </c>
      <c r="H887" s="12" t="s">
        <v>47</v>
      </c>
      <c r="I887">
        <v>2015</v>
      </c>
      <c r="J887" s="12" t="s">
        <v>163</v>
      </c>
      <c r="K887" s="2">
        <v>0</v>
      </c>
      <c r="M887" s="33">
        <v>1.0253000000000001</v>
      </c>
      <c r="N887" s="33">
        <v>1.7350000000000001</v>
      </c>
      <c r="Z887" s="27" t="s">
        <v>247</v>
      </c>
      <c r="AA887" t="s">
        <v>217</v>
      </c>
    </row>
    <row r="888" spans="1:27" x14ac:dyDescent="0.25">
      <c r="A888" s="12">
        <v>124</v>
      </c>
      <c r="B888">
        <v>29</v>
      </c>
      <c r="C888">
        <f t="shared" si="96"/>
        <v>12429</v>
      </c>
      <c r="D888" s="3" t="s">
        <v>86</v>
      </c>
      <c r="E888" s="11">
        <f t="shared" si="101"/>
        <v>66.015169444444439</v>
      </c>
      <c r="F888" s="11">
        <f t="shared" si="102"/>
        <v>8.0542000000000016</v>
      </c>
      <c r="G888" s="12" t="s">
        <v>144</v>
      </c>
      <c r="H888" s="12" t="s">
        <v>47</v>
      </c>
      <c r="I888">
        <v>2016</v>
      </c>
      <c r="J888" s="12" t="s">
        <v>163</v>
      </c>
      <c r="K888" s="2">
        <v>0</v>
      </c>
      <c r="M888" s="33">
        <v>0.88</v>
      </c>
      <c r="N888" s="33">
        <v>1.9125000000000001</v>
      </c>
      <c r="Z888" s="27" t="s">
        <v>247</v>
      </c>
      <c r="AA888" t="s">
        <v>217</v>
      </c>
    </row>
    <row r="889" spans="1:27" x14ac:dyDescent="0.25">
      <c r="A889" s="12">
        <v>124</v>
      </c>
      <c r="B889">
        <v>29</v>
      </c>
      <c r="C889">
        <f t="shared" si="96"/>
        <v>12429</v>
      </c>
      <c r="D889" s="3" t="s">
        <v>86</v>
      </c>
      <c r="E889" s="11">
        <f t="shared" si="101"/>
        <v>66.015169444444439</v>
      </c>
      <c r="F889" s="11">
        <f t="shared" si="102"/>
        <v>8.0542000000000016</v>
      </c>
      <c r="G889" s="12" t="s">
        <v>144</v>
      </c>
      <c r="H889" s="12" t="s">
        <v>47</v>
      </c>
      <c r="I889">
        <v>2017</v>
      </c>
      <c r="J889" s="12" t="s">
        <v>163</v>
      </c>
      <c r="K889" s="2">
        <v>0</v>
      </c>
      <c r="M889" s="33">
        <v>1.0149999999999999</v>
      </c>
      <c r="N889" s="33">
        <v>1.905</v>
      </c>
      <c r="Z889" s="27" t="s">
        <v>247</v>
      </c>
      <c r="AA889" t="s">
        <v>217</v>
      </c>
    </row>
    <row r="890" spans="1:27" x14ac:dyDescent="0.25">
      <c r="A890" s="12">
        <v>124</v>
      </c>
      <c r="B890">
        <v>29</v>
      </c>
      <c r="C890">
        <f t="shared" si="96"/>
        <v>12429</v>
      </c>
      <c r="D890" s="3" t="s">
        <v>86</v>
      </c>
      <c r="E890" s="11">
        <f t="shared" si="101"/>
        <v>66.015169444444439</v>
      </c>
      <c r="F890" s="11">
        <f t="shared" si="102"/>
        <v>8.0542000000000016</v>
      </c>
      <c r="G890" s="12" t="s">
        <v>144</v>
      </c>
      <c r="H890" s="12" t="s">
        <v>47</v>
      </c>
      <c r="I890">
        <v>2018</v>
      </c>
      <c r="J890" s="12" t="s">
        <v>163</v>
      </c>
      <c r="K890" s="2">
        <v>0</v>
      </c>
      <c r="M890" s="33">
        <v>0.90549999999999997</v>
      </c>
      <c r="N890" s="33">
        <v>1.8903333333333301</v>
      </c>
      <c r="Z890" s="27" t="s">
        <v>247</v>
      </c>
      <c r="AA890" t="s">
        <v>217</v>
      </c>
    </row>
    <row r="891" spans="1:27" x14ac:dyDescent="0.25">
      <c r="A891" s="12">
        <v>124</v>
      </c>
      <c r="B891">
        <v>29</v>
      </c>
      <c r="C891">
        <f t="shared" si="96"/>
        <v>12429</v>
      </c>
      <c r="D891" s="3" t="s">
        <v>86</v>
      </c>
      <c r="E891" s="11">
        <f t="shared" si="101"/>
        <v>66.015169444444439</v>
      </c>
      <c r="F891" s="11">
        <f t="shared" si="102"/>
        <v>8.0542000000000016</v>
      </c>
      <c r="G891" s="12" t="s">
        <v>144</v>
      </c>
      <c r="H891" s="12" t="s">
        <v>47</v>
      </c>
      <c r="I891">
        <v>2019</v>
      </c>
      <c r="J891" s="12" t="s">
        <v>163</v>
      </c>
      <c r="K891" s="2">
        <v>0</v>
      </c>
      <c r="M891" s="33">
        <v>0.46675</v>
      </c>
      <c r="N891" s="33">
        <v>1.5175000000000001</v>
      </c>
      <c r="Z891" s="27" t="s">
        <v>247</v>
      </c>
      <c r="AA891" t="s">
        <v>217</v>
      </c>
    </row>
    <row r="892" spans="1:27" x14ac:dyDescent="0.25">
      <c r="A892" s="12">
        <v>124</v>
      </c>
      <c r="B892">
        <v>29</v>
      </c>
      <c r="C892">
        <f t="shared" si="96"/>
        <v>12429</v>
      </c>
      <c r="D892" s="3" t="s">
        <v>86</v>
      </c>
      <c r="E892" s="11">
        <f t="shared" si="101"/>
        <v>66.015169444444439</v>
      </c>
      <c r="F892" s="11">
        <f t="shared" si="102"/>
        <v>8.0542000000000016</v>
      </c>
      <c r="G892" s="12" t="s">
        <v>144</v>
      </c>
      <c r="H892" s="12" t="s">
        <v>47</v>
      </c>
      <c r="I892">
        <v>2020</v>
      </c>
      <c r="J892" s="12" t="s">
        <v>163</v>
      </c>
      <c r="K892" s="2">
        <v>0</v>
      </c>
      <c r="M892" s="33">
        <v>0.55574999999999997</v>
      </c>
      <c r="N892" s="33">
        <v>1.8169999999999999</v>
      </c>
      <c r="Z892" s="27" t="s">
        <v>247</v>
      </c>
      <c r="AA892" t="s">
        <v>217</v>
      </c>
    </row>
    <row r="893" spans="1:27" x14ac:dyDescent="0.25">
      <c r="A893" s="12">
        <v>124</v>
      </c>
      <c r="B893">
        <v>29</v>
      </c>
      <c r="C893">
        <f t="shared" si="96"/>
        <v>12429</v>
      </c>
      <c r="D893" s="3" t="s">
        <v>86</v>
      </c>
      <c r="E893" s="11">
        <f t="shared" si="101"/>
        <v>66.015169444444439</v>
      </c>
      <c r="F893" s="11">
        <f t="shared" si="102"/>
        <v>8.0542000000000016</v>
      </c>
      <c r="G893" s="12" t="s">
        <v>144</v>
      </c>
      <c r="H893" s="12" t="s">
        <v>47</v>
      </c>
      <c r="I893">
        <v>2021</v>
      </c>
      <c r="J893" s="12" t="s">
        <v>163</v>
      </c>
      <c r="K893" s="2">
        <v>0</v>
      </c>
      <c r="M893" s="33">
        <v>0.56674999999999998</v>
      </c>
      <c r="N893" s="33">
        <v>1.80975</v>
      </c>
      <c r="Z893" s="27" t="s">
        <v>247</v>
      </c>
      <c r="AA893" t="s">
        <v>217</v>
      </c>
    </row>
    <row r="894" spans="1:27" x14ac:dyDescent="0.25">
      <c r="A894" s="12">
        <v>124</v>
      </c>
      <c r="B894">
        <v>30</v>
      </c>
      <c r="C894">
        <f t="shared" si="96"/>
        <v>12430</v>
      </c>
      <c r="D894" s="3" t="s">
        <v>86</v>
      </c>
      <c r="E894" s="11">
        <f>62+50/60+52.06/3600</f>
        <v>62.847794444444446</v>
      </c>
      <c r="F894" s="11">
        <f>6+57/60+13.32/3600</f>
        <v>6.9537000000000004</v>
      </c>
      <c r="G894" s="12" t="s">
        <v>144</v>
      </c>
      <c r="H894" s="12" t="s">
        <v>47</v>
      </c>
      <c r="I894">
        <v>2013</v>
      </c>
      <c r="J894" s="12" t="s">
        <v>163</v>
      </c>
      <c r="K894" s="2">
        <v>0</v>
      </c>
      <c r="M894" s="33">
        <v>0.41305407365833302</v>
      </c>
      <c r="N894" s="33">
        <v>0.142440774033333</v>
      </c>
      <c r="Z894" s="27" t="s">
        <v>247</v>
      </c>
      <c r="AA894" t="s">
        <v>236</v>
      </c>
    </row>
    <row r="895" spans="1:27" x14ac:dyDescent="0.25">
      <c r="A895" s="12">
        <v>124</v>
      </c>
      <c r="B895">
        <v>30</v>
      </c>
      <c r="C895">
        <f t="shared" si="96"/>
        <v>12430</v>
      </c>
      <c r="D895" s="3" t="s">
        <v>86</v>
      </c>
      <c r="E895" s="11">
        <f t="shared" ref="E895:E901" si="103">62+50/60+52.06/3600</f>
        <v>62.847794444444446</v>
      </c>
      <c r="F895" s="11">
        <f t="shared" ref="F895:F901" si="104">6+57/60+13.32/3600</f>
        <v>6.9537000000000004</v>
      </c>
      <c r="G895" s="12" t="s">
        <v>144</v>
      </c>
      <c r="H895" s="12" t="s">
        <v>47</v>
      </c>
      <c r="I895">
        <v>2014</v>
      </c>
      <c r="J895" s="12" t="s">
        <v>163</v>
      </c>
      <c r="K895" s="2">
        <v>0</v>
      </c>
      <c r="M895" s="33">
        <v>0.35977334503333303</v>
      </c>
      <c r="N895" s="33">
        <v>0.15869784649166699</v>
      </c>
      <c r="Z895" s="27" t="s">
        <v>247</v>
      </c>
      <c r="AA895" t="s">
        <v>236</v>
      </c>
    </row>
    <row r="896" spans="1:27" x14ac:dyDescent="0.25">
      <c r="A896" s="12">
        <v>124</v>
      </c>
      <c r="B896">
        <v>30</v>
      </c>
      <c r="C896">
        <f t="shared" si="96"/>
        <v>12430</v>
      </c>
      <c r="D896" s="3" t="s">
        <v>86</v>
      </c>
      <c r="E896" s="11">
        <f t="shared" si="103"/>
        <v>62.847794444444446</v>
      </c>
      <c r="F896" s="11">
        <f t="shared" si="104"/>
        <v>6.9537000000000004</v>
      </c>
      <c r="G896" s="12" t="s">
        <v>144</v>
      </c>
      <c r="H896" s="12" t="s">
        <v>47</v>
      </c>
      <c r="I896">
        <v>2015</v>
      </c>
      <c r="J896" s="12" t="s">
        <v>163</v>
      </c>
      <c r="K896" s="2">
        <v>0</v>
      </c>
      <c r="M896" s="33">
        <v>0.20661046121666701</v>
      </c>
      <c r="N896" s="33">
        <v>9.5763974758333301E-2</v>
      </c>
      <c r="Z896" s="27" t="s">
        <v>247</v>
      </c>
      <c r="AA896" t="s">
        <v>236</v>
      </c>
    </row>
    <row r="897" spans="1:27" x14ac:dyDescent="0.25">
      <c r="A897" s="12">
        <v>124</v>
      </c>
      <c r="B897">
        <v>30</v>
      </c>
      <c r="C897">
        <f t="shared" si="96"/>
        <v>12430</v>
      </c>
      <c r="D897" s="3" t="s">
        <v>86</v>
      </c>
      <c r="E897" s="11">
        <f t="shared" si="103"/>
        <v>62.847794444444446</v>
      </c>
      <c r="F897" s="11">
        <f t="shared" si="104"/>
        <v>6.9537000000000004</v>
      </c>
      <c r="G897" s="12" t="s">
        <v>144</v>
      </c>
      <c r="H897" s="12" t="s">
        <v>47</v>
      </c>
      <c r="I897">
        <v>2016</v>
      </c>
      <c r="J897" s="12" t="s">
        <v>163</v>
      </c>
      <c r="K897" s="2">
        <v>0</v>
      </c>
      <c r="M897" s="33">
        <v>0.175533186566667</v>
      </c>
      <c r="N897" s="33">
        <v>6.8666306733333293E-2</v>
      </c>
      <c r="Z897" s="27" t="s">
        <v>247</v>
      </c>
      <c r="AA897" t="s">
        <v>236</v>
      </c>
    </row>
    <row r="898" spans="1:27" x14ac:dyDescent="0.25">
      <c r="A898" s="12">
        <v>124</v>
      </c>
      <c r="B898">
        <v>30</v>
      </c>
      <c r="C898">
        <f t="shared" si="96"/>
        <v>12430</v>
      </c>
      <c r="D898" s="3" t="s">
        <v>86</v>
      </c>
      <c r="E898" s="11">
        <f t="shared" si="103"/>
        <v>62.847794444444446</v>
      </c>
      <c r="F898" s="11">
        <f t="shared" si="104"/>
        <v>6.9537000000000004</v>
      </c>
      <c r="G898" s="12" t="s">
        <v>144</v>
      </c>
      <c r="H898" s="12" t="s">
        <v>47</v>
      </c>
      <c r="I898">
        <v>2017</v>
      </c>
      <c r="J898" s="12" t="s">
        <v>163</v>
      </c>
      <c r="K898" s="2">
        <v>0</v>
      </c>
      <c r="M898" s="33">
        <v>0.226032216233333</v>
      </c>
      <c r="N898" s="33">
        <v>6.9749388524999997E-2</v>
      </c>
      <c r="Z898" s="27" t="s">
        <v>247</v>
      </c>
      <c r="AA898" t="s">
        <v>236</v>
      </c>
    </row>
    <row r="899" spans="1:27" x14ac:dyDescent="0.25">
      <c r="A899" s="12">
        <v>124</v>
      </c>
      <c r="B899">
        <v>30</v>
      </c>
      <c r="C899">
        <f t="shared" ref="C899:C962" si="105">A899*100+B899</f>
        <v>12430</v>
      </c>
      <c r="D899" s="3" t="s">
        <v>86</v>
      </c>
      <c r="E899" s="11">
        <f t="shared" si="103"/>
        <v>62.847794444444446</v>
      </c>
      <c r="F899" s="11">
        <f t="shared" si="104"/>
        <v>6.9537000000000004</v>
      </c>
      <c r="G899" s="12" t="s">
        <v>144</v>
      </c>
      <c r="H899" s="12" t="s">
        <v>47</v>
      </c>
      <c r="I899">
        <v>2019</v>
      </c>
      <c r="J899" s="12" t="s">
        <v>163</v>
      </c>
      <c r="K899" s="2">
        <v>0</v>
      </c>
      <c r="M899" s="33">
        <v>0.17520511990833301</v>
      </c>
      <c r="N899" s="33">
        <v>6.3185548783333295E-2</v>
      </c>
      <c r="Z899" s="27" t="s">
        <v>247</v>
      </c>
      <c r="AA899" t="s">
        <v>236</v>
      </c>
    </row>
    <row r="900" spans="1:27" x14ac:dyDescent="0.25">
      <c r="A900" s="12">
        <v>124</v>
      </c>
      <c r="B900">
        <v>30</v>
      </c>
      <c r="C900">
        <f t="shared" si="105"/>
        <v>12430</v>
      </c>
      <c r="D900" s="3" t="s">
        <v>86</v>
      </c>
      <c r="E900" s="11">
        <f t="shared" si="103"/>
        <v>62.847794444444446</v>
      </c>
      <c r="F900" s="11">
        <f t="shared" si="104"/>
        <v>6.9537000000000004</v>
      </c>
      <c r="G900" s="12" t="s">
        <v>144</v>
      </c>
      <c r="H900" s="12" t="s">
        <v>47</v>
      </c>
      <c r="I900">
        <v>2020</v>
      </c>
      <c r="J900" s="12" t="s">
        <v>163</v>
      </c>
      <c r="K900" s="2">
        <v>0</v>
      </c>
      <c r="M900" s="33">
        <v>0.18468613824166699</v>
      </c>
      <c r="N900" s="33">
        <v>6.1248093258333303E-2</v>
      </c>
      <c r="Z900" s="27" t="s">
        <v>247</v>
      </c>
      <c r="AA900" t="s">
        <v>236</v>
      </c>
    </row>
    <row r="901" spans="1:27" x14ac:dyDescent="0.25">
      <c r="A901" s="12">
        <v>124</v>
      </c>
      <c r="B901">
        <v>30</v>
      </c>
      <c r="C901">
        <f t="shared" si="105"/>
        <v>12430</v>
      </c>
      <c r="D901" s="3" t="s">
        <v>86</v>
      </c>
      <c r="E901" s="11">
        <f t="shared" si="103"/>
        <v>62.847794444444446</v>
      </c>
      <c r="F901" s="11">
        <f t="shared" si="104"/>
        <v>6.9537000000000004</v>
      </c>
      <c r="G901" s="12" t="s">
        <v>144</v>
      </c>
      <c r="H901" s="12" t="s">
        <v>47</v>
      </c>
      <c r="I901">
        <v>2021</v>
      </c>
      <c r="J901" s="12" t="s">
        <v>163</v>
      </c>
      <c r="K901" s="2">
        <v>0</v>
      </c>
      <c r="M901" s="33">
        <v>0.29594574894166698</v>
      </c>
      <c r="N901" s="33">
        <v>6.1157977491666703E-2</v>
      </c>
      <c r="Z901" s="27" t="s">
        <v>247</v>
      </c>
      <c r="AA901" t="s">
        <v>236</v>
      </c>
    </row>
    <row r="902" spans="1:27" x14ac:dyDescent="0.25">
      <c r="A902" s="12">
        <v>124</v>
      </c>
      <c r="B902">
        <v>31</v>
      </c>
      <c r="C902">
        <f t="shared" si="105"/>
        <v>12431</v>
      </c>
      <c r="D902" s="3" t="s">
        <v>86</v>
      </c>
      <c r="E902" s="11">
        <f>60+29/60+30.71/3600</f>
        <v>60.491863888888886</v>
      </c>
      <c r="F902" s="11">
        <f>2+49/60+38.33/3600</f>
        <v>2.8273138888888885</v>
      </c>
      <c r="G902" s="12" t="s">
        <v>144</v>
      </c>
      <c r="H902" s="12" t="s">
        <v>47</v>
      </c>
      <c r="I902">
        <v>2002</v>
      </c>
      <c r="J902" s="12" t="s">
        <v>163</v>
      </c>
      <c r="K902" s="2">
        <v>0</v>
      </c>
      <c r="M902" s="33">
        <v>5.5666666664999997</v>
      </c>
      <c r="N902" s="33"/>
      <c r="Z902" s="27" t="s">
        <v>247</v>
      </c>
      <c r="AA902" t="s">
        <v>218</v>
      </c>
    </row>
    <row r="903" spans="1:27" x14ac:dyDescent="0.25">
      <c r="A903" s="12">
        <v>124</v>
      </c>
      <c r="B903">
        <v>31</v>
      </c>
      <c r="C903">
        <f t="shared" si="105"/>
        <v>12431</v>
      </c>
      <c r="D903" s="3" t="s">
        <v>86</v>
      </c>
      <c r="E903" s="11">
        <f t="shared" ref="E903:E921" si="106">60+29/60+30.71/3600</f>
        <v>60.491863888888886</v>
      </c>
      <c r="F903" s="11">
        <f t="shared" ref="F903:F921" si="107">2+49/60+38.33/3600</f>
        <v>2.8273138888888885</v>
      </c>
      <c r="G903" s="12" t="s">
        <v>144</v>
      </c>
      <c r="H903" s="12" t="s">
        <v>47</v>
      </c>
      <c r="I903">
        <v>2003</v>
      </c>
      <c r="J903" s="12" t="s">
        <v>163</v>
      </c>
      <c r="K903" s="2">
        <v>0</v>
      </c>
      <c r="M903" s="33">
        <v>7.55</v>
      </c>
      <c r="N903" s="33"/>
      <c r="Z903" s="27" t="s">
        <v>247</v>
      </c>
      <c r="AA903" t="s">
        <v>218</v>
      </c>
    </row>
    <row r="904" spans="1:27" x14ac:dyDescent="0.25">
      <c r="A904" s="12">
        <v>124</v>
      </c>
      <c r="B904">
        <v>31</v>
      </c>
      <c r="C904">
        <f t="shared" si="105"/>
        <v>12431</v>
      </c>
      <c r="D904" s="3" t="s">
        <v>86</v>
      </c>
      <c r="E904" s="11">
        <f t="shared" si="106"/>
        <v>60.491863888888886</v>
      </c>
      <c r="F904" s="11">
        <f t="shared" si="107"/>
        <v>2.8273138888888885</v>
      </c>
      <c r="G904" s="12" t="s">
        <v>144</v>
      </c>
      <c r="H904" s="12" t="s">
        <v>47</v>
      </c>
      <c r="I904">
        <v>2004</v>
      </c>
      <c r="J904" s="12" t="s">
        <v>163</v>
      </c>
      <c r="K904" s="2">
        <v>0</v>
      </c>
      <c r="M904" s="33">
        <v>6.4</v>
      </c>
      <c r="N904" s="33"/>
      <c r="Z904" s="27" t="s">
        <v>247</v>
      </c>
      <c r="AA904" t="s">
        <v>218</v>
      </c>
    </row>
    <row r="905" spans="1:27" x14ac:dyDescent="0.25">
      <c r="A905" s="12">
        <v>124</v>
      </c>
      <c r="B905">
        <v>31</v>
      </c>
      <c r="C905">
        <f t="shared" si="105"/>
        <v>12431</v>
      </c>
      <c r="D905" s="3" t="s">
        <v>86</v>
      </c>
      <c r="E905" s="11">
        <f t="shared" si="106"/>
        <v>60.491863888888886</v>
      </c>
      <c r="F905" s="11">
        <f t="shared" si="107"/>
        <v>2.8273138888888885</v>
      </c>
      <c r="G905" s="12" t="s">
        <v>144</v>
      </c>
      <c r="H905" s="12" t="s">
        <v>47</v>
      </c>
      <c r="I905">
        <v>2005</v>
      </c>
      <c r="J905" s="12" t="s">
        <v>163</v>
      </c>
      <c r="K905" s="2">
        <v>0</v>
      </c>
      <c r="M905" s="33">
        <v>6</v>
      </c>
      <c r="N905" s="33"/>
      <c r="Z905" s="27" t="s">
        <v>247</v>
      </c>
      <c r="AA905" t="s">
        <v>218</v>
      </c>
    </row>
    <row r="906" spans="1:27" x14ac:dyDescent="0.25">
      <c r="A906" s="12">
        <v>124</v>
      </c>
      <c r="B906">
        <v>31</v>
      </c>
      <c r="C906">
        <f t="shared" si="105"/>
        <v>12431</v>
      </c>
      <c r="D906" s="3" t="s">
        <v>86</v>
      </c>
      <c r="E906" s="11">
        <f t="shared" si="106"/>
        <v>60.491863888888886</v>
      </c>
      <c r="F906" s="11">
        <f t="shared" si="107"/>
        <v>2.8273138888888885</v>
      </c>
      <c r="G906" s="12" t="s">
        <v>144</v>
      </c>
      <c r="H906" s="12" t="s">
        <v>47</v>
      </c>
      <c r="I906">
        <v>2006</v>
      </c>
      <c r="J906" s="12" t="s">
        <v>163</v>
      </c>
      <c r="K906" s="2">
        <v>0</v>
      </c>
      <c r="M906" s="33">
        <v>6.35</v>
      </c>
      <c r="N906" s="33">
        <v>7.5</v>
      </c>
      <c r="Z906" s="27" t="s">
        <v>247</v>
      </c>
      <c r="AA906" t="s">
        <v>218</v>
      </c>
    </row>
    <row r="907" spans="1:27" x14ac:dyDescent="0.25">
      <c r="A907" s="12">
        <v>124</v>
      </c>
      <c r="B907">
        <v>31</v>
      </c>
      <c r="C907">
        <f t="shared" si="105"/>
        <v>12431</v>
      </c>
      <c r="D907" s="3" t="s">
        <v>86</v>
      </c>
      <c r="E907" s="11">
        <f t="shared" si="106"/>
        <v>60.491863888888886</v>
      </c>
      <c r="F907" s="11">
        <f t="shared" si="107"/>
        <v>2.8273138888888885</v>
      </c>
      <c r="G907" s="12" t="s">
        <v>144</v>
      </c>
      <c r="H907" s="12" t="s">
        <v>47</v>
      </c>
      <c r="I907">
        <v>2007</v>
      </c>
      <c r="J907" s="12" t="s">
        <v>163</v>
      </c>
      <c r="K907" s="2">
        <v>0</v>
      </c>
      <c r="M907" s="33">
        <v>4.2</v>
      </c>
      <c r="N907" s="33">
        <v>4.7</v>
      </c>
      <c r="Z907" s="27" t="s">
        <v>247</v>
      </c>
      <c r="AA907" t="s">
        <v>218</v>
      </c>
    </row>
    <row r="908" spans="1:27" x14ac:dyDescent="0.25">
      <c r="A908" s="12">
        <v>124</v>
      </c>
      <c r="B908">
        <v>31</v>
      </c>
      <c r="C908">
        <f t="shared" si="105"/>
        <v>12431</v>
      </c>
      <c r="D908" s="3" t="s">
        <v>86</v>
      </c>
      <c r="E908" s="11">
        <f t="shared" si="106"/>
        <v>60.491863888888886</v>
      </c>
      <c r="F908" s="11">
        <f t="shared" si="107"/>
        <v>2.8273138888888885</v>
      </c>
      <c r="G908" s="12" t="s">
        <v>144</v>
      </c>
      <c r="H908" s="12" t="s">
        <v>47</v>
      </c>
      <c r="I908">
        <v>2008</v>
      </c>
      <c r="J908" s="12" t="s">
        <v>163</v>
      </c>
      <c r="K908" s="2">
        <v>0</v>
      </c>
      <c r="M908" s="33">
        <v>3.95</v>
      </c>
      <c r="N908" s="33">
        <v>4.3499999999999996</v>
      </c>
      <c r="Z908" s="27" t="s">
        <v>247</v>
      </c>
      <c r="AA908" t="s">
        <v>218</v>
      </c>
    </row>
    <row r="909" spans="1:27" x14ac:dyDescent="0.25">
      <c r="A909" s="12">
        <v>124</v>
      </c>
      <c r="B909">
        <v>31</v>
      </c>
      <c r="C909">
        <f t="shared" si="105"/>
        <v>12431</v>
      </c>
      <c r="D909" s="3" t="s">
        <v>86</v>
      </c>
      <c r="E909" s="11">
        <f t="shared" si="106"/>
        <v>60.491863888888886</v>
      </c>
      <c r="F909" s="11">
        <f t="shared" si="107"/>
        <v>2.8273138888888885</v>
      </c>
      <c r="G909" s="12" t="s">
        <v>144</v>
      </c>
      <c r="H909" s="12" t="s">
        <v>47</v>
      </c>
      <c r="I909">
        <v>2009</v>
      </c>
      <c r="J909" s="12" t="s">
        <v>163</v>
      </c>
      <c r="K909" s="2">
        <v>0</v>
      </c>
      <c r="M909" s="33">
        <v>8.6068134979999993</v>
      </c>
      <c r="N909" s="33">
        <v>8.7038443250000004</v>
      </c>
      <c r="Z909" s="27" t="s">
        <v>247</v>
      </c>
      <c r="AA909" t="s">
        <v>218</v>
      </c>
    </row>
    <row r="910" spans="1:27" x14ac:dyDescent="0.25">
      <c r="A910" s="12">
        <v>124</v>
      </c>
      <c r="B910">
        <v>31</v>
      </c>
      <c r="C910">
        <f t="shared" si="105"/>
        <v>12431</v>
      </c>
      <c r="D910" s="3" t="s">
        <v>86</v>
      </c>
      <c r="E910" s="11">
        <f t="shared" si="106"/>
        <v>60.491863888888886</v>
      </c>
      <c r="F910" s="11">
        <f t="shared" si="107"/>
        <v>2.8273138888888885</v>
      </c>
      <c r="G910" s="12" t="s">
        <v>144</v>
      </c>
      <c r="H910" s="12" t="s">
        <v>47</v>
      </c>
      <c r="I910">
        <v>2010</v>
      </c>
      <c r="J910" s="12" t="s">
        <v>163</v>
      </c>
      <c r="K910" s="2">
        <v>0</v>
      </c>
      <c r="M910" s="33">
        <v>9.2032767404999998</v>
      </c>
      <c r="N910" s="33">
        <v>8.8946330329999999</v>
      </c>
      <c r="Z910" s="27" t="s">
        <v>247</v>
      </c>
      <c r="AA910" t="s">
        <v>218</v>
      </c>
    </row>
    <row r="911" spans="1:27" x14ac:dyDescent="0.25">
      <c r="A911" s="12">
        <v>124</v>
      </c>
      <c r="B911">
        <v>31</v>
      </c>
      <c r="C911">
        <f t="shared" si="105"/>
        <v>12431</v>
      </c>
      <c r="D911" s="3" t="s">
        <v>86</v>
      </c>
      <c r="E911" s="11">
        <f t="shared" si="106"/>
        <v>60.491863888888886</v>
      </c>
      <c r="F911" s="11">
        <f t="shared" si="107"/>
        <v>2.8273138888888885</v>
      </c>
      <c r="G911" s="12" t="s">
        <v>144</v>
      </c>
      <c r="H911" s="12" t="s">
        <v>47</v>
      </c>
      <c r="I911">
        <v>2011</v>
      </c>
      <c r="J911" s="12" t="s">
        <v>163</v>
      </c>
      <c r="K911" s="2">
        <v>0</v>
      </c>
      <c r="M911" s="33">
        <v>7.1355609690000001</v>
      </c>
      <c r="N911" s="33">
        <v>7.0802932890000001</v>
      </c>
      <c r="Z911" s="27" t="s">
        <v>247</v>
      </c>
      <c r="AA911" t="s">
        <v>218</v>
      </c>
    </row>
    <row r="912" spans="1:27" x14ac:dyDescent="0.25">
      <c r="A912" s="12">
        <v>124</v>
      </c>
      <c r="B912">
        <v>31</v>
      </c>
      <c r="C912">
        <f t="shared" si="105"/>
        <v>12431</v>
      </c>
      <c r="D912" s="3" t="s">
        <v>86</v>
      </c>
      <c r="E912" s="11">
        <f t="shared" si="106"/>
        <v>60.491863888888886</v>
      </c>
      <c r="F912" s="11">
        <f t="shared" si="107"/>
        <v>2.8273138888888885</v>
      </c>
      <c r="G912" s="12" t="s">
        <v>144</v>
      </c>
      <c r="H912" s="12" t="s">
        <v>47</v>
      </c>
      <c r="I912">
        <v>2012</v>
      </c>
      <c r="J912" s="12" t="s">
        <v>163</v>
      </c>
      <c r="K912" s="2">
        <v>0</v>
      </c>
      <c r="M912" s="33">
        <v>7.6204650000000003</v>
      </c>
      <c r="N912" s="33">
        <v>6.47</v>
      </c>
      <c r="Z912" s="27" t="s">
        <v>247</v>
      </c>
      <c r="AA912" t="s">
        <v>218</v>
      </c>
    </row>
    <row r="913" spans="1:27" x14ac:dyDescent="0.25">
      <c r="A913" s="12">
        <v>124</v>
      </c>
      <c r="B913">
        <v>31</v>
      </c>
      <c r="C913">
        <f t="shared" si="105"/>
        <v>12431</v>
      </c>
      <c r="D913" s="3" t="s">
        <v>86</v>
      </c>
      <c r="E913" s="11">
        <f t="shared" si="106"/>
        <v>60.491863888888886</v>
      </c>
      <c r="F913" s="11">
        <f t="shared" si="107"/>
        <v>2.8273138888888885</v>
      </c>
      <c r="G913" s="12" t="s">
        <v>144</v>
      </c>
      <c r="H913" s="12" t="s">
        <v>47</v>
      </c>
      <c r="I913">
        <v>2013</v>
      </c>
      <c r="J913" s="12" t="s">
        <v>163</v>
      </c>
      <c r="K913" s="2">
        <v>0</v>
      </c>
      <c r="M913" s="33">
        <v>8.0814709436633301</v>
      </c>
      <c r="N913" s="33">
        <v>6.9314285714285697</v>
      </c>
      <c r="Z913" s="27" t="s">
        <v>247</v>
      </c>
      <c r="AA913" t="s">
        <v>218</v>
      </c>
    </row>
    <row r="914" spans="1:27" x14ac:dyDescent="0.25">
      <c r="A914" s="12">
        <v>124</v>
      </c>
      <c r="B914">
        <v>31</v>
      </c>
      <c r="C914">
        <f t="shared" si="105"/>
        <v>12431</v>
      </c>
      <c r="D914" s="3" t="s">
        <v>86</v>
      </c>
      <c r="E914" s="11">
        <f t="shared" si="106"/>
        <v>60.491863888888886</v>
      </c>
      <c r="F914" s="11">
        <f t="shared" si="107"/>
        <v>2.8273138888888885</v>
      </c>
      <c r="G914" s="12" t="s">
        <v>144</v>
      </c>
      <c r="H914" s="12" t="s">
        <v>47</v>
      </c>
      <c r="I914">
        <v>2014</v>
      </c>
      <c r="J914" s="12" t="s">
        <v>163</v>
      </c>
      <c r="K914" s="2">
        <v>0</v>
      </c>
      <c r="M914" s="33">
        <v>5.3387500000000001</v>
      </c>
      <c r="N914" s="33">
        <v>5.2275</v>
      </c>
      <c r="Z914" s="27" t="s">
        <v>247</v>
      </c>
      <c r="AA914" t="s">
        <v>218</v>
      </c>
    </row>
    <row r="915" spans="1:27" x14ac:dyDescent="0.25">
      <c r="A915" s="12">
        <v>124</v>
      </c>
      <c r="B915">
        <v>31</v>
      </c>
      <c r="C915">
        <f t="shared" si="105"/>
        <v>12431</v>
      </c>
      <c r="D915" s="3" t="s">
        <v>86</v>
      </c>
      <c r="E915" s="11">
        <f t="shared" si="106"/>
        <v>60.491863888888886</v>
      </c>
      <c r="F915" s="11">
        <f t="shared" si="107"/>
        <v>2.8273138888888885</v>
      </c>
      <c r="G915" s="12" t="s">
        <v>144</v>
      </c>
      <c r="H915" s="12" t="s">
        <v>47</v>
      </c>
      <c r="I915">
        <v>2015</v>
      </c>
      <c r="J915" s="12" t="s">
        <v>163</v>
      </c>
      <c r="K915" s="2">
        <v>0</v>
      </c>
      <c r="M915" s="33">
        <v>5.8612500000000001</v>
      </c>
      <c r="N915" s="33">
        <v>5.4862500000000001</v>
      </c>
      <c r="Z915" s="27" t="s">
        <v>247</v>
      </c>
      <c r="AA915" t="s">
        <v>218</v>
      </c>
    </row>
    <row r="916" spans="1:27" x14ac:dyDescent="0.25">
      <c r="A916" s="12">
        <v>124</v>
      </c>
      <c r="B916">
        <v>31</v>
      </c>
      <c r="C916">
        <f t="shared" si="105"/>
        <v>12431</v>
      </c>
      <c r="D916" s="3" t="s">
        <v>86</v>
      </c>
      <c r="E916" s="11">
        <f t="shared" si="106"/>
        <v>60.491863888888886</v>
      </c>
      <c r="F916" s="11">
        <f t="shared" si="107"/>
        <v>2.8273138888888885</v>
      </c>
      <c r="G916" s="12" t="s">
        <v>144</v>
      </c>
      <c r="H916" s="12" t="s">
        <v>47</v>
      </c>
      <c r="I916">
        <v>2016</v>
      </c>
      <c r="J916" s="12" t="s">
        <v>163</v>
      </c>
      <c r="K916" s="2">
        <v>0</v>
      </c>
      <c r="M916" s="33">
        <v>6.30375</v>
      </c>
      <c r="N916" s="33">
        <v>6.2737499999999997</v>
      </c>
      <c r="Z916" s="27" t="s">
        <v>247</v>
      </c>
      <c r="AA916" t="s">
        <v>218</v>
      </c>
    </row>
    <row r="917" spans="1:27" x14ac:dyDescent="0.25">
      <c r="A917" s="12">
        <v>124</v>
      </c>
      <c r="B917">
        <v>31</v>
      </c>
      <c r="C917">
        <f t="shared" si="105"/>
        <v>12431</v>
      </c>
      <c r="D917" s="3" t="s">
        <v>86</v>
      </c>
      <c r="E917" s="11">
        <f t="shared" si="106"/>
        <v>60.491863888888886</v>
      </c>
      <c r="F917" s="11">
        <f t="shared" si="107"/>
        <v>2.8273138888888885</v>
      </c>
      <c r="G917" s="12" t="s">
        <v>144</v>
      </c>
      <c r="H917" s="12" t="s">
        <v>47</v>
      </c>
      <c r="I917">
        <v>2017</v>
      </c>
      <c r="J917" s="12" t="s">
        <v>163</v>
      </c>
      <c r="K917" s="2">
        <v>0</v>
      </c>
      <c r="M917" s="33">
        <v>4.7312500000000002</v>
      </c>
      <c r="N917" s="33">
        <v>4.37</v>
      </c>
      <c r="Z917" s="27" t="s">
        <v>247</v>
      </c>
      <c r="AA917" t="s">
        <v>218</v>
      </c>
    </row>
    <row r="918" spans="1:27" x14ac:dyDescent="0.25">
      <c r="A918" s="12">
        <v>124</v>
      </c>
      <c r="B918">
        <v>31</v>
      </c>
      <c r="C918">
        <f t="shared" si="105"/>
        <v>12431</v>
      </c>
      <c r="D918" s="3" t="s">
        <v>86</v>
      </c>
      <c r="E918" s="11">
        <f t="shared" si="106"/>
        <v>60.491863888888886</v>
      </c>
      <c r="F918" s="11">
        <f t="shared" si="107"/>
        <v>2.8273138888888885</v>
      </c>
      <c r="G918" s="12" t="s">
        <v>144</v>
      </c>
      <c r="H918" s="12" t="s">
        <v>47</v>
      </c>
      <c r="I918">
        <v>2018</v>
      </c>
      <c r="J918" s="12" t="s">
        <v>163</v>
      </c>
      <c r="K918" s="2">
        <v>0</v>
      </c>
      <c r="M918" s="33">
        <v>5.1528749999999999</v>
      </c>
      <c r="N918" s="33">
        <v>5.3155000000000001</v>
      </c>
      <c r="Z918" s="27" t="s">
        <v>247</v>
      </c>
      <c r="AA918" t="s">
        <v>218</v>
      </c>
    </row>
    <row r="919" spans="1:27" x14ac:dyDescent="0.25">
      <c r="A919" s="12">
        <v>124</v>
      </c>
      <c r="B919">
        <v>31</v>
      </c>
      <c r="C919">
        <f t="shared" si="105"/>
        <v>12431</v>
      </c>
      <c r="D919" s="3" t="s">
        <v>86</v>
      </c>
      <c r="E919" s="11">
        <f t="shared" si="106"/>
        <v>60.491863888888886</v>
      </c>
      <c r="F919" s="11">
        <f t="shared" si="107"/>
        <v>2.8273138888888885</v>
      </c>
      <c r="G919" s="12" t="s">
        <v>144</v>
      </c>
      <c r="H919" s="12" t="s">
        <v>47</v>
      </c>
      <c r="I919">
        <v>2019</v>
      </c>
      <c r="J919" s="12" t="s">
        <v>163</v>
      </c>
      <c r="K919" s="2">
        <v>0</v>
      </c>
      <c r="M919" s="33">
        <v>3.6617500000000001</v>
      </c>
      <c r="N919" s="33">
        <v>3.7974999999999999</v>
      </c>
      <c r="Z919" s="27" t="s">
        <v>247</v>
      </c>
      <c r="AA919" t="s">
        <v>218</v>
      </c>
    </row>
    <row r="920" spans="1:27" x14ac:dyDescent="0.25">
      <c r="A920" s="12">
        <v>124</v>
      </c>
      <c r="B920">
        <v>31</v>
      </c>
      <c r="C920">
        <f t="shared" si="105"/>
        <v>12431</v>
      </c>
      <c r="D920" s="3" t="s">
        <v>86</v>
      </c>
      <c r="E920" s="11">
        <f t="shared" si="106"/>
        <v>60.491863888888886</v>
      </c>
      <c r="F920" s="11">
        <f t="shared" si="107"/>
        <v>2.8273138888888885</v>
      </c>
      <c r="G920" s="12" t="s">
        <v>144</v>
      </c>
      <c r="H920" s="12" t="s">
        <v>47</v>
      </c>
      <c r="I920">
        <v>2020</v>
      </c>
      <c r="J920" s="12" t="s">
        <v>163</v>
      </c>
      <c r="K920" s="2">
        <v>0</v>
      </c>
      <c r="M920" s="33">
        <v>5.12425</v>
      </c>
      <c r="N920" s="33">
        <v>5.2</v>
      </c>
      <c r="Z920" s="27" t="s">
        <v>247</v>
      </c>
      <c r="AA920" t="s">
        <v>218</v>
      </c>
    </row>
    <row r="921" spans="1:27" x14ac:dyDescent="0.25">
      <c r="A921" s="12">
        <v>124</v>
      </c>
      <c r="B921">
        <v>31</v>
      </c>
      <c r="C921">
        <f t="shared" si="105"/>
        <v>12431</v>
      </c>
      <c r="D921" s="3" t="s">
        <v>86</v>
      </c>
      <c r="E921" s="11">
        <f t="shared" si="106"/>
        <v>60.491863888888886</v>
      </c>
      <c r="F921" s="11">
        <f t="shared" si="107"/>
        <v>2.8273138888888885</v>
      </c>
      <c r="G921" s="12" t="s">
        <v>144</v>
      </c>
      <c r="H921" s="12" t="s">
        <v>47</v>
      </c>
      <c r="I921">
        <v>2021</v>
      </c>
      <c r="J921" s="12" t="s">
        <v>163</v>
      </c>
      <c r="K921" s="2">
        <v>0</v>
      </c>
      <c r="M921" s="33">
        <v>4.6483749999999997</v>
      </c>
      <c r="N921" s="33">
        <v>5.2538749999999999</v>
      </c>
      <c r="Z921" s="27" t="s">
        <v>247</v>
      </c>
      <c r="AA921" t="s">
        <v>218</v>
      </c>
    </row>
    <row r="922" spans="1:27" x14ac:dyDescent="0.25">
      <c r="A922" s="12">
        <v>124</v>
      </c>
      <c r="B922">
        <v>32</v>
      </c>
      <c r="C922">
        <f t="shared" si="105"/>
        <v>12432</v>
      </c>
      <c r="D922" s="3" t="s">
        <v>86</v>
      </c>
      <c r="E922" s="11">
        <f>60+42/60+1.79/3600</f>
        <v>60.700497222222225</v>
      </c>
      <c r="F922" s="11">
        <f>2+56/60+6.79/3600</f>
        <v>2.9352194444444448</v>
      </c>
      <c r="G922" s="12" t="s">
        <v>144</v>
      </c>
      <c r="H922" s="12" t="s">
        <v>47</v>
      </c>
      <c r="I922">
        <v>2002</v>
      </c>
      <c r="J922" s="12" t="s">
        <v>163</v>
      </c>
      <c r="K922" s="2">
        <v>0</v>
      </c>
      <c r="M922" s="33">
        <v>7.3666666669999996</v>
      </c>
      <c r="N922" s="33"/>
      <c r="Z922" s="27" t="s">
        <v>247</v>
      </c>
      <c r="AA922" t="s">
        <v>428</v>
      </c>
    </row>
    <row r="923" spans="1:27" x14ac:dyDescent="0.25">
      <c r="A923" s="12">
        <v>124</v>
      </c>
      <c r="B923">
        <v>32</v>
      </c>
      <c r="C923">
        <f t="shared" si="105"/>
        <v>12432</v>
      </c>
      <c r="D923" s="3" t="s">
        <v>86</v>
      </c>
      <c r="E923" s="11">
        <f t="shared" ref="E923:E940" si="108">60+42/60+1.79/3600</f>
        <v>60.700497222222225</v>
      </c>
      <c r="F923" s="11">
        <f t="shared" ref="F923:F940" si="109">2+56/60+6.79/3600</f>
        <v>2.9352194444444448</v>
      </c>
      <c r="G923" s="12" t="s">
        <v>144</v>
      </c>
      <c r="H923" s="12" t="s">
        <v>47</v>
      </c>
      <c r="I923">
        <v>2003</v>
      </c>
      <c r="J923" s="12" t="s">
        <v>163</v>
      </c>
      <c r="K923" s="2">
        <v>0</v>
      </c>
      <c r="M923" s="33">
        <v>7.8</v>
      </c>
      <c r="N923" s="33"/>
      <c r="Z923" s="27" t="s">
        <v>247</v>
      </c>
      <c r="AA923" t="s">
        <v>428</v>
      </c>
    </row>
    <row r="924" spans="1:27" x14ac:dyDescent="0.25">
      <c r="A924" s="12">
        <v>124</v>
      </c>
      <c r="B924">
        <v>32</v>
      </c>
      <c r="C924">
        <f t="shared" si="105"/>
        <v>12432</v>
      </c>
      <c r="D924" s="3" t="s">
        <v>86</v>
      </c>
      <c r="E924" s="11">
        <f t="shared" si="108"/>
        <v>60.700497222222225</v>
      </c>
      <c r="F924" s="11">
        <f t="shared" si="109"/>
        <v>2.9352194444444448</v>
      </c>
      <c r="G924" s="12" t="s">
        <v>144</v>
      </c>
      <c r="H924" s="12" t="s">
        <v>47</v>
      </c>
      <c r="I924">
        <v>2004</v>
      </c>
      <c r="J924" s="12" t="s">
        <v>163</v>
      </c>
      <c r="K924" s="2">
        <v>0</v>
      </c>
      <c r="M924" s="33">
        <v>6.17</v>
      </c>
      <c r="N924" s="33"/>
      <c r="Z924" s="27" t="s">
        <v>247</v>
      </c>
      <c r="AA924" t="s">
        <v>428</v>
      </c>
    </row>
    <row r="925" spans="1:27" x14ac:dyDescent="0.25">
      <c r="A925" s="12">
        <v>124</v>
      </c>
      <c r="B925">
        <v>32</v>
      </c>
      <c r="C925">
        <f t="shared" si="105"/>
        <v>12432</v>
      </c>
      <c r="D925" s="3" t="s">
        <v>86</v>
      </c>
      <c r="E925" s="11">
        <f t="shared" si="108"/>
        <v>60.700497222222225</v>
      </c>
      <c r="F925" s="11">
        <f t="shared" si="109"/>
        <v>2.9352194444444448</v>
      </c>
      <c r="G925" s="12" t="s">
        <v>144</v>
      </c>
      <c r="H925" s="12" t="s">
        <v>47</v>
      </c>
      <c r="I925">
        <v>2005</v>
      </c>
      <c r="J925" s="12" t="s">
        <v>163</v>
      </c>
      <c r="K925" s="2">
        <v>0</v>
      </c>
      <c r="M925" s="33">
        <v>5.5</v>
      </c>
      <c r="N925" s="33"/>
      <c r="Z925" s="27" t="s">
        <v>247</v>
      </c>
      <c r="AA925" t="s">
        <v>428</v>
      </c>
    </row>
    <row r="926" spans="1:27" x14ac:dyDescent="0.25">
      <c r="A926" s="12">
        <v>124</v>
      </c>
      <c r="B926">
        <v>32</v>
      </c>
      <c r="C926">
        <f t="shared" si="105"/>
        <v>12432</v>
      </c>
      <c r="D926" s="3" t="s">
        <v>86</v>
      </c>
      <c r="E926" s="11">
        <f t="shared" si="108"/>
        <v>60.700497222222225</v>
      </c>
      <c r="F926" s="11">
        <f t="shared" si="109"/>
        <v>2.9352194444444448</v>
      </c>
      <c r="G926" s="12" t="s">
        <v>144</v>
      </c>
      <c r="H926" s="12" t="s">
        <v>47</v>
      </c>
      <c r="I926">
        <v>2006</v>
      </c>
      <c r="J926" s="12" t="s">
        <v>163</v>
      </c>
      <c r="K926" s="2">
        <v>0</v>
      </c>
      <c r="M926" s="33">
        <v>5.4</v>
      </c>
      <c r="N926" s="33">
        <v>7.4</v>
      </c>
      <c r="Z926" s="27" t="s">
        <v>247</v>
      </c>
      <c r="AA926" t="s">
        <v>428</v>
      </c>
    </row>
    <row r="927" spans="1:27" x14ac:dyDescent="0.25">
      <c r="A927" s="12">
        <v>124</v>
      </c>
      <c r="B927">
        <v>32</v>
      </c>
      <c r="C927">
        <f t="shared" si="105"/>
        <v>12432</v>
      </c>
      <c r="D927" s="3" t="s">
        <v>86</v>
      </c>
      <c r="E927" s="11">
        <f t="shared" si="108"/>
        <v>60.700497222222225</v>
      </c>
      <c r="F927" s="11">
        <f t="shared" si="109"/>
        <v>2.9352194444444448</v>
      </c>
      <c r="G927" s="12" t="s">
        <v>144</v>
      </c>
      <c r="H927" s="12" t="s">
        <v>47</v>
      </c>
      <c r="I927">
        <v>2007</v>
      </c>
      <c r="J927" s="12" t="s">
        <v>163</v>
      </c>
      <c r="K927" s="2">
        <v>0</v>
      </c>
      <c r="M927" s="33">
        <v>6.1</v>
      </c>
      <c r="N927" s="33">
        <v>6.9</v>
      </c>
      <c r="Z927" s="27" t="s">
        <v>247</v>
      </c>
      <c r="AA927" t="s">
        <v>428</v>
      </c>
    </row>
    <row r="928" spans="1:27" x14ac:dyDescent="0.25">
      <c r="A928" s="12">
        <v>124</v>
      </c>
      <c r="B928">
        <v>32</v>
      </c>
      <c r="C928">
        <f t="shared" si="105"/>
        <v>12432</v>
      </c>
      <c r="D928" s="3" t="s">
        <v>86</v>
      </c>
      <c r="E928" s="11">
        <f t="shared" si="108"/>
        <v>60.700497222222225</v>
      </c>
      <c r="F928" s="11">
        <f t="shared" si="109"/>
        <v>2.9352194444444448</v>
      </c>
      <c r="G928" s="12" t="s">
        <v>144</v>
      </c>
      <c r="H928" s="12" t="s">
        <v>47</v>
      </c>
      <c r="I928">
        <v>2008</v>
      </c>
      <c r="J928" s="12" t="s">
        <v>163</v>
      </c>
      <c r="K928" s="2">
        <v>0</v>
      </c>
      <c r="M928" s="33">
        <v>5.4</v>
      </c>
      <c r="N928" s="33">
        <v>8</v>
      </c>
      <c r="Z928" s="27" t="s">
        <v>247</v>
      </c>
      <c r="AA928" t="s">
        <v>428</v>
      </c>
    </row>
    <row r="929" spans="1:27" x14ac:dyDescent="0.25">
      <c r="A929" s="12">
        <v>124</v>
      </c>
      <c r="B929">
        <v>32</v>
      </c>
      <c r="C929">
        <f t="shared" si="105"/>
        <v>12432</v>
      </c>
      <c r="D929" s="3" t="s">
        <v>86</v>
      </c>
      <c r="E929" s="11">
        <f t="shared" si="108"/>
        <v>60.700497222222225</v>
      </c>
      <c r="F929" s="11">
        <f t="shared" si="109"/>
        <v>2.9352194444444448</v>
      </c>
      <c r="G929" s="12" t="s">
        <v>144</v>
      </c>
      <c r="H929" s="12" t="s">
        <v>47</v>
      </c>
      <c r="I929">
        <v>2009</v>
      </c>
      <c r="J929" s="12" t="s">
        <v>163</v>
      </c>
      <c r="K929" s="2">
        <v>0</v>
      </c>
      <c r="M929" s="33">
        <v>8.1999999999999993</v>
      </c>
      <c r="N929" s="33">
        <v>9.6999999999999993</v>
      </c>
      <c r="Z929" s="27" t="s">
        <v>247</v>
      </c>
      <c r="AA929" t="s">
        <v>428</v>
      </c>
    </row>
    <row r="930" spans="1:27" x14ac:dyDescent="0.25">
      <c r="A930" s="12">
        <v>124</v>
      </c>
      <c r="B930">
        <v>32</v>
      </c>
      <c r="C930">
        <f t="shared" si="105"/>
        <v>12432</v>
      </c>
      <c r="D930" s="3" t="s">
        <v>86</v>
      </c>
      <c r="E930" s="11">
        <f t="shared" si="108"/>
        <v>60.700497222222225</v>
      </c>
      <c r="F930" s="11">
        <f t="shared" si="109"/>
        <v>2.9352194444444448</v>
      </c>
      <c r="G930" s="12" t="s">
        <v>144</v>
      </c>
      <c r="H930" s="12" t="s">
        <v>47</v>
      </c>
      <c r="I930">
        <v>2010</v>
      </c>
      <c r="J930" s="12" t="s">
        <v>163</v>
      </c>
      <c r="K930" s="2">
        <v>0</v>
      </c>
      <c r="M930" s="33">
        <v>6.665394107</v>
      </c>
      <c r="N930" s="33">
        <v>8.5497737790000006</v>
      </c>
      <c r="Z930" s="27" t="s">
        <v>247</v>
      </c>
      <c r="AA930" t="s">
        <v>428</v>
      </c>
    </row>
    <row r="931" spans="1:27" x14ac:dyDescent="0.25">
      <c r="A931" s="12">
        <v>124</v>
      </c>
      <c r="B931">
        <v>32</v>
      </c>
      <c r="C931">
        <f t="shared" si="105"/>
        <v>12432</v>
      </c>
      <c r="D931" s="3" t="s">
        <v>86</v>
      </c>
      <c r="E931" s="11">
        <f t="shared" si="108"/>
        <v>60.700497222222225</v>
      </c>
      <c r="F931" s="11">
        <f t="shared" si="109"/>
        <v>2.9352194444444448</v>
      </c>
      <c r="G931" s="12" t="s">
        <v>144</v>
      </c>
      <c r="H931" s="12" t="s">
        <v>47</v>
      </c>
      <c r="I931">
        <v>2012</v>
      </c>
      <c r="J931" s="12" t="s">
        <v>163</v>
      </c>
      <c r="K931" s="2">
        <v>0</v>
      </c>
      <c r="M931" s="33">
        <v>5.912795</v>
      </c>
      <c r="N931" s="33">
        <v>7.125</v>
      </c>
      <c r="Z931" s="27" t="s">
        <v>247</v>
      </c>
      <c r="AA931" t="s">
        <v>428</v>
      </c>
    </row>
    <row r="932" spans="1:27" x14ac:dyDescent="0.25">
      <c r="A932" s="12">
        <v>124</v>
      </c>
      <c r="B932">
        <v>32</v>
      </c>
      <c r="C932">
        <f t="shared" si="105"/>
        <v>12432</v>
      </c>
      <c r="D932" s="3" t="s">
        <v>86</v>
      </c>
      <c r="E932" s="11">
        <f t="shared" si="108"/>
        <v>60.700497222222225</v>
      </c>
      <c r="F932" s="11">
        <f t="shared" si="109"/>
        <v>2.9352194444444448</v>
      </c>
      <c r="G932" s="12" t="s">
        <v>144</v>
      </c>
      <c r="H932" s="12" t="s">
        <v>47</v>
      </c>
      <c r="I932">
        <v>2013</v>
      </c>
      <c r="J932" s="12" t="s">
        <v>163</v>
      </c>
      <c r="K932" s="2">
        <v>0</v>
      </c>
      <c r="M932" s="33">
        <v>5.9516594943966696</v>
      </c>
      <c r="N932" s="33">
        <v>7.35666666666667</v>
      </c>
      <c r="Z932" s="27" t="s">
        <v>247</v>
      </c>
      <c r="AA932" t="s">
        <v>428</v>
      </c>
    </row>
    <row r="933" spans="1:27" x14ac:dyDescent="0.25">
      <c r="A933" s="12">
        <v>124</v>
      </c>
      <c r="B933">
        <v>32</v>
      </c>
      <c r="C933">
        <f t="shared" si="105"/>
        <v>12432</v>
      </c>
      <c r="D933" s="3" t="s">
        <v>86</v>
      </c>
      <c r="E933" s="11">
        <f t="shared" si="108"/>
        <v>60.700497222222225</v>
      </c>
      <c r="F933" s="11">
        <f t="shared" si="109"/>
        <v>2.9352194444444448</v>
      </c>
      <c r="G933" s="12" t="s">
        <v>144</v>
      </c>
      <c r="H933" s="12" t="s">
        <v>47</v>
      </c>
      <c r="I933">
        <v>2014</v>
      </c>
      <c r="J933" s="12" t="s">
        <v>163</v>
      </c>
      <c r="K933" s="2">
        <v>0</v>
      </c>
      <c r="M933" s="33">
        <v>6.6825000000000001</v>
      </c>
      <c r="N933" s="33">
        <v>7.03</v>
      </c>
      <c r="Z933" s="27" t="s">
        <v>247</v>
      </c>
      <c r="AA933" t="s">
        <v>428</v>
      </c>
    </row>
    <row r="934" spans="1:27" x14ac:dyDescent="0.25">
      <c r="A934" s="12">
        <v>124</v>
      </c>
      <c r="B934">
        <v>32</v>
      </c>
      <c r="C934">
        <f t="shared" si="105"/>
        <v>12432</v>
      </c>
      <c r="D934" s="3" t="s">
        <v>86</v>
      </c>
      <c r="E934" s="11">
        <f t="shared" si="108"/>
        <v>60.700497222222225</v>
      </c>
      <c r="F934" s="11">
        <f t="shared" si="109"/>
        <v>2.9352194444444448</v>
      </c>
      <c r="G934" s="12" t="s">
        <v>144</v>
      </c>
      <c r="H934" s="12" t="s">
        <v>47</v>
      </c>
      <c r="I934">
        <v>2015</v>
      </c>
      <c r="J934" s="12" t="s">
        <v>163</v>
      </c>
      <c r="K934" s="2">
        <v>0</v>
      </c>
      <c r="M934" s="33">
        <v>5.81</v>
      </c>
      <c r="N934" s="33">
        <v>6.9</v>
      </c>
      <c r="Z934" s="27" t="s">
        <v>247</v>
      </c>
      <c r="AA934" t="s">
        <v>428</v>
      </c>
    </row>
    <row r="935" spans="1:27" x14ac:dyDescent="0.25">
      <c r="A935" s="12">
        <v>124</v>
      </c>
      <c r="B935">
        <v>32</v>
      </c>
      <c r="C935">
        <f t="shared" si="105"/>
        <v>12432</v>
      </c>
      <c r="D935" s="3" t="s">
        <v>86</v>
      </c>
      <c r="E935" s="11">
        <f t="shared" si="108"/>
        <v>60.700497222222225</v>
      </c>
      <c r="F935" s="11">
        <f t="shared" si="109"/>
        <v>2.9352194444444448</v>
      </c>
      <c r="G935" s="12" t="s">
        <v>144</v>
      </c>
      <c r="H935" s="12" t="s">
        <v>47</v>
      </c>
      <c r="I935">
        <v>2016</v>
      </c>
      <c r="J935" s="12" t="s">
        <v>163</v>
      </c>
      <c r="K935" s="2">
        <v>0</v>
      </c>
      <c r="M935" s="33">
        <v>5.5049999999999999</v>
      </c>
      <c r="N935" s="33">
        <v>7.4874999999999998</v>
      </c>
      <c r="Z935" s="27" t="s">
        <v>247</v>
      </c>
      <c r="AA935" t="s">
        <v>428</v>
      </c>
    </row>
    <row r="936" spans="1:27" x14ac:dyDescent="0.25">
      <c r="A936" s="12">
        <v>124</v>
      </c>
      <c r="B936">
        <v>32</v>
      </c>
      <c r="C936">
        <f t="shared" si="105"/>
        <v>12432</v>
      </c>
      <c r="D936" s="3" t="s">
        <v>86</v>
      </c>
      <c r="E936" s="11">
        <f t="shared" si="108"/>
        <v>60.700497222222225</v>
      </c>
      <c r="F936" s="11">
        <f t="shared" si="109"/>
        <v>2.9352194444444448</v>
      </c>
      <c r="G936" s="12" t="s">
        <v>144</v>
      </c>
      <c r="H936" s="12" t="s">
        <v>47</v>
      </c>
      <c r="I936">
        <v>2017</v>
      </c>
      <c r="J936" s="12" t="s">
        <v>163</v>
      </c>
      <c r="K936" s="2">
        <v>0</v>
      </c>
      <c r="M936" s="33">
        <v>6.19</v>
      </c>
      <c r="N936" s="33">
        <v>8.5824999999999996</v>
      </c>
      <c r="Z936" s="27" t="s">
        <v>247</v>
      </c>
      <c r="AA936" t="s">
        <v>428</v>
      </c>
    </row>
    <row r="937" spans="1:27" x14ac:dyDescent="0.25">
      <c r="A937" s="12">
        <v>124</v>
      </c>
      <c r="B937">
        <v>32</v>
      </c>
      <c r="C937">
        <f t="shared" si="105"/>
        <v>12432</v>
      </c>
      <c r="D937" s="3" t="s">
        <v>86</v>
      </c>
      <c r="E937" s="11">
        <f t="shared" si="108"/>
        <v>60.700497222222225</v>
      </c>
      <c r="F937" s="11">
        <f t="shared" si="109"/>
        <v>2.9352194444444448</v>
      </c>
      <c r="G937" s="12" t="s">
        <v>144</v>
      </c>
      <c r="H937" s="12" t="s">
        <v>47</v>
      </c>
      <c r="I937">
        <v>2018</v>
      </c>
      <c r="J937" s="12" t="s">
        <v>163</v>
      </c>
      <c r="K937" s="2">
        <v>0</v>
      </c>
      <c r="M937" s="33">
        <v>5.8375000000000004</v>
      </c>
      <c r="N937" s="33">
        <v>8.4924999999999997</v>
      </c>
      <c r="Z937" s="27" t="s">
        <v>247</v>
      </c>
      <c r="AA937" t="s">
        <v>428</v>
      </c>
    </row>
    <row r="938" spans="1:27" x14ac:dyDescent="0.25">
      <c r="A938" s="12">
        <v>124</v>
      </c>
      <c r="B938">
        <v>32</v>
      </c>
      <c r="C938">
        <f t="shared" si="105"/>
        <v>12432</v>
      </c>
      <c r="D938" s="3" t="s">
        <v>86</v>
      </c>
      <c r="E938" s="11">
        <f t="shared" si="108"/>
        <v>60.700497222222225</v>
      </c>
      <c r="F938" s="11">
        <f t="shared" si="109"/>
        <v>2.9352194444444448</v>
      </c>
      <c r="G938" s="12" t="s">
        <v>144</v>
      </c>
      <c r="H938" s="12" t="s">
        <v>47</v>
      </c>
      <c r="I938">
        <v>2019</v>
      </c>
      <c r="J938" s="12" t="s">
        <v>163</v>
      </c>
      <c r="K938" s="2">
        <v>0</v>
      </c>
      <c r="M938" s="33">
        <v>5.05</v>
      </c>
      <c r="N938" s="33">
        <v>7.7275</v>
      </c>
      <c r="Z938" s="27" t="s">
        <v>247</v>
      </c>
      <c r="AA938" t="s">
        <v>428</v>
      </c>
    </row>
    <row r="939" spans="1:27" x14ac:dyDescent="0.25">
      <c r="A939" s="12">
        <v>124</v>
      </c>
      <c r="B939">
        <v>32</v>
      </c>
      <c r="C939">
        <f t="shared" si="105"/>
        <v>12432</v>
      </c>
      <c r="D939" s="3" t="s">
        <v>86</v>
      </c>
      <c r="E939" s="11">
        <f t="shared" si="108"/>
        <v>60.700497222222225</v>
      </c>
      <c r="F939" s="11">
        <f t="shared" si="109"/>
        <v>2.9352194444444448</v>
      </c>
      <c r="G939" s="12" t="s">
        <v>144</v>
      </c>
      <c r="H939" s="12" t="s">
        <v>47</v>
      </c>
      <c r="I939">
        <v>2020</v>
      </c>
      <c r="J939" s="12" t="s">
        <v>163</v>
      </c>
      <c r="K939" s="2">
        <v>0</v>
      </c>
      <c r="M939" s="33">
        <v>5.3237500000000004</v>
      </c>
      <c r="N939" s="33">
        <v>7.4080000000000004</v>
      </c>
      <c r="Z939" s="27" t="s">
        <v>247</v>
      </c>
      <c r="AA939" t="s">
        <v>428</v>
      </c>
    </row>
    <row r="940" spans="1:27" x14ac:dyDescent="0.25">
      <c r="A940" s="12">
        <v>124</v>
      </c>
      <c r="B940">
        <v>32</v>
      </c>
      <c r="C940">
        <f t="shared" si="105"/>
        <v>12432</v>
      </c>
      <c r="D940" s="3" t="s">
        <v>86</v>
      </c>
      <c r="E940" s="11">
        <f t="shared" si="108"/>
        <v>60.700497222222225</v>
      </c>
      <c r="F940" s="11">
        <f t="shared" si="109"/>
        <v>2.9352194444444448</v>
      </c>
      <c r="G940" s="12" t="s">
        <v>144</v>
      </c>
      <c r="H940" s="12" t="s">
        <v>47</v>
      </c>
      <c r="I940">
        <v>2021</v>
      </c>
      <c r="J940" s="12" t="s">
        <v>163</v>
      </c>
      <c r="K940" s="2">
        <v>0</v>
      </c>
      <c r="M940" s="33">
        <v>5.3937499999999998</v>
      </c>
      <c r="N940" s="33">
        <v>7.8022499999999999</v>
      </c>
      <c r="Z940" s="27" t="s">
        <v>247</v>
      </c>
      <c r="AA940" t="s">
        <v>428</v>
      </c>
    </row>
    <row r="941" spans="1:27" x14ac:dyDescent="0.25">
      <c r="A941" s="12">
        <v>124</v>
      </c>
      <c r="B941">
        <v>33</v>
      </c>
      <c r="C941">
        <f t="shared" si="105"/>
        <v>12433</v>
      </c>
      <c r="D941" s="3" t="s">
        <v>86</v>
      </c>
      <c r="E941" s="11">
        <f>60+23/60+24.62/3600</f>
        <v>60.390172222222219</v>
      </c>
      <c r="F941" s="11">
        <f>2+47/60+49.06/3600</f>
        <v>2.796961111111111</v>
      </c>
      <c r="G941" s="12" t="s">
        <v>144</v>
      </c>
      <c r="H941" s="12" t="s">
        <v>47</v>
      </c>
      <c r="I941">
        <v>2002</v>
      </c>
      <c r="J941" s="12" t="s">
        <v>163</v>
      </c>
      <c r="K941" s="2">
        <v>0</v>
      </c>
      <c r="M941" s="33">
        <v>14.7</v>
      </c>
      <c r="N941" s="33"/>
      <c r="Z941" s="27" t="s">
        <v>247</v>
      </c>
      <c r="AA941" t="s">
        <v>429</v>
      </c>
    </row>
    <row r="942" spans="1:27" x14ac:dyDescent="0.25">
      <c r="A942" s="12">
        <v>124</v>
      </c>
      <c r="B942">
        <v>33</v>
      </c>
      <c r="C942">
        <f t="shared" si="105"/>
        <v>12433</v>
      </c>
      <c r="D942" s="3" t="s">
        <v>86</v>
      </c>
      <c r="E942" s="11">
        <f t="shared" ref="E942:E960" si="110">60+23/60+24.62/3600</f>
        <v>60.390172222222219</v>
      </c>
      <c r="F942" s="11">
        <f t="shared" ref="F942:F960" si="111">2+47/60+49.06/3600</f>
        <v>2.796961111111111</v>
      </c>
      <c r="G942" s="12" t="s">
        <v>144</v>
      </c>
      <c r="H942" s="12" t="s">
        <v>47</v>
      </c>
      <c r="I942">
        <v>2003</v>
      </c>
      <c r="J942" s="12" t="s">
        <v>163</v>
      </c>
      <c r="K942" s="2">
        <v>0</v>
      </c>
      <c r="M942" s="33">
        <v>12.2</v>
      </c>
      <c r="N942" s="33"/>
      <c r="Z942" s="27" t="s">
        <v>247</v>
      </c>
      <c r="AA942" t="s">
        <v>429</v>
      </c>
    </row>
    <row r="943" spans="1:27" x14ac:dyDescent="0.25">
      <c r="A943" s="12">
        <v>124</v>
      </c>
      <c r="B943">
        <v>33</v>
      </c>
      <c r="C943">
        <f t="shared" si="105"/>
        <v>12433</v>
      </c>
      <c r="D943" s="3" t="s">
        <v>86</v>
      </c>
      <c r="E943" s="11">
        <f t="shared" si="110"/>
        <v>60.390172222222219</v>
      </c>
      <c r="F943" s="11">
        <f t="shared" si="111"/>
        <v>2.796961111111111</v>
      </c>
      <c r="G943" s="12" t="s">
        <v>144</v>
      </c>
      <c r="H943" s="12" t="s">
        <v>47</v>
      </c>
      <c r="I943">
        <v>2004</v>
      </c>
      <c r="J943" s="12" t="s">
        <v>163</v>
      </c>
      <c r="K943" s="2">
        <v>0</v>
      </c>
      <c r="M943" s="33">
        <v>1.33</v>
      </c>
      <c r="N943" s="33"/>
      <c r="Z943" s="27" t="s">
        <v>247</v>
      </c>
      <c r="AA943" t="s">
        <v>429</v>
      </c>
    </row>
    <row r="944" spans="1:27" x14ac:dyDescent="0.25">
      <c r="A944" s="12">
        <v>124</v>
      </c>
      <c r="B944">
        <v>33</v>
      </c>
      <c r="C944">
        <f t="shared" si="105"/>
        <v>12433</v>
      </c>
      <c r="D944" s="3" t="s">
        <v>86</v>
      </c>
      <c r="E944" s="11">
        <f t="shared" si="110"/>
        <v>60.390172222222219</v>
      </c>
      <c r="F944" s="11">
        <f t="shared" si="111"/>
        <v>2.796961111111111</v>
      </c>
      <c r="G944" s="12" t="s">
        <v>144</v>
      </c>
      <c r="H944" s="12" t="s">
        <v>47</v>
      </c>
      <c r="I944">
        <v>2005</v>
      </c>
      <c r="J944" s="12" t="s">
        <v>163</v>
      </c>
      <c r="K944" s="2">
        <v>0</v>
      </c>
      <c r="M944" s="33">
        <v>7.4</v>
      </c>
      <c r="N944" s="33"/>
      <c r="Z944" s="27" t="s">
        <v>247</v>
      </c>
      <c r="AA944" t="s">
        <v>429</v>
      </c>
    </row>
    <row r="945" spans="1:27" x14ac:dyDescent="0.25">
      <c r="A945" s="12">
        <v>124</v>
      </c>
      <c r="B945">
        <v>33</v>
      </c>
      <c r="C945">
        <f t="shared" si="105"/>
        <v>12433</v>
      </c>
      <c r="D945" s="3" t="s">
        <v>86</v>
      </c>
      <c r="E945" s="11">
        <f t="shared" si="110"/>
        <v>60.390172222222219</v>
      </c>
      <c r="F945" s="11">
        <f t="shared" si="111"/>
        <v>2.796961111111111</v>
      </c>
      <c r="G945" s="12" t="s">
        <v>144</v>
      </c>
      <c r="H945" s="12" t="s">
        <v>47</v>
      </c>
      <c r="I945">
        <v>2006</v>
      </c>
      <c r="J945" s="12" t="s">
        <v>163</v>
      </c>
      <c r="K945" s="2">
        <v>0</v>
      </c>
      <c r="M945" s="33">
        <v>5.9</v>
      </c>
      <c r="N945" s="33">
        <v>5.4</v>
      </c>
      <c r="Z945" s="27" t="s">
        <v>247</v>
      </c>
      <c r="AA945" t="s">
        <v>429</v>
      </c>
    </row>
    <row r="946" spans="1:27" x14ac:dyDescent="0.25">
      <c r="A946" s="12">
        <v>124</v>
      </c>
      <c r="B946">
        <v>33</v>
      </c>
      <c r="C946">
        <f t="shared" si="105"/>
        <v>12433</v>
      </c>
      <c r="D946" s="3" t="s">
        <v>86</v>
      </c>
      <c r="E946" s="11">
        <f t="shared" si="110"/>
        <v>60.390172222222219</v>
      </c>
      <c r="F946" s="11">
        <f t="shared" si="111"/>
        <v>2.796961111111111</v>
      </c>
      <c r="G946" s="12" t="s">
        <v>144</v>
      </c>
      <c r="H946" s="12" t="s">
        <v>47</v>
      </c>
      <c r="I946">
        <v>2007</v>
      </c>
      <c r="J946" s="12" t="s">
        <v>163</v>
      </c>
      <c r="K946" s="2">
        <v>0</v>
      </c>
      <c r="M946" s="33">
        <v>5.4</v>
      </c>
      <c r="N946" s="33">
        <v>4.8</v>
      </c>
      <c r="Z946" s="27" t="s">
        <v>247</v>
      </c>
      <c r="AA946" t="s">
        <v>429</v>
      </c>
    </row>
    <row r="947" spans="1:27" x14ac:dyDescent="0.25">
      <c r="A947" s="12">
        <v>124</v>
      </c>
      <c r="B947">
        <v>33</v>
      </c>
      <c r="C947">
        <f t="shared" si="105"/>
        <v>12433</v>
      </c>
      <c r="D947" s="3" t="s">
        <v>86</v>
      </c>
      <c r="E947" s="11">
        <f t="shared" si="110"/>
        <v>60.390172222222219</v>
      </c>
      <c r="F947" s="11">
        <f t="shared" si="111"/>
        <v>2.796961111111111</v>
      </c>
      <c r="G947" s="12" t="s">
        <v>144</v>
      </c>
      <c r="H947" s="12" t="s">
        <v>47</v>
      </c>
      <c r="I947">
        <v>2008</v>
      </c>
      <c r="J947" s="12" t="s">
        <v>163</v>
      </c>
      <c r="K947" s="2">
        <v>0</v>
      </c>
      <c r="M947" s="33">
        <v>5.5</v>
      </c>
      <c r="N947" s="33">
        <v>5.0999999999999996</v>
      </c>
      <c r="Z947" s="27" t="s">
        <v>247</v>
      </c>
      <c r="AA947" t="s">
        <v>429</v>
      </c>
    </row>
    <row r="948" spans="1:27" x14ac:dyDescent="0.25">
      <c r="A948" s="12">
        <v>124</v>
      </c>
      <c r="B948">
        <v>33</v>
      </c>
      <c r="C948">
        <f t="shared" si="105"/>
        <v>12433</v>
      </c>
      <c r="D948" s="3" t="s">
        <v>86</v>
      </c>
      <c r="E948" s="11">
        <f t="shared" si="110"/>
        <v>60.390172222222219</v>
      </c>
      <c r="F948" s="11">
        <f t="shared" si="111"/>
        <v>2.796961111111111</v>
      </c>
      <c r="G948" s="12" t="s">
        <v>144</v>
      </c>
      <c r="H948" s="12" t="s">
        <v>47</v>
      </c>
      <c r="I948">
        <v>2009</v>
      </c>
      <c r="J948" s="12" t="s">
        <v>163</v>
      </c>
      <c r="K948" s="2">
        <v>0</v>
      </c>
      <c r="M948" s="33">
        <v>5.7461901720000004</v>
      </c>
      <c r="N948" s="33">
        <v>4.3367031559999996</v>
      </c>
      <c r="Z948" s="27" t="s">
        <v>247</v>
      </c>
      <c r="AA948" t="s">
        <v>429</v>
      </c>
    </row>
    <row r="949" spans="1:27" x14ac:dyDescent="0.25">
      <c r="A949" s="12">
        <v>124</v>
      </c>
      <c r="B949">
        <v>33</v>
      </c>
      <c r="C949">
        <f t="shared" si="105"/>
        <v>12433</v>
      </c>
      <c r="D949" s="3" t="s">
        <v>86</v>
      </c>
      <c r="E949" s="11">
        <f t="shared" si="110"/>
        <v>60.390172222222219</v>
      </c>
      <c r="F949" s="11">
        <f t="shared" si="111"/>
        <v>2.796961111111111</v>
      </c>
      <c r="G949" s="12" t="s">
        <v>144</v>
      </c>
      <c r="H949" s="12" t="s">
        <v>47</v>
      </c>
      <c r="I949">
        <v>2010</v>
      </c>
      <c r="J949" s="12" t="s">
        <v>163</v>
      </c>
      <c r="K949" s="2">
        <v>0</v>
      </c>
      <c r="M949" s="33">
        <v>5.6142781790000003</v>
      </c>
      <c r="N949" s="33">
        <v>5.1797263210000004</v>
      </c>
      <c r="Z949" s="27" t="s">
        <v>247</v>
      </c>
      <c r="AA949" t="s">
        <v>429</v>
      </c>
    </row>
    <row r="950" spans="1:27" x14ac:dyDescent="0.25">
      <c r="A950" s="12">
        <v>124</v>
      </c>
      <c r="B950">
        <v>33</v>
      </c>
      <c r="C950">
        <f t="shared" si="105"/>
        <v>12433</v>
      </c>
      <c r="D950" s="3" t="s">
        <v>86</v>
      </c>
      <c r="E950" s="11">
        <f t="shared" si="110"/>
        <v>60.390172222222219</v>
      </c>
      <c r="F950" s="11">
        <f t="shared" si="111"/>
        <v>2.796961111111111</v>
      </c>
      <c r="G950" s="12" t="s">
        <v>144</v>
      </c>
      <c r="H950" s="12" t="s">
        <v>47</v>
      </c>
      <c r="I950">
        <v>2011</v>
      </c>
      <c r="J950" s="12" t="s">
        <v>163</v>
      </c>
      <c r="K950" s="2">
        <v>0</v>
      </c>
      <c r="M950" s="33">
        <v>4.7978160059999997</v>
      </c>
      <c r="N950" s="33">
        <v>4.2440667489999999</v>
      </c>
      <c r="Z950" s="27" t="s">
        <v>247</v>
      </c>
      <c r="AA950" t="s">
        <v>429</v>
      </c>
    </row>
    <row r="951" spans="1:27" x14ac:dyDescent="0.25">
      <c r="A951" s="12">
        <v>124</v>
      </c>
      <c r="B951">
        <v>33</v>
      </c>
      <c r="C951">
        <f t="shared" si="105"/>
        <v>12433</v>
      </c>
      <c r="D951" s="3" t="s">
        <v>86</v>
      </c>
      <c r="E951" s="11">
        <f t="shared" si="110"/>
        <v>60.390172222222219</v>
      </c>
      <c r="F951" s="11">
        <f t="shared" si="111"/>
        <v>2.796961111111111</v>
      </c>
      <c r="G951" s="12" t="s">
        <v>144</v>
      </c>
      <c r="H951" s="12" t="s">
        <v>47</v>
      </c>
      <c r="I951">
        <v>2012</v>
      </c>
      <c r="J951" s="12" t="s">
        <v>163</v>
      </c>
      <c r="K951" s="2">
        <v>0</v>
      </c>
      <c r="M951" s="33">
        <v>9.3254474999999992</v>
      </c>
      <c r="N951" s="33">
        <v>7.1</v>
      </c>
      <c r="Z951" s="27" t="s">
        <v>247</v>
      </c>
      <c r="AA951" t="s">
        <v>429</v>
      </c>
    </row>
    <row r="952" spans="1:27" x14ac:dyDescent="0.25">
      <c r="A952" s="12">
        <v>124</v>
      </c>
      <c r="B952">
        <v>33</v>
      </c>
      <c r="C952">
        <f t="shared" si="105"/>
        <v>12433</v>
      </c>
      <c r="D952" s="3" t="s">
        <v>86</v>
      </c>
      <c r="E952" s="11">
        <f t="shared" si="110"/>
        <v>60.390172222222219</v>
      </c>
      <c r="F952" s="11">
        <f t="shared" si="111"/>
        <v>2.796961111111111</v>
      </c>
      <c r="G952" s="12" t="s">
        <v>144</v>
      </c>
      <c r="H952" s="12" t="s">
        <v>47</v>
      </c>
      <c r="I952">
        <v>2013</v>
      </c>
      <c r="J952" s="12" t="s">
        <v>163</v>
      </c>
      <c r="K952" s="2">
        <v>0</v>
      </c>
      <c r="M952" s="33">
        <v>7.6719328227224999</v>
      </c>
      <c r="N952" s="33">
        <v>6.4</v>
      </c>
      <c r="Z952" s="27" t="s">
        <v>247</v>
      </c>
      <c r="AA952" t="s">
        <v>429</v>
      </c>
    </row>
    <row r="953" spans="1:27" x14ac:dyDescent="0.25">
      <c r="A953" s="12">
        <v>124</v>
      </c>
      <c r="B953">
        <v>33</v>
      </c>
      <c r="C953">
        <f t="shared" si="105"/>
        <v>12433</v>
      </c>
      <c r="D953" s="3" t="s">
        <v>86</v>
      </c>
      <c r="E953" s="11">
        <f t="shared" si="110"/>
        <v>60.390172222222219</v>
      </c>
      <c r="F953" s="11">
        <f t="shared" si="111"/>
        <v>2.796961111111111</v>
      </c>
      <c r="G953" s="12" t="s">
        <v>144</v>
      </c>
      <c r="H953" s="12" t="s">
        <v>47</v>
      </c>
      <c r="I953">
        <v>2014</v>
      </c>
      <c r="J953" s="12" t="s">
        <v>163</v>
      </c>
      <c r="K953" s="2">
        <v>0</v>
      </c>
      <c r="M953" s="33">
        <v>6.05</v>
      </c>
      <c r="N953" s="33">
        <v>5.3075000000000001</v>
      </c>
      <c r="Z953" s="27" t="s">
        <v>247</v>
      </c>
      <c r="AA953" t="s">
        <v>429</v>
      </c>
    </row>
    <row r="954" spans="1:27" x14ac:dyDescent="0.25">
      <c r="A954" s="12">
        <v>124</v>
      </c>
      <c r="B954">
        <v>33</v>
      </c>
      <c r="C954">
        <f t="shared" si="105"/>
        <v>12433</v>
      </c>
      <c r="D954" s="3" t="s">
        <v>86</v>
      </c>
      <c r="E954" s="11">
        <f t="shared" si="110"/>
        <v>60.390172222222219</v>
      </c>
      <c r="F954" s="11">
        <f t="shared" si="111"/>
        <v>2.796961111111111</v>
      </c>
      <c r="G954" s="12" t="s">
        <v>144</v>
      </c>
      <c r="H954" s="12" t="s">
        <v>47</v>
      </c>
      <c r="I954">
        <v>2015</v>
      </c>
      <c r="J954" s="12" t="s">
        <v>163</v>
      </c>
      <c r="K954" s="2">
        <v>0</v>
      </c>
      <c r="M954" s="33">
        <v>4.7266666666666701</v>
      </c>
      <c r="N954" s="33">
        <v>3.88</v>
      </c>
      <c r="Z954" s="27" t="s">
        <v>247</v>
      </c>
      <c r="AA954" t="s">
        <v>429</v>
      </c>
    </row>
    <row r="955" spans="1:27" x14ac:dyDescent="0.25">
      <c r="A955" s="12">
        <v>124</v>
      </c>
      <c r="B955">
        <v>33</v>
      </c>
      <c r="C955">
        <f t="shared" si="105"/>
        <v>12433</v>
      </c>
      <c r="D955" s="3" t="s">
        <v>86</v>
      </c>
      <c r="E955" s="11">
        <f t="shared" si="110"/>
        <v>60.390172222222219</v>
      </c>
      <c r="F955" s="11">
        <f t="shared" si="111"/>
        <v>2.796961111111111</v>
      </c>
      <c r="G955" s="12" t="s">
        <v>144</v>
      </c>
      <c r="H955" s="12" t="s">
        <v>47</v>
      </c>
      <c r="I955">
        <v>2016</v>
      </c>
      <c r="J955" s="12" t="s">
        <v>163</v>
      </c>
      <c r="K955" s="2">
        <v>0</v>
      </c>
      <c r="M955" s="33">
        <v>5.0449999999999999</v>
      </c>
      <c r="N955" s="33">
        <v>5.0175000000000001</v>
      </c>
      <c r="Z955" s="27" t="s">
        <v>247</v>
      </c>
      <c r="AA955" t="s">
        <v>429</v>
      </c>
    </row>
    <row r="956" spans="1:27" x14ac:dyDescent="0.25">
      <c r="A956" s="12">
        <v>124</v>
      </c>
      <c r="B956">
        <v>33</v>
      </c>
      <c r="C956">
        <f t="shared" si="105"/>
        <v>12433</v>
      </c>
      <c r="D956" s="3" t="s">
        <v>86</v>
      </c>
      <c r="E956" s="11">
        <f t="shared" si="110"/>
        <v>60.390172222222219</v>
      </c>
      <c r="F956" s="11">
        <f t="shared" si="111"/>
        <v>2.796961111111111</v>
      </c>
      <c r="G956" s="12" t="s">
        <v>144</v>
      </c>
      <c r="H956" s="12" t="s">
        <v>47</v>
      </c>
      <c r="I956">
        <v>2017</v>
      </c>
      <c r="J956" s="12" t="s">
        <v>163</v>
      </c>
      <c r="K956" s="2">
        <v>0</v>
      </c>
      <c r="M956" s="33">
        <v>5.1133333333333297</v>
      </c>
      <c r="N956" s="33">
        <v>5.0875000000000004</v>
      </c>
      <c r="Z956" s="27" t="s">
        <v>247</v>
      </c>
      <c r="AA956" t="s">
        <v>429</v>
      </c>
    </row>
    <row r="957" spans="1:27" x14ac:dyDescent="0.25">
      <c r="A957" s="12">
        <v>124</v>
      </c>
      <c r="B957">
        <v>33</v>
      </c>
      <c r="C957">
        <f t="shared" si="105"/>
        <v>12433</v>
      </c>
      <c r="D957" s="3" t="s">
        <v>86</v>
      </c>
      <c r="E957" s="11">
        <f t="shared" si="110"/>
        <v>60.390172222222219</v>
      </c>
      <c r="F957" s="11">
        <f t="shared" si="111"/>
        <v>2.796961111111111</v>
      </c>
      <c r="G957" s="12" t="s">
        <v>144</v>
      </c>
      <c r="H957" s="12" t="s">
        <v>47</v>
      </c>
      <c r="I957">
        <v>2018</v>
      </c>
      <c r="J957" s="12" t="s">
        <v>163</v>
      </c>
      <c r="K957" s="2">
        <v>0</v>
      </c>
      <c r="M957" s="33">
        <v>4.2489999999999997</v>
      </c>
      <c r="N957" s="33">
        <v>4.7850000000000001</v>
      </c>
      <c r="Z957" s="27" t="s">
        <v>247</v>
      </c>
      <c r="AA957" t="s">
        <v>429</v>
      </c>
    </row>
    <row r="958" spans="1:27" x14ac:dyDescent="0.25">
      <c r="A958" s="12">
        <v>124</v>
      </c>
      <c r="B958">
        <v>33</v>
      </c>
      <c r="C958">
        <f t="shared" si="105"/>
        <v>12433</v>
      </c>
      <c r="D958" s="3" t="s">
        <v>86</v>
      </c>
      <c r="E958" s="11">
        <f t="shared" si="110"/>
        <v>60.390172222222219</v>
      </c>
      <c r="F958" s="11">
        <f t="shared" si="111"/>
        <v>2.796961111111111</v>
      </c>
      <c r="G958" s="12" t="s">
        <v>144</v>
      </c>
      <c r="H958" s="12" t="s">
        <v>47</v>
      </c>
      <c r="I958">
        <v>2019</v>
      </c>
      <c r="J958" s="12" t="s">
        <v>163</v>
      </c>
      <c r="K958" s="2">
        <v>0</v>
      </c>
      <c r="M958" s="33">
        <v>3.82</v>
      </c>
      <c r="N958" s="33">
        <v>3.9075000000000002</v>
      </c>
      <c r="Z958" s="27" t="s">
        <v>247</v>
      </c>
      <c r="AA958" t="s">
        <v>429</v>
      </c>
    </row>
    <row r="959" spans="1:27" x14ac:dyDescent="0.25">
      <c r="A959" s="12">
        <v>124</v>
      </c>
      <c r="B959">
        <v>33</v>
      </c>
      <c r="C959">
        <f t="shared" si="105"/>
        <v>12433</v>
      </c>
      <c r="D959" s="3" t="s">
        <v>86</v>
      </c>
      <c r="E959" s="11">
        <f t="shared" si="110"/>
        <v>60.390172222222219</v>
      </c>
      <c r="F959" s="11">
        <f t="shared" si="111"/>
        <v>2.796961111111111</v>
      </c>
      <c r="G959" s="12" t="s">
        <v>144</v>
      </c>
      <c r="H959" s="12" t="s">
        <v>47</v>
      </c>
      <c r="I959">
        <v>2020</v>
      </c>
      <c r="J959" s="12" t="s">
        <v>163</v>
      </c>
      <c r="K959" s="2">
        <v>0</v>
      </c>
      <c r="M959" s="33">
        <v>4.2767499999999998</v>
      </c>
      <c r="N959" s="33">
        <v>4.4106666666666703</v>
      </c>
      <c r="Z959" s="27" t="s">
        <v>247</v>
      </c>
      <c r="AA959" t="s">
        <v>429</v>
      </c>
    </row>
    <row r="960" spans="1:27" x14ac:dyDescent="0.25">
      <c r="A960" s="12">
        <v>124</v>
      </c>
      <c r="B960">
        <v>33</v>
      </c>
      <c r="C960">
        <f t="shared" si="105"/>
        <v>12433</v>
      </c>
      <c r="D960" s="3" t="s">
        <v>86</v>
      </c>
      <c r="E960" s="11">
        <f t="shared" si="110"/>
        <v>60.390172222222219</v>
      </c>
      <c r="F960" s="11">
        <f t="shared" si="111"/>
        <v>2.796961111111111</v>
      </c>
      <c r="G960" s="12" t="s">
        <v>144</v>
      </c>
      <c r="H960" s="12" t="s">
        <v>47</v>
      </c>
      <c r="I960">
        <v>2021</v>
      </c>
      <c r="J960" s="12" t="s">
        <v>163</v>
      </c>
      <c r="K960" s="2">
        <v>0</v>
      </c>
      <c r="M960" s="33">
        <v>4.6654999999999998</v>
      </c>
      <c r="N960" s="33">
        <v>5.2309999999999999</v>
      </c>
      <c r="Z960" s="27" t="s">
        <v>247</v>
      </c>
      <c r="AA960" t="s">
        <v>429</v>
      </c>
    </row>
    <row r="961" spans="1:27" x14ac:dyDescent="0.25">
      <c r="A961" s="12">
        <v>124</v>
      </c>
      <c r="B961">
        <v>34</v>
      </c>
      <c r="C961">
        <f t="shared" si="105"/>
        <v>12434</v>
      </c>
      <c r="D961" s="3" t="s">
        <v>87</v>
      </c>
      <c r="E961" s="11">
        <f>AVERAGE(E941,E940,E921)</f>
        <v>60.527511111111117</v>
      </c>
      <c r="F961" s="11">
        <f>AVERAGE(F941,F940,F921)</f>
        <v>2.8531648148148148</v>
      </c>
      <c r="G961" s="12" t="s">
        <v>144</v>
      </c>
      <c r="H961" s="12" t="s">
        <v>47</v>
      </c>
      <c r="I961">
        <v>2006</v>
      </c>
      <c r="J961" s="12" t="s">
        <v>163</v>
      </c>
      <c r="K961" s="2">
        <v>0</v>
      </c>
      <c r="M961" s="33">
        <v>0</v>
      </c>
      <c r="N961" s="33"/>
      <c r="Z961" s="27" t="s">
        <v>247</v>
      </c>
      <c r="AA961" t="s">
        <v>430</v>
      </c>
    </row>
    <row r="962" spans="1:27" x14ac:dyDescent="0.25">
      <c r="A962" s="12">
        <v>124</v>
      </c>
      <c r="B962">
        <v>34</v>
      </c>
      <c r="C962">
        <f t="shared" si="105"/>
        <v>12434</v>
      </c>
      <c r="D962" s="3" t="s">
        <v>87</v>
      </c>
      <c r="E962" s="11">
        <f t="shared" ref="E962:F962" si="112">AVERAGE(E942,E941,E922)</f>
        <v>60.493613888888888</v>
      </c>
      <c r="F962" s="11">
        <f t="shared" si="112"/>
        <v>2.8430472222222227</v>
      </c>
      <c r="G962" s="12" t="s">
        <v>144</v>
      </c>
      <c r="H962" s="12" t="s">
        <v>47</v>
      </c>
      <c r="I962">
        <v>2020</v>
      </c>
      <c r="J962" s="12" t="s">
        <v>163</v>
      </c>
      <c r="K962" s="2">
        <v>0</v>
      </c>
      <c r="M962" s="33">
        <v>1.45</v>
      </c>
      <c r="N962" s="33">
        <v>1.08666666666667</v>
      </c>
      <c r="Z962" s="27" t="s">
        <v>247</v>
      </c>
      <c r="AA962" t="s">
        <v>430</v>
      </c>
    </row>
    <row r="963" spans="1:27" x14ac:dyDescent="0.25">
      <c r="A963" s="12">
        <v>124</v>
      </c>
      <c r="B963">
        <v>34</v>
      </c>
      <c r="C963">
        <f t="shared" ref="C963:C1026" si="113">A963*100+B963</f>
        <v>12434</v>
      </c>
      <c r="D963" s="3" t="s">
        <v>87</v>
      </c>
      <c r="E963" s="11">
        <f t="shared" ref="E963:F963" si="114">AVERAGE(E943,E942,E923)</f>
        <v>60.493613888888888</v>
      </c>
      <c r="F963" s="11">
        <f t="shared" si="114"/>
        <v>2.8430472222222227</v>
      </c>
      <c r="G963" s="12" t="s">
        <v>144</v>
      </c>
      <c r="H963" s="12" t="s">
        <v>47</v>
      </c>
      <c r="I963">
        <v>2021</v>
      </c>
      <c r="J963" s="12" t="s">
        <v>163</v>
      </c>
      <c r="K963" s="2">
        <v>0</v>
      </c>
      <c r="M963" s="33">
        <v>1.81666666666667</v>
      </c>
      <c r="N963" s="33">
        <v>2.8466666666666698</v>
      </c>
      <c r="Z963" s="27" t="s">
        <v>247</v>
      </c>
      <c r="AA963" t="s">
        <v>430</v>
      </c>
    </row>
    <row r="964" spans="1:27" x14ac:dyDescent="0.25">
      <c r="A964" s="12">
        <v>124</v>
      </c>
      <c r="B964">
        <v>35</v>
      </c>
      <c r="C964">
        <f t="shared" si="113"/>
        <v>12435</v>
      </c>
      <c r="D964" s="3" t="s">
        <v>86</v>
      </c>
      <c r="E964" s="11">
        <f>65+44/60+19.23/3600</f>
        <v>65.738675000000001</v>
      </c>
      <c r="F964" s="11">
        <f>7+39/60+21.17/3600</f>
        <v>7.655880555555556</v>
      </c>
      <c r="G964" s="12" t="s">
        <v>144</v>
      </c>
      <c r="H964" s="12" t="s">
        <v>47</v>
      </c>
      <c r="I964">
        <v>2013</v>
      </c>
      <c r="J964" s="12" t="s">
        <v>163</v>
      </c>
      <c r="K964" s="2">
        <v>0</v>
      </c>
      <c r="M964" s="33">
        <v>0.69410680582499995</v>
      </c>
      <c r="N964" s="33">
        <v>0.61713645809999995</v>
      </c>
      <c r="Z964" s="27" t="s">
        <v>247</v>
      </c>
      <c r="AA964" t="s">
        <v>237</v>
      </c>
    </row>
    <row r="965" spans="1:27" x14ac:dyDescent="0.25">
      <c r="A965" s="12">
        <v>124</v>
      </c>
      <c r="B965">
        <v>35</v>
      </c>
      <c r="C965">
        <f t="shared" si="113"/>
        <v>12435</v>
      </c>
      <c r="D965" s="3" t="s">
        <v>86</v>
      </c>
      <c r="E965" s="11">
        <f t="shared" ref="E965:E972" si="115">65+44/60+19.23/3600</f>
        <v>65.738675000000001</v>
      </c>
      <c r="F965" s="11">
        <f t="shared" ref="F965:F972" si="116">7+39/60+21.17/3600</f>
        <v>7.655880555555556</v>
      </c>
      <c r="G965" s="12" t="s">
        <v>144</v>
      </c>
      <c r="H965" s="12" t="s">
        <v>47</v>
      </c>
      <c r="I965">
        <v>2014</v>
      </c>
      <c r="J965" s="12" t="s">
        <v>163</v>
      </c>
      <c r="K965" s="2">
        <v>0</v>
      </c>
      <c r="M965" s="33">
        <v>1.6097357009714299</v>
      </c>
      <c r="N965" s="33">
        <v>0.72596061445714299</v>
      </c>
      <c r="Z965" s="27" t="s">
        <v>247</v>
      </c>
      <c r="AA965" t="s">
        <v>237</v>
      </c>
    </row>
    <row r="966" spans="1:27" x14ac:dyDescent="0.25">
      <c r="A966" s="12">
        <v>124</v>
      </c>
      <c r="B966">
        <v>35</v>
      </c>
      <c r="C966">
        <f t="shared" si="113"/>
        <v>12435</v>
      </c>
      <c r="D966" s="3" t="s">
        <v>86</v>
      </c>
      <c r="E966" s="11">
        <f t="shared" si="115"/>
        <v>65.738675000000001</v>
      </c>
      <c r="F966" s="11">
        <f t="shared" si="116"/>
        <v>7.655880555555556</v>
      </c>
      <c r="G966" s="12" t="s">
        <v>144</v>
      </c>
      <c r="H966" s="12" t="s">
        <v>47</v>
      </c>
      <c r="I966">
        <v>2015</v>
      </c>
      <c r="J966" s="12" t="s">
        <v>163</v>
      </c>
      <c r="K966" s="2">
        <v>0</v>
      </c>
      <c r="M966" s="33">
        <v>3.09875099004286</v>
      </c>
      <c r="N966" s="33">
        <v>0.96844540391428602</v>
      </c>
      <c r="Z966" s="27" t="s">
        <v>247</v>
      </c>
      <c r="AA966" t="s">
        <v>237</v>
      </c>
    </row>
    <row r="967" spans="1:27" x14ac:dyDescent="0.25">
      <c r="A967" s="12">
        <v>124</v>
      </c>
      <c r="B967">
        <v>35</v>
      </c>
      <c r="C967">
        <f t="shared" si="113"/>
        <v>12435</v>
      </c>
      <c r="D967" s="3" t="s">
        <v>86</v>
      </c>
      <c r="E967" s="11">
        <f t="shared" si="115"/>
        <v>65.738675000000001</v>
      </c>
      <c r="F967" s="11">
        <f t="shared" si="116"/>
        <v>7.655880555555556</v>
      </c>
      <c r="G967" s="12" t="s">
        <v>144</v>
      </c>
      <c r="H967" s="12" t="s">
        <v>47</v>
      </c>
      <c r="I967">
        <v>2016</v>
      </c>
      <c r="J967" s="12" t="s">
        <v>163</v>
      </c>
      <c r="K967" s="2">
        <v>0</v>
      </c>
      <c r="M967" s="33">
        <v>3.8285783318142901</v>
      </c>
      <c r="N967" s="33">
        <v>2.3988925722428598</v>
      </c>
      <c r="Z967" s="27" t="s">
        <v>247</v>
      </c>
      <c r="AA967" t="s">
        <v>237</v>
      </c>
    </row>
    <row r="968" spans="1:27" x14ac:dyDescent="0.25">
      <c r="A968" s="12">
        <v>124</v>
      </c>
      <c r="B968">
        <v>35</v>
      </c>
      <c r="C968">
        <f t="shared" si="113"/>
        <v>12435</v>
      </c>
      <c r="D968" s="3" t="s">
        <v>86</v>
      </c>
      <c r="E968" s="11">
        <f t="shared" si="115"/>
        <v>65.738675000000001</v>
      </c>
      <c r="F968" s="11">
        <f t="shared" si="116"/>
        <v>7.655880555555556</v>
      </c>
      <c r="G968" s="12" t="s">
        <v>144</v>
      </c>
      <c r="H968" s="12" t="s">
        <v>47</v>
      </c>
      <c r="I968">
        <v>2017</v>
      </c>
      <c r="J968" s="12" t="s">
        <v>163</v>
      </c>
      <c r="K968" s="2">
        <v>0</v>
      </c>
      <c r="M968" s="33">
        <v>3.1400054773799999</v>
      </c>
      <c r="N968" s="33">
        <v>2.1466660983833301</v>
      </c>
      <c r="Z968" s="27" t="s">
        <v>247</v>
      </c>
      <c r="AA968" t="s">
        <v>237</v>
      </c>
    </row>
    <row r="969" spans="1:27" x14ac:dyDescent="0.25">
      <c r="A969" s="12">
        <v>124</v>
      </c>
      <c r="B969">
        <v>35</v>
      </c>
      <c r="C969">
        <f t="shared" si="113"/>
        <v>12435</v>
      </c>
      <c r="D969" s="3" t="s">
        <v>86</v>
      </c>
      <c r="E969" s="11">
        <f t="shared" si="115"/>
        <v>65.738675000000001</v>
      </c>
      <c r="F969" s="11">
        <f t="shared" si="116"/>
        <v>7.655880555555556</v>
      </c>
      <c r="G969" s="12" t="s">
        <v>144</v>
      </c>
      <c r="H969" s="12" t="s">
        <v>47</v>
      </c>
      <c r="I969">
        <v>2018</v>
      </c>
      <c r="J969" s="12" t="s">
        <v>163</v>
      </c>
      <c r="K969" s="2">
        <v>0</v>
      </c>
      <c r="M969" s="33">
        <v>4.0408372576833296</v>
      </c>
      <c r="N969" s="33">
        <v>2.9265257281500001</v>
      </c>
      <c r="Z969" s="27" t="s">
        <v>247</v>
      </c>
      <c r="AA969" t="s">
        <v>237</v>
      </c>
    </row>
    <row r="970" spans="1:27" x14ac:dyDescent="0.25">
      <c r="A970" s="12">
        <v>124</v>
      </c>
      <c r="B970">
        <v>35</v>
      </c>
      <c r="C970">
        <f t="shared" si="113"/>
        <v>12435</v>
      </c>
      <c r="D970" s="3" t="s">
        <v>86</v>
      </c>
      <c r="E970" s="11">
        <f t="shared" si="115"/>
        <v>65.738675000000001</v>
      </c>
      <c r="F970" s="11">
        <f t="shared" si="116"/>
        <v>7.655880555555556</v>
      </c>
      <c r="G970" s="12" t="s">
        <v>144</v>
      </c>
      <c r="H970" s="12" t="s">
        <v>47</v>
      </c>
      <c r="I970">
        <v>2019</v>
      </c>
      <c r="J970" s="12" t="s">
        <v>163</v>
      </c>
      <c r="K970" s="2">
        <v>0</v>
      </c>
      <c r="M970" s="33">
        <v>4.460329781525</v>
      </c>
      <c r="N970" s="33">
        <v>3.5457145297000001</v>
      </c>
      <c r="Z970" s="27" t="s">
        <v>247</v>
      </c>
      <c r="AA970" t="s">
        <v>237</v>
      </c>
    </row>
    <row r="971" spans="1:27" x14ac:dyDescent="0.25">
      <c r="A971" s="12">
        <v>124</v>
      </c>
      <c r="B971">
        <v>35</v>
      </c>
      <c r="C971">
        <f t="shared" si="113"/>
        <v>12435</v>
      </c>
      <c r="D971" s="3" t="s">
        <v>86</v>
      </c>
      <c r="E971" s="11">
        <f t="shared" si="115"/>
        <v>65.738675000000001</v>
      </c>
      <c r="F971" s="11">
        <f t="shared" si="116"/>
        <v>7.655880555555556</v>
      </c>
      <c r="G971" s="12" t="s">
        <v>144</v>
      </c>
      <c r="H971" s="12" t="s">
        <v>47</v>
      </c>
      <c r="I971">
        <v>2020</v>
      </c>
      <c r="J971" s="12" t="s">
        <v>163</v>
      </c>
      <c r="K971" s="2">
        <v>0</v>
      </c>
      <c r="M971" s="33">
        <v>2.25</v>
      </c>
      <c r="N971" s="33">
        <v>1.55</v>
      </c>
      <c r="Z971" s="27" t="s">
        <v>247</v>
      </c>
      <c r="AA971" t="s">
        <v>237</v>
      </c>
    </row>
    <row r="972" spans="1:27" x14ac:dyDescent="0.25">
      <c r="A972" s="12">
        <v>124</v>
      </c>
      <c r="B972">
        <v>35</v>
      </c>
      <c r="C972">
        <f t="shared" si="113"/>
        <v>12435</v>
      </c>
      <c r="D972" s="3" t="s">
        <v>86</v>
      </c>
      <c r="E972" s="11">
        <f t="shared" si="115"/>
        <v>65.738675000000001</v>
      </c>
      <c r="F972" s="11">
        <f t="shared" si="116"/>
        <v>7.655880555555556</v>
      </c>
      <c r="G972" s="12" t="s">
        <v>144</v>
      </c>
      <c r="H972" s="12" t="s">
        <v>47</v>
      </c>
      <c r="I972">
        <v>2021</v>
      </c>
      <c r="J972" s="12" t="s">
        <v>163</v>
      </c>
      <c r="K972" s="2">
        <v>0</v>
      </c>
      <c r="M972" s="33">
        <v>1.14998772874</v>
      </c>
      <c r="N972" s="33">
        <v>0.99999672766000003</v>
      </c>
      <c r="Z972" s="27" t="s">
        <v>247</v>
      </c>
      <c r="AA972" t="s">
        <v>237</v>
      </c>
    </row>
    <row r="973" spans="1:27" x14ac:dyDescent="0.25">
      <c r="A973" s="12">
        <v>124</v>
      </c>
      <c r="B973">
        <v>36</v>
      </c>
      <c r="C973">
        <f t="shared" si="113"/>
        <v>12436</v>
      </c>
      <c r="D973" s="3" t="s">
        <v>86</v>
      </c>
      <c r="E973" s="11">
        <f>58+22/60+2.33/3600</f>
        <v>58.367313888888887</v>
      </c>
      <c r="F973" s="11">
        <f>1+54/60+31.01/3600</f>
        <v>1.9086138888888888</v>
      </c>
      <c r="G973" s="12" t="s">
        <v>144</v>
      </c>
      <c r="H973" s="12" t="s">
        <v>47</v>
      </c>
      <c r="I973">
        <v>2002</v>
      </c>
      <c r="J973" s="12" t="s">
        <v>163</v>
      </c>
      <c r="K973" s="2">
        <v>0</v>
      </c>
      <c r="M973" s="33">
        <v>3.66</v>
      </c>
      <c r="N973" s="33"/>
      <c r="Z973" s="27" t="s">
        <v>247</v>
      </c>
      <c r="AA973" t="s">
        <v>431</v>
      </c>
    </row>
    <row r="974" spans="1:27" x14ac:dyDescent="0.25">
      <c r="A974" s="12">
        <v>124</v>
      </c>
      <c r="B974">
        <v>36</v>
      </c>
      <c r="C974">
        <f t="shared" si="113"/>
        <v>12436</v>
      </c>
      <c r="D974" s="3" t="s">
        <v>86</v>
      </c>
      <c r="E974" s="11">
        <f t="shared" ref="E974:E992" si="117">58+22/60+2.33/3600</f>
        <v>58.367313888888887</v>
      </c>
      <c r="F974" s="11">
        <f t="shared" ref="F974:F992" si="118">1+54/60+31.01/3600</f>
        <v>1.9086138888888888</v>
      </c>
      <c r="G974" s="12" t="s">
        <v>144</v>
      </c>
      <c r="H974" s="12" t="s">
        <v>47</v>
      </c>
      <c r="I974">
        <v>2003</v>
      </c>
      <c r="J974" s="12" t="s">
        <v>163</v>
      </c>
      <c r="K974" s="2">
        <v>0</v>
      </c>
      <c r="M974" s="33">
        <v>5.2</v>
      </c>
      <c r="N974" s="33"/>
      <c r="Z974" s="27" t="s">
        <v>247</v>
      </c>
      <c r="AA974" t="s">
        <v>431</v>
      </c>
    </row>
    <row r="975" spans="1:27" x14ac:dyDescent="0.25">
      <c r="A975" s="12">
        <v>124</v>
      </c>
      <c r="B975">
        <v>36</v>
      </c>
      <c r="C975">
        <f t="shared" si="113"/>
        <v>12436</v>
      </c>
      <c r="D975" s="3" t="s">
        <v>86</v>
      </c>
      <c r="E975" s="11">
        <f t="shared" si="117"/>
        <v>58.367313888888887</v>
      </c>
      <c r="F975" s="11">
        <f t="shared" si="118"/>
        <v>1.9086138888888888</v>
      </c>
      <c r="G975" s="12" t="s">
        <v>144</v>
      </c>
      <c r="H975" s="12" t="s">
        <v>47</v>
      </c>
      <c r="I975">
        <v>2004</v>
      </c>
      <c r="J975" s="12" t="s">
        <v>163</v>
      </c>
      <c r="K975" s="2">
        <v>0</v>
      </c>
      <c r="M975" s="33">
        <v>12.4</v>
      </c>
      <c r="N975" s="33"/>
      <c r="Z975" s="27" t="s">
        <v>247</v>
      </c>
      <c r="AA975" t="s">
        <v>431</v>
      </c>
    </row>
    <row r="976" spans="1:27" x14ac:dyDescent="0.25">
      <c r="A976" s="12">
        <v>124</v>
      </c>
      <c r="B976">
        <v>36</v>
      </c>
      <c r="C976">
        <f t="shared" si="113"/>
        <v>12436</v>
      </c>
      <c r="D976" s="3" t="s">
        <v>86</v>
      </c>
      <c r="E976" s="11">
        <f t="shared" si="117"/>
        <v>58.367313888888887</v>
      </c>
      <c r="F976" s="11">
        <f t="shared" si="118"/>
        <v>1.9086138888888888</v>
      </c>
      <c r="G976" s="12" t="s">
        <v>144</v>
      </c>
      <c r="H976" s="12" t="s">
        <v>47</v>
      </c>
      <c r="I976">
        <v>2005</v>
      </c>
      <c r="J976" s="12" t="s">
        <v>163</v>
      </c>
      <c r="K976" s="2">
        <v>0</v>
      </c>
      <c r="M976" s="33">
        <v>19</v>
      </c>
      <c r="N976" s="33">
        <v>14</v>
      </c>
      <c r="Z976" s="27" t="s">
        <v>247</v>
      </c>
      <c r="AA976" t="s">
        <v>431</v>
      </c>
    </row>
    <row r="977" spans="1:27" x14ac:dyDescent="0.25">
      <c r="A977" s="12">
        <v>124</v>
      </c>
      <c r="B977">
        <v>36</v>
      </c>
      <c r="C977">
        <f t="shared" si="113"/>
        <v>12436</v>
      </c>
      <c r="D977" s="3" t="s">
        <v>86</v>
      </c>
      <c r="E977" s="11">
        <f t="shared" si="117"/>
        <v>58.367313888888887</v>
      </c>
      <c r="F977" s="11">
        <f t="shared" si="118"/>
        <v>1.9086138888888888</v>
      </c>
      <c r="G977" s="12" t="s">
        <v>144</v>
      </c>
      <c r="H977" s="12" t="s">
        <v>47</v>
      </c>
      <c r="I977">
        <v>2006</v>
      </c>
      <c r="J977" s="12" t="s">
        <v>163</v>
      </c>
      <c r="K977" s="2">
        <v>0</v>
      </c>
      <c r="M977" s="33">
        <v>14.833349999999999</v>
      </c>
      <c r="N977" s="33">
        <v>12.781650000000001</v>
      </c>
      <c r="Z977" s="27" t="s">
        <v>247</v>
      </c>
      <c r="AA977" t="s">
        <v>431</v>
      </c>
    </row>
    <row r="978" spans="1:27" x14ac:dyDescent="0.25">
      <c r="A978" s="12">
        <v>124</v>
      </c>
      <c r="B978">
        <v>36</v>
      </c>
      <c r="C978">
        <f t="shared" si="113"/>
        <v>12436</v>
      </c>
      <c r="D978" s="3" t="s">
        <v>86</v>
      </c>
      <c r="E978" s="11">
        <f t="shared" si="117"/>
        <v>58.367313888888887</v>
      </c>
      <c r="F978" s="11">
        <f t="shared" si="118"/>
        <v>1.9086138888888888</v>
      </c>
      <c r="G978" s="12" t="s">
        <v>144</v>
      </c>
      <c r="H978" s="12" t="s">
        <v>47</v>
      </c>
      <c r="I978">
        <v>2007</v>
      </c>
      <c r="J978" s="12" t="s">
        <v>163</v>
      </c>
      <c r="K978" s="2">
        <v>0</v>
      </c>
      <c r="M978" s="33">
        <v>14.66273</v>
      </c>
      <c r="N978" s="33">
        <v>11.24948</v>
      </c>
      <c r="Z978" s="27" t="s">
        <v>247</v>
      </c>
      <c r="AA978" t="s">
        <v>431</v>
      </c>
    </row>
    <row r="979" spans="1:27" x14ac:dyDescent="0.25">
      <c r="A979" s="12">
        <v>124</v>
      </c>
      <c r="B979">
        <v>36</v>
      </c>
      <c r="C979">
        <f t="shared" si="113"/>
        <v>12436</v>
      </c>
      <c r="D979" s="3" t="s">
        <v>86</v>
      </c>
      <c r="E979" s="11">
        <f t="shared" si="117"/>
        <v>58.367313888888887</v>
      </c>
      <c r="F979" s="11">
        <f t="shared" si="118"/>
        <v>1.9086138888888888</v>
      </c>
      <c r="G979" s="12" t="s">
        <v>144</v>
      </c>
      <c r="H979" s="12" t="s">
        <v>47</v>
      </c>
      <c r="I979">
        <v>2008</v>
      </c>
      <c r="J979" s="12" t="s">
        <v>163</v>
      </c>
      <c r="K979" s="2">
        <v>0</v>
      </c>
      <c r="M979" s="33">
        <v>18.421203980000001</v>
      </c>
      <c r="N979" s="33">
        <v>14.89890494</v>
      </c>
      <c r="Z979" s="27" t="s">
        <v>247</v>
      </c>
      <c r="AA979" t="s">
        <v>431</v>
      </c>
    </row>
    <row r="980" spans="1:27" x14ac:dyDescent="0.25">
      <c r="A980" s="12">
        <v>124</v>
      </c>
      <c r="B980">
        <v>36</v>
      </c>
      <c r="C980">
        <f t="shared" si="113"/>
        <v>12436</v>
      </c>
      <c r="D980" s="3" t="s">
        <v>86</v>
      </c>
      <c r="E980" s="11">
        <f t="shared" si="117"/>
        <v>58.367313888888887</v>
      </c>
      <c r="F980" s="11">
        <f t="shared" si="118"/>
        <v>1.9086138888888888</v>
      </c>
      <c r="G980" s="12" t="s">
        <v>144</v>
      </c>
      <c r="H980" s="12" t="s">
        <v>47</v>
      </c>
      <c r="I980">
        <v>2009</v>
      </c>
      <c r="J980" s="12" t="s">
        <v>163</v>
      </c>
      <c r="K980" s="2">
        <v>0</v>
      </c>
      <c r="M980" s="33">
        <v>28.616231209999999</v>
      </c>
      <c r="N980" s="33">
        <v>20.560368570000001</v>
      </c>
      <c r="Z980" s="27" t="s">
        <v>247</v>
      </c>
      <c r="AA980" t="s">
        <v>431</v>
      </c>
    </row>
    <row r="981" spans="1:27" x14ac:dyDescent="0.25">
      <c r="A981" s="12">
        <v>124</v>
      </c>
      <c r="B981">
        <v>36</v>
      </c>
      <c r="C981">
        <f t="shared" si="113"/>
        <v>12436</v>
      </c>
      <c r="D981" s="3" t="s">
        <v>86</v>
      </c>
      <c r="E981" s="11">
        <f t="shared" si="117"/>
        <v>58.367313888888887</v>
      </c>
      <c r="F981" s="11">
        <f t="shared" si="118"/>
        <v>1.9086138888888888</v>
      </c>
      <c r="G981" s="12" t="s">
        <v>144</v>
      </c>
      <c r="H981" s="12" t="s">
        <v>47</v>
      </c>
      <c r="I981">
        <v>2010</v>
      </c>
      <c r="J981" s="12" t="s">
        <v>163</v>
      </c>
      <c r="K981" s="2">
        <v>0</v>
      </c>
      <c r="M981" s="33">
        <v>19.371148389999998</v>
      </c>
      <c r="N981" s="33">
        <v>13.673358049999999</v>
      </c>
      <c r="Z981" s="27" t="s">
        <v>247</v>
      </c>
      <c r="AA981" t="s">
        <v>431</v>
      </c>
    </row>
    <row r="982" spans="1:27" x14ac:dyDescent="0.25">
      <c r="A982" s="12">
        <v>124</v>
      </c>
      <c r="B982">
        <v>36</v>
      </c>
      <c r="C982">
        <f t="shared" si="113"/>
        <v>12436</v>
      </c>
      <c r="D982" s="3" t="s">
        <v>86</v>
      </c>
      <c r="E982" s="11">
        <f t="shared" si="117"/>
        <v>58.367313888888887</v>
      </c>
      <c r="F982" s="11">
        <f t="shared" si="118"/>
        <v>1.9086138888888888</v>
      </c>
      <c r="G982" s="12" t="s">
        <v>144</v>
      </c>
      <c r="H982" s="12" t="s">
        <v>47</v>
      </c>
      <c r="I982">
        <v>2011</v>
      </c>
      <c r="J982" s="12" t="s">
        <v>163</v>
      </c>
      <c r="K982" s="2">
        <v>0</v>
      </c>
      <c r="M982" s="33">
        <v>25.335132699999999</v>
      </c>
      <c r="N982" s="33">
        <v>18.13673292</v>
      </c>
      <c r="Z982" s="27" t="s">
        <v>247</v>
      </c>
      <c r="AA982" t="s">
        <v>431</v>
      </c>
    </row>
    <row r="983" spans="1:27" x14ac:dyDescent="0.25">
      <c r="A983" s="12">
        <v>124</v>
      </c>
      <c r="B983">
        <v>36</v>
      </c>
      <c r="C983">
        <f t="shared" si="113"/>
        <v>12436</v>
      </c>
      <c r="D983" s="3" t="s">
        <v>86</v>
      </c>
      <c r="E983" s="11">
        <f t="shared" si="117"/>
        <v>58.367313888888887</v>
      </c>
      <c r="F983" s="11">
        <f t="shared" si="118"/>
        <v>1.9086138888888888</v>
      </c>
      <c r="G983" s="12" t="s">
        <v>144</v>
      </c>
      <c r="H983" s="12" t="s">
        <v>47</v>
      </c>
      <c r="I983">
        <v>2012</v>
      </c>
      <c r="J983" s="12" t="s">
        <v>163</v>
      </c>
      <c r="K983" s="2">
        <v>0</v>
      </c>
      <c r="M983" s="33">
        <v>19.221382500000001</v>
      </c>
      <c r="N983" s="33">
        <v>14.775</v>
      </c>
      <c r="Z983" s="27" t="s">
        <v>247</v>
      </c>
      <c r="AA983" t="s">
        <v>431</v>
      </c>
    </row>
    <row r="984" spans="1:27" x14ac:dyDescent="0.25">
      <c r="A984" s="12">
        <v>124</v>
      </c>
      <c r="B984">
        <v>36</v>
      </c>
      <c r="C984">
        <f t="shared" si="113"/>
        <v>12436</v>
      </c>
      <c r="D984" s="3" t="s">
        <v>86</v>
      </c>
      <c r="E984" s="11">
        <f t="shared" si="117"/>
        <v>58.367313888888887</v>
      </c>
      <c r="F984" s="11">
        <f t="shared" si="118"/>
        <v>1.9086138888888888</v>
      </c>
      <c r="G984" s="12" t="s">
        <v>144</v>
      </c>
      <c r="H984" s="12" t="s">
        <v>47</v>
      </c>
      <c r="I984">
        <v>2013</v>
      </c>
      <c r="J984" s="12" t="s">
        <v>163</v>
      </c>
      <c r="K984" s="2">
        <v>0</v>
      </c>
      <c r="M984" s="33">
        <v>19.335948672175</v>
      </c>
      <c r="N984" s="33">
        <v>16.725000000000001</v>
      </c>
      <c r="Z984" s="27" t="s">
        <v>247</v>
      </c>
      <c r="AA984" t="s">
        <v>431</v>
      </c>
    </row>
    <row r="985" spans="1:27" x14ac:dyDescent="0.25">
      <c r="A985" s="12">
        <v>124</v>
      </c>
      <c r="B985">
        <v>36</v>
      </c>
      <c r="C985">
        <f t="shared" si="113"/>
        <v>12436</v>
      </c>
      <c r="D985" s="3" t="s">
        <v>86</v>
      </c>
      <c r="E985" s="11">
        <f t="shared" si="117"/>
        <v>58.367313888888887</v>
      </c>
      <c r="F985" s="11">
        <f t="shared" si="118"/>
        <v>1.9086138888888888</v>
      </c>
      <c r="G985" s="12" t="s">
        <v>144</v>
      </c>
      <c r="H985" s="12" t="s">
        <v>47</v>
      </c>
      <c r="I985">
        <v>2014</v>
      </c>
      <c r="J985" s="12" t="s">
        <v>163</v>
      </c>
      <c r="K985" s="2">
        <v>0</v>
      </c>
      <c r="M985" s="33">
        <v>14.025</v>
      </c>
      <c r="N985" s="33">
        <v>16.324999999999999</v>
      </c>
      <c r="Z985" s="27" t="s">
        <v>247</v>
      </c>
      <c r="AA985" t="s">
        <v>431</v>
      </c>
    </row>
    <row r="986" spans="1:27" x14ac:dyDescent="0.25">
      <c r="A986" s="12">
        <v>124</v>
      </c>
      <c r="B986">
        <v>36</v>
      </c>
      <c r="C986">
        <f t="shared" si="113"/>
        <v>12436</v>
      </c>
      <c r="D986" s="3" t="s">
        <v>86</v>
      </c>
      <c r="E986" s="11">
        <f t="shared" si="117"/>
        <v>58.367313888888887</v>
      </c>
      <c r="F986" s="11">
        <f t="shared" si="118"/>
        <v>1.9086138888888888</v>
      </c>
      <c r="G986" s="12" t="s">
        <v>144</v>
      </c>
      <c r="H986" s="12" t="s">
        <v>47</v>
      </c>
      <c r="I986">
        <v>2015</v>
      </c>
      <c r="J986" s="12" t="s">
        <v>163</v>
      </c>
      <c r="K986" s="2">
        <v>0</v>
      </c>
      <c r="M986" s="33">
        <v>12.49</v>
      </c>
      <c r="N986" s="33">
        <v>14.425000000000001</v>
      </c>
      <c r="Z986" s="27" t="s">
        <v>247</v>
      </c>
      <c r="AA986" t="s">
        <v>431</v>
      </c>
    </row>
    <row r="987" spans="1:27" x14ac:dyDescent="0.25">
      <c r="A987" s="12">
        <v>124</v>
      </c>
      <c r="B987">
        <v>36</v>
      </c>
      <c r="C987">
        <f t="shared" si="113"/>
        <v>12436</v>
      </c>
      <c r="D987" s="3" t="s">
        <v>86</v>
      </c>
      <c r="E987" s="11">
        <f t="shared" si="117"/>
        <v>58.367313888888887</v>
      </c>
      <c r="F987" s="11">
        <f t="shared" si="118"/>
        <v>1.9086138888888888</v>
      </c>
      <c r="G987" s="12" t="s">
        <v>144</v>
      </c>
      <c r="H987" s="12" t="s">
        <v>47</v>
      </c>
      <c r="I987">
        <v>2016</v>
      </c>
      <c r="J987" s="12" t="s">
        <v>163</v>
      </c>
      <c r="K987" s="2">
        <v>0</v>
      </c>
      <c r="M987" s="33">
        <v>7.72</v>
      </c>
      <c r="N987" s="33">
        <v>9.8366666666666696</v>
      </c>
      <c r="Z987" s="27" t="s">
        <v>247</v>
      </c>
      <c r="AA987" t="s">
        <v>431</v>
      </c>
    </row>
    <row r="988" spans="1:27" x14ac:dyDescent="0.25">
      <c r="A988" s="12">
        <v>124</v>
      </c>
      <c r="B988">
        <v>36</v>
      </c>
      <c r="C988">
        <f t="shared" si="113"/>
        <v>12436</v>
      </c>
      <c r="D988" s="3" t="s">
        <v>86</v>
      </c>
      <c r="E988" s="11">
        <f t="shared" si="117"/>
        <v>58.367313888888887</v>
      </c>
      <c r="F988" s="11">
        <f t="shared" si="118"/>
        <v>1.9086138888888888</v>
      </c>
      <c r="G988" s="12" t="s">
        <v>144</v>
      </c>
      <c r="H988" s="12" t="s">
        <v>47</v>
      </c>
      <c r="I988">
        <v>2017</v>
      </c>
      <c r="J988" s="12" t="s">
        <v>163</v>
      </c>
      <c r="K988" s="2">
        <v>0</v>
      </c>
      <c r="M988" s="33">
        <v>8.26</v>
      </c>
      <c r="N988" s="33">
        <v>9.0225000000000009</v>
      </c>
      <c r="Z988" s="27" t="s">
        <v>247</v>
      </c>
      <c r="AA988" t="s">
        <v>431</v>
      </c>
    </row>
    <row r="989" spans="1:27" x14ac:dyDescent="0.25">
      <c r="A989" s="12">
        <v>124</v>
      </c>
      <c r="B989">
        <v>36</v>
      </c>
      <c r="C989">
        <f t="shared" si="113"/>
        <v>12436</v>
      </c>
      <c r="D989" s="3" t="s">
        <v>86</v>
      </c>
      <c r="E989" s="11">
        <f t="shared" si="117"/>
        <v>58.367313888888887</v>
      </c>
      <c r="F989" s="11">
        <f t="shared" si="118"/>
        <v>1.9086138888888888</v>
      </c>
      <c r="G989" s="12" t="s">
        <v>144</v>
      </c>
      <c r="H989" s="12" t="s">
        <v>47</v>
      </c>
      <c r="I989">
        <v>2018</v>
      </c>
      <c r="J989" s="12" t="s">
        <v>163</v>
      </c>
      <c r="K989" s="2">
        <v>0</v>
      </c>
      <c r="M989" s="33">
        <v>7.9249999999999998</v>
      </c>
      <c r="N989" s="33">
        <v>8.9600000000000009</v>
      </c>
      <c r="Z989" s="27" t="s">
        <v>247</v>
      </c>
      <c r="AA989" t="s">
        <v>431</v>
      </c>
    </row>
    <row r="990" spans="1:27" x14ac:dyDescent="0.25">
      <c r="A990" s="12">
        <v>124</v>
      </c>
      <c r="B990">
        <v>36</v>
      </c>
      <c r="C990">
        <f t="shared" si="113"/>
        <v>12436</v>
      </c>
      <c r="D990" s="3" t="s">
        <v>86</v>
      </c>
      <c r="E990" s="11">
        <f t="shared" si="117"/>
        <v>58.367313888888887</v>
      </c>
      <c r="F990" s="11">
        <f t="shared" si="118"/>
        <v>1.9086138888888888</v>
      </c>
      <c r="G990" s="12" t="s">
        <v>144</v>
      </c>
      <c r="H990" s="12" t="s">
        <v>47</v>
      </c>
      <c r="I990">
        <v>2019</v>
      </c>
      <c r="J990" s="12" t="s">
        <v>163</v>
      </c>
      <c r="K990" s="2">
        <v>0</v>
      </c>
      <c r="M990" s="33">
        <v>12.225</v>
      </c>
      <c r="N990" s="33">
        <v>14.5025</v>
      </c>
      <c r="Z990" s="27" t="s">
        <v>247</v>
      </c>
      <c r="AA990" t="s">
        <v>431</v>
      </c>
    </row>
    <row r="991" spans="1:27" x14ac:dyDescent="0.25">
      <c r="A991" s="12">
        <v>124</v>
      </c>
      <c r="B991">
        <v>36</v>
      </c>
      <c r="C991">
        <f t="shared" si="113"/>
        <v>12436</v>
      </c>
      <c r="D991" s="3" t="s">
        <v>86</v>
      </c>
      <c r="E991" s="11">
        <f t="shared" si="117"/>
        <v>58.367313888888887</v>
      </c>
      <c r="F991" s="11">
        <f t="shared" si="118"/>
        <v>1.9086138888888888</v>
      </c>
      <c r="G991" s="12" t="s">
        <v>144</v>
      </c>
      <c r="H991" s="12" t="s">
        <v>47</v>
      </c>
      <c r="I991">
        <v>2020</v>
      </c>
      <c r="J991" s="12" t="s">
        <v>163</v>
      </c>
      <c r="K991" s="2">
        <v>0</v>
      </c>
      <c r="M991" s="33">
        <v>13.426500000000001</v>
      </c>
      <c r="N991" s="33">
        <v>15.437250000000001</v>
      </c>
      <c r="Z991" s="27" t="s">
        <v>247</v>
      </c>
      <c r="AA991" t="s">
        <v>431</v>
      </c>
    </row>
    <row r="992" spans="1:27" x14ac:dyDescent="0.25">
      <c r="A992" s="12">
        <v>124</v>
      </c>
      <c r="B992">
        <v>36</v>
      </c>
      <c r="C992">
        <f t="shared" si="113"/>
        <v>12436</v>
      </c>
      <c r="D992" s="3" t="s">
        <v>86</v>
      </c>
      <c r="E992" s="11">
        <f t="shared" si="117"/>
        <v>58.367313888888887</v>
      </c>
      <c r="F992" s="11">
        <f t="shared" si="118"/>
        <v>1.9086138888888888</v>
      </c>
      <c r="G992" s="12" t="s">
        <v>144</v>
      </c>
      <c r="H992" s="12" t="s">
        <v>47</v>
      </c>
      <c r="I992">
        <v>2021</v>
      </c>
      <c r="J992" s="12" t="s">
        <v>163</v>
      </c>
      <c r="K992" s="2">
        <v>0</v>
      </c>
      <c r="M992" s="33">
        <v>13.88125</v>
      </c>
      <c r="N992" s="33">
        <v>15.706250000000001</v>
      </c>
      <c r="Z992" s="27" t="s">
        <v>247</v>
      </c>
      <c r="AA992" t="s">
        <v>431</v>
      </c>
    </row>
    <row r="993" spans="1:27" x14ac:dyDescent="0.25">
      <c r="A993" s="12">
        <v>124</v>
      </c>
      <c r="B993">
        <v>37</v>
      </c>
      <c r="C993">
        <f t="shared" si="113"/>
        <v>12437</v>
      </c>
      <c r="D993" s="3" t="s">
        <v>86</v>
      </c>
      <c r="E993" s="11">
        <v>58.36</v>
      </c>
      <c r="F993" s="11">
        <v>1.91</v>
      </c>
      <c r="G993" s="12" t="s">
        <v>144</v>
      </c>
      <c r="H993" s="12" t="s">
        <v>47</v>
      </c>
      <c r="I993">
        <v>2002</v>
      </c>
      <c r="J993" s="12" t="s">
        <v>163</v>
      </c>
      <c r="K993" s="2">
        <v>0</v>
      </c>
      <c r="M993" s="33">
        <v>2.02</v>
      </c>
      <c r="N993" s="33"/>
      <c r="Z993" s="27" t="s">
        <v>247</v>
      </c>
      <c r="AA993" t="s">
        <v>219</v>
      </c>
    </row>
    <row r="994" spans="1:27" x14ac:dyDescent="0.25">
      <c r="A994" s="12">
        <v>124</v>
      </c>
      <c r="B994">
        <v>37</v>
      </c>
      <c r="C994">
        <f t="shared" si="113"/>
        <v>12437</v>
      </c>
      <c r="D994" s="3" t="s">
        <v>86</v>
      </c>
      <c r="E994" s="11">
        <v>58.36</v>
      </c>
      <c r="F994" s="11">
        <v>1.91</v>
      </c>
      <c r="G994" s="12" t="s">
        <v>144</v>
      </c>
      <c r="H994" s="12" t="s">
        <v>47</v>
      </c>
      <c r="I994">
        <v>2003</v>
      </c>
      <c r="J994" s="12" t="s">
        <v>163</v>
      </c>
      <c r="K994" s="2">
        <v>0</v>
      </c>
      <c r="M994" s="33">
        <v>1.1000000000000001</v>
      </c>
      <c r="N994" s="33"/>
      <c r="Z994" s="27" t="s">
        <v>247</v>
      </c>
      <c r="AA994" t="s">
        <v>219</v>
      </c>
    </row>
    <row r="995" spans="1:27" x14ac:dyDescent="0.25">
      <c r="A995" s="12">
        <v>124</v>
      </c>
      <c r="B995">
        <v>37</v>
      </c>
      <c r="C995">
        <f t="shared" si="113"/>
        <v>12437</v>
      </c>
      <c r="D995" s="3" t="s">
        <v>86</v>
      </c>
      <c r="E995" s="11">
        <v>58.36</v>
      </c>
      <c r="F995" s="11">
        <v>1.91</v>
      </c>
      <c r="G995" s="12" t="s">
        <v>144</v>
      </c>
      <c r="H995" s="12" t="s">
        <v>47</v>
      </c>
      <c r="I995">
        <v>2004</v>
      </c>
      <c r="J995" s="12" t="s">
        <v>163</v>
      </c>
      <c r="K995" s="2">
        <v>0</v>
      </c>
      <c r="M995" s="33">
        <v>8.4</v>
      </c>
      <c r="N995" s="33"/>
      <c r="Z995" s="27" t="s">
        <v>247</v>
      </c>
      <c r="AA995" t="s">
        <v>219</v>
      </c>
    </row>
    <row r="996" spans="1:27" x14ac:dyDescent="0.25">
      <c r="A996" s="12">
        <v>124</v>
      </c>
      <c r="B996">
        <v>37</v>
      </c>
      <c r="C996">
        <f t="shared" si="113"/>
        <v>12437</v>
      </c>
      <c r="D996" s="3" t="s">
        <v>86</v>
      </c>
      <c r="E996" s="11">
        <v>58.36</v>
      </c>
      <c r="F996" s="11">
        <v>1.91</v>
      </c>
      <c r="G996" s="12" t="s">
        <v>144</v>
      </c>
      <c r="H996" s="12" t="s">
        <v>47</v>
      </c>
      <c r="I996">
        <v>2005</v>
      </c>
      <c r="J996" s="12" t="s">
        <v>163</v>
      </c>
      <c r="K996" s="2">
        <v>0</v>
      </c>
      <c r="M996" s="33">
        <v>0.28000000000000003</v>
      </c>
      <c r="N996" s="33">
        <v>0.4</v>
      </c>
      <c r="Z996" s="27" t="s">
        <v>247</v>
      </c>
      <c r="AA996" t="s">
        <v>219</v>
      </c>
    </row>
    <row r="997" spans="1:27" x14ac:dyDescent="0.25">
      <c r="A997" s="12">
        <v>124</v>
      </c>
      <c r="B997">
        <v>37</v>
      </c>
      <c r="C997">
        <f t="shared" si="113"/>
        <v>12437</v>
      </c>
      <c r="D997" s="3" t="s">
        <v>86</v>
      </c>
      <c r="E997" s="11">
        <v>58.36</v>
      </c>
      <c r="F997" s="11">
        <v>1.91</v>
      </c>
      <c r="G997" s="12" t="s">
        <v>144</v>
      </c>
      <c r="H997" s="12" t="s">
        <v>47</v>
      </c>
      <c r="I997">
        <v>2006</v>
      </c>
      <c r="J997" s="12" t="s">
        <v>163</v>
      </c>
      <c r="K997" s="2">
        <v>0</v>
      </c>
      <c r="M997" s="33">
        <v>5.85</v>
      </c>
      <c r="N997" s="33">
        <v>4.3316499999999998</v>
      </c>
      <c r="Z997" s="27" t="s">
        <v>247</v>
      </c>
      <c r="AA997" t="s">
        <v>219</v>
      </c>
    </row>
    <row r="998" spans="1:27" x14ac:dyDescent="0.25">
      <c r="A998" s="12">
        <v>124</v>
      </c>
      <c r="B998">
        <v>37</v>
      </c>
      <c r="C998">
        <f t="shared" si="113"/>
        <v>12437</v>
      </c>
      <c r="D998" s="3" t="s">
        <v>86</v>
      </c>
      <c r="E998" s="11">
        <v>58.36</v>
      </c>
      <c r="F998" s="11">
        <v>1.91</v>
      </c>
      <c r="G998" s="12" t="s">
        <v>144</v>
      </c>
      <c r="H998" s="12" t="s">
        <v>47</v>
      </c>
      <c r="I998">
        <v>2007</v>
      </c>
      <c r="J998" s="12" t="s">
        <v>163</v>
      </c>
      <c r="K998" s="2">
        <v>0</v>
      </c>
      <c r="M998" s="33">
        <v>6.7523099999999996</v>
      </c>
      <c r="N998" s="33">
        <v>4.5138299999999996</v>
      </c>
      <c r="Z998" s="27" t="s">
        <v>247</v>
      </c>
      <c r="AA998" t="s">
        <v>219</v>
      </c>
    </row>
    <row r="999" spans="1:27" x14ac:dyDescent="0.25">
      <c r="A999" s="12">
        <v>124</v>
      </c>
      <c r="B999">
        <v>37</v>
      </c>
      <c r="C999">
        <f t="shared" si="113"/>
        <v>12437</v>
      </c>
      <c r="D999" s="3" t="s">
        <v>86</v>
      </c>
      <c r="E999" s="11">
        <v>58.36</v>
      </c>
      <c r="F999" s="11">
        <v>1.91</v>
      </c>
      <c r="G999" s="12" t="s">
        <v>144</v>
      </c>
      <c r="H999" s="12" t="s">
        <v>47</v>
      </c>
      <c r="I999">
        <v>2008</v>
      </c>
      <c r="J999" s="12" t="s">
        <v>163</v>
      </c>
      <c r="K999" s="2">
        <v>0</v>
      </c>
      <c r="M999" s="33">
        <v>2.8431765840000001</v>
      </c>
      <c r="N999" s="33">
        <v>2.1609520199999999</v>
      </c>
      <c r="Z999" s="27" t="s">
        <v>247</v>
      </c>
      <c r="AA999" t="s">
        <v>219</v>
      </c>
    </row>
    <row r="1000" spans="1:27" x14ac:dyDescent="0.25">
      <c r="A1000" s="12">
        <v>124</v>
      </c>
      <c r="B1000">
        <v>37</v>
      </c>
      <c r="C1000">
        <f t="shared" si="113"/>
        <v>12437</v>
      </c>
      <c r="D1000" s="3" t="s">
        <v>86</v>
      </c>
      <c r="E1000" s="11">
        <v>58.36</v>
      </c>
      <c r="F1000" s="11">
        <v>1.91</v>
      </c>
      <c r="G1000" s="12" t="s">
        <v>144</v>
      </c>
      <c r="H1000" s="12" t="s">
        <v>47</v>
      </c>
      <c r="I1000">
        <v>2009</v>
      </c>
      <c r="J1000" s="12" t="s">
        <v>163</v>
      </c>
      <c r="K1000" s="2">
        <v>0</v>
      </c>
      <c r="M1000" s="33">
        <v>1.876385339</v>
      </c>
      <c r="N1000" s="33">
        <v>0.95614417600000001</v>
      </c>
      <c r="Z1000" s="27" t="s">
        <v>247</v>
      </c>
      <c r="AA1000" t="s">
        <v>219</v>
      </c>
    </row>
    <row r="1001" spans="1:27" x14ac:dyDescent="0.25">
      <c r="A1001" s="12">
        <v>124</v>
      </c>
      <c r="B1001">
        <v>37</v>
      </c>
      <c r="C1001">
        <f t="shared" si="113"/>
        <v>12437</v>
      </c>
      <c r="D1001" s="3" t="s">
        <v>86</v>
      </c>
      <c r="E1001" s="11">
        <v>58.36</v>
      </c>
      <c r="F1001" s="11">
        <v>1.91</v>
      </c>
      <c r="G1001" s="12" t="s">
        <v>144</v>
      </c>
      <c r="H1001" s="12" t="s">
        <v>47</v>
      </c>
      <c r="I1001">
        <v>2010</v>
      </c>
      <c r="J1001" s="12" t="s">
        <v>163</v>
      </c>
      <c r="K1001" s="2">
        <v>0</v>
      </c>
      <c r="M1001" s="33">
        <v>1.2091467460000001</v>
      </c>
      <c r="N1001" s="33">
        <v>1.385728793</v>
      </c>
      <c r="Z1001" s="27" t="s">
        <v>247</v>
      </c>
      <c r="AA1001" t="s">
        <v>219</v>
      </c>
    </row>
    <row r="1002" spans="1:27" x14ac:dyDescent="0.25">
      <c r="A1002" s="12">
        <v>124</v>
      </c>
      <c r="B1002">
        <v>37</v>
      </c>
      <c r="C1002">
        <f t="shared" si="113"/>
        <v>12437</v>
      </c>
      <c r="D1002" s="3" t="s">
        <v>86</v>
      </c>
      <c r="E1002" s="11">
        <v>58.36</v>
      </c>
      <c r="F1002" s="11">
        <v>1.91</v>
      </c>
      <c r="G1002" s="12" t="s">
        <v>144</v>
      </c>
      <c r="H1002" s="12" t="s">
        <v>47</v>
      </c>
      <c r="I1002">
        <v>2011</v>
      </c>
      <c r="J1002" s="12" t="s">
        <v>163</v>
      </c>
      <c r="K1002" s="2">
        <v>0</v>
      </c>
      <c r="M1002" s="33">
        <v>1.8927189149999999</v>
      </c>
      <c r="N1002" s="33">
        <v>1.662097352</v>
      </c>
      <c r="Z1002" s="27" t="s">
        <v>247</v>
      </c>
      <c r="AA1002" t="s">
        <v>219</v>
      </c>
    </row>
    <row r="1003" spans="1:27" x14ac:dyDescent="0.25">
      <c r="A1003" s="12">
        <v>124</v>
      </c>
      <c r="B1003">
        <v>37</v>
      </c>
      <c r="C1003">
        <f t="shared" si="113"/>
        <v>12437</v>
      </c>
      <c r="D1003" s="3" t="s">
        <v>86</v>
      </c>
      <c r="E1003" s="11">
        <v>58.36</v>
      </c>
      <c r="F1003" s="11">
        <v>1.91</v>
      </c>
      <c r="G1003" s="12" t="s">
        <v>144</v>
      </c>
      <c r="H1003" s="12" t="s">
        <v>47</v>
      </c>
      <c r="I1003">
        <v>2012</v>
      </c>
      <c r="J1003" s="12" t="s">
        <v>163</v>
      </c>
      <c r="K1003" s="2">
        <v>0</v>
      </c>
      <c r="M1003" s="33">
        <v>7.8107924999999998</v>
      </c>
      <c r="N1003" s="33">
        <v>11.82</v>
      </c>
      <c r="Z1003" s="27" t="s">
        <v>247</v>
      </c>
      <c r="AA1003" t="s">
        <v>219</v>
      </c>
    </row>
    <row r="1004" spans="1:27" x14ac:dyDescent="0.25">
      <c r="A1004" s="12">
        <v>124</v>
      </c>
      <c r="B1004">
        <v>37</v>
      </c>
      <c r="C1004">
        <f t="shared" si="113"/>
        <v>12437</v>
      </c>
      <c r="D1004" s="3" t="s">
        <v>86</v>
      </c>
      <c r="E1004" s="11">
        <v>58.36</v>
      </c>
      <c r="F1004" s="11">
        <v>1.91</v>
      </c>
      <c r="G1004" s="12" t="s">
        <v>144</v>
      </c>
      <c r="H1004" s="12" t="s">
        <v>47</v>
      </c>
      <c r="I1004">
        <v>2013</v>
      </c>
      <c r="J1004" s="12" t="s">
        <v>163</v>
      </c>
      <c r="K1004" s="2">
        <v>0</v>
      </c>
      <c r="M1004" s="33">
        <v>5.9378743835250001</v>
      </c>
      <c r="N1004" s="33">
        <v>8.8074999999999992</v>
      </c>
      <c r="Z1004" s="27" t="s">
        <v>247</v>
      </c>
      <c r="AA1004" t="s">
        <v>219</v>
      </c>
    </row>
    <row r="1005" spans="1:27" x14ac:dyDescent="0.25">
      <c r="A1005" s="12">
        <v>124</v>
      </c>
      <c r="B1005">
        <v>37</v>
      </c>
      <c r="C1005">
        <f t="shared" si="113"/>
        <v>12437</v>
      </c>
      <c r="D1005" s="3" t="s">
        <v>86</v>
      </c>
      <c r="E1005" s="11">
        <v>58.36</v>
      </c>
      <c r="F1005" s="11">
        <v>1.91</v>
      </c>
      <c r="G1005" s="12" t="s">
        <v>144</v>
      </c>
      <c r="H1005" s="12" t="s">
        <v>47</v>
      </c>
      <c r="I1005">
        <v>2014</v>
      </c>
      <c r="J1005" s="12" t="s">
        <v>163</v>
      </c>
      <c r="K1005" s="2">
        <v>0</v>
      </c>
      <c r="M1005" s="33">
        <v>6.9749999999999996</v>
      </c>
      <c r="N1005" s="33">
        <v>6.35</v>
      </c>
      <c r="Z1005" s="27" t="s">
        <v>247</v>
      </c>
      <c r="AA1005" t="s">
        <v>219</v>
      </c>
    </row>
    <row r="1006" spans="1:27" x14ac:dyDescent="0.25">
      <c r="A1006" s="12">
        <v>124</v>
      </c>
      <c r="B1006">
        <v>37</v>
      </c>
      <c r="C1006">
        <f t="shared" si="113"/>
        <v>12437</v>
      </c>
      <c r="D1006" s="3" t="s">
        <v>86</v>
      </c>
      <c r="E1006" s="11">
        <v>58.36</v>
      </c>
      <c r="F1006" s="11">
        <v>1.91</v>
      </c>
      <c r="G1006" s="12" t="s">
        <v>144</v>
      </c>
      <c r="H1006" s="12" t="s">
        <v>47</v>
      </c>
      <c r="I1006">
        <v>2015</v>
      </c>
      <c r="J1006" s="12" t="s">
        <v>163</v>
      </c>
      <c r="K1006" s="2">
        <v>0</v>
      </c>
      <c r="M1006" s="33">
        <v>6.9966666666666697</v>
      </c>
      <c r="N1006" s="33">
        <v>6.1349999999999998</v>
      </c>
      <c r="Z1006" s="27" t="s">
        <v>247</v>
      </c>
      <c r="AA1006" t="s">
        <v>219</v>
      </c>
    </row>
    <row r="1007" spans="1:27" x14ac:dyDescent="0.25">
      <c r="A1007" s="12">
        <v>124</v>
      </c>
      <c r="B1007">
        <v>37</v>
      </c>
      <c r="C1007">
        <f t="shared" si="113"/>
        <v>12437</v>
      </c>
      <c r="D1007" s="3" t="s">
        <v>86</v>
      </c>
      <c r="E1007" s="11">
        <v>58.36</v>
      </c>
      <c r="F1007" s="11">
        <v>1.91</v>
      </c>
      <c r="G1007" s="12" t="s">
        <v>144</v>
      </c>
      <c r="H1007" s="12" t="s">
        <v>47</v>
      </c>
      <c r="I1007">
        <v>2016</v>
      </c>
      <c r="J1007" s="12" t="s">
        <v>163</v>
      </c>
      <c r="K1007" s="2">
        <v>0</v>
      </c>
      <c r="M1007" s="33">
        <v>6.29</v>
      </c>
      <c r="N1007" s="33">
        <v>6.2866666666666697</v>
      </c>
      <c r="Z1007" s="27" t="s">
        <v>247</v>
      </c>
      <c r="AA1007" t="s">
        <v>219</v>
      </c>
    </row>
    <row r="1008" spans="1:27" x14ac:dyDescent="0.25">
      <c r="A1008" s="12">
        <v>124</v>
      </c>
      <c r="B1008">
        <v>37</v>
      </c>
      <c r="C1008">
        <f t="shared" si="113"/>
        <v>12437</v>
      </c>
      <c r="D1008" s="3" t="s">
        <v>86</v>
      </c>
      <c r="E1008" s="11">
        <v>58.36</v>
      </c>
      <c r="F1008" s="11">
        <v>1.91</v>
      </c>
      <c r="G1008" s="12" t="s">
        <v>144</v>
      </c>
      <c r="H1008" s="12" t="s">
        <v>47</v>
      </c>
      <c r="I1008">
        <v>2017</v>
      </c>
      <c r="J1008" s="12" t="s">
        <v>163</v>
      </c>
      <c r="K1008" s="2">
        <v>0</v>
      </c>
      <c r="M1008" s="33">
        <v>4.49</v>
      </c>
      <c r="N1008" s="33">
        <v>5.6825000000000001</v>
      </c>
      <c r="Z1008" s="27" t="s">
        <v>247</v>
      </c>
      <c r="AA1008" t="s">
        <v>219</v>
      </c>
    </row>
    <row r="1009" spans="1:27" x14ac:dyDescent="0.25">
      <c r="A1009" s="12">
        <v>124</v>
      </c>
      <c r="B1009">
        <v>37</v>
      </c>
      <c r="C1009">
        <f t="shared" si="113"/>
        <v>12437</v>
      </c>
      <c r="D1009" s="3" t="s">
        <v>86</v>
      </c>
      <c r="E1009" s="11">
        <v>58.36</v>
      </c>
      <c r="F1009" s="11">
        <v>1.91</v>
      </c>
      <c r="G1009" s="12" t="s">
        <v>144</v>
      </c>
      <c r="H1009" s="12" t="s">
        <v>47</v>
      </c>
      <c r="I1009">
        <v>2018</v>
      </c>
      <c r="J1009" s="12" t="s">
        <v>163</v>
      </c>
      <c r="K1009" s="2">
        <v>0</v>
      </c>
      <c r="M1009" s="33">
        <v>4.6539999999999999</v>
      </c>
      <c r="N1009" s="33">
        <v>5.9859999999999998</v>
      </c>
      <c r="Z1009" s="27" t="s">
        <v>247</v>
      </c>
      <c r="AA1009" t="s">
        <v>219</v>
      </c>
    </row>
    <row r="1010" spans="1:27" x14ac:dyDescent="0.25">
      <c r="A1010" s="12">
        <v>124</v>
      </c>
      <c r="B1010">
        <v>37</v>
      </c>
      <c r="C1010">
        <f t="shared" si="113"/>
        <v>12437</v>
      </c>
      <c r="D1010" s="3" t="s">
        <v>86</v>
      </c>
      <c r="E1010" s="11">
        <v>58.36</v>
      </c>
      <c r="F1010" s="11">
        <v>1.91</v>
      </c>
      <c r="G1010" s="12" t="s">
        <v>144</v>
      </c>
      <c r="H1010" s="12" t="s">
        <v>47</v>
      </c>
      <c r="I1010">
        <v>2019</v>
      </c>
      <c r="J1010" s="12" t="s">
        <v>163</v>
      </c>
      <c r="K1010" s="2">
        <v>0</v>
      </c>
      <c r="M1010" s="33">
        <v>3.3075000000000001</v>
      </c>
      <c r="N1010" s="33">
        <v>3.6924999999999999</v>
      </c>
      <c r="Z1010" s="27" t="s">
        <v>247</v>
      </c>
      <c r="AA1010" t="s">
        <v>219</v>
      </c>
    </row>
    <row r="1011" spans="1:27" x14ac:dyDescent="0.25">
      <c r="A1011" s="12">
        <v>124</v>
      </c>
      <c r="B1011">
        <v>37</v>
      </c>
      <c r="C1011">
        <f t="shared" si="113"/>
        <v>12437</v>
      </c>
      <c r="D1011" s="3" t="s">
        <v>86</v>
      </c>
      <c r="E1011" s="11">
        <v>58.36</v>
      </c>
      <c r="F1011" s="11">
        <v>1.91</v>
      </c>
      <c r="G1011" s="12" t="s">
        <v>144</v>
      </c>
      <c r="H1011" s="12" t="s">
        <v>47</v>
      </c>
      <c r="I1011">
        <v>2020</v>
      </c>
      <c r="J1011" s="12" t="s">
        <v>163</v>
      </c>
      <c r="K1011" s="2">
        <v>0</v>
      </c>
      <c r="M1011" s="33">
        <v>12.36825</v>
      </c>
      <c r="N1011" s="33">
        <v>17.853000000000002</v>
      </c>
      <c r="Z1011" s="27" t="s">
        <v>247</v>
      </c>
      <c r="AA1011" t="s">
        <v>219</v>
      </c>
    </row>
    <row r="1012" spans="1:27" x14ac:dyDescent="0.25">
      <c r="A1012" s="12">
        <v>124</v>
      </c>
      <c r="B1012">
        <v>37</v>
      </c>
      <c r="C1012">
        <f t="shared" si="113"/>
        <v>12437</v>
      </c>
      <c r="D1012" s="3" t="s">
        <v>86</v>
      </c>
      <c r="E1012" s="11">
        <v>58.36</v>
      </c>
      <c r="F1012" s="11">
        <v>1.91</v>
      </c>
      <c r="G1012" s="12" t="s">
        <v>144</v>
      </c>
      <c r="H1012" s="12" t="s">
        <v>47</v>
      </c>
      <c r="I1012">
        <v>2021</v>
      </c>
      <c r="J1012" s="12" t="s">
        <v>163</v>
      </c>
      <c r="K1012" s="2">
        <v>0</v>
      </c>
      <c r="M1012" s="33">
        <v>9.0257500000000004</v>
      </c>
      <c r="N1012" s="33">
        <v>6.4379999999999997</v>
      </c>
      <c r="Z1012" s="27" t="s">
        <v>247</v>
      </c>
      <c r="AA1012" t="s">
        <v>219</v>
      </c>
    </row>
    <row r="1013" spans="1:27" x14ac:dyDescent="0.25">
      <c r="A1013" s="12">
        <v>124</v>
      </c>
      <c r="B1013">
        <v>38</v>
      </c>
      <c r="C1013">
        <f t="shared" si="113"/>
        <v>12438</v>
      </c>
      <c r="D1013" s="3" t="s">
        <v>86</v>
      </c>
      <c r="E1013" s="11">
        <f>71+35/60+31.8/3600</f>
        <v>71.592166666666657</v>
      </c>
      <c r="F1013" s="11">
        <f>21+16/60+22.8/3600</f>
        <v>21.273</v>
      </c>
      <c r="G1013" s="12" t="s">
        <v>144</v>
      </c>
      <c r="H1013" s="12" t="s">
        <v>47</v>
      </c>
      <c r="I1013">
        <v>2012</v>
      </c>
      <c r="J1013" s="12" t="s">
        <v>163</v>
      </c>
      <c r="K1013" s="2">
        <v>0</v>
      </c>
      <c r="M1013" s="33">
        <v>0.45</v>
      </c>
      <c r="N1013" s="33">
        <v>0.28000000000000003</v>
      </c>
      <c r="Z1013" s="27" t="s">
        <v>247</v>
      </c>
      <c r="AA1013" t="s">
        <v>432</v>
      </c>
    </row>
    <row r="1014" spans="1:27" x14ac:dyDescent="0.25">
      <c r="A1014" s="12">
        <v>124</v>
      </c>
      <c r="B1014">
        <v>38</v>
      </c>
      <c r="C1014">
        <f t="shared" si="113"/>
        <v>12438</v>
      </c>
      <c r="D1014" s="3" t="s">
        <v>86</v>
      </c>
      <c r="E1014" s="11">
        <f t="shared" ref="E1014:E1020" si="119">71+35/60+31.8/3600</f>
        <v>71.592166666666657</v>
      </c>
      <c r="F1014" s="11">
        <f t="shared" ref="F1014:F1020" si="120">21+16/60+22.8/3600</f>
        <v>21.273</v>
      </c>
      <c r="G1014" s="12" t="s">
        <v>144</v>
      </c>
      <c r="H1014" s="12" t="s">
        <v>47</v>
      </c>
      <c r="I1014">
        <v>2014</v>
      </c>
      <c r="J1014" s="12" t="s">
        <v>163</v>
      </c>
      <c r="K1014" s="2">
        <v>0</v>
      </c>
      <c r="M1014" s="33">
        <v>3.7499999999999999E-2</v>
      </c>
      <c r="N1014" s="33">
        <v>3.6499999999999998E-2</v>
      </c>
      <c r="Z1014" s="27" t="s">
        <v>247</v>
      </c>
      <c r="AA1014" t="s">
        <v>432</v>
      </c>
    </row>
    <row r="1015" spans="1:27" x14ac:dyDescent="0.25">
      <c r="A1015" s="12">
        <v>124</v>
      </c>
      <c r="B1015">
        <v>38</v>
      </c>
      <c r="C1015">
        <f t="shared" si="113"/>
        <v>12438</v>
      </c>
      <c r="D1015" s="3" t="s">
        <v>86</v>
      </c>
      <c r="E1015" s="11">
        <f t="shared" si="119"/>
        <v>71.592166666666657</v>
      </c>
      <c r="F1015" s="11">
        <f t="shared" si="120"/>
        <v>21.273</v>
      </c>
      <c r="G1015" s="12" t="s">
        <v>144</v>
      </c>
      <c r="H1015" s="12" t="s">
        <v>47</v>
      </c>
      <c r="I1015">
        <v>2015</v>
      </c>
      <c r="J1015" s="12" t="s">
        <v>163</v>
      </c>
      <c r="K1015" s="2">
        <v>0</v>
      </c>
      <c r="M1015" s="33">
        <v>2.0625000000000001E-2</v>
      </c>
      <c r="N1015" s="33">
        <v>2.5000000000000001E-2</v>
      </c>
      <c r="Z1015" s="27" t="s">
        <v>247</v>
      </c>
      <c r="AA1015" t="s">
        <v>432</v>
      </c>
    </row>
    <row r="1016" spans="1:27" x14ac:dyDescent="0.25">
      <c r="A1016" s="12">
        <v>124</v>
      </c>
      <c r="B1016">
        <v>38</v>
      </c>
      <c r="C1016">
        <f t="shared" si="113"/>
        <v>12438</v>
      </c>
      <c r="D1016" s="3" t="s">
        <v>86</v>
      </c>
      <c r="E1016" s="11">
        <f t="shared" si="119"/>
        <v>71.592166666666657</v>
      </c>
      <c r="F1016" s="11">
        <f t="shared" si="120"/>
        <v>21.273</v>
      </c>
      <c r="G1016" s="12" t="s">
        <v>144</v>
      </c>
      <c r="H1016" s="12" t="s">
        <v>47</v>
      </c>
      <c r="I1016">
        <v>2016</v>
      </c>
      <c r="J1016" s="12" t="s">
        <v>163</v>
      </c>
      <c r="K1016" s="2">
        <v>0</v>
      </c>
      <c r="M1016" s="33">
        <v>4.4999999999999998E-2</v>
      </c>
      <c r="N1016" s="33">
        <v>0.04</v>
      </c>
      <c r="Z1016" s="27" t="s">
        <v>247</v>
      </c>
      <c r="AA1016" t="s">
        <v>432</v>
      </c>
    </row>
    <row r="1017" spans="1:27" x14ac:dyDescent="0.25">
      <c r="A1017" s="12">
        <v>124</v>
      </c>
      <c r="B1017">
        <v>38</v>
      </c>
      <c r="C1017">
        <f t="shared" si="113"/>
        <v>12438</v>
      </c>
      <c r="D1017" s="3" t="s">
        <v>86</v>
      </c>
      <c r="E1017" s="11">
        <f t="shared" si="119"/>
        <v>71.592166666666657</v>
      </c>
      <c r="F1017" s="11">
        <f t="shared" si="120"/>
        <v>21.273</v>
      </c>
      <c r="G1017" s="12" t="s">
        <v>144</v>
      </c>
      <c r="H1017" s="12" t="s">
        <v>47</v>
      </c>
      <c r="I1017">
        <v>2017</v>
      </c>
      <c r="J1017" s="12" t="s">
        <v>163</v>
      </c>
      <c r="K1017" s="2">
        <v>0</v>
      </c>
      <c r="M1017" s="33">
        <v>4.4249999999999998E-2</v>
      </c>
      <c r="N1017" s="33">
        <v>3.58333333333333E-2</v>
      </c>
      <c r="Z1017" s="27" t="s">
        <v>247</v>
      </c>
      <c r="AA1017" t="s">
        <v>432</v>
      </c>
    </row>
    <row r="1018" spans="1:27" x14ac:dyDescent="0.25">
      <c r="A1018" s="12">
        <v>124</v>
      </c>
      <c r="B1018">
        <v>38</v>
      </c>
      <c r="C1018">
        <f t="shared" si="113"/>
        <v>12438</v>
      </c>
      <c r="D1018" s="3" t="s">
        <v>86</v>
      </c>
      <c r="E1018" s="11">
        <f t="shared" si="119"/>
        <v>71.592166666666657</v>
      </c>
      <c r="F1018" s="11">
        <f t="shared" si="120"/>
        <v>21.273</v>
      </c>
      <c r="G1018" s="12" t="s">
        <v>144</v>
      </c>
      <c r="H1018" s="12" t="s">
        <v>47</v>
      </c>
      <c r="I1018">
        <v>2018</v>
      </c>
      <c r="J1018" s="12" t="s">
        <v>163</v>
      </c>
      <c r="K1018" s="2">
        <v>0</v>
      </c>
      <c r="M1018" s="33">
        <v>7.3333333333333306E-2</v>
      </c>
      <c r="N1018" s="33">
        <v>4.2500000000000003E-2</v>
      </c>
      <c r="Z1018" s="27" t="s">
        <v>247</v>
      </c>
      <c r="AA1018" t="s">
        <v>432</v>
      </c>
    </row>
    <row r="1019" spans="1:27" x14ac:dyDescent="0.25">
      <c r="A1019" s="12">
        <v>124</v>
      </c>
      <c r="B1019">
        <v>38</v>
      </c>
      <c r="C1019">
        <f t="shared" si="113"/>
        <v>12438</v>
      </c>
      <c r="D1019" s="3" t="s">
        <v>86</v>
      </c>
      <c r="E1019" s="11">
        <f t="shared" si="119"/>
        <v>71.592166666666657</v>
      </c>
      <c r="F1019" s="11">
        <f t="shared" si="120"/>
        <v>21.273</v>
      </c>
      <c r="G1019" s="12" t="s">
        <v>144</v>
      </c>
      <c r="H1019" s="12" t="s">
        <v>47</v>
      </c>
      <c r="I1019">
        <v>2019</v>
      </c>
      <c r="J1019" s="12" t="s">
        <v>163</v>
      </c>
      <c r="K1019" s="2">
        <v>0</v>
      </c>
      <c r="M1019" s="33">
        <v>4.4999999999999998E-2</v>
      </c>
      <c r="N1019" s="33">
        <v>4.33333333333333E-2</v>
      </c>
      <c r="Z1019" s="27" t="s">
        <v>247</v>
      </c>
      <c r="AA1019" t="s">
        <v>432</v>
      </c>
    </row>
    <row r="1020" spans="1:27" x14ac:dyDescent="0.25">
      <c r="A1020" s="12">
        <v>124</v>
      </c>
      <c r="B1020">
        <v>38</v>
      </c>
      <c r="C1020">
        <f t="shared" si="113"/>
        <v>12438</v>
      </c>
      <c r="D1020" s="3" t="s">
        <v>86</v>
      </c>
      <c r="E1020" s="11">
        <f t="shared" si="119"/>
        <v>71.592166666666657</v>
      </c>
      <c r="F1020" s="11">
        <f t="shared" si="120"/>
        <v>21.273</v>
      </c>
      <c r="G1020" s="12" t="s">
        <v>144</v>
      </c>
      <c r="H1020" s="12" t="s">
        <v>47</v>
      </c>
      <c r="I1020">
        <v>2020</v>
      </c>
      <c r="J1020" s="12" t="s">
        <v>163</v>
      </c>
      <c r="K1020" s="2">
        <v>0</v>
      </c>
      <c r="M1020" s="33">
        <v>2.9166666666666698E-2</v>
      </c>
      <c r="N1020" s="33">
        <v>2.66666666666667E-2</v>
      </c>
      <c r="Z1020" s="27" t="s">
        <v>247</v>
      </c>
      <c r="AA1020" t="s">
        <v>432</v>
      </c>
    </row>
    <row r="1021" spans="1:27" x14ac:dyDescent="0.25">
      <c r="A1021" s="12">
        <v>124</v>
      </c>
      <c r="B1021">
        <v>39</v>
      </c>
      <c r="C1021">
        <f t="shared" si="113"/>
        <v>12439</v>
      </c>
      <c r="D1021" s="3" t="s">
        <v>86</v>
      </c>
      <c r="E1021" s="11">
        <f>61+26/60+57.61/3600</f>
        <v>61.449336111111108</v>
      </c>
      <c r="F1021" s="11">
        <f>2+8/60+39.64/3600</f>
        <v>2.1443444444444446</v>
      </c>
      <c r="G1021" s="12" t="s">
        <v>144</v>
      </c>
      <c r="H1021" s="12" t="s">
        <v>47</v>
      </c>
      <c r="I1021">
        <v>2002</v>
      </c>
      <c r="J1021" s="12" t="s">
        <v>163</v>
      </c>
      <c r="K1021" s="2">
        <v>0</v>
      </c>
      <c r="M1021" s="33">
        <v>4.2833333334999999</v>
      </c>
      <c r="N1021" s="33"/>
      <c r="Z1021" s="27" t="s">
        <v>247</v>
      </c>
      <c r="AA1021" t="s">
        <v>220</v>
      </c>
    </row>
    <row r="1022" spans="1:27" x14ac:dyDescent="0.25">
      <c r="A1022" s="12">
        <v>124</v>
      </c>
      <c r="B1022">
        <v>39</v>
      </c>
      <c r="C1022">
        <f t="shared" si="113"/>
        <v>12439</v>
      </c>
      <c r="D1022" s="3" t="s">
        <v>86</v>
      </c>
      <c r="E1022" s="11">
        <f t="shared" ref="E1022:E1040" si="121">61+26/60+57.61/3600</f>
        <v>61.449336111111108</v>
      </c>
      <c r="F1022" s="11">
        <f t="shared" ref="F1022:F1040" si="122">2+8/60+39.64/3600</f>
        <v>2.1443444444444446</v>
      </c>
      <c r="G1022" s="12" t="s">
        <v>144</v>
      </c>
      <c r="H1022" s="12" t="s">
        <v>47</v>
      </c>
      <c r="I1022">
        <v>2003</v>
      </c>
      <c r="J1022" s="12" t="s">
        <v>163</v>
      </c>
      <c r="K1022" s="2">
        <v>0</v>
      </c>
      <c r="M1022" s="33">
        <v>3.8744999999999998</v>
      </c>
      <c r="N1022" s="33"/>
      <c r="Z1022" s="27" t="s">
        <v>247</v>
      </c>
      <c r="AA1022" t="s">
        <v>220</v>
      </c>
    </row>
    <row r="1023" spans="1:27" x14ac:dyDescent="0.25">
      <c r="A1023" s="12">
        <v>124</v>
      </c>
      <c r="B1023">
        <v>39</v>
      </c>
      <c r="C1023">
        <f t="shared" si="113"/>
        <v>12439</v>
      </c>
      <c r="D1023" s="3" t="s">
        <v>86</v>
      </c>
      <c r="E1023" s="11">
        <f t="shared" si="121"/>
        <v>61.449336111111108</v>
      </c>
      <c r="F1023" s="11">
        <f t="shared" si="122"/>
        <v>2.1443444444444446</v>
      </c>
      <c r="G1023" s="12" t="s">
        <v>144</v>
      </c>
      <c r="H1023" s="12" t="s">
        <v>47</v>
      </c>
      <c r="I1023">
        <v>2004</v>
      </c>
      <c r="J1023" s="12" t="s">
        <v>163</v>
      </c>
      <c r="K1023" s="2">
        <v>0</v>
      </c>
      <c r="M1023" s="33">
        <v>3.2146831484999998</v>
      </c>
      <c r="N1023" s="33"/>
      <c r="Z1023" s="27" t="s">
        <v>247</v>
      </c>
      <c r="AA1023" t="s">
        <v>220</v>
      </c>
    </row>
    <row r="1024" spans="1:27" x14ac:dyDescent="0.25">
      <c r="A1024" s="12">
        <v>124</v>
      </c>
      <c r="B1024">
        <v>39</v>
      </c>
      <c r="C1024">
        <f t="shared" si="113"/>
        <v>12439</v>
      </c>
      <c r="D1024" s="3" t="s">
        <v>86</v>
      </c>
      <c r="E1024" s="11">
        <f t="shared" si="121"/>
        <v>61.449336111111108</v>
      </c>
      <c r="F1024" s="11">
        <f t="shared" si="122"/>
        <v>2.1443444444444446</v>
      </c>
      <c r="G1024" s="12" t="s">
        <v>144</v>
      </c>
      <c r="H1024" s="12" t="s">
        <v>47</v>
      </c>
      <c r="I1024">
        <v>2005</v>
      </c>
      <c r="J1024" s="12" t="s">
        <v>163</v>
      </c>
      <c r="K1024" s="2">
        <v>0</v>
      </c>
      <c r="M1024" s="33">
        <v>4.042083656</v>
      </c>
      <c r="N1024" s="33">
        <v>4.9673374560000001</v>
      </c>
      <c r="Z1024" s="27" t="s">
        <v>247</v>
      </c>
      <c r="AA1024" t="s">
        <v>220</v>
      </c>
    </row>
    <row r="1025" spans="1:27" x14ac:dyDescent="0.25">
      <c r="A1025" s="12">
        <v>124</v>
      </c>
      <c r="B1025">
        <v>39</v>
      </c>
      <c r="C1025">
        <f t="shared" si="113"/>
        <v>12439</v>
      </c>
      <c r="D1025" s="3" t="s">
        <v>86</v>
      </c>
      <c r="E1025" s="11">
        <f t="shared" si="121"/>
        <v>61.449336111111108</v>
      </c>
      <c r="F1025" s="11">
        <f t="shared" si="122"/>
        <v>2.1443444444444446</v>
      </c>
      <c r="G1025" s="12" t="s">
        <v>144</v>
      </c>
      <c r="H1025" s="12" t="s">
        <v>47</v>
      </c>
      <c r="I1025">
        <v>2006</v>
      </c>
      <c r="J1025" s="12" t="s">
        <v>163</v>
      </c>
      <c r="K1025" s="2">
        <v>0</v>
      </c>
      <c r="M1025" s="33">
        <v>2.6019444809999999</v>
      </c>
      <c r="N1025" s="33">
        <v>3.4936115045</v>
      </c>
      <c r="Z1025" s="27" t="s">
        <v>247</v>
      </c>
      <c r="AA1025" t="s">
        <v>220</v>
      </c>
    </row>
    <row r="1026" spans="1:27" x14ac:dyDescent="0.25">
      <c r="A1026" s="12">
        <v>124</v>
      </c>
      <c r="B1026">
        <v>39</v>
      </c>
      <c r="C1026">
        <f t="shared" si="113"/>
        <v>12439</v>
      </c>
      <c r="D1026" s="3" t="s">
        <v>86</v>
      </c>
      <c r="E1026" s="11">
        <f t="shared" si="121"/>
        <v>61.449336111111108</v>
      </c>
      <c r="F1026" s="11">
        <f t="shared" si="122"/>
        <v>2.1443444444444446</v>
      </c>
      <c r="G1026" s="12" t="s">
        <v>144</v>
      </c>
      <c r="H1026" s="12" t="s">
        <v>47</v>
      </c>
      <c r="I1026">
        <v>2007</v>
      </c>
      <c r="J1026" s="12" t="s">
        <v>163</v>
      </c>
      <c r="K1026" s="2">
        <v>0</v>
      </c>
      <c r="M1026" s="33">
        <v>3.6961599999999999</v>
      </c>
      <c r="N1026" s="33">
        <v>3.7126549999999998</v>
      </c>
      <c r="Z1026" s="27" t="s">
        <v>247</v>
      </c>
      <c r="AA1026" t="s">
        <v>220</v>
      </c>
    </row>
    <row r="1027" spans="1:27" x14ac:dyDescent="0.25">
      <c r="A1027" s="12">
        <v>124</v>
      </c>
      <c r="B1027">
        <v>39</v>
      </c>
      <c r="C1027">
        <f t="shared" ref="C1027:C1090" si="123">A1027*100+B1027</f>
        <v>12439</v>
      </c>
      <c r="D1027" s="3" t="s">
        <v>86</v>
      </c>
      <c r="E1027" s="11">
        <f t="shared" si="121"/>
        <v>61.449336111111108</v>
      </c>
      <c r="F1027" s="11">
        <f t="shared" si="122"/>
        <v>2.1443444444444446</v>
      </c>
      <c r="G1027" s="12" t="s">
        <v>144</v>
      </c>
      <c r="H1027" s="12" t="s">
        <v>47</v>
      </c>
      <c r="I1027">
        <v>2008</v>
      </c>
      <c r="J1027" s="12" t="s">
        <v>163</v>
      </c>
      <c r="K1027" s="2">
        <v>0</v>
      </c>
      <c r="M1027" s="33">
        <v>3.9645599040000001</v>
      </c>
      <c r="N1027" s="33">
        <v>4.1363012745000001</v>
      </c>
      <c r="Z1027" s="27" t="s">
        <v>247</v>
      </c>
      <c r="AA1027" t="s">
        <v>220</v>
      </c>
    </row>
    <row r="1028" spans="1:27" x14ac:dyDescent="0.25">
      <c r="A1028" s="12">
        <v>124</v>
      </c>
      <c r="B1028">
        <v>39</v>
      </c>
      <c r="C1028">
        <f t="shared" si="123"/>
        <v>12439</v>
      </c>
      <c r="D1028" s="3" t="s">
        <v>86</v>
      </c>
      <c r="E1028" s="11">
        <f t="shared" si="121"/>
        <v>61.449336111111108</v>
      </c>
      <c r="F1028" s="11">
        <f t="shared" si="122"/>
        <v>2.1443444444444446</v>
      </c>
      <c r="G1028" s="12" t="s">
        <v>144</v>
      </c>
      <c r="H1028" s="12" t="s">
        <v>47</v>
      </c>
      <c r="I1028">
        <v>2009</v>
      </c>
      <c r="J1028" s="12" t="s">
        <v>163</v>
      </c>
      <c r="K1028" s="2">
        <v>0</v>
      </c>
      <c r="M1028" s="33">
        <v>5.0588190515000004</v>
      </c>
      <c r="N1028" s="33">
        <v>4.0236326729999998</v>
      </c>
      <c r="Z1028" s="27" t="s">
        <v>247</v>
      </c>
      <c r="AA1028" t="s">
        <v>220</v>
      </c>
    </row>
    <row r="1029" spans="1:27" x14ac:dyDescent="0.25">
      <c r="A1029" s="12">
        <v>124</v>
      </c>
      <c r="B1029">
        <v>39</v>
      </c>
      <c r="C1029">
        <f t="shared" si="123"/>
        <v>12439</v>
      </c>
      <c r="D1029" s="3" t="s">
        <v>86</v>
      </c>
      <c r="E1029" s="11">
        <f t="shared" si="121"/>
        <v>61.449336111111108</v>
      </c>
      <c r="F1029" s="11">
        <f t="shared" si="122"/>
        <v>2.1443444444444446</v>
      </c>
      <c r="G1029" s="12" t="s">
        <v>144</v>
      </c>
      <c r="H1029" s="12" t="s">
        <v>47</v>
      </c>
      <c r="I1029">
        <v>2010</v>
      </c>
      <c r="J1029" s="12" t="s">
        <v>163</v>
      </c>
      <c r="K1029" s="2">
        <v>0</v>
      </c>
      <c r="M1029" s="33">
        <v>2.95844342</v>
      </c>
      <c r="N1029" s="33">
        <v>2.8522708529999998</v>
      </c>
      <c r="Z1029" s="27" t="s">
        <v>247</v>
      </c>
      <c r="AA1029" t="s">
        <v>220</v>
      </c>
    </row>
    <row r="1030" spans="1:27" x14ac:dyDescent="0.25">
      <c r="A1030" s="12">
        <v>124</v>
      </c>
      <c r="B1030">
        <v>39</v>
      </c>
      <c r="C1030">
        <f t="shared" si="123"/>
        <v>12439</v>
      </c>
      <c r="D1030" s="3" t="s">
        <v>86</v>
      </c>
      <c r="E1030" s="11">
        <f t="shared" si="121"/>
        <v>61.449336111111108</v>
      </c>
      <c r="F1030" s="11">
        <f t="shared" si="122"/>
        <v>2.1443444444444446</v>
      </c>
      <c r="G1030" s="12" t="s">
        <v>144</v>
      </c>
      <c r="H1030" s="12" t="s">
        <v>47</v>
      </c>
      <c r="I1030">
        <v>2011</v>
      </c>
      <c r="J1030" s="12" t="s">
        <v>163</v>
      </c>
      <c r="K1030" s="2">
        <v>0</v>
      </c>
      <c r="M1030" s="33">
        <v>3.9075715799999999</v>
      </c>
      <c r="N1030" s="33">
        <v>3.4951651300000002</v>
      </c>
      <c r="Z1030" s="27" t="s">
        <v>247</v>
      </c>
      <c r="AA1030" t="s">
        <v>220</v>
      </c>
    </row>
    <row r="1031" spans="1:27" x14ac:dyDescent="0.25">
      <c r="A1031" s="12">
        <v>124</v>
      </c>
      <c r="B1031">
        <v>39</v>
      </c>
      <c r="C1031">
        <f t="shared" si="123"/>
        <v>12439</v>
      </c>
      <c r="D1031" s="3" t="s">
        <v>86</v>
      </c>
      <c r="E1031" s="11">
        <f t="shared" si="121"/>
        <v>61.449336111111108</v>
      </c>
      <c r="F1031" s="11">
        <f t="shared" si="122"/>
        <v>2.1443444444444446</v>
      </c>
      <c r="G1031" s="12" t="s">
        <v>144</v>
      </c>
      <c r="H1031" s="12" t="s">
        <v>47</v>
      </c>
      <c r="I1031">
        <v>2012</v>
      </c>
      <c r="J1031" s="12" t="s">
        <v>163</v>
      </c>
      <c r="K1031" s="2">
        <v>0</v>
      </c>
      <c r="M1031" s="33">
        <v>4.6320870833333299</v>
      </c>
      <c r="N1031" s="33">
        <v>3.6548804545454501</v>
      </c>
      <c r="Z1031" s="27" t="s">
        <v>247</v>
      </c>
      <c r="AA1031" t="s">
        <v>220</v>
      </c>
    </row>
    <row r="1032" spans="1:27" x14ac:dyDescent="0.25">
      <c r="A1032" s="12">
        <v>124</v>
      </c>
      <c r="B1032">
        <v>39</v>
      </c>
      <c r="C1032">
        <f t="shared" si="123"/>
        <v>12439</v>
      </c>
      <c r="D1032" s="3" t="s">
        <v>86</v>
      </c>
      <c r="E1032" s="11">
        <f t="shared" si="121"/>
        <v>61.449336111111108</v>
      </c>
      <c r="F1032" s="11">
        <f t="shared" si="122"/>
        <v>2.1443444444444446</v>
      </c>
      <c r="G1032" s="12" t="s">
        <v>144</v>
      </c>
      <c r="H1032" s="12" t="s">
        <v>47</v>
      </c>
      <c r="I1032">
        <v>2013</v>
      </c>
      <c r="J1032" s="12" t="s">
        <v>163</v>
      </c>
      <c r="K1032" s="2">
        <v>0</v>
      </c>
      <c r="M1032" s="33">
        <v>3.82418082732188</v>
      </c>
      <c r="N1032" s="33">
        <v>3.2863127486898298</v>
      </c>
      <c r="Z1032" s="27" t="s">
        <v>247</v>
      </c>
      <c r="AA1032" t="s">
        <v>220</v>
      </c>
    </row>
    <row r="1033" spans="1:27" x14ac:dyDescent="0.25">
      <c r="A1033" s="12">
        <v>124</v>
      </c>
      <c r="B1033">
        <v>39</v>
      </c>
      <c r="C1033">
        <f t="shared" si="123"/>
        <v>12439</v>
      </c>
      <c r="D1033" s="3" t="s">
        <v>86</v>
      </c>
      <c r="E1033" s="11">
        <f t="shared" si="121"/>
        <v>61.449336111111108</v>
      </c>
      <c r="F1033" s="11">
        <f t="shared" si="122"/>
        <v>2.1443444444444446</v>
      </c>
      <c r="G1033" s="12" t="s">
        <v>144</v>
      </c>
      <c r="H1033" s="12" t="s">
        <v>47</v>
      </c>
      <c r="I1033">
        <v>2014</v>
      </c>
      <c r="J1033" s="12" t="s">
        <v>163</v>
      </c>
      <c r="K1033" s="2">
        <v>0</v>
      </c>
      <c r="M1033" s="33">
        <v>3.4543653799084599</v>
      </c>
      <c r="N1033" s="33">
        <v>3.00462015135109</v>
      </c>
      <c r="Z1033" s="27" t="s">
        <v>247</v>
      </c>
      <c r="AA1033" t="s">
        <v>220</v>
      </c>
    </row>
    <row r="1034" spans="1:27" x14ac:dyDescent="0.25">
      <c r="A1034" s="12">
        <v>124</v>
      </c>
      <c r="B1034">
        <v>39</v>
      </c>
      <c r="C1034">
        <f t="shared" si="123"/>
        <v>12439</v>
      </c>
      <c r="D1034" s="3" t="s">
        <v>86</v>
      </c>
      <c r="E1034" s="11">
        <f t="shared" si="121"/>
        <v>61.449336111111108</v>
      </c>
      <c r="F1034" s="11">
        <f t="shared" si="122"/>
        <v>2.1443444444444446</v>
      </c>
      <c r="G1034" s="12" t="s">
        <v>144</v>
      </c>
      <c r="H1034" s="12" t="s">
        <v>47</v>
      </c>
      <c r="I1034">
        <v>2015</v>
      </c>
      <c r="J1034" s="12" t="s">
        <v>163</v>
      </c>
      <c r="K1034" s="2">
        <v>0</v>
      </c>
      <c r="M1034" s="33">
        <v>3.01232445423202</v>
      </c>
      <c r="N1034" s="33">
        <v>2.8831097469631</v>
      </c>
      <c r="Z1034" s="27" t="s">
        <v>247</v>
      </c>
      <c r="AA1034" t="s">
        <v>220</v>
      </c>
    </row>
    <row r="1035" spans="1:27" x14ac:dyDescent="0.25">
      <c r="A1035" s="12">
        <v>124</v>
      </c>
      <c r="B1035">
        <v>39</v>
      </c>
      <c r="C1035">
        <f t="shared" si="123"/>
        <v>12439</v>
      </c>
      <c r="D1035" s="3" t="s">
        <v>86</v>
      </c>
      <c r="E1035" s="11">
        <f t="shared" si="121"/>
        <v>61.449336111111108</v>
      </c>
      <c r="F1035" s="11">
        <f t="shared" si="122"/>
        <v>2.1443444444444446</v>
      </c>
      <c r="G1035" s="12" t="s">
        <v>144</v>
      </c>
      <c r="H1035" s="12" t="s">
        <v>47</v>
      </c>
      <c r="I1035">
        <v>2016</v>
      </c>
      <c r="J1035" s="12" t="s">
        <v>163</v>
      </c>
      <c r="K1035" s="2">
        <v>0</v>
      </c>
      <c r="M1035" s="33">
        <v>2.0977270198578202</v>
      </c>
      <c r="N1035" s="33">
        <v>2.1000521210310801</v>
      </c>
      <c r="Z1035" s="27" t="s">
        <v>247</v>
      </c>
      <c r="AA1035" t="s">
        <v>220</v>
      </c>
    </row>
    <row r="1036" spans="1:27" x14ac:dyDescent="0.25">
      <c r="A1036" s="12">
        <v>124</v>
      </c>
      <c r="B1036">
        <v>39</v>
      </c>
      <c r="C1036">
        <f t="shared" si="123"/>
        <v>12439</v>
      </c>
      <c r="D1036" s="3" t="s">
        <v>86</v>
      </c>
      <c r="E1036" s="11">
        <f t="shared" si="121"/>
        <v>61.449336111111108</v>
      </c>
      <c r="F1036" s="11">
        <f t="shared" si="122"/>
        <v>2.1443444444444446</v>
      </c>
      <c r="G1036" s="12" t="s">
        <v>144</v>
      </c>
      <c r="H1036" s="12" t="s">
        <v>47</v>
      </c>
      <c r="I1036">
        <v>2017</v>
      </c>
      <c r="J1036" s="12" t="s">
        <v>163</v>
      </c>
      <c r="K1036" s="2">
        <v>0</v>
      </c>
      <c r="M1036" s="33">
        <v>1.75092348964651</v>
      </c>
      <c r="N1036" s="33">
        <v>1.8384483190149701</v>
      </c>
      <c r="Z1036" s="27" t="s">
        <v>247</v>
      </c>
      <c r="AA1036" t="s">
        <v>220</v>
      </c>
    </row>
    <row r="1037" spans="1:27" x14ac:dyDescent="0.25">
      <c r="A1037" s="12">
        <v>124</v>
      </c>
      <c r="B1037">
        <v>39</v>
      </c>
      <c r="C1037">
        <f t="shared" si="123"/>
        <v>12439</v>
      </c>
      <c r="D1037" s="3" t="s">
        <v>86</v>
      </c>
      <c r="E1037" s="11">
        <f t="shared" si="121"/>
        <v>61.449336111111108</v>
      </c>
      <c r="F1037" s="11">
        <f t="shared" si="122"/>
        <v>2.1443444444444446</v>
      </c>
      <c r="G1037" s="12" t="s">
        <v>144</v>
      </c>
      <c r="H1037" s="12" t="s">
        <v>47</v>
      </c>
      <c r="I1037">
        <v>2018</v>
      </c>
      <c r="J1037" s="12" t="s">
        <v>163</v>
      </c>
      <c r="K1037" s="2">
        <v>0</v>
      </c>
      <c r="M1037" s="33">
        <v>1.48777995442232</v>
      </c>
      <c r="N1037" s="33">
        <v>1.73674557229455</v>
      </c>
      <c r="Z1037" s="27" t="s">
        <v>247</v>
      </c>
      <c r="AA1037" t="s">
        <v>220</v>
      </c>
    </row>
    <row r="1038" spans="1:27" x14ac:dyDescent="0.25">
      <c r="A1038" s="12">
        <v>124</v>
      </c>
      <c r="B1038">
        <v>39</v>
      </c>
      <c r="C1038">
        <f t="shared" si="123"/>
        <v>12439</v>
      </c>
      <c r="D1038" s="3" t="s">
        <v>86</v>
      </c>
      <c r="E1038" s="11">
        <f t="shared" si="121"/>
        <v>61.449336111111108</v>
      </c>
      <c r="F1038" s="11">
        <f t="shared" si="122"/>
        <v>2.1443444444444446</v>
      </c>
      <c r="G1038" s="12" t="s">
        <v>144</v>
      </c>
      <c r="H1038" s="12" t="s">
        <v>47</v>
      </c>
      <c r="I1038">
        <v>2019</v>
      </c>
      <c r="J1038" s="12" t="s">
        <v>163</v>
      </c>
      <c r="K1038" s="2">
        <v>0</v>
      </c>
      <c r="M1038" s="33">
        <v>1.27318181818182</v>
      </c>
      <c r="N1038" s="33">
        <v>1.51444444444444</v>
      </c>
      <c r="Z1038" s="27" t="s">
        <v>247</v>
      </c>
      <c r="AA1038" t="s">
        <v>220</v>
      </c>
    </row>
    <row r="1039" spans="1:27" x14ac:dyDescent="0.25">
      <c r="A1039" s="12">
        <v>124</v>
      </c>
      <c r="B1039">
        <v>39</v>
      </c>
      <c r="C1039">
        <f t="shared" si="123"/>
        <v>12439</v>
      </c>
      <c r="D1039" s="3" t="s">
        <v>86</v>
      </c>
      <c r="E1039" s="11">
        <f t="shared" si="121"/>
        <v>61.449336111111108</v>
      </c>
      <c r="F1039" s="11">
        <f t="shared" si="122"/>
        <v>2.1443444444444446</v>
      </c>
      <c r="G1039" s="12" t="s">
        <v>144</v>
      </c>
      <c r="H1039" s="12" t="s">
        <v>47</v>
      </c>
      <c r="I1039">
        <v>2020</v>
      </c>
      <c r="J1039" s="12" t="s">
        <v>163</v>
      </c>
      <c r="K1039" s="2">
        <v>0</v>
      </c>
      <c r="M1039" s="33">
        <v>2.1755833333333299</v>
      </c>
      <c r="N1039" s="33">
        <v>2.5390000000000001</v>
      </c>
      <c r="Z1039" s="27" t="s">
        <v>247</v>
      </c>
      <c r="AA1039" t="s">
        <v>220</v>
      </c>
    </row>
    <row r="1040" spans="1:27" x14ac:dyDescent="0.25">
      <c r="A1040" s="12">
        <v>124</v>
      </c>
      <c r="B1040">
        <v>39</v>
      </c>
      <c r="C1040">
        <f t="shared" si="123"/>
        <v>12439</v>
      </c>
      <c r="D1040" s="3" t="s">
        <v>86</v>
      </c>
      <c r="E1040" s="11">
        <f t="shared" si="121"/>
        <v>61.449336111111108</v>
      </c>
      <c r="F1040" s="11">
        <f t="shared" si="122"/>
        <v>2.1443444444444446</v>
      </c>
      <c r="G1040" s="12" t="s">
        <v>144</v>
      </c>
      <c r="H1040" s="12" t="s">
        <v>47</v>
      </c>
      <c r="I1040">
        <v>2021</v>
      </c>
      <c r="J1040" s="12" t="s">
        <v>163</v>
      </c>
      <c r="K1040" s="2">
        <v>0</v>
      </c>
      <c r="M1040" s="33">
        <v>2.3835833333333301</v>
      </c>
      <c r="N1040" s="33">
        <v>2.7240833333333301</v>
      </c>
      <c r="Z1040" s="27" t="s">
        <v>247</v>
      </c>
      <c r="AA1040" t="s">
        <v>220</v>
      </c>
    </row>
    <row r="1041" spans="1:27" x14ac:dyDescent="0.25">
      <c r="A1041" s="12">
        <v>124</v>
      </c>
      <c r="B1041">
        <v>40</v>
      </c>
      <c r="C1041">
        <f t="shared" si="123"/>
        <v>12440</v>
      </c>
      <c r="D1041" s="3" t="s">
        <v>86</v>
      </c>
      <c r="E1041" s="11">
        <f>61+15/60+20.46/3600</f>
        <v>61.25568333333333</v>
      </c>
      <c r="F1041" s="11">
        <f>1+51/60+13.95/3600</f>
        <v>1.8538750000000002</v>
      </c>
      <c r="G1041" s="12" t="s">
        <v>144</v>
      </c>
      <c r="H1041" s="12" t="s">
        <v>47</v>
      </c>
      <c r="I1041">
        <v>2003</v>
      </c>
      <c r="J1041" s="12" t="s">
        <v>163</v>
      </c>
      <c r="K1041" s="2">
        <v>0</v>
      </c>
      <c r="M1041" s="33">
        <v>0.671333333333333</v>
      </c>
      <c r="N1041" s="33"/>
      <c r="Z1041" s="27" t="s">
        <v>247</v>
      </c>
      <c r="AA1041" t="s">
        <v>230</v>
      </c>
    </row>
    <row r="1042" spans="1:27" x14ac:dyDescent="0.25">
      <c r="A1042" s="12">
        <v>124</v>
      </c>
      <c r="B1042">
        <v>40</v>
      </c>
      <c r="C1042">
        <f t="shared" si="123"/>
        <v>12440</v>
      </c>
      <c r="D1042" s="3" t="s">
        <v>86</v>
      </c>
      <c r="E1042" s="11">
        <f t="shared" ref="E1042:E1059" si="124">61+15/60+20.46/3600</f>
        <v>61.25568333333333</v>
      </c>
      <c r="F1042" s="11">
        <f t="shared" ref="F1042:F1059" si="125">1+51/60+13.95/3600</f>
        <v>1.8538750000000002</v>
      </c>
      <c r="G1042" s="12" t="s">
        <v>144</v>
      </c>
      <c r="H1042" s="12" t="s">
        <v>47</v>
      </c>
      <c r="I1042">
        <v>2004</v>
      </c>
      <c r="J1042" s="12" t="s">
        <v>163</v>
      </c>
      <c r="K1042" s="2">
        <v>0</v>
      </c>
      <c r="M1042" s="33">
        <v>0.69254526650000003</v>
      </c>
      <c r="N1042" s="33"/>
      <c r="Z1042" s="27" t="s">
        <v>247</v>
      </c>
      <c r="AA1042" t="s">
        <v>230</v>
      </c>
    </row>
    <row r="1043" spans="1:27" x14ac:dyDescent="0.25">
      <c r="A1043" s="12">
        <v>124</v>
      </c>
      <c r="B1043">
        <v>40</v>
      </c>
      <c r="C1043">
        <f t="shared" si="123"/>
        <v>12440</v>
      </c>
      <c r="D1043" s="3" t="s">
        <v>86</v>
      </c>
      <c r="E1043" s="11">
        <f t="shared" si="124"/>
        <v>61.25568333333333</v>
      </c>
      <c r="F1043" s="11">
        <f t="shared" si="125"/>
        <v>1.8538750000000002</v>
      </c>
      <c r="G1043" s="12" t="s">
        <v>144</v>
      </c>
      <c r="H1043" s="12" t="s">
        <v>47</v>
      </c>
      <c r="I1043">
        <v>2005</v>
      </c>
      <c r="J1043" s="12" t="s">
        <v>163</v>
      </c>
      <c r="K1043" s="2">
        <v>0</v>
      </c>
      <c r="M1043" s="33">
        <v>0.77145022433333299</v>
      </c>
      <c r="N1043" s="33">
        <v>0.70343821133333295</v>
      </c>
      <c r="Z1043" s="27" t="s">
        <v>247</v>
      </c>
      <c r="AA1043" t="s">
        <v>230</v>
      </c>
    </row>
    <row r="1044" spans="1:27" x14ac:dyDescent="0.25">
      <c r="A1044" s="12">
        <v>124</v>
      </c>
      <c r="B1044">
        <v>40</v>
      </c>
      <c r="C1044">
        <f t="shared" si="123"/>
        <v>12440</v>
      </c>
      <c r="D1044" s="3" t="s">
        <v>86</v>
      </c>
      <c r="E1044" s="11">
        <f t="shared" si="124"/>
        <v>61.25568333333333</v>
      </c>
      <c r="F1044" s="11">
        <f t="shared" si="125"/>
        <v>1.8538750000000002</v>
      </c>
      <c r="G1044" s="12" t="s">
        <v>144</v>
      </c>
      <c r="H1044" s="12" t="s">
        <v>47</v>
      </c>
      <c r="I1044">
        <v>2006</v>
      </c>
      <c r="J1044" s="12" t="s">
        <v>163</v>
      </c>
      <c r="K1044" s="2">
        <v>0</v>
      </c>
      <c r="M1044" s="33">
        <v>0.894932796333333</v>
      </c>
      <c r="N1044" s="33">
        <v>0.61695026933333297</v>
      </c>
      <c r="Z1044" s="27" t="s">
        <v>247</v>
      </c>
      <c r="AA1044" t="s">
        <v>230</v>
      </c>
    </row>
    <row r="1045" spans="1:27" x14ac:dyDescent="0.25">
      <c r="A1045" s="12">
        <v>124</v>
      </c>
      <c r="B1045">
        <v>40</v>
      </c>
      <c r="C1045">
        <f t="shared" si="123"/>
        <v>12440</v>
      </c>
      <c r="D1045" s="3" t="s">
        <v>86</v>
      </c>
      <c r="E1045" s="11">
        <f t="shared" si="124"/>
        <v>61.25568333333333</v>
      </c>
      <c r="F1045" s="11">
        <f t="shared" si="125"/>
        <v>1.8538750000000002</v>
      </c>
      <c r="G1045" s="12" t="s">
        <v>144</v>
      </c>
      <c r="H1045" s="12" t="s">
        <v>47</v>
      </c>
      <c r="I1045">
        <v>2007</v>
      </c>
      <c r="J1045" s="12" t="s">
        <v>163</v>
      </c>
      <c r="K1045" s="2">
        <v>0</v>
      </c>
      <c r="M1045" s="33">
        <v>0.74830333333333299</v>
      </c>
      <c r="N1045" s="33">
        <v>0.34253333333333302</v>
      </c>
      <c r="Z1045" s="27" t="s">
        <v>247</v>
      </c>
      <c r="AA1045" t="s">
        <v>230</v>
      </c>
    </row>
    <row r="1046" spans="1:27" x14ac:dyDescent="0.25">
      <c r="A1046" s="12">
        <v>124</v>
      </c>
      <c r="B1046">
        <v>40</v>
      </c>
      <c r="C1046">
        <f t="shared" si="123"/>
        <v>12440</v>
      </c>
      <c r="D1046" s="3" t="s">
        <v>86</v>
      </c>
      <c r="E1046" s="11">
        <f t="shared" si="124"/>
        <v>61.25568333333333</v>
      </c>
      <c r="F1046" s="11">
        <f t="shared" si="125"/>
        <v>1.8538750000000002</v>
      </c>
      <c r="G1046" s="12" t="s">
        <v>144</v>
      </c>
      <c r="H1046" s="12" t="s">
        <v>47</v>
      </c>
      <c r="I1046">
        <v>2008</v>
      </c>
      <c r="J1046" s="12" t="s">
        <v>163</v>
      </c>
      <c r="K1046" s="2">
        <v>0</v>
      </c>
      <c r="M1046" s="33">
        <v>0.48694584666666701</v>
      </c>
      <c r="N1046" s="33">
        <v>0.40501730833333299</v>
      </c>
      <c r="Z1046" s="27" t="s">
        <v>247</v>
      </c>
      <c r="AA1046" t="s">
        <v>230</v>
      </c>
    </row>
    <row r="1047" spans="1:27" x14ac:dyDescent="0.25">
      <c r="A1047" s="12">
        <v>124</v>
      </c>
      <c r="B1047">
        <v>40</v>
      </c>
      <c r="C1047">
        <f t="shared" si="123"/>
        <v>12440</v>
      </c>
      <c r="D1047" s="3" t="s">
        <v>86</v>
      </c>
      <c r="E1047" s="11">
        <f t="shared" si="124"/>
        <v>61.25568333333333</v>
      </c>
      <c r="F1047" s="11">
        <f t="shared" si="125"/>
        <v>1.8538750000000002</v>
      </c>
      <c r="G1047" s="12" t="s">
        <v>144</v>
      </c>
      <c r="H1047" s="12" t="s">
        <v>47</v>
      </c>
      <c r="I1047">
        <v>2009</v>
      </c>
      <c r="J1047" s="12" t="s">
        <v>163</v>
      </c>
      <c r="K1047" s="2">
        <v>0</v>
      </c>
      <c r="M1047" s="33">
        <v>0.56082965533333295</v>
      </c>
      <c r="N1047" s="33">
        <v>0.47219698533333299</v>
      </c>
      <c r="Z1047" s="27" t="s">
        <v>247</v>
      </c>
      <c r="AA1047" t="s">
        <v>230</v>
      </c>
    </row>
    <row r="1048" spans="1:27" x14ac:dyDescent="0.25">
      <c r="A1048" s="12">
        <v>124</v>
      </c>
      <c r="B1048">
        <v>40</v>
      </c>
      <c r="C1048">
        <f t="shared" si="123"/>
        <v>12440</v>
      </c>
      <c r="D1048" s="3" t="s">
        <v>86</v>
      </c>
      <c r="E1048" s="11">
        <f t="shared" si="124"/>
        <v>61.25568333333333</v>
      </c>
      <c r="F1048" s="11">
        <f t="shared" si="125"/>
        <v>1.8538750000000002</v>
      </c>
      <c r="G1048" s="12" t="s">
        <v>144</v>
      </c>
      <c r="H1048" s="12" t="s">
        <v>47</v>
      </c>
      <c r="I1048">
        <v>2010</v>
      </c>
      <c r="J1048" s="12" t="s">
        <v>163</v>
      </c>
      <c r="K1048" s="2">
        <v>0</v>
      </c>
      <c r="M1048" s="33">
        <v>0.58241999600000005</v>
      </c>
      <c r="N1048" s="33">
        <v>0.47123885866666698</v>
      </c>
      <c r="Z1048" s="27" t="s">
        <v>247</v>
      </c>
      <c r="AA1048" t="s">
        <v>230</v>
      </c>
    </row>
    <row r="1049" spans="1:27" x14ac:dyDescent="0.25">
      <c r="A1049" s="12">
        <v>124</v>
      </c>
      <c r="B1049">
        <v>40</v>
      </c>
      <c r="C1049">
        <f t="shared" si="123"/>
        <v>12440</v>
      </c>
      <c r="D1049" s="3" t="s">
        <v>86</v>
      </c>
      <c r="E1049" s="11">
        <f t="shared" si="124"/>
        <v>61.25568333333333</v>
      </c>
      <c r="F1049" s="11">
        <f t="shared" si="125"/>
        <v>1.8538750000000002</v>
      </c>
      <c r="G1049" s="12" t="s">
        <v>144</v>
      </c>
      <c r="H1049" s="12" t="s">
        <v>47</v>
      </c>
      <c r="I1049">
        <v>2011</v>
      </c>
      <c r="J1049" s="12" t="s">
        <v>163</v>
      </c>
      <c r="K1049" s="2">
        <v>0</v>
      </c>
      <c r="M1049" s="33">
        <v>0.82787283866666705</v>
      </c>
      <c r="N1049" s="33">
        <v>0.65441147700000002</v>
      </c>
      <c r="Z1049" s="27" t="s">
        <v>247</v>
      </c>
      <c r="AA1049" t="s">
        <v>230</v>
      </c>
    </row>
    <row r="1050" spans="1:27" x14ac:dyDescent="0.25">
      <c r="A1050" s="12">
        <v>124</v>
      </c>
      <c r="B1050">
        <v>40</v>
      </c>
      <c r="C1050">
        <f t="shared" si="123"/>
        <v>12440</v>
      </c>
      <c r="D1050" s="3" t="s">
        <v>86</v>
      </c>
      <c r="E1050" s="11">
        <f t="shared" si="124"/>
        <v>61.25568333333333</v>
      </c>
      <c r="F1050" s="11">
        <f t="shared" si="125"/>
        <v>1.8538750000000002</v>
      </c>
      <c r="G1050" s="12" t="s">
        <v>144</v>
      </c>
      <c r="H1050" s="12" t="s">
        <v>47</v>
      </c>
      <c r="I1050">
        <v>2012</v>
      </c>
      <c r="J1050" s="12" t="s">
        <v>163</v>
      </c>
      <c r="K1050" s="2">
        <v>0</v>
      </c>
      <c r="M1050" s="33">
        <v>0.5851864</v>
      </c>
      <c r="N1050" s="33">
        <v>0.74887000000000004</v>
      </c>
      <c r="Z1050" s="27" t="s">
        <v>247</v>
      </c>
      <c r="AA1050" t="s">
        <v>230</v>
      </c>
    </row>
    <row r="1051" spans="1:27" x14ac:dyDescent="0.25">
      <c r="A1051" s="12">
        <v>124</v>
      </c>
      <c r="B1051">
        <v>40</v>
      </c>
      <c r="C1051">
        <f t="shared" si="123"/>
        <v>12440</v>
      </c>
      <c r="D1051" s="3" t="s">
        <v>86</v>
      </c>
      <c r="E1051" s="11">
        <f t="shared" si="124"/>
        <v>61.25568333333333</v>
      </c>
      <c r="F1051" s="11">
        <f t="shared" si="125"/>
        <v>1.8538750000000002</v>
      </c>
      <c r="G1051" s="12" t="s">
        <v>144</v>
      </c>
      <c r="H1051" s="12" t="s">
        <v>47</v>
      </c>
      <c r="I1051">
        <v>2013</v>
      </c>
      <c r="J1051" s="12" t="s">
        <v>163</v>
      </c>
      <c r="K1051" s="2">
        <v>0</v>
      </c>
      <c r="M1051" s="33">
        <v>0.52984648810299995</v>
      </c>
      <c r="N1051" s="33">
        <v>0.56584605666568799</v>
      </c>
      <c r="Z1051" s="27" t="s">
        <v>247</v>
      </c>
      <c r="AA1051" t="s">
        <v>230</v>
      </c>
    </row>
    <row r="1052" spans="1:27" x14ac:dyDescent="0.25">
      <c r="A1052" s="12">
        <v>124</v>
      </c>
      <c r="B1052">
        <v>40</v>
      </c>
      <c r="C1052">
        <f t="shared" si="123"/>
        <v>12440</v>
      </c>
      <c r="D1052" s="3" t="s">
        <v>86</v>
      </c>
      <c r="E1052" s="11">
        <f t="shared" si="124"/>
        <v>61.25568333333333</v>
      </c>
      <c r="F1052" s="11">
        <f t="shared" si="125"/>
        <v>1.8538750000000002</v>
      </c>
      <c r="G1052" s="12" t="s">
        <v>144</v>
      </c>
      <c r="H1052" s="12" t="s">
        <v>47</v>
      </c>
      <c r="I1052">
        <v>2014</v>
      </c>
      <c r="J1052" s="12" t="s">
        <v>163</v>
      </c>
      <c r="K1052" s="2">
        <v>0</v>
      </c>
      <c r="M1052" s="33">
        <v>0.35066450223450002</v>
      </c>
      <c r="N1052" s="33">
        <v>0.42920056121667699</v>
      </c>
      <c r="Z1052" s="27" t="s">
        <v>247</v>
      </c>
      <c r="AA1052" t="s">
        <v>230</v>
      </c>
    </row>
    <row r="1053" spans="1:27" x14ac:dyDescent="0.25">
      <c r="A1053" s="12">
        <v>124</v>
      </c>
      <c r="B1053">
        <v>40</v>
      </c>
      <c r="C1053">
        <f t="shared" si="123"/>
        <v>12440</v>
      </c>
      <c r="D1053" s="3" t="s">
        <v>86</v>
      </c>
      <c r="E1053" s="11">
        <f t="shared" si="124"/>
        <v>61.25568333333333</v>
      </c>
      <c r="F1053" s="11">
        <f t="shared" si="125"/>
        <v>1.8538750000000002</v>
      </c>
      <c r="G1053" s="12" t="s">
        <v>144</v>
      </c>
      <c r="H1053" s="12" t="s">
        <v>47</v>
      </c>
      <c r="I1053">
        <v>2015</v>
      </c>
      <c r="J1053" s="12" t="s">
        <v>163</v>
      </c>
      <c r="K1053" s="2">
        <v>0</v>
      </c>
      <c r="M1053" s="33">
        <v>0.35756097560975603</v>
      </c>
      <c r="N1053" s="33">
        <v>0.43569767441860502</v>
      </c>
      <c r="Z1053" s="27" t="s">
        <v>247</v>
      </c>
      <c r="AA1053" t="s">
        <v>230</v>
      </c>
    </row>
    <row r="1054" spans="1:27" x14ac:dyDescent="0.25">
      <c r="A1054" s="12">
        <v>124</v>
      </c>
      <c r="B1054">
        <v>40</v>
      </c>
      <c r="C1054">
        <f t="shared" si="123"/>
        <v>12440</v>
      </c>
      <c r="D1054" s="3" t="s">
        <v>86</v>
      </c>
      <c r="E1054" s="11">
        <f t="shared" si="124"/>
        <v>61.25568333333333</v>
      </c>
      <c r="F1054" s="11">
        <f t="shared" si="125"/>
        <v>1.8538750000000002</v>
      </c>
      <c r="G1054" s="12" t="s">
        <v>144</v>
      </c>
      <c r="H1054" s="12" t="s">
        <v>47</v>
      </c>
      <c r="I1054">
        <v>2016</v>
      </c>
      <c r="J1054" s="12" t="s">
        <v>163</v>
      </c>
      <c r="K1054" s="2">
        <v>0</v>
      </c>
      <c r="M1054" s="33">
        <v>0.4730625</v>
      </c>
      <c r="N1054" s="33">
        <v>0.63468749999999996</v>
      </c>
      <c r="Z1054" s="27" t="s">
        <v>247</v>
      </c>
      <c r="AA1054" t="s">
        <v>230</v>
      </c>
    </row>
    <row r="1055" spans="1:27" x14ac:dyDescent="0.25">
      <c r="A1055" s="12">
        <v>124</v>
      </c>
      <c r="B1055">
        <v>40</v>
      </c>
      <c r="C1055">
        <f t="shared" si="123"/>
        <v>12440</v>
      </c>
      <c r="D1055" s="3" t="s">
        <v>86</v>
      </c>
      <c r="E1055" s="11">
        <f t="shared" si="124"/>
        <v>61.25568333333333</v>
      </c>
      <c r="F1055" s="11">
        <f t="shared" si="125"/>
        <v>1.8538750000000002</v>
      </c>
      <c r="G1055" s="12" t="s">
        <v>144</v>
      </c>
      <c r="H1055" s="12" t="s">
        <v>47</v>
      </c>
      <c r="I1055">
        <v>2017</v>
      </c>
      <c r="J1055" s="12" t="s">
        <v>163</v>
      </c>
      <c r="K1055" s="2">
        <v>0</v>
      </c>
      <c r="M1055" s="33">
        <v>0.55300000000000005</v>
      </c>
      <c r="N1055" s="33">
        <v>0.71546666666666703</v>
      </c>
      <c r="Z1055" s="27" t="s">
        <v>247</v>
      </c>
      <c r="AA1055" t="s">
        <v>230</v>
      </c>
    </row>
    <row r="1056" spans="1:27" x14ac:dyDescent="0.25">
      <c r="A1056" s="12">
        <v>124</v>
      </c>
      <c r="B1056">
        <v>40</v>
      </c>
      <c r="C1056">
        <f t="shared" si="123"/>
        <v>12440</v>
      </c>
      <c r="D1056" s="3" t="s">
        <v>86</v>
      </c>
      <c r="E1056" s="11">
        <f t="shared" si="124"/>
        <v>61.25568333333333</v>
      </c>
      <c r="F1056" s="11">
        <f t="shared" si="125"/>
        <v>1.8538750000000002</v>
      </c>
      <c r="G1056" s="12" t="s">
        <v>144</v>
      </c>
      <c r="H1056" s="12" t="s">
        <v>47</v>
      </c>
      <c r="I1056">
        <v>2018</v>
      </c>
      <c r="J1056" s="12" t="s">
        <v>163</v>
      </c>
      <c r="K1056" s="2">
        <v>0</v>
      </c>
      <c r="M1056" s="33">
        <v>0.520625</v>
      </c>
      <c r="N1056" s="33">
        <v>0.70293333333333297</v>
      </c>
      <c r="Z1056" s="27" t="s">
        <v>247</v>
      </c>
      <c r="AA1056" t="s">
        <v>230</v>
      </c>
    </row>
    <row r="1057" spans="1:27" x14ac:dyDescent="0.25">
      <c r="A1057" s="12">
        <v>124</v>
      </c>
      <c r="B1057">
        <v>40</v>
      </c>
      <c r="C1057">
        <f t="shared" si="123"/>
        <v>12440</v>
      </c>
      <c r="D1057" s="3" t="s">
        <v>86</v>
      </c>
      <c r="E1057" s="11">
        <f t="shared" si="124"/>
        <v>61.25568333333333</v>
      </c>
      <c r="F1057" s="11">
        <f t="shared" si="125"/>
        <v>1.8538750000000002</v>
      </c>
      <c r="G1057" s="12" t="s">
        <v>144</v>
      </c>
      <c r="H1057" s="12" t="s">
        <v>47</v>
      </c>
      <c r="I1057">
        <v>2019</v>
      </c>
      <c r="J1057" s="12" t="s">
        <v>163</v>
      </c>
      <c r="K1057" s="2">
        <v>0</v>
      </c>
      <c r="M1057" s="33">
        <v>0.54249999999999998</v>
      </c>
      <c r="N1057" s="33">
        <v>0.71199999999999997</v>
      </c>
      <c r="Z1057" s="27" t="s">
        <v>247</v>
      </c>
      <c r="AA1057" t="s">
        <v>230</v>
      </c>
    </row>
    <row r="1058" spans="1:27" x14ac:dyDescent="0.25">
      <c r="A1058" s="12">
        <v>124</v>
      </c>
      <c r="B1058">
        <v>40</v>
      </c>
      <c r="C1058">
        <f t="shared" si="123"/>
        <v>12440</v>
      </c>
      <c r="D1058" s="3" t="s">
        <v>86</v>
      </c>
      <c r="E1058" s="11">
        <f t="shared" si="124"/>
        <v>61.25568333333333</v>
      </c>
      <c r="F1058" s="11">
        <f t="shared" si="125"/>
        <v>1.8538750000000002</v>
      </c>
      <c r="G1058" s="12" t="s">
        <v>144</v>
      </c>
      <c r="H1058" s="12" t="s">
        <v>47</v>
      </c>
      <c r="I1058">
        <v>2020</v>
      </c>
      <c r="J1058" s="12" t="s">
        <v>163</v>
      </c>
      <c r="K1058" s="2">
        <v>0</v>
      </c>
      <c r="M1058" s="33">
        <v>0.51312500000000005</v>
      </c>
      <c r="N1058" s="33">
        <v>0.73531250000000004</v>
      </c>
      <c r="Z1058" s="27" t="s">
        <v>247</v>
      </c>
      <c r="AA1058" t="s">
        <v>230</v>
      </c>
    </row>
    <row r="1059" spans="1:27" x14ac:dyDescent="0.25">
      <c r="A1059" s="12">
        <v>124</v>
      </c>
      <c r="B1059">
        <v>40</v>
      </c>
      <c r="C1059">
        <f t="shared" si="123"/>
        <v>12440</v>
      </c>
      <c r="D1059" s="3" t="s">
        <v>86</v>
      </c>
      <c r="E1059" s="11">
        <f t="shared" si="124"/>
        <v>61.25568333333333</v>
      </c>
      <c r="F1059" s="11">
        <f t="shared" si="125"/>
        <v>1.8538750000000002</v>
      </c>
      <c r="G1059" s="12" t="s">
        <v>144</v>
      </c>
      <c r="H1059" s="12" t="s">
        <v>47</v>
      </c>
      <c r="I1059">
        <v>2021</v>
      </c>
      <c r="J1059" s="12" t="s">
        <v>163</v>
      </c>
      <c r="K1059" s="2">
        <v>0</v>
      </c>
      <c r="M1059" s="33">
        <v>0.62162499999999998</v>
      </c>
      <c r="N1059" s="33">
        <v>0.94793749999999999</v>
      </c>
      <c r="Z1059" s="27" t="s">
        <v>247</v>
      </c>
      <c r="AA1059" t="s">
        <v>230</v>
      </c>
    </row>
    <row r="1060" spans="1:27" x14ac:dyDescent="0.25">
      <c r="A1060" s="12">
        <v>124</v>
      </c>
      <c r="B1060">
        <v>41</v>
      </c>
      <c r="C1060">
        <f t="shared" si="123"/>
        <v>12441</v>
      </c>
      <c r="D1060" s="3" t="s">
        <v>86</v>
      </c>
      <c r="E1060" s="11">
        <f>56+38/60+31.46/3600</f>
        <v>56.642072222222225</v>
      </c>
      <c r="F1060" s="11">
        <f>3+19/60+37.05/3600</f>
        <v>3.3269583333333332</v>
      </c>
      <c r="G1060" s="12" t="s">
        <v>144</v>
      </c>
      <c r="H1060" s="12" t="s">
        <v>47</v>
      </c>
      <c r="I1060">
        <v>2002</v>
      </c>
      <c r="J1060" s="12" t="s">
        <v>163</v>
      </c>
      <c r="K1060" s="2">
        <v>0</v>
      </c>
      <c r="M1060" s="33">
        <v>1.4</v>
      </c>
      <c r="N1060" s="33"/>
      <c r="Z1060" s="27" t="s">
        <v>247</v>
      </c>
      <c r="AA1060" t="s">
        <v>221</v>
      </c>
    </row>
    <row r="1061" spans="1:27" x14ac:dyDescent="0.25">
      <c r="A1061" s="12">
        <v>124</v>
      </c>
      <c r="B1061">
        <v>41</v>
      </c>
      <c r="C1061">
        <f t="shared" si="123"/>
        <v>12441</v>
      </c>
      <c r="D1061" s="3" t="s">
        <v>86</v>
      </c>
      <c r="E1061" s="11">
        <f t="shared" ref="E1061:E1073" si="126">56+38/60+31.46/3600</f>
        <v>56.642072222222225</v>
      </c>
      <c r="F1061" s="11">
        <f t="shared" ref="F1061:F1073" si="127">3+19/60+37.05/3600</f>
        <v>3.3269583333333332</v>
      </c>
      <c r="G1061" s="12" t="s">
        <v>144</v>
      </c>
      <c r="H1061" s="12" t="s">
        <v>47</v>
      </c>
      <c r="I1061">
        <v>2003</v>
      </c>
      <c r="J1061" s="12" t="s">
        <v>163</v>
      </c>
      <c r="K1061" s="2">
        <v>0</v>
      </c>
      <c r="M1061" s="33">
        <v>3.8666666670000001</v>
      </c>
      <c r="N1061" s="33"/>
      <c r="Z1061" s="27" t="s">
        <v>247</v>
      </c>
      <c r="AA1061" t="s">
        <v>221</v>
      </c>
    </row>
    <row r="1062" spans="1:27" x14ac:dyDescent="0.25">
      <c r="A1062" s="12">
        <v>124</v>
      </c>
      <c r="B1062">
        <v>41</v>
      </c>
      <c r="C1062">
        <f t="shared" si="123"/>
        <v>12441</v>
      </c>
      <c r="D1062" s="3" t="s">
        <v>86</v>
      </c>
      <c r="E1062" s="11">
        <f t="shared" si="126"/>
        <v>56.642072222222225</v>
      </c>
      <c r="F1062" s="11">
        <f t="shared" si="127"/>
        <v>3.3269583333333332</v>
      </c>
      <c r="G1062" s="12" t="s">
        <v>144</v>
      </c>
      <c r="H1062" s="12" t="s">
        <v>47</v>
      </c>
      <c r="I1062">
        <v>2004</v>
      </c>
      <c r="J1062" s="12" t="s">
        <v>163</v>
      </c>
      <c r="K1062" s="2">
        <v>0</v>
      </c>
      <c r="M1062" s="33">
        <v>6.4</v>
      </c>
      <c r="N1062" s="33"/>
      <c r="Z1062" s="27" t="s">
        <v>247</v>
      </c>
      <c r="AA1062" t="s">
        <v>221</v>
      </c>
    </row>
    <row r="1063" spans="1:27" x14ac:dyDescent="0.25">
      <c r="A1063" s="12">
        <v>124</v>
      </c>
      <c r="B1063">
        <v>41</v>
      </c>
      <c r="C1063">
        <f t="shared" si="123"/>
        <v>12441</v>
      </c>
      <c r="D1063" s="3" t="s">
        <v>86</v>
      </c>
      <c r="E1063" s="11">
        <f t="shared" si="126"/>
        <v>56.642072222222225</v>
      </c>
      <c r="F1063" s="11">
        <f t="shared" si="127"/>
        <v>3.3269583333333332</v>
      </c>
      <c r="G1063" s="12" t="s">
        <v>144</v>
      </c>
      <c r="H1063" s="12" t="s">
        <v>47</v>
      </c>
      <c r="I1063">
        <v>2005</v>
      </c>
      <c r="J1063" s="12" t="s">
        <v>163</v>
      </c>
      <c r="K1063" s="2">
        <v>0</v>
      </c>
      <c r="M1063" s="33">
        <v>5.95</v>
      </c>
      <c r="N1063" s="33">
        <v>1.23417</v>
      </c>
      <c r="Z1063" s="27" t="s">
        <v>247</v>
      </c>
      <c r="AA1063" t="s">
        <v>221</v>
      </c>
    </row>
    <row r="1064" spans="1:27" x14ac:dyDescent="0.25">
      <c r="A1064" s="12">
        <v>124</v>
      </c>
      <c r="B1064">
        <v>41</v>
      </c>
      <c r="C1064">
        <f t="shared" si="123"/>
        <v>12441</v>
      </c>
      <c r="D1064" s="3" t="s">
        <v>86</v>
      </c>
      <c r="E1064" s="11">
        <f t="shared" si="126"/>
        <v>56.642072222222225</v>
      </c>
      <c r="F1064" s="11">
        <f t="shared" si="127"/>
        <v>3.3269583333333332</v>
      </c>
      <c r="G1064" s="12" t="s">
        <v>144</v>
      </c>
      <c r="H1064" s="12" t="s">
        <v>47</v>
      </c>
      <c r="I1064">
        <v>2006</v>
      </c>
      <c r="J1064" s="12" t="s">
        <v>163</v>
      </c>
      <c r="K1064" s="2">
        <v>0</v>
      </c>
      <c r="M1064" s="33">
        <v>6.85</v>
      </c>
      <c r="N1064" s="33">
        <v>1.45333</v>
      </c>
      <c r="Z1064" s="27" t="s">
        <v>247</v>
      </c>
      <c r="AA1064" t="s">
        <v>221</v>
      </c>
    </row>
    <row r="1065" spans="1:27" x14ac:dyDescent="0.25">
      <c r="A1065" s="12">
        <v>124</v>
      </c>
      <c r="B1065">
        <v>41</v>
      </c>
      <c r="C1065">
        <f t="shared" si="123"/>
        <v>12441</v>
      </c>
      <c r="D1065" s="3" t="s">
        <v>86</v>
      </c>
      <c r="E1065" s="11">
        <f t="shared" si="126"/>
        <v>56.642072222222225</v>
      </c>
      <c r="F1065" s="11">
        <f t="shared" si="127"/>
        <v>3.3269583333333332</v>
      </c>
      <c r="G1065" s="12" t="s">
        <v>144</v>
      </c>
      <c r="H1065" s="12" t="s">
        <v>47</v>
      </c>
      <c r="I1065">
        <v>2007</v>
      </c>
      <c r="J1065" s="12" t="s">
        <v>163</v>
      </c>
      <c r="K1065" s="2">
        <v>0</v>
      </c>
      <c r="M1065" s="33">
        <v>6.7750000000000004</v>
      </c>
      <c r="N1065" s="33">
        <v>1.2350000000000001</v>
      </c>
      <c r="Z1065" s="27" t="s">
        <v>247</v>
      </c>
      <c r="AA1065" t="s">
        <v>221</v>
      </c>
    </row>
    <row r="1066" spans="1:27" x14ac:dyDescent="0.25">
      <c r="A1066" s="12">
        <v>124</v>
      </c>
      <c r="B1066">
        <v>41</v>
      </c>
      <c r="C1066">
        <f t="shared" si="123"/>
        <v>12441</v>
      </c>
      <c r="D1066" s="3" t="s">
        <v>86</v>
      </c>
      <c r="E1066" s="11">
        <f t="shared" si="126"/>
        <v>56.642072222222225</v>
      </c>
      <c r="F1066" s="11">
        <f t="shared" si="127"/>
        <v>3.3269583333333332</v>
      </c>
      <c r="G1066" s="12" t="s">
        <v>144</v>
      </c>
      <c r="H1066" s="12" t="s">
        <v>47</v>
      </c>
      <c r="I1066">
        <v>2008</v>
      </c>
      <c r="J1066" s="12" t="s">
        <v>163</v>
      </c>
      <c r="K1066" s="2">
        <v>0</v>
      </c>
      <c r="M1066" s="33">
        <v>7.5666700000000002</v>
      </c>
      <c r="N1066" s="33">
        <v>1.76667</v>
      </c>
      <c r="Z1066" s="27" t="s">
        <v>247</v>
      </c>
      <c r="AA1066" t="s">
        <v>221</v>
      </c>
    </row>
    <row r="1067" spans="1:27" x14ac:dyDescent="0.25">
      <c r="A1067" s="12">
        <v>124</v>
      </c>
      <c r="B1067">
        <v>41</v>
      </c>
      <c r="C1067">
        <f t="shared" si="123"/>
        <v>12441</v>
      </c>
      <c r="D1067" s="3" t="s">
        <v>86</v>
      </c>
      <c r="E1067" s="11">
        <f t="shared" si="126"/>
        <v>56.642072222222225</v>
      </c>
      <c r="F1067" s="11">
        <f t="shared" si="127"/>
        <v>3.3269583333333332</v>
      </c>
      <c r="G1067" s="12" t="s">
        <v>144</v>
      </c>
      <c r="H1067" s="12" t="s">
        <v>47</v>
      </c>
      <c r="I1067">
        <v>2009</v>
      </c>
      <c r="J1067" s="12" t="s">
        <v>163</v>
      </c>
      <c r="K1067" s="2">
        <v>0</v>
      </c>
      <c r="M1067" s="33">
        <v>11.925000000000001</v>
      </c>
      <c r="N1067" s="33">
        <v>3.13</v>
      </c>
      <c r="Z1067" s="27" t="s">
        <v>247</v>
      </c>
      <c r="AA1067" t="s">
        <v>221</v>
      </c>
    </row>
    <row r="1068" spans="1:27" x14ac:dyDescent="0.25">
      <c r="A1068" s="12">
        <v>124</v>
      </c>
      <c r="B1068">
        <v>41</v>
      </c>
      <c r="C1068">
        <f t="shared" si="123"/>
        <v>12441</v>
      </c>
      <c r="D1068" s="3" t="s">
        <v>86</v>
      </c>
      <c r="E1068" s="11">
        <f t="shared" si="126"/>
        <v>56.642072222222225</v>
      </c>
      <c r="F1068" s="11">
        <f t="shared" si="127"/>
        <v>3.3269583333333332</v>
      </c>
      <c r="G1068" s="12" t="s">
        <v>144</v>
      </c>
      <c r="H1068" s="12" t="s">
        <v>47</v>
      </c>
      <c r="I1068">
        <v>2010</v>
      </c>
      <c r="J1068" s="12" t="s">
        <v>163</v>
      </c>
      <c r="K1068" s="2">
        <v>0</v>
      </c>
      <c r="M1068" s="33">
        <v>10.267250000000001</v>
      </c>
      <c r="N1068" s="33">
        <v>1.8449899999999999</v>
      </c>
      <c r="Z1068" s="27" t="s">
        <v>247</v>
      </c>
      <c r="AA1068" t="s">
        <v>221</v>
      </c>
    </row>
    <row r="1069" spans="1:27" x14ac:dyDescent="0.25">
      <c r="A1069" s="12">
        <v>124</v>
      </c>
      <c r="B1069">
        <v>41</v>
      </c>
      <c r="C1069">
        <f t="shared" si="123"/>
        <v>12441</v>
      </c>
      <c r="D1069" s="3" t="s">
        <v>86</v>
      </c>
      <c r="E1069" s="11">
        <f t="shared" si="126"/>
        <v>56.642072222222225</v>
      </c>
      <c r="F1069" s="11">
        <f t="shared" si="127"/>
        <v>3.3269583333333332</v>
      </c>
      <c r="G1069" s="12" t="s">
        <v>144</v>
      </c>
      <c r="H1069" s="12" t="s">
        <v>47</v>
      </c>
      <c r="I1069">
        <v>2011</v>
      </c>
      <c r="J1069" s="12" t="s">
        <v>163</v>
      </c>
      <c r="K1069" s="2">
        <v>0</v>
      </c>
      <c r="M1069" s="33">
        <v>7.5062871920000003</v>
      </c>
      <c r="N1069" s="33">
        <v>1.508019859</v>
      </c>
      <c r="Z1069" s="27" t="s">
        <v>247</v>
      </c>
      <c r="AA1069" t="s">
        <v>221</v>
      </c>
    </row>
    <row r="1070" spans="1:27" x14ac:dyDescent="0.25">
      <c r="A1070" s="12">
        <v>124</v>
      </c>
      <c r="B1070">
        <v>41</v>
      </c>
      <c r="C1070">
        <f t="shared" si="123"/>
        <v>12441</v>
      </c>
      <c r="D1070" s="3" t="s">
        <v>86</v>
      </c>
      <c r="E1070" s="11">
        <f t="shared" si="126"/>
        <v>56.642072222222225</v>
      </c>
      <c r="F1070" s="11">
        <f t="shared" si="127"/>
        <v>3.3269583333333332</v>
      </c>
      <c r="G1070" s="12" t="s">
        <v>144</v>
      </c>
      <c r="H1070" s="12" t="s">
        <v>47</v>
      </c>
      <c r="I1070">
        <v>2012</v>
      </c>
      <c r="J1070" s="12" t="s">
        <v>163</v>
      </c>
      <c r="K1070" s="2">
        <v>0</v>
      </c>
      <c r="M1070" s="33">
        <v>6.92</v>
      </c>
      <c r="N1070" s="33">
        <v>1.33</v>
      </c>
      <c r="Z1070" s="27" t="s">
        <v>247</v>
      </c>
      <c r="AA1070" t="s">
        <v>221</v>
      </c>
    </row>
    <row r="1071" spans="1:27" x14ac:dyDescent="0.25">
      <c r="A1071" s="12">
        <v>124</v>
      </c>
      <c r="B1071">
        <v>41</v>
      </c>
      <c r="C1071">
        <f t="shared" si="123"/>
        <v>12441</v>
      </c>
      <c r="D1071" s="3" t="s">
        <v>86</v>
      </c>
      <c r="E1071" s="11">
        <f t="shared" si="126"/>
        <v>56.642072222222225</v>
      </c>
      <c r="F1071" s="11">
        <f t="shared" si="127"/>
        <v>3.3269583333333332</v>
      </c>
      <c r="G1071" s="12" t="s">
        <v>144</v>
      </c>
      <c r="H1071" s="12" t="s">
        <v>47</v>
      </c>
      <c r="I1071">
        <v>2013</v>
      </c>
      <c r="J1071" s="12" t="s">
        <v>163</v>
      </c>
      <c r="K1071" s="2">
        <v>0</v>
      </c>
      <c r="M1071" s="33">
        <v>7.3324999999999996</v>
      </c>
      <c r="N1071" s="33">
        <v>1.41</v>
      </c>
      <c r="Z1071" s="27" t="s">
        <v>247</v>
      </c>
      <c r="AA1071" t="s">
        <v>221</v>
      </c>
    </row>
    <row r="1072" spans="1:27" x14ac:dyDescent="0.25">
      <c r="A1072" s="12">
        <v>124</v>
      </c>
      <c r="B1072">
        <v>41</v>
      </c>
      <c r="C1072">
        <f t="shared" si="123"/>
        <v>12441</v>
      </c>
      <c r="D1072" s="3" t="s">
        <v>86</v>
      </c>
      <c r="E1072" s="11">
        <f t="shared" si="126"/>
        <v>56.642072222222225</v>
      </c>
      <c r="F1072" s="11">
        <f t="shared" si="127"/>
        <v>3.3269583333333332</v>
      </c>
      <c r="G1072" s="12" t="s">
        <v>144</v>
      </c>
      <c r="H1072" s="12" t="s">
        <v>47</v>
      </c>
      <c r="I1072">
        <v>2014</v>
      </c>
      <c r="J1072" s="12" t="s">
        <v>163</v>
      </c>
      <c r="K1072" s="2">
        <v>0</v>
      </c>
      <c r="M1072" s="33">
        <v>6.2</v>
      </c>
      <c r="N1072" s="33">
        <v>1.3833333333325</v>
      </c>
      <c r="Z1072" s="27" t="s">
        <v>247</v>
      </c>
      <c r="AA1072" t="s">
        <v>221</v>
      </c>
    </row>
    <row r="1073" spans="1:27" x14ac:dyDescent="0.25">
      <c r="A1073" s="12">
        <v>124</v>
      </c>
      <c r="B1073">
        <v>41</v>
      </c>
      <c r="C1073">
        <f t="shared" si="123"/>
        <v>12441</v>
      </c>
      <c r="D1073" s="3" t="s">
        <v>86</v>
      </c>
      <c r="E1073" s="11">
        <f t="shared" si="126"/>
        <v>56.642072222222225</v>
      </c>
      <c r="F1073" s="11">
        <f t="shared" si="127"/>
        <v>3.3269583333333332</v>
      </c>
      <c r="G1073" s="12" t="s">
        <v>144</v>
      </c>
      <c r="H1073" s="12" t="s">
        <v>47</v>
      </c>
      <c r="I1073">
        <v>2015</v>
      </c>
      <c r="J1073" s="12" t="s">
        <v>163</v>
      </c>
      <c r="K1073" s="2">
        <v>0</v>
      </c>
      <c r="M1073" s="33">
        <v>7.85</v>
      </c>
      <c r="N1073" s="33">
        <v>1.2575000000000001</v>
      </c>
      <c r="Z1073" s="27" t="s">
        <v>247</v>
      </c>
      <c r="AA1073" t="s">
        <v>221</v>
      </c>
    </row>
    <row r="1074" spans="1:27" x14ac:dyDescent="0.25">
      <c r="A1074" s="12">
        <v>124</v>
      </c>
      <c r="B1074">
        <v>42</v>
      </c>
      <c r="C1074">
        <f t="shared" si="123"/>
        <v>12442</v>
      </c>
      <c r="D1074" s="3" t="s">
        <v>86</v>
      </c>
      <c r="E1074" s="11">
        <f>60+42/60+52.19/3600</f>
        <v>60.714497222222228</v>
      </c>
      <c r="F1074" s="11">
        <f>3+30/60+37.36/3600</f>
        <v>3.5103777777777778</v>
      </c>
      <c r="G1074" s="12" t="s">
        <v>144</v>
      </c>
      <c r="H1074" s="12" t="s">
        <v>47</v>
      </c>
      <c r="I1074">
        <v>2002</v>
      </c>
      <c r="J1074" s="12" t="s">
        <v>163</v>
      </c>
      <c r="K1074" s="2">
        <v>0</v>
      </c>
      <c r="M1074" s="33">
        <v>9.5</v>
      </c>
      <c r="N1074" s="33"/>
      <c r="Z1074" s="27" t="s">
        <v>247</v>
      </c>
      <c r="AA1074" t="s">
        <v>222</v>
      </c>
    </row>
    <row r="1075" spans="1:27" x14ac:dyDescent="0.25">
      <c r="A1075" s="12">
        <v>124</v>
      </c>
      <c r="B1075">
        <v>42</v>
      </c>
      <c r="C1075">
        <f t="shared" si="123"/>
        <v>12442</v>
      </c>
      <c r="D1075" s="3" t="s">
        <v>86</v>
      </c>
      <c r="E1075" s="11">
        <f t="shared" ref="E1075:E1093" si="128">60+42/60+52.19/3600</f>
        <v>60.714497222222228</v>
      </c>
      <c r="F1075" s="11">
        <f t="shared" ref="F1075:F1093" si="129">3+30/60+37.36/3600</f>
        <v>3.5103777777777778</v>
      </c>
      <c r="G1075" s="12" t="s">
        <v>144</v>
      </c>
      <c r="H1075" s="12" t="s">
        <v>47</v>
      </c>
      <c r="I1075">
        <v>2003</v>
      </c>
      <c r="J1075" s="12" t="s">
        <v>163</v>
      </c>
      <c r="K1075" s="2">
        <v>0</v>
      </c>
      <c r="M1075" s="33">
        <v>6.3666666666666698</v>
      </c>
      <c r="N1075" s="33"/>
      <c r="Z1075" s="27" t="s">
        <v>247</v>
      </c>
      <c r="AA1075" t="s">
        <v>222</v>
      </c>
    </row>
    <row r="1076" spans="1:27" x14ac:dyDescent="0.25">
      <c r="A1076" s="12">
        <v>124</v>
      </c>
      <c r="B1076">
        <v>42</v>
      </c>
      <c r="C1076">
        <f t="shared" si="123"/>
        <v>12442</v>
      </c>
      <c r="D1076" s="3" t="s">
        <v>86</v>
      </c>
      <c r="E1076" s="11">
        <f t="shared" si="128"/>
        <v>60.714497222222228</v>
      </c>
      <c r="F1076" s="11">
        <f t="shared" si="129"/>
        <v>3.5103777777777778</v>
      </c>
      <c r="G1076" s="12" t="s">
        <v>144</v>
      </c>
      <c r="H1076" s="12" t="s">
        <v>47</v>
      </c>
      <c r="I1076">
        <v>2004</v>
      </c>
      <c r="J1076" s="12" t="s">
        <v>163</v>
      </c>
      <c r="K1076" s="2">
        <v>0</v>
      </c>
      <c r="M1076" s="33">
        <v>6.1233333333333304</v>
      </c>
      <c r="N1076" s="33"/>
      <c r="Z1076" s="27" t="s">
        <v>247</v>
      </c>
      <c r="AA1076" t="s">
        <v>222</v>
      </c>
    </row>
    <row r="1077" spans="1:27" x14ac:dyDescent="0.25">
      <c r="A1077" s="12">
        <v>124</v>
      </c>
      <c r="B1077">
        <v>42</v>
      </c>
      <c r="C1077">
        <f t="shared" si="123"/>
        <v>12442</v>
      </c>
      <c r="D1077" s="3" t="s">
        <v>86</v>
      </c>
      <c r="E1077" s="11">
        <f t="shared" si="128"/>
        <v>60.714497222222228</v>
      </c>
      <c r="F1077" s="11">
        <f t="shared" si="129"/>
        <v>3.5103777777777778</v>
      </c>
      <c r="G1077" s="12" t="s">
        <v>144</v>
      </c>
      <c r="H1077" s="12" t="s">
        <v>47</v>
      </c>
      <c r="I1077">
        <v>2005</v>
      </c>
      <c r="J1077" s="12" t="s">
        <v>163</v>
      </c>
      <c r="K1077" s="2">
        <v>0</v>
      </c>
      <c r="M1077" s="33">
        <v>5.8333333333333304</v>
      </c>
      <c r="N1077" s="33">
        <v>1.7000000000000001E-2</v>
      </c>
      <c r="Z1077" s="27" t="s">
        <v>247</v>
      </c>
      <c r="AA1077" t="s">
        <v>222</v>
      </c>
    </row>
    <row r="1078" spans="1:27" x14ac:dyDescent="0.25">
      <c r="A1078" s="12">
        <v>124</v>
      </c>
      <c r="B1078">
        <v>42</v>
      </c>
      <c r="C1078">
        <f t="shared" si="123"/>
        <v>12442</v>
      </c>
      <c r="D1078" s="3" t="s">
        <v>86</v>
      </c>
      <c r="E1078" s="11">
        <f t="shared" si="128"/>
        <v>60.714497222222228</v>
      </c>
      <c r="F1078" s="11">
        <f t="shared" si="129"/>
        <v>3.5103777777777778</v>
      </c>
      <c r="G1078" s="12" t="s">
        <v>144</v>
      </c>
      <c r="H1078" s="12" t="s">
        <v>47</v>
      </c>
      <c r="I1078">
        <v>2006</v>
      </c>
      <c r="J1078" s="12" t="s">
        <v>163</v>
      </c>
      <c r="K1078" s="2">
        <v>0</v>
      </c>
      <c r="M1078" s="33">
        <v>6.6555666666666697</v>
      </c>
      <c r="N1078" s="33">
        <v>5.3388999999999998</v>
      </c>
      <c r="Z1078" s="27" t="s">
        <v>247</v>
      </c>
      <c r="AA1078" t="s">
        <v>222</v>
      </c>
    </row>
    <row r="1079" spans="1:27" x14ac:dyDescent="0.25">
      <c r="A1079" s="12">
        <v>124</v>
      </c>
      <c r="B1079">
        <v>42</v>
      </c>
      <c r="C1079">
        <f t="shared" si="123"/>
        <v>12442</v>
      </c>
      <c r="D1079" s="3" t="s">
        <v>86</v>
      </c>
      <c r="E1079" s="11">
        <f t="shared" si="128"/>
        <v>60.714497222222228</v>
      </c>
      <c r="F1079" s="11">
        <f t="shared" si="129"/>
        <v>3.5103777777777778</v>
      </c>
      <c r="G1079" s="12" t="s">
        <v>144</v>
      </c>
      <c r="H1079" s="12" t="s">
        <v>47</v>
      </c>
      <c r="I1079">
        <v>2007</v>
      </c>
      <c r="J1079" s="12" t="s">
        <v>163</v>
      </c>
      <c r="K1079" s="2">
        <v>0</v>
      </c>
      <c r="M1079" s="33">
        <v>6.63228666666667</v>
      </c>
      <c r="N1079" s="33">
        <v>5.0450866666666698</v>
      </c>
      <c r="Z1079" s="27" t="s">
        <v>247</v>
      </c>
      <c r="AA1079" t="s">
        <v>222</v>
      </c>
    </row>
    <row r="1080" spans="1:27" x14ac:dyDescent="0.25">
      <c r="A1080" s="12">
        <v>124</v>
      </c>
      <c r="B1080">
        <v>42</v>
      </c>
      <c r="C1080">
        <f t="shared" si="123"/>
        <v>12442</v>
      </c>
      <c r="D1080" s="3" t="s">
        <v>86</v>
      </c>
      <c r="E1080" s="11">
        <f t="shared" si="128"/>
        <v>60.714497222222228</v>
      </c>
      <c r="F1080" s="11">
        <f t="shared" si="129"/>
        <v>3.5103777777777778</v>
      </c>
      <c r="G1080" s="12" t="s">
        <v>144</v>
      </c>
      <c r="H1080" s="12" t="s">
        <v>47</v>
      </c>
      <c r="I1080">
        <v>2008</v>
      </c>
      <c r="J1080" s="12" t="s">
        <v>163</v>
      </c>
      <c r="K1080" s="2">
        <v>0</v>
      </c>
      <c r="M1080" s="33">
        <v>6.1992767740000003</v>
      </c>
      <c r="N1080" s="33">
        <v>5.0729190416666698</v>
      </c>
      <c r="Z1080" s="27" t="s">
        <v>247</v>
      </c>
      <c r="AA1080" t="s">
        <v>222</v>
      </c>
    </row>
    <row r="1081" spans="1:27" x14ac:dyDescent="0.25">
      <c r="A1081" s="12">
        <v>124</v>
      </c>
      <c r="B1081">
        <v>42</v>
      </c>
      <c r="C1081">
        <f t="shared" si="123"/>
        <v>12442</v>
      </c>
      <c r="D1081" s="3" t="s">
        <v>86</v>
      </c>
      <c r="E1081" s="11">
        <f t="shared" si="128"/>
        <v>60.714497222222228</v>
      </c>
      <c r="F1081" s="11">
        <f t="shared" si="129"/>
        <v>3.5103777777777778</v>
      </c>
      <c r="G1081" s="12" t="s">
        <v>144</v>
      </c>
      <c r="H1081" s="12" t="s">
        <v>47</v>
      </c>
      <c r="I1081">
        <v>2009</v>
      </c>
      <c r="J1081" s="12" t="s">
        <v>163</v>
      </c>
      <c r="K1081" s="2">
        <v>0</v>
      </c>
      <c r="M1081" s="33">
        <v>6.7937080196666697</v>
      </c>
      <c r="N1081" s="33">
        <v>5.3736361746666699</v>
      </c>
      <c r="Z1081" s="27" t="s">
        <v>247</v>
      </c>
      <c r="AA1081" t="s">
        <v>222</v>
      </c>
    </row>
    <row r="1082" spans="1:27" x14ac:dyDescent="0.25">
      <c r="A1082" s="12">
        <v>124</v>
      </c>
      <c r="B1082">
        <v>42</v>
      </c>
      <c r="C1082">
        <f t="shared" si="123"/>
        <v>12442</v>
      </c>
      <c r="D1082" s="3" t="s">
        <v>86</v>
      </c>
      <c r="E1082" s="11">
        <f t="shared" si="128"/>
        <v>60.714497222222228</v>
      </c>
      <c r="F1082" s="11">
        <f t="shared" si="129"/>
        <v>3.5103777777777778</v>
      </c>
      <c r="G1082" s="12" t="s">
        <v>144</v>
      </c>
      <c r="H1082" s="12" t="s">
        <v>47</v>
      </c>
      <c r="I1082">
        <v>2010</v>
      </c>
      <c r="J1082" s="12" t="s">
        <v>163</v>
      </c>
      <c r="K1082" s="2">
        <v>0</v>
      </c>
      <c r="M1082" s="33">
        <v>7.0998278613333303</v>
      </c>
      <c r="N1082" s="33">
        <v>5.7097933603333297</v>
      </c>
      <c r="Z1082" s="27" t="s">
        <v>247</v>
      </c>
      <c r="AA1082" t="s">
        <v>222</v>
      </c>
    </row>
    <row r="1083" spans="1:27" x14ac:dyDescent="0.25">
      <c r="A1083" s="12">
        <v>124</v>
      </c>
      <c r="B1083">
        <v>42</v>
      </c>
      <c r="C1083">
        <f t="shared" si="123"/>
        <v>12442</v>
      </c>
      <c r="D1083" s="3" t="s">
        <v>86</v>
      </c>
      <c r="E1083" s="11">
        <f t="shared" si="128"/>
        <v>60.714497222222228</v>
      </c>
      <c r="F1083" s="11">
        <f t="shared" si="129"/>
        <v>3.5103777777777778</v>
      </c>
      <c r="G1083" s="12" t="s">
        <v>144</v>
      </c>
      <c r="H1083" s="12" t="s">
        <v>47</v>
      </c>
      <c r="I1083">
        <v>2011</v>
      </c>
      <c r="J1083" s="12" t="s">
        <v>163</v>
      </c>
      <c r="K1083" s="2">
        <v>0</v>
      </c>
      <c r="M1083" s="33">
        <v>7.2757469613333301</v>
      </c>
      <c r="N1083" s="33">
        <v>5.6617526346666702</v>
      </c>
      <c r="Z1083" s="27" t="s">
        <v>247</v>
      </c>
      <c r="AA1083" t="s">
        <v>222</v>
      </c>
    </row>
    <row r="1084" spans="1:27" x14ac:dyDescent="0.25">
      <c r="A1084" s="12">
        <v>124</v>
      </c>
      <c r="B1084">
        <v>42</v>
      </c>
      <c r="C1084">
        <f t="shared" si="123"/>
        <v>12442</v>
      </c>
      <c r="D1084" s="3" t="s">
        <v>86</v>
      </c>
      <c r="E1084" s="11">
        <f t="shared" si="128"/>
        <v>60.714497222222228</v>
      </c>
      <c r="F1084" s="11">
        <f t="shared" si="129"/>
        <v>3.5103777777777778</v>
      </c>
      <c r="G1084" s="12" t="s">
        <v>144</v>
      </c>
      <c r="H1084" s="12" t="s">
        <v>47</v>
      </c>
      <c r="I1084">
        <v>2012</v>
      </c>
      <c r="J1084" s="12" t="s">
        <v>163</v>
      </c>
      <c r="K1084" s="2">
        <v>0</v>
      </c>
      <c r="M1084" s="33">
        <v>8.7325332142857093</v>
      </c>
      <c r="N1084" s="33">
        <v>6.1555555555555603</v>
      </c>
      <c r="Z1084" s="27" t="s">
        <v>247</v>
      </c>
      <c r="AA1084" t="s">
        <v>222</v>
      </c>
    </row>
    <row r="1085" spans="1:27" x14ac:dyDescent="0.25">
      <c r="A1085" s="12">
        <v>124</v>
      </c>
      <c r="B1085">
        <v>42</v>
      </c>
      <c r="C1085">
        <f t="shared" si="123"/>
        <v>12442</v>
      </c>
      <c r="D1085" s="3" t="s">
        <v>86</v>
      </c>
      <c r="E1085" s="11">
        <f t="shared" si="128"/>
        <v>60.714497222222228</v>
      </c>
      <c r="F1085" s="11">
        <f t="shared" si="129"/>
        <v>3.5103777777777778</v>
      </c>
      <c r="G1085" s="12" t="s">
        <v>144</v>
      </c>
      <c r="H1085" s="12" t="s">
        <v>47</v>
      </c>
      <c r="I1085">
        <v>2013</v>
      </c>
      <c r="J1085" s="12" t="s">
        <v>163</v>
      </c>
      <c r="K1085" s="2">
        <v>0</v>
      </c>
      <c r="M1085" s="33">
        <v>8.6793105764610701</v>
      </c>
      <c r="N1085" s="33">
        <v>6.9431818181818201</v>
      </c>
      <c r="Z1085" s="27" t="s">
        <v>247</v>
      </c>
      <c r="AA1085" t="s">
        <v>222</v>
      </c>
    </row>
    <row r="1086" spans="1:27" x14ac:dyDescent="0.25">
      <c r="A1086" s="12">
        <v>124</v>
      </c>
      <c r="B1086">
        <v>42</v>
      </c>
      <c r="C1086">
        <f t="shared" si="123"/>
        <v>12442</v>
      </c>
      <c r="D1086" s="3" t="s">
        <v>86</v>
      </c>
      <c r="E1086" s="11">
        <f t="shared" si="128"/>
        <v>60.714497222222228</v>
      </c>
      <c r="F1086" s="11">
        <f t="shared" si="129"/>
        <v>3.5103777777777778</v>
      </c>
      <c r="G1086" s="12" t="s">
        <v>144</v>
      </c>
      <c r="H1086" s="12" t="s">
        <v>47</v>
      </c>
      <c r="I1086">
        <v>2014</v>
      </c>
      <c r="J1086" s="12" t="s">
        <v>163</v>
      </c>
      <c r="K1086" s="2">
        <v>0</v>
      </c>
      <c r="M1086" s="33">
        <v>8.6047916666666708</v>
      </c>
      <c r="N1086" s="33">
        <v>6.8377272727272702</v>
      </c>
      <c r="Z1086" s="27" t="s">
        <v>247</v>
      </c>
      <c r="AA1086" t="s">
        <v>222</v>
      </c>
    </row>
    <row r="1087" spans="1:27" x14ac:dyDescent="0.25">
      <c r="A1087" s="12">
        <v>124</v>
      </c>
      <c r="B1087">
        <v>42</v>
      </c>
      <c r="C1087">
        <f t="shared" si="123"/>
        <v>12442</v>
      </c>
      <c r="D1087" s="3" t="s">
        <v>86</v>
      </c>
      <c r="E1087" s="11">
        <f t="shared" si="128"/>
        <v>60.714497222222228</v>
      </c>
      <c r="F1087" s="11">
        <f t="shared" si="129"/>
        <v>3.5103777777777778</v>
      </c>
      <c r="G1087" s="12" t="s">
        <v>144</v>
      </c>
      <c r="H1087" s="12" t="s">
        <v>47</v>
      </c>
      <c r="I1087">
        <v>2015</v>
      </c>
      <c r="J1087" s="12" t="s">
        <v>163</v>
      </c>
      <c r="K1087" s="2">
        <v>0</v>
      </c>
      <c r="M1087" s="33">
        <v>8.4732608695652196</v>
      </c>
      <c r="N1087" s="33">
        <v>6.8534090909090901</v>
      </c>
      <c r="Z1087" s="27" t="s">
        <v>247</v>
      </c>
      <c r="AA1087" t="s">
        <v>222</v>
      </c>
    </row>
    <row r="1088" spans="1:27" x14ac:dyDescent="0.25">
      <c r="A1088" s="12">
        <v>124</v>
      </c>
      <c r="B1088">
        <v>42</v>
      </c>
      <c r="C1088">
        <f t="shared" si="123"/>
        <v>12442</v>
      </c>
      <c r="D1088" s="3" t="s">
        <v>86</v>
      </c>
      <c r="E1088" s="11">
        <f t="shared" si="128"/>
        <v>60.714497222222228</v>
      </c>
      <c r="F1088" s="11">
        <f t="shared" si="129"/>
        <v>3.5103777777777778</v>
      </c>
      <c r="G1088" s="12" t="s">
        <v>144</v>
      </c>
      <c r="H1088" s="12" t="s">
        <v>47</v>
      </c>
      <c r="I1088">
        <v>2016</v>
      </c>
      <c r="J1088" s="12" t="s">
        <v>163</v>
      </c>
      <c r="K1088" s="2">
        <v>0</v>
      </c>
      <c r="M1088" s="33">
        <v>6.3404999999999996</v>
      </c>
      <c r="N1088" s="33">
        <v>6.2273333333333296</v>
      </c>
      <c r="Z1088" s="27" t="s">
        <v>247</v>
      </c>
      <c r="AA1088" t="s">
        <v>222</v>
      </c>
    </row>
    <row r="1089" spans="1:27" x14ac:dyDescent="0.25">
      <c r="A1089" s="12">
        <v>124</v>
      </c>
      <c r="B1089">
        <v>42</v>
      </c>
      <c r="C1089">
        <f t="shared" si="123"/>
        <v>12442</v>
      </c>
      <c r="D1089" s="3" t="s">
        <v>86</v>
      </c>
      <c r="E1089" s="11">
        <f t="shared" si="128"/>
        <v>60.714497222222228</v>
      </c>
      <c r="F1089" s="11">
        <f t="shared" si="129"/>
        <v>3.5103777777777778</v>
      </c>
      <c r="G1089" s="12" t="s">
        <v>144</v>
      </c>
      <c r="H1089" s="12" t="s">
        <v>47</v>
      </c>
      <c r="I1089">
        <v>2017</v>
      </c>
      <c r="J1089" s="12" t="s">
        <v>163</v>
      </c>
      <c r="K1089" s="2">
        <v>0</v>
      </c>
      <c r="M1089" s="33">
        <v>6.1896500000000003</v>
      </c>
      <c r="N1089" s="33">
        <v>6.4108999999999998</v>
      </c>
      <c r="Z1089" s="27" t="s">
        <v>247</v>
      </c>
      <c r="AA1089" t="s">
        <v>222</v>
      </c>
    </row>
    <row r="1090" spans="1:27" x14ac:dyDescent="0.25">
      <c r="A1090" s="12">
        <v>124</v>
      </c>
      <c r="B1090">
        <v>42</v>
      </c>
      <c r="C1090">
        <f t="shared" si="123"/>
        <v>12442</v>
      </c>
      <c r="D1090" s="3" t="s">
        <v>86</v>
      </c>
      <c r="E1090" s="11">
        <f t="shared" si="128"/>
        <v>60.714497222222228</v>
      </c>
      <c r="F1090" s="11">
        <f t="shared" si="129"/>
        <v>3.5103777777777778</v>
      </c>
      <c r="G1090" s="12" t="s">
        <v>144</v>
      </c>
      <c r="H1090" s="12" t="s">
        <v>47</v>
      </c>
      <c r="I1090">
        <v>2018</v>
      </c>
      <c r="J1090" s="12" t="s">
        <v>163</v>
      </c>
      <c r="K1090" s="2">
        <v>0</v>
      </c>
      <c r="M1090" s="33">
        <v>6.8027777777777798</v>
      </c>
      <c r="N1090" s="33">
        <v>6.0487500000000001</v>
      </c>
      <c r="Z1090" s="27" t="s">
        <v>247</v>
      </c>
      <c r="AA1090" t="s">
        <v>222</v>
      </c>
    </row>
    <row r="1091" spans="1:27" x14ac:dyDescent="0.25">
      <c r="A1091" s="12">
        <v>124</v>
      </c>
      <c r="B1091">
        <v>42</v>
      </c>
      <c r="C1091">
        <f t="shared" ref="C1091:C1154" si="130">A1091*100+B1091</f>
        <v>12442</v>
      </c>
      <c r="D1091" s="3" t="s">
        <v>86</v>
      </c>
      <c r="E1091" s="11">
        <f t="shared" si="128"/>
        <v>60.714497222222228</v>
      </c>
      <c r="F1091" s="11">
        <f t="shared" si="129"/>
        <v>3.5103777777777778</v>
      </c>
      <c r="G1091" s="12" t="s">
        <v>144</v>
      </c>
      <c r="H1091" s="12" t="s">
        <v>47</v>
      </c>
      <c r="I1091">
        <v>2019</v>
      </c>
      <c r="J1091" s="12" t="s">
        <v>163</v>
      </c>
      <c r="K1091" s="2">
        <v>0</v>
      </c>
      <c r="M1091" s="33">
        <v>7.1835000000000004</v>
      </c>
      <c r="N1091" s="33">
        <v>6.5955000000000004</v>
      </c>
      <c r="Z1091" s="27" t="s">
        <v>247</v>
      </c>
      <c r="AA1091" t="s">
        <v>222</v>
      </c>
    </row>
    <row r="1092" spans="1:27" x14ac:dyDescent="0.25">
      <c r="A1092" s="12">
        <v>124</v>
      </c>
      <c r="B1092">
        <v>42</v>
      </c>
      <c r="C1092">
        <f t="shared" si="130"/>
        <v>12442</v>
      </c>
      <c r="D1092" s="3" t="s">
        <v>86</v>
      </c>
      <c r="E1092" s="11">
        <f t="shared" si="128"/>
        <v>60.714497222222228</v>
      </c>
      <c r="F1092" s="11">
        <f t="shared" si="129"/>
        <v>3.5103777777777778</v>
      </c>
      <c r="G1092" s="12" t="s">
        <v>144</v>
      </c>
      <c r="H1092" s="12" t="s">
        <v>47</v>
      </c>
      <c r="I1092">
        <v>2020</v>
      </c>
      <c r="J1092" s="12" t="s">
        <v>163</v>
      </c>
      <c r="K1092" s="2">
        <v>0</v>
      </c>
      <c r="M1092" s="33">
        <v>6.2314583333333298</v>
      </c>
      <c r="N1092" s="33">
        <v>6.1707272727272704</v>
      </c>
      <c r="Z1092" s="27" t="s">
        <v>247</v>
      </c>
      <c r="AA1092" t="s">
        <v>222</v>
      </c>
    </row>
    <row r="1093" spans="1:27" x14ac:dyDescent="0.25">
      <c r="A1093" s="12">
        <v>124</v>
      </c>
      <c r="B1093">
        <v>42</v>
      </c>
      <c r="C1093">
        <f t="shared" si="130"/>
        <v>12442</v>
      </c>
      <c r="D1093" s="3" t="s">
        <v>86</v>
      </c>
      <c r="E1093" s="11">
        <f t="shared" si="128"/>
        <v>60.714497222222228</v>
      </c>
      <c r="F1093" s="11">
        <f t="shared" si="129"/>
        <v>3.5103777777777778</v>
      </c>
      <c r="G1093" s="12" t="s">
        <v>144</v>
      </c>
      <c r="H1093" s="12" t="s">
        <v>47</v>
      </c>
      <c r="I1093">
        <v>2021</v>
      </c>
      <c r="J1093" s="12" t="s">
        <v>163</v>
      </c>
      <c r="K1093" s="2">
        <v>0</v>
      </c>
      <c r="M1093" s="33">
        <v>7.0643181818181802</v>
      </c>
      <c r="N1093" s="33">
        <v>6.02929166666667</v>
      </c>
      <c r="Z1093" s="27" t="s">
        <v>247</v>
      </c>
      <c r="AA1093" t="s">
        <v>222</v>
      </c>
    </row>
    <row r="1094" spans="1:27" x14ac:dyDescent="0.25">
      <c r="A1094" s="12">
        <v>124</v>
      </c>
      <c r="B1094">
        <v>43</v>
      </c>
      <c r="C1094">
        <f t="shared" si="130"/>
        <v>12443</v>
      </c>
      <c r="D1094" s="3" t="s">
        <v>86</v>
      </c>
      <c r="E1094" s="11">
        <f>57+6/60+39.89/3600</f>
        <v>57.11108055555556</v>
      </c>
      <c r="F1094" s="11">
        <f>2+50/60+45.54/3600</f>
        <v>2.8459833333333333</v>
      </c>
      <c r="G1094" s="12" t="s">
        <v>144</v>
      </c>
      <c r="H1094" s="12" t="s">
        <v>47</v>
      </c>
      <c r="I1094">
        <v>2002</v>
      </c>
      <c r="J1094" s="12" t="s">
        <v>163</v>
      </c>
      <c r="K1094" s="2">
        <v>0</v>
      </c>
      <c r="M1094" s="33">
        <v>2.2000000000000002</v>
      </c>
      <c r="N1094" s="33"/>
      <c r="Z1094" s="27" t="s">
        <v>247</v>
      </c>
      <c r="AA1094" t="s">
        <v>223</v>
      </c>
    </row>
    <row r="1095" spans="1:27" x14ac:dyDescent="0.25">
      <c r="A1095" s="12">
        <v>124</v>
      </c>
      <c r="B1095">
        <v>43</v>
      </c>
      <c r="C1095">
        <f t="shared" si="130"/>
        <v>12443</v>
      </c>
      <c r="D1095" s="3" t="s">
        <v>86</v>
      </c>
      <c r="E1095" s="11">
        <f t="shared" ref="E1095:E1113" si="131">57+6/60+39.89/3600</f>
        <v>57.11108055555556</v>
      </c>
      <c r="F1095" s="11">
        <f t="shared" ref="F1095:F1113" si="132">2+50/60+45.54/3600</f>
        <v>2.8459833333333333</v>
      </c>
      <c r="G1095" s="12" t="s">
        <v>144</v>
      </c>
      <c r="H1095" s="12" t="s">
        <v>47</v>
      </c>
      <c r="I1095">
        <v>2003</v>
      </c>
      <c r="J1095" s="12" t="s">
        <v>163</v>
      </c>
      <c r="K1095" s="2">
        <v>0</v>
      </c>
      <c r="M1095" s="33">
        <v>4.7857142860000002</v>
      </c>
      <c r="N1095" s="33"/>
      <c r="Z1095" s="27" t="s">
        <v>247</v>
      </c>
      <c r="AA1095" t="s">
        <v>223</v>
      </c>
    </row>
    <row r="1096" spans="1:27" x14ac:dyDescent="0.25">
      <c r="A1096" s="12">
        <v>124</v>
      </c>
      <c r="B1096">
        <v>43</v>
      </c>
      <c r="C1096">
        <f t="shared" si="130"/>
        <v>12443</v>
      </c>
      <c r="D1096" s="3" t="s">
        <v>86</v>
      </c>
      <c r="E1096" s="11">
        <f t="shared" si="131"/>
        <v>57.11108055555556</v>
      </c>
      <c r="F1096" s="11">
        <f t="shared" si="132"/>
        <v>2.8459833333333333</v>
      </c>
      <c r="G1096" s="12" t="s">
        <v>144</v>
      </c>
      <c r="H1096" s="12" t="s">
        <v>47</v>
      </c>
      <c r="I1096">
        <v>2004</v>
      </c>
      <c r="J1096" s="12" t="s">
        <v>163</v>
      </c>
      <c r="K1096" s="2">
        <v>0</v>
      </c>
      <c r="M1096" s="33">
        <v>11.9</v>
      </c>
      <c r="N1096" s="33"/>
      <c r="Z1096" s="27" t="s">
        <v>247</v>
      </c>
      <c r="AA1096" t="s">
        <v>223</v>
      </c>
    </row>
    <row r="1097" spans="1:27" x14ac:dyDescent="0.25">
      <c r="A1097" s="12">
        <v>124</v>
      </c>
      <c r="B1097">
        <v>43</v>
      </c>
      <c r="C1097">
        <f t="shared" si="130"/>
        <v>12443</v>
      </c>
      <c r="D1097" s="3" t="s">
        <v>86</v>
      </c>
      <c r="E1097" s="11">
        <f t="shared" si="131"/>
        <v>57.11108055555556</v>
      </c>
      <c r="F1097" s="11">
        <f t="shared" si="132"/>
        <v>2.8459833333333333</v>
      </c>
      <c r="G1097" s="12" t="s">
        <v>144</v>
      </c>
      <c r="H1097" s="12" t="s">
        <v>47</v>
      </c>
      <c r="I1097">
        <v>2005</v>
      </c>
      <c r="J1097" s="12" t="s">
        <v>163</v>
      </c>
      <c r="K1097" s="2">
        <v>0</v>
      </c>
      <c r="M1097" s="33">
        <v>2.56666667</v>
      </c>
      <c r="N1097" s="33">
        <v>0.72666666700000004</v>
      </c>
      <c r="Z1097" s="27" t="s">
        <v>247</v>
      </c>
      <c r="AA1097" t="s">
        <v>223</v>
      </c>
    </row>
    <row r="1098" spans="1:27" x14ac:dyDescent="0.25">
      <c r="A1098" s="12">
        <v>124</v>
      </c>
      <c r="B1098">
        <v>43</v>
      </c>
      <c r="C1098">
        <f t="shared" si="130"/>
        <v>12443</v>
      </c>
      <c r="D1098" s="3" t="s">
        <v>86</v>
      </c>
      <c r="E1098" s="11">
        <f t="shared" si="131"/>
        <v>57.11108055555556</v>
      </c>
      <c r="F1098" s="11">
        <f t="shared" si="132"/>
        <v>2.8459833333333333</v>
      </c>
      <c r="G1098" s="12" t="s">
        <v>144</v>
      </c>
      <c r="H1098" s="12" t="s">
        <v>47</v>
      </c>
      <c r="I1098">
        <v>2006</v>
      </c>
      <c r="J1098" s="12" t="s">
        <v>163</v>
      </c>
      <c r="K1098" s="2">
        <v>0</v>
      </c>
      <c r="M1098" s="33">
        <v>4.3</v>
      </c>
      <c r="N1098" s="33">
        <v>1.60625</v>
      </c>
      <c r="Z1098" s="27" t="s">
        <v>247</v>
      </c>
      <c r="AA1098" t="s">
        <v>223</v>
      </c>
    </row>
    <row r="1099" spans="1:27" x14ac:dyDescent="0.25">
      <c r="A1099" s="12">
        <v>124</v>
      </c>
      <c r="B1099">
        <v>43</v>
      </c>
      <c r="C1099">
        <f t="shared" si="130"/>
        <v>12443</v>
      </c>
      <c r="D1099" s="3" t="s">
        <v>86</v>
      </c>
      <c r="E1099" s="11">
        <f t="shared" si="131"/>
        <v>57.11108055555556</v>
      </c>
      <c r="F1099" s="11">
        <f t="shared" si="132"/>
        <v>2.8459833333333333</v>
      </c>
      <c r="G1099" s="12" t="s">
        <v>144</v>
      </c>
      <c r="H1099" s="12" t="s">
        <v>47</v>
      </c>
      <c r="I1099">
        <v>2007</v>
      </c>
      <c r="J1099" s="12" t="s">
        <v>163</v>
      </c>
      <c r="K1099" s="2">
        <v>0</v>
      </c>
      <c r="M1099" s="33">
        <v>5.4833333299999998</v>
      </c>
      <c r="N1099" s="33">
        <v>2.05833333</v>
      </c>
      <c r="Z1099" s="27" t="s">
        <v>247</v>
      </c>
      <c r="AA1099" t="s">
        <v>223</v>
      </c>
    </row>
    <row r="1100" spans="1:27" x14ac:dyDescent="0.25">
      <c r="A1100" s="12">
        <v>124</v>
      </c>
      <c r="B1100">
        <v>43</v>
      </c>
      <c r="C1100">
        <f t="shared" si="130"/>
        <v>12443</v>
      </c>
      <c r="D1100" s="3" t="s">
        <v>86</v>
      </c>
      <c r="E1100" s="11">
        <f t="shared" si="131"/>
        <v>57.11108055555556</v>
      </c>
      <c r="F1100" s="11">
        <f t="shared" si="132"/>
        <v>2.8459833333333333</v>
      </c>
      <c r="G1100" s="12" t="s">
        <v>144</v>
      </c>
      <c r="H1100" s="12" t="s">
        <v>47</v>
      </c>
      <c r="I1100">
        <v>2008</v>
      </c>
      <c r="J1100" s="12" t="s">
        <v>163</v>
      </c>
      <c r="K1100" s="2">
        <v>0</v>
      </c>
      <c r="M1100" s="33">
        <v>28.425000000000001</v>
      </c>
      <c r="N1100" s="33">
        <v>5.6</v>
      </c>
      <c r="Z1100" s="27" t="s">
        <v>247</v>
      </c>
      <c r="AA1100" t="s">
        <v>223</v>
      </c>
    </row>
    <row r="1101" spans="1:27" x14ac:dyDescent="0.25">
      <c r="A1101" s="12">
        <v>124</v>
      </c>
      <c r="B1101">
        <v>43</v>
      </c>
      <c r="C1101">
        <f t="shared" si="130"/>
        <v>12443</v>
      </c>
      <c r="D1101" s="3" t="s">
        <v>86</v>
      </c>
      <c r="E1101" s="11">
        <f t="shared" si="131"/>
        <v>57.11108055555556</v>
      </c>
      <c r="F1101" s="11">
        <f t="shared" si="132"/>
        <v>2.8459833333333333</v>
      </c>
      <c r="G1101" s="12" t="s">
        <v>144</v>
      </c>
      <c r="H1101" s="12" t="s">
        <v>47</v>
      </c>
      <c r="I1101">
        <v>2009</v>
      </c>
      <c r="J1101" s="12" t="s">
        <v>163</v>
      </c>
      <c r="K1101" s="2">
        <v>0</v>
      </c>
      <c r="M1101" s="33">
        <v>21.766666669999999</v>
      </c>
      <c r="N1101" s="33">
        <v>5.59</v>
      </c>
      <c r="Z1101" s="27" t="s">
        <v>247</v>
      </c>
      <c r="AA1101" t="s">
        <v>223</v>
      </c>
    </row>
    <row r="1102" spans="1:27" x14ac:dyDescent="0.25">
      <c r="A1102" s="12">
        <v>124</v>
      </c>
      <c r="B1102">
        <v>43</v>
      </c>
      <c r="C1102">
        <f t="shared" si="130"/>
        <v>12443</v>
      </c>
      <c r="D1102" s="3" t="s">
        <v>86</v>
      </c>
      <c r="E1102" s="11">
        <f t="shared" si="131"/>
        <v>57.11108055555556</v>
      </c>
      <c r="F1102" s="11">
        <f t="shared" si="132"/>
        <v>2.8459833333333333</v>
      </c>
      <c r="G1102" s="12" t="s">
        <v>144</v>
      </c>
      <c r="H1102" s="12" t="s">
        <v>47</v>
      </c>
      <c r="I1102">
        <v>2010</v>
      </c>
      <c r="J1102" s="12" t="s">
        <v>163</v>
      </c>
      <c r="K1102" s="2">
        <v>0</v>
      </c>
      <c r="M1102" s="33">
        <v>12.074999999999999</v>
      </c>
      <c r="N1102" s="33">
        <v>5.2024999999999997</v>
      </c>
      <c r="Z1102" s="27" t="s">
        <v>247</v>
      </c>
      <c r="AA1102" t="s">
        <v>223</v>
      </c>
    </row>
    <row r="1103" spans="1:27" x14ac:dyDescent="0.25">
      <c r="A1103" s="12">
        <v>124</v>
      </c>
      <c r="B1103">
        <v>43</v>
      </c>
      <c r="C1103">
        <f t="shared" si="130"/>
        <v>12443</v>
      </c>
      <c r="D1103" s="3" t="s">
        <v>86</v>
      </c>
      <c r="E1103" s="11">
        <f t="shared" si="131"/>
        <v>57.11108055555556</v>
      </c>
      <c r="F1103" s="11">
        <f t="shared" si="132"/>
        <v>2.8459833333333333</v>
      </c>
      <c r="G1103" s="12" t="s">
        <v>144</v>
      </c>
      <c r="H1103" s="12" t="s">
        <v>47</v>
      </c>
      <c r="I1103">
        <v>2011</v>
      </c>
      <c r="J1103" s="12" t="s">
        <v>163</v>
      </c>
      <c r="K1103" s="2">
        <v>0</v>
      </c>
      <c r="M1103" s="33">
        <v>10.55</v>
      </c>
      <c r="N1103" s="33">
        <v>4.6749999999999998</v>
      </c>
      <c r="Z1103" s="27" t="s">
        <v>247</v>
      </c>
      <c r="AA1103" t="s">
        <v>223</v>
      </c>
    </row>
    <row r="1104" spans="1:27" x14ac:dyDescent="0.25">
      <c r="A1104" s="12">
        <v>124</v>
      </c>
      <c r="B1104">
        <v>43</v>
      </c>
      <c r="C1104">
        <f t="shared" si="130"/>
        <v>12443</v>
      </c>
      <c r="D1104" s="3" t="s">
        <v>86</v>
      </c>
      <c r="E1104" s="11">
        <f t="shared" si="131"/>
        <v>57.11108055555556</v>
      </c>
      <c r="F1104" s="11">
        <f t="shared" si="132"/>
        <v>2.8459833333333333</v>
      </c>
      <c r="G1104" s="12" t="s">
        <v>144</v>
      </c>
      <c r="H1104" s="12" t="s">
        <v>47</v>
      </c>
      <c r="I1104">
        <v>2012</v>
      </c>
      <c r="J1104" s="12" t="s">
        <v>163</v>
      </c>
      <c r="K1104" s="2">
        <v>0</v>
      </c>
      <c r="M1104" s="33">
        <v>5.1749999999999998</v>
      </c>
      <c r="N1104" s="33">
        <v>2.7374999999999998</v>
      </c>
      <c r="Z1104" s="27" t="s">
        <v>247</v>
      </c>
      <c r="AA1104" t="s">
        <v>223</v>
      </c>
    </row>
    <row r="1105" spans="1:27" x14ac:dyDescent="0.25">
      <c r="A1105" s="12">
        <v>124</v>
      </c>
      <c r="B1105">
        <v>43</v>
      </c>
      <c r="C1105">
        <f t="shared" si="130"/>
        <v>12443</v>
      </c>
      <c r="D1105" s="3" t="s">
        <v>86</v>
      </c>
      <c r="E1105" s="11">
        <f t="shared" si="131"/>
        <v>57.11108055555556</v>
      </c>
      <c r="F1105" s="11">
        <f t="shared" si="132"/>
        <v>2.8459833333333333</v>
      </c>
      <c r="G1105" s="12" t="s">
        <v>144</v>
      </c>
      <c r="H1105" s="12" t="s">
        <v>47</v>
      </c>
      <c r="I1105">
        <v>2013</v>
      </c>
      <c r="J1105" s="12" t="s">
        <v>163</v>
      </c>
      <c r="K1105" s="2">
        <v>0</v>
      </c>
      <c r="M1105" s="33">
        <v>7.6566341845999997</v>
      </c>
      <c r="N1105" s="33">
        <v>3.8129837589500002</v>
      </c>
      <c r="Z1105" s="27" t="s">
        <v>247</v>
      </c>
      <c r="AA1105" t="s">
        <v>223</v>
      </c>
    </row>
    <row r="1106" spans="1:27" x14ac:dyDescent="0.25">
      <c r="A1106" s="12">
        <v>124</v>
      </c>
      <c r="B1106">
        <v>43</v>
      </c>
      <c r="C1106">
        <f t="shared" si="130"/>
        <v>12443</v>
      </c>
      <c r="D1106" s="3" t="s">
        <v>86</v>
      </c>
      <c r="E1106" s="11">
        <f t="shared" si="131"/>
        <v>57.11108055555556</v>
      </c>
      <c r="F1106" s="11">
        <f t="shared" si="132"/>
        <v>2.8459833333333333</v>
      </c>
      <c r="G1106" s="12" t="s">
        <v>144</v>
      </c>
      <c r="H1106" s="12" t="s">
        <v>47</v>
      </c>
      <c r="I1106">
        <v>2014</v>
      </c>
      <c r="J1106" s="12" t="s">
        <v>163</v>
      </c>
      <c r="K1106" s="2">
        <v>0</v>
      </c>
      <c r="M1106" s="33">
        <v>6.1678585555999996</v>
      </c>
      <c r="N1106" s="33">
        <v>2.8272062945999998</v>
      </c>
      <c r="Z1106" s="27" t="s">
        <v>247</v>
      </c>
      <c r="AA1106" t="s">
        <v>223</v>
      </c>
    </row>
    <row r="1107" spans="1:27" x14ac:dyDescent="0.25">
      <c r="A1107" s="12">
        <v>124</v>
      </c>
      <c r="B1107">
        <v>43</v>
      </c>
      <c r="C1107">
        <f t="shared" si="130"/>
        <v>12443</v>
      </c>
      <c r="D1107" s="3" t="s">
        <v>86</v>
      </c>
      <c r="E1107" s="11">
        <f t="shared" si="131"/>
        <v>57.11108055555556</v>
      </c>
      <c r="F1107" s="11">
        <f t="shared" si="132"/>
        <v>2.8459833333333333</v>
      </c>
      <c r="G1107" s="12" t="s">
        <v>144</v>
      </c>
      <c r="H1107" s="12" t="s">
        <v>47</v>
      </c>
      <c r="I1107">
        <v>2015</v>
      </c>
      <c r="J1107" s="12" t="s">
        <v>163</v>
      </c>
      <c r="K1107" s="2">
        <v>0</v>
      </c>
      <c r="M1107" s="33">
        <v>9.0250000000000004</v>
      </c>
      <c r="N1107" s="33">
        <v>4.2350000000000003</v>
      </c>
      <c r="Z1107" s="27" t="s">
        <v>247</v>
      </c>
      <c r="AA1107" t="s">
        <v>223</v>
      </c>
    </row>
    <row r="1108" spans="1:27" x14ac:dyDescent="0.25">
      <c r="A1108" s="12">
        <v>124</v>
      </c>
      <c r="B1108">
        <v>43</v>
      </c>
      <c r="C1108">
        <f t="shared" si="130"/>
        <v>12443</v>
      </c>
      <c r="D1108" s="3" t="s">
        <v>86</v>
      </c>
      <c r="E1108" s="11">
        <f t="shared" si="131"/>
        <v>57.11108055555556</v>
      </c>
      <c r="F1108" s="11">
        <f t="shared" si="132"/>
        <v>2.8459833333333333</v>
      </c>
      <c r="G1108" s="12" t="s">
        <v>144</v>
      </c>
      <c r="H1108" s="12" t="s">
        <v>47</v>
      </c>
      <c r="I1108">
        <v>2016</v>
      </c>
      <c r="J1108" s="12" t="s">
        <v>163</v>
      </c>
      <c r="K1108" s="2">
        <v>0</v>
      </c>
      <c r="M1108" s="33">
        <v>11.45</v>
      </c>
      <c r="N1108" s="33">
        <v>5.1666666666666696</v>
      </c>
      <c r="Z1108" s="27" t="s">
        <v>247</v>
      </c>
      <c r="AA1108" t="s">
        <v>223</v>
      </c>
    </row>
    <row r="1109" spans="1:27" x14ac:dyDescent="0.25">
      <c r="A1109" s="12">
        <v>124</v>
      </c>
      <c r="B1109">
        <v>43</v>
      </c>
      <c r="C1109">
        <f t="shared" si="130"/>
        <v>12443</v>
      </c>
      <c r="D1109" s="3" t="s">
        <v>86</v>
      </c>
      <c r="E1109" s="11">
        <f t="shared" si="131"/>
        <v>57.11108055555556</v>
      </c>
      <c r="F1109" s="11">
        <f t="shared" si="132"/>
        <v>2.8459833333333333</v>
      </c>
      <c r="G1109" s="12" t="s">
        <v>144</v>
      </c>
      <c r="H1109" s="12" t="s">
        <v>47</v>
      </c>
      <c r="I1109">
        <v>2017</v>
      </c>
      <c r="J1109" s="12" t="s">
        <v>163</v>
      </c>
      <c r="K1109" s="2">
        <v>0</v>
      </c>
      <c r="M1109" s="33">
        <v>12.1246774756556</v>
      </c>
      <c r="N1109" s="33">
        <v>5.1119139654222199</v>
      </c>
      <c r="Z1109" s="27" t="s">
        <v>247</v>
      </c>
      <c r="AA1109" t="s">
        <v>223</v>
      </c>
    </row>
    <row r="1110" spans="1:27" x14ac:dyDescent="0.25">
      <c r="A1110" s="12">
        <v>124</v>
      </c>
      <c r="B1110">
        <v>43</v>
      </c>
      <c r="C1110">
        <f t="shared" si="130"/>
        <v>12443</v>
      </c>
      <c r="D1110" s="3" t="s">
        <v>86</v>
      </c>
      <c r="E1110" s="11">
        <f t="shared" si="131"/>
        <v>57.11108055555556</v>
      </c>
      <c r="F1110" s="11">
        <f t="shared" si="132"/>
        <v>2.8459833333333333</v>
      </c>
      <c r="G1110" s="12" t="s">
        <v>144</v>
      </c>
      <c r="H1110" s="12" t="s">
        <v>47</v>
      </c>
      <c r="I1110">
        <v>2018</v>
      </c>
      <c r="J1110" s="12" t="s">
        <v>163</v>
      </c>
      <c r="K1110" s="2">
        <v>0</v>
      </c>
      <c r="M1110" s="33">
        <v>12.511743456925</v>
      </c>
      <c r="N1110" s="33">
        <v>5.8432227480750001</v>
      </c>
      <c r="Z1110" s="27" t="s">
        <v>247</v>
      </c>
      <c r="AA1110" t="s">
        <v>223</v>
      </c>
    </row>
    <row r="1111" spans="1:27" x14ac:dyDescent="0.25">
      <c r="A1111" s="12">
        <v>124</v>
      </c>
      <c r="B1111">
        <v>43</v>
      </c>
      <c r="C1111">
        <f t="shared" si="130"/>
        <v>12443</v>
      </c>
      <c r="D1111" s="3" t="s">
        <v>86</v>
      </c>
      <c r="E1111" s="11">
        <f t="shared" si="131"/>
        <v>57.11108055555556</v>
      </c>
      <c r="F1111" s="11">
        <f t="shared" si="132"/>
        <v>2.8459833333333333</v>
      </c>
      <c r="G1111" s="12" t="s">
        <v>144</v>
      </c>
      <c r="H1111" s="12" t="s">
        <v>47</v>
      </c>
      <c r="I1111">
        <v>2019</v>
      </c>
      <c r="J1111" s="12" t="s">
        <v>163</v>
      </c>
      <c r="K1111" s="2">
        <v>0</v>
      </c>
      <c r="M1111" s="33">
        <v>9.7478024322285695</v>
      </c>
      <c r="N1111" s="33">
        <v>4.8731643270857097</v>
      </c>
      <c r="Z1111" s="27" t="s">
        <v>247</v>
      </c>
      <c r="AA1111" t="s">
        <v>223</v>
      </c>
    </row>
    <row r="1112" spans="1:27" x14ac:dyDescent="0.25">
      <c r="A1112" s="12">
        <v>124</v>
      </c>
      <c r="B1112">
        <v>43</v>
      </c>
      <c r="C1112">
        <f t="shared" si="130"/>
        <v>12443</v>
      </c>
      <c r="D1112" s="3" t="s">
        <v>86</v>
      </c>
      <c r="E1112" s="11">
        <f t="shared" si="131"/>
        <v>57.11108055555556</v>
      </c>
      <c r="F1112" s="11">
        <f t="shared" si="132"/>
        <v>2.8459833333333333</v>
      </c>
      <c r="G1112" s="12" t="s">
        <v>144</v>
      </c>
      <c r="H1112" s="12" t="s">
        <v>47</v>
      </c>
      <c r="I1112">
        <v>2020</v>
      </c>
      <c r="J1112" s="12" t="s">
        <v>163</v>
      </c>
      <c r="K1112" s="2">
        <v>0</v>
      </c>
      <c r="M1112" s="33">
        <v>9.3348951867000007</v>
      </c>
      <c r="N1112" s="33">
        <v>4.9416545642833301</v>
      </c>
      <c r="Z1112" s="27" t="s">
        <v>247</v>
      </c>
      <c r="AA1112" t="s">
        <v>223</v>
      </c>
    </row>
    <row r="1113" spans="1:27" x14ac:dyDescent="0.25">
      <c r="A1113" s="12">
        <v>124</v>
      </c>
      <c r="B1113">
        <v>43</v>
      </c>
      <c r="C1113">
        <f t="shared" si="130"/>
        <v>12443</v>
      </c>
      <c r="D1113" s="3" t="s">
        <v>86</v>
      </c>
      <c r="E1113" s="11">
        <f t="shared" si="131"/>
        <v>57.11108055555556</v>
      </c>
      <c r="F1113" s="11">
        <f t="shared" si="132"/>
        <v>2.8459833333333333</v>
      </c>
      <c r="G1113" s="12" t="s">
        <v>144</v>
      </c>
      <c r="H1113" s="12" t="s">
        <v>47</v>
      </c>
      <c r="I1113">
        <v>2021</v>
      </c>
      <c r="J1113" s="12" t="s">
        <v>163</v>
      </c>
      <c r="K1113" s="2">
        <v>0</v>
      </c>
      <c r="M1113" s="33">
        <v>6.4353059410000002</v>
      </c>
      <c r="N1113" s="33">
        <v>3.83341949215</v>
      </c>
      <c r="Z1113" s="27" t="s">
        <v>247</v>
      </c>
      <c r="AA1113" t="s">
        <v>223</v>
      </c>
    </row>
    <row r="1114" spans="1:27" x14ac:dyDescent="0.25">
      <c r="A1114" s="12">
        <v>124</v>
      </c>
      <c r="B1114">
        <v>44</v>
      </c>
      <c r="C1114">
        <f t="shared" si="130"/>
        <v>12444</v>
      </c>
      <c r="D1114" s="3" t="s">
        <v>86</v>
      </c>
      <c r="E1114" s="11">
        <f>61+2/60+26.38/3600</f>
        <v>61.040661111111106</v>
      </c>
      <c r="F1114" s="11">
        <f>2+20/60+20.43/3600</f>
        <v>2.3390083333333336</v>
      </c>
      <c r="G1114" s="12" t="s">
        <v>144</v>
      </c>
      <c r="H1114" s="12" t="s">
        <v>47</v>
      </c>
      <c r="I1114">
        <v>2015</v>
      </c>
      <c r="J1114" s="12" t="s">
        <v>163</v>
      </c>
      <c r="K1114" s="2">
        <v>0</v>
      </c>
      <c r="M1114" s="33">
        <v>5.9766666666666701</v>
      </c>
      <c r="N1114" s="33">
        <v>6.5033333333333303</v>
      </c>
      <c r="Z1114" s="27" t="s">
        <v>247</v>
      </c>
      <c r="AA1114" t="s">
        <v>240</v>
      </c>
    </row>
    <row r="1115" spans="1:27" x14ac:dyDescent="0.25">
      <c r="A1115" s="12">
        <v>124</v>
      </c>
      <c r="B1115">
        <v>44</v>
      </c>
      <c r="C1115">
        <f t="shared" si="130"/>
        <v>12444</v>
      </c>
      <c r="D1115" s="3" t="s">
        <v>86</v>
      </c>
      <c r="E1115" s="11">
        <f t="shared" ref="E1115:E1120" si="133">61+2/60+26.38/3600</f>
        <v>61.040661111111106</v>
      </c>
      <c r="F1115" s="11">
        <f t="shared" ref="F1115:F1120" si="134">2+20/60+20.43/3600</f>
        <v>2.3390083333333336</v>
      </c>
      <c r="G1115" s="12" t="s">
        <v>144</v>
      </c>
      <c r="H1115" s="12" t="s">
        <v>47</v>
      </c>
      <c r="I1115">
        <v>2016</v>
      </c>
      <c r="J1115" s="12" t="s">
        <v>163</v>
      </c>
      <c r="K1115" s="2">
        <v>0</v>
      </c>
      <c r="M1115" s="33">
        <v>8.35</v>
      </c>
      <c r="N1115" s="33">
        <v>8.66</v>
      </c>
      <c r="Z1115" s="27" t="s">
        <v>247</v>
      </c>
      <c r="AA1115" t="s">
        <v>240</v>
      </c>
    </row>
    <row r="1116" spans="1:27" x14ac:dyDescent="0.25">
      <c r="A1116" s="12">
        <v>124</v>
      </c>
      <c r="B1116">
        <v>44</v>
      </c>
      <c r="C1116">
        <f t="shared" si="130"/>
        <v>12444</v>
      </c>
      <c r="D1116" s="3" t="s">
        <v>86</v>
      </c>
      <c r="E1116" s="11">
        <f t="shared" si="133"/>
        <v>61.040661111111106</v>
      </c>
      <c r="F1116" s="11">
        <f t="shared" si="134"/>
        <v>2.3390083333333336</v>
      </c>
      <c r="G1116" s="12" t="s">
        <v>144</v>
      </c>
      <c r="H1116" s="12" t="s">
        <v>47</v>
      </c>
      <c r="I1116">
        <v>2017</v>
      </c>
      <c r="J1116" s="12" t="s">
        <v>163</v>
      </c>
      <c r="K1116" s="2">
        <v>0</v>
      </c>
      <c r="M1116" s="33">
        <v>9.4700000000000006</v>
      </c>
      <c r="N1116" s="33">
        <v>9.4600000000000009</v>
      </c>
      <c r="Z1116" s="27" t="s">
        <v>247</v>
      </c>
      <c r="AA1116" t="s">
        <v>240</v>
      </c>
    </row>
    <row r="1117" spans="1:27" x14ac:dyDescent="0.25">
      <c r="A1117" s="12">
        <v>124</v>
      </c>
      <c r="B1117">
        <v>44</v>
      </c>
      <c r="C1117">
        <f t="shared" si="130"/>
        <v>12444</v>
      </c>
      <c r="D1117" s="3" t="s">
        <v>86</v>
      </c>
      <c r="E1117" s="11">
        <f t="shared" si="133"/>
        <v>61.040661111111106</v>
      </c>
      <c r="F1117" s="11">
        <f t="shared" si="134"/>
        <v>2.3390083333333336</v>
      </c>
      <c r="G1117" s="12" t="s">
        <v>144</v>
      </c>
      <c r="H1117" s="12" t="s">
        <v>47</v>
      </c>
      <c r="I1117">
        <v>2018</v>
      </c>
      <c r="J1117" s="12" t="s">
        <v>163</v>
      </c>
      <c r="K1117" s="2">
        <v>0</v>
      </c>
      <c r="M1117" s="33">
        <v>9.6449999999999996</v>
      </c>
      <c r="N1117" s="33">
        <v>12.315</v>
      </c>
      <c r="Z1117" s="27" t="s">
        <v>247</v>
      </c>
      <c r="AA1117" t="s">
        <v>240</v>
      </c>
    </row>
    <row r="1118" spans="1:27" x14ac:dyDescent="0.25">
      <c r="A1118" s="12">
        <v>124</v>
      </c>
      <c r="B1118">
        <v>44</v>
      </c>
      <c r="C1118">
        <f t="shared" si="130"/>
        <v>12444</v>
      </c>
      <c r="D1118" s="3" t="s">
        <v>86</v>
      </c>
      <c r="E1118" s="11">
        <f t="shared" si="133"/>
        <v>61.040661111111106</v>
      </c>
      <c r="F1118" s="11">
        <f t="shared" si="134"/>
        <v>2.3390083333333336</v>
      </c>
      <c r="G1118" s="12" t="s">
        <v>144</v>
      </c>
      <c r="H1118" s="12" t="s">
        <v>47</v>
      </c>
      <c r="I1118">
        <v>2019</v>
      </c>
      <c r="J1118" s="12" t="s">
        <v>163</v>
      </c>
      <c r="K1118" s="2">
        <v>0</v>
      </c>
      <c r="M1118" s="33">
        <v>11.85</v>
      </c>
      <c r="N1118" s="33">
        <v>12.2</v>
      </c>
      <c r="Z1118" s="27" t="s">
        <v>247</v>
      </c>
      <c r="AA1118" t="s">
        <v>240</v>
      </c>
    </row>
    <row r="1119" spans="1:27" x14ac:dyDescent="0.25">
      <c r="A1119" s="12">
        <v>124</v>
      </c>
      <c r="B1119">
        <v>44</v>
      </c>
      <c r="C1119">
        <f t="shared" si="130"/>
        <v>12444</v>
      </c>
      <c r="D1119" s="3" t="s">
        <v>86</v>
      </c>
      <c r="E1119" s="11">
        <f t="shared" si="133"/>
        <v>61.040661111111106</v>
      </c>
      <c r="F1119" s="11">
        <f t="shared" si="134"/>
        <v>2.3390083333333336</v>
      </c>
      <c r="G1119" s="12" t="s">
        <v>144</v>
      </c>
      <c r="H1119" s="12" t="s">
        <v>47</v>
      </c>
      <c r="I1119">
        <v>2020</v>
      </c>
      <c r="J1119" s="12" t="s">
        <v>163</v>
      </c>
      <c r="K1119" s="2">
        <v>0</v>
      </c>
      <c r="M1119" s="33">
        <v>10.7983333333333</v>
      </c>
      <c r="N1119" s="33">
        <v>12.6933333333333</v>
      </c>
      <c r="Z1119" s="27" t="s">
        <v>247</v>
      </c>
      <c r="AA1119" t="s">
        <v>240</v>
      </c>
    </row>
    <row r="1120" spans="1:27" x14ac:dyDescent="0.25">
      <c r="A1120" s="12">
        <v>124</v>
      </c>
      <c r="B1120">
        <v>44</v>
      </c>
      <c r="C1120">
        <f t="shared" si="130"/>
        <v>12444</v>
      </c>
      <c r="D1120" s="3" t="s">
        <v>86</v>
      </c>
      <c r="E1120" s="11">
        <f t="shared" si="133"/>
        <v>61.040661111111106</v>
      </c>
      <c r="F1120" s="11">
        <f t="shared" si="134"/>
        <v>2.3390083333333336</v>
      </c>
      <c r="G1120" s="12" t="s">
        <v>144</v>
      </c>
      <c r="H1120" s="12" t="s">
        <v>47</v>
      </c>
      <c r="I1120">
        <v>2021</v>
      </c>
      <c r="J1120" s="12" t="s">
        <v>163</v>
      </c>
      <c r="K1120" s="2">
        <v>0</v>
      </c>
      <c r="M1120" s="33">
        <v>11.209250000000001</v>
      </c>
      <c r="N1120" s="33">
        <v>13.25</v>
      </c>
      <c r="Z1120" s="27" t="s">
        <v>247</v>
      </c>
      <c r="AA1120" t="s">
        <v>240</v>
      </c>
    </row>
    <row r="1121" spans="1:27" x14ac:dyDescent="0.25">
      <c r="A1121" s="12">
        <v>124</v>
      </c>
      <c r="B1121">
        <v>45</v>
      </c>
      <c r="C1121">
        <f t="shared" si="130"/>
        <v>12445</v>
      </c>
      <c r="D1121" s="3" t="s">
        <v>86</v>
      </c>
      <c r="E1121" s="11">
        <f>56+16/60+41.39/3600</f>
        <v>56.278163888888891</v>
      </c>
      <c r="F1121" s="11">
        <f>3+23/60+43.19/3600</f>
        <v>3.3953305555555557</v>
      </c>
      <c r="G1121" s="12" t="s">
        <v>144</v>
      </c>
      <c r="H1121" s="12" t="s">
        <v>47</v>
      </c>
      <c r="I1121">
        <v>2002</v>
      </c>
      <c r="J1121" s="12" t="s">
        <v>163</v>
      </c>
      <c r="K1121" s="2">
        <v>0</v>
      </c>
      <c r="M1121" s="33">
        <v>5.2</v>
      </c>
      <c r="N1121" s="33"/>
      <c r="Z1121" s="27" t="s">
        <v>247</v>
      </c>
      <c r="AA1121" t="s">
        <v>224</v>
      </c>
    </row>
    <row r="1122" spans="1:27" x14ac:dyDescent="0.25">
      <c r="A1122" s="12">
        <v>124</v>
      </c>
      <c r="B1122">
        <v>45</v>
      </c>
      <c r="C1122">
        <f t="shared" si="130"/>
        <v>12445</v>
      </c>
      <c r="D1122" s="3" t="s">
        <v>86</v>
      </c>
      <c r="E1122" s="11">
        <f t="shared" ref="E1122:E1140" si="135">56+16/60+41.39/3600</f>
        <v>56.278163888888891</v>
      </c>
      <c r="F1122" s="11">
        <f t="shared" ref="F1122:F1140" si="136">3+23/60+43.19/3600</f>
        <v>3.3953305555555557</v>
      </c>
      <c r="G1122" s="12" t="s">
        <v>144</v>
      </c>
      <c r="H1122" s="12" t="s">
        <v>47</v>
      </c>
      <c r="I1122">
        <v>2003</v>
      </c>
      <c r="J1122" s="12" t="s">
        <v>163</v>
      </c>
      <c r="K1122" s="2">
        <v>0</v>
      </c>
      <c r="M1122" s="33">
        <v>5.8</v>
      </c>
      <c r="N1122" s="33"/>
      <c r="Z1122" s="27" t="s">
        <v>247</v>
      </c>
      <c r="AA1122" t="s">
        <v>224</v>
      </c>
    </row>
    <row r="1123" spans="1:27" x14ac:dyDescent="0.25">
      <c r="A1123" s="12">
        <v>124</v>
      </c>
      <c r="B1123">
        <v>45</v>
      </c>
      <c r="C1123">
        <f t="shared" si="130"/>
        <v>12445</v>
      </c>
      <c r="D1123" s="3" t="s">
        <v>86</v>
      </c>
      <c r="E1123" s="11">
        <f t="shared" si="135"/>
        <v>56.278163888888891</v>
      </c>
      <c r="F1123" s="11">
        <f t="shared" si="136"/>
        <v>3.3953305555555557</v>
      </c>
      <c r="G1123" s="12" t="s">
        <v>144</v>
      </c>
      <c r="H1123" s="12" t="s">
        <v>47</v>
      </c>
      <c r="I1123">
        <v>2004</v>
      </c>
      <c r="J1123" s="12" t="s">
        <v>163</v>
      </c>
      <c r="K1123" s="2">
        <v>0</v>
      </c>
      <c r="M1123" s="33">
        <v>6.1</v>
      </c>
      <c r="N1123" s="33"/>
      <c r="Z1123" s="27" t="s">
        <v>247</v>
      </c>
      <c r="AA1123" t="s">
        <v>224</v>
      </c>
    </row>
    <row r="1124" spans="1:27" x14ac:dyDescent="0.25">
      <c r="A1124" s="12">
        <v>124</v>
      </c>
      <c r="B1124">
        <v>45</v>
      </c>
      <c r="C1124">
        <f t="shared" si="130"/>
        <v>12445</v>
      </c>
      <c r="D1124" s="3" t="s">
        <v>86</v>
      </c>
      <c r="E1124" s="11">
        <f t="shared" si="135"/>
        <v>56.278163888888891</v>
      </c>
      <c r="F1124" s="11">
        <f t="shared" si="136"/>
        <v>3.3953305555555557</v>
      </c>
      <c r="G1124" s="12" t="s">
        <v>144</v>
      </c>
      <c r="H1124" s="12" t="s">
        <v>47</v>
      </c>
      <c r="I1124">
        <v>2005</v>
      </c>
      <c r="J1124" s="12" t="s">
        <v>163</v>
      </c>
      <c r="K1124" s="2">
        <v>0</v>
      </c>
      <c r="M1124" s="33">
        <v>5.6666666699999997</v>
      </c>
      <c r="N1124" s="33">
        <v>1.3966666700000001</v>
      </c>
      <c r="Z1124" s="27" t="s">
        <v>247</v>
      </c>
      <c r="AA1124" t="s">
        <v>224</v>
      </c>
    </row>
    <row r="1125" spans="1:27" x14ac:dyDescent="0.25">
      <c r="A1125" s="12">
        <v>124</v>
      </c>
      <c r="B1125">
        <v>45</v>
      </c>
      <c r="C1125">
        <f t="shared" si="130"/>
        <v>12445</v>
      </c>
      <c r="D1125" s="3" t="s">
        <v>86</v>
      </c>
      <c r="E1125" s="11">
        <f t="shared" si="135"/>
        <v>56.278163888888891</v>
      </c>
      <c r="F1125" s="11">
        <f t="shared" si="136"/>
        <v>3.3953305555555557</v>
      </c>
      <c r="G1125" s="12" t="s">
        <v>144</v>
      </c>
      <c r="H1125" s="12" t="s">
        <v>47</v>
      </c>
      <c r="I1125">
        <v>2006</v>
      </c>
      <c r="J1125" s="12" t="s">
        <v>163</v>
      </c>
      <c r="K1125" s="2">
        <v>0</v>
      </c>
      <c r="M1125" s="33">
        <v>5.3125</v>
      </c>
      <c r="N1125" s="33">
        <v>1.605</v>
      </c>
      <c r="Z1125" s="27" t="s">
        <v>247</v>
      </c>
      <c r="AA1125" t="s">
        <v>224</v>
      </c>
    </row>
    <row r="1126" spans="1:27" x14ac:dyDescent="0.25">
      <c r="A1126" s="12">
        <v>124</v>
      </c>
      <c r="B1126">
        <v>45</v>
      </c>
      <c r="C1126">
        <f t="shared" si="130"/>
        <v>12445</v>
      </c>
      <c r="D1126" s="3" t="s">
        <v>86</v>
      </c>
      <c r="E1126" s="11">
        <f t="shared" si="135"/>
        <v>56.278163888888891</v>
      </c>
      <c r="F1126" s="11">
        <f t="shared" si="136"/>
        <v>3.3953305555555557</v>
      </c>
      <c r="G1126" s="12" t="s">
        <v>144</v>
      </c>
      <c r="H1126" s="12" t="s">
        <v>47</v>
      </c>
      <c r="I1126">
        <v>2007</v>
      </c>
      <c r="J1126" s="12" t="s">
        <v>163</v>
      </c>
      <c r="K1126" s="2">
        <v>0</v>
      </c>
      <c r="M1126" s="33">
        <v>4.8833333300000001</v>
      </c>
      <c r="N1126" s="33">
        <v>1.70166667</v>
      </c>
      <c r="Z1126" s="27" t="s">
        <v>247</v>
      </c>
      <c r="AA1126" t="s">
        <v>224</v>
      </c>
    </row>
    <row r="1127" spans="1:27" x14ac:dyDescent="0.25">
      <c r="A1127" s="12">
        <v>124</v>
      </c>
      <c r="B1127">
        <v>45</v>
      </c>
      <c r="C1127">
        <f t="shared" si="130"/>
        <v>12445</v>
      </c>
      <c r="D1127" s="3" t="s">
        <v>86</v>
      </c>
      <c r="E1127" s="11">
        <f t="shared" si="135"/>
        <v>56.278163888888891</v>
      </c>
      <c r="F1127" s="11">
        <f t="shared" si="136"/>
        <v>3.3953305555555557</v>
      </c>
      <c r="G1127" s="12" t="s">
        <v>144</v>
      </c>
      <c r="H1127" s="12" t="s">
        <v>47</v>
      </c>
      <c r="I1127">
        <v>2008</v>
      </c>
      <c r="J1127" s="12" t="s">
        <v>163</v>
      </c>
      <c r="K1127" s="2">
        <v>0</v>
      </c>
      <c r="M1127" s="33">
        <v>4.0999999999999996</v>
      </c>
      <c r="N1127" s="33">
        <v>1.7</v>
      </c>
      <c r="Z1127" s="27" t="s">
        <v>247</v>
      </c>
      <c r="AA1127" t="s">
        <v>224</v>
      </c>
    </row>
    <row r="1128" spans="1:27" x14ac:dyDescent="0.25">
      <c r="A1128" s="12">
        <v>124</v>
      </c>
      <c r="B1128">
        <v>45</v>
      </c>
      <c r="C1128">
        <f t="shared" si="130"/>
        <v>12445</v>
      </c>
      <c r="D1128" s="3" t="s">
        <v>86</v>
      </c>
      <c r="E1128" s="11">
        <f t="shared" si="135"/>
        <v>56.278163888888891</v>
      </c>
      <c r="F1128" s="11">
        <f t="shared" si="136"/>
        <v>3.3953305555555557</v>
      </c>
      <c r="G1128" s="12" t="s">
        <v>144</v>
      </c>
      <c r="H1128" s="12" t="s">
        <v>47</v>
      </c>
      <c r="I1128">
        <v>2009</v>
      </c>
      <c r="J1128" s="12" t="s">
        <v>163</v>
      </c>
      <c r="K1128" s="2">
        <v>0</v>
      </c>
      <c r="M1128" s="33">
        <v>4.3250000000000002</v>
      </c>
      <c r="N1128" s="33">
        <v>1.44</v>
      </c>
      <c r="Z1128" s="27" t="s">
        <v>247</v>
      </c>
      <c r="AA1128" t="s">
        <v>224</v>
      </c>
    </row>
    <row r="1129" spans="1:27" x14ac:dyDescent="0.25">
      <c r="A1129" s="12">
        <v>124</v>
      </c>
      <c r="B1129">
        <v>45</v>
      </c>
      <c r="C1129">
        <f t="shared" si="130"/>
        <v>12445</v>
      </c>
      <c r="D1129" s="3" t="s">
        <v>86</v>
      </c>
      <c r="E1129" s="11">
        <f t="shared" si="135"/>
        <v>56.278163888888891</v>
      </c>
      <c r="F1129" s="11">
        <f t="shared" si="136"/>
        <v>3.3953305555555557</v>
      </c>
      <c r="G1129" s="12" t="s">
        <v>144</v>
      </c>
      <c r="H1129" s="12" t="s">
        <v>47</v>
      </c>
      <c r="I1129">
        <v>2010</v>
      </c>
      <c r="J1129" s="12" t="s">
        <v>163</v>
      </c>
      <c r="K1129" s="2">
        <v>0</v>
      </c>
      <c r="M1129" s="33">
        <v>5.375</v>
      </c>
      <c r="N1129" s="33">
        <v>1.6924999999999999</v>
      </c>
      <c r="Z1129" s="27" t="s">
        <v>247</v>
      </c>
      <c r="AA1129" t="s">
        <v>224</v>
      </c>
    </row>
    <row r="1130" spans="1:27" x14ac:dyDescent="0.25">
      <c r="A1130" s="12">
        <v>124</v>
      </c>
      <c r="B1130">
        <v>45</v>
      </c>
      <c r="C1130">
        <f t="shared" si="130"/>
        <v>12445</v>
      </c>
      <c r="D1130" s="3" t="s">
        <v>86</v>
      </c>
      <c r="E1130" s="11">
        <f t="shared" si="135"/>
        <v>56.278163888888891</v>
      </c>
      <c r="F1130" s="11">
        <f t="shared" si="136"/>
        <v>3.3953305555555557</v>
      </c>
      <c r="G1130" s="12" t="s">
        <v>144</v>
      </c>
      <c r="H1130" s="12" t="s">
        <v>47</v>
      </c>
      <c r="I1130">
        <v>2011</v>
      </c>
      <c r="J1130" s="12" t="s">
        <v>163</v>
      </c>
      <c r="K1130" s="2">
        <v>0</v>
      </c>
      <c r="M1130" s="33">
        <v>2.8</v>
      </c>
      <c r="N1130" s="33">
        <v>1.3866666700000001</v>
      </c>
      <c r="Z1130" s="27" t="s">
        <v>247</v>
      </c>
      <c r="AA1130" t="s">
        <v>224</v>
      </c>
    </row>
    <row r="1131" spans="1:27" x14ac:dyDescent="0.25">
      <c r="A1131" s="12">
        <v>124</v>
      </c>
      <c r="B1131">
        <v>45</v>
      </c>
      <c r="C1131">
        <f t="shared" si="130"/>
        <v>12445</v>
      </c>
      <c r="D1131" s="3" t="s">
        <v>86</v>
      </c>
      <c r="E1131" s="11">
        <f t="shared" si="135"/>
        <v>56.278163888888891</v>
      </c>
      <c r="F1131" s="11">
        <f t="shared" si="136"/>
        <v>3.3953305555555557</v>
      </c>
      <c r="G1131" s="12" t="s">
        <v>144</v>
      </c>
      <c r="H1131" s="12" t="s">
        <v>47</v>
      </c>
      <c r="I1131">
        <v>2012</v>
      </c>
      <c r="J1131" s="12" t="s">
        <v>163</v>
      </c>
      <c r="K1131" s="2">
        <v>0</v>
      </c>
      <c r="M1131" s="33">
        <v>2.15</v>
      </c>
      <c r="N1131" s="33">
        <v>1.595</v>
      </c>
      <c r="Z1131" s="27" t="s">
        <v>247</v>
      </c>
      <c r="AA1131" t="s">
        <v>224</v>
      </c>
    </row>
    <row r="1132" spans="1:27" x14ac:dyDescent="0.25">
      <c r="A1132" s="12">
        <v>124</v>
      </c>
      <c r="B1132">
        <v>45</v>
      </c>
      <c r="C1132">
        <f t="shared" si="130"/>
        <v>12445</v>
      </c>
      <c r="D1132" s="3" t="s">
        <v>86</v>
      </c>
      <c r="E1132" s="11">
        <f t="shared" si="135"/>
        <v>56.278163888888891</v>
      </c>
      <c r="F1132" s="11">
        <f t="shared" si="136"/>
        <v>3.3953305555555557</v>
      </c>
      <c r="G1132" s="12" t="s">
        <v>144</v>
      </c>
      <c r="H1132" s="12" t="s">
        <v>47</v>
      </c>
      <c r="I1132">
        <v>2013</v>
      </c>
      <c r="J1132" s="12" t="s">
        <v>163</v>
      </c>
      <c r="K1132" s="2">
        <v>0</v>
      </c>
      <c r="M1132" s="33">
        <v>1.6393624161</v>
      </c>
      <c r="N1132" s="33">
        <v>0.89999440715000001</v>
      </c>
      <c r="Z1132" s="27" t="s">
        <v>247</v>
      </c>
      <c r="AA1132" t="s">
        <v>224</v>
      </c>
    </row>
    <row r="1133" spans="1:27" x14ac:dyDescent="0.25">
      <c r="A1133" s="12">
        <v>124</v>
      </c>
      <c r="B1133">
        <v>45</v>
      </c>
      <c r="C1133">
        <f t="shared" si="130"/>
        <v>12445</v>
      </c>
      <c r="D1133" s="3" t="s">
        <v>86</v>
      </c>
      <c r="E1133" s="11">
        <f t="shared" si="135"/>
        <v>56.278163888888891</v>
      </c>
      <c r="F1133" s="11">
        <f t="shared" si="136"/>
        <v>3.3953305555555557</v>
      </c>
      <c r="G1133" s="12" t="s">
        <v>144</v>
      </c>
      <c r="H1133" s="12" t="s">
        <v>47</v>
      </c>
      <c r="I1133">
        <v>2014</v>
      </c>
      <c r="J1133" s="12" t="s">
        <v>163</v>
      </c>
      <c r="K1133" s="2">
        <v>0</v>
      </c>
      <c r="M1133" s="33">
        <v>2.5662552434888899</v>
      </c>
      <c r="N1133" s="33">
        <v>1.2754371495222201</v>
      </c>
      <c r="Z1133" s="27" t="s">
        <v>247</v>
      </c>
      <c r="AA1133" t="s">
        <v>224</v>
      </c>
    </row>
    <row r="1134" spans="1:27" x14ac:dyDescent="0.25">
      <c r="A1134" s="12">
        <v>124</v>
      </c>
      <c r="B1134">
        <v>45</v>
      </c>
      <c r="C1134">
        <f t="shared" si="130"/>
        <v>12445</v>
      </c>
      <c r="D1134" s="3" t="s">
        <v>86</v>
      </c>
      <c r="E1134" s="11">
        <f t="shared" si="135"/>
        <v>56.278163888888891</v>
      </c>
      <c r="F1134" s="11">
        <f t="shared" si="136"/>
        <v>3.3953305555555557</v>
      </c>
      <c r="G1134" s="12" t="s">
        <v>144</v>
      </c>
      <c r="H1134" s="12" t="s">
        <v>47</v>
      </c>
      <c r="I1134">
        <v>2015</v>
      </c>
      <c r="J1134" s="12" t="s">
        <v>163</v>
      </c>
      <c r="K1134" s="2">
        <v>0</v>
      </c>
      <c r="M1134" s="33">
        <v>1.4750000000000001</v>
      </c>
      <c r="N1134" s="33">
        <v>1.1625000000000001</v>
      </c>
      <c r="Z1134" s="27" t="s">
        <v>247</v>
      </c>
      <c r="AA1134" t="s">
        <v>224</v>
      </c>
    </row>
    <row r="1135" spans="1:27" x14ac:dyDescent="0.25">
      <c r="A1135" s="12">
        <v>124</v>
      </c>
      <c r="B1135">
        <v>45</v>
      </c>
      <c r="C1135">
        <f t="shared" si="130"/>
        <v>12445</v>
      </c>
      <c r="D1135" s="3" t="s">
        <v>86</v>
      </c>
      <c r="E1135" s="11">
        <f t="shared" si="135"/>
        <v>56.278163888888891</v>
      </c>
      <c r="F1135" s="11">
        <f t="shared" si="136"/>
        <v>3.3953305555555557</v>
      </c>
      <c r="G1135" s="12" t="s">
        <v>144</v>
      </c>
      <c r="H1135" s="12" t="s">
        <v>47</v>
      </c>
      <c r="I1135">
        <v>2016</v>
      </c>
      <c r="J1135" s="12" t="s">
        <v>163</v>
      </c>
      <c r="K1135" s="2">
        <v>0</v>
      </c>
      <c r="M1135" s="33">
        <v>1.2249921654</v>
      </c>
      <c r="N1135" s="33">
        <v>0.68999655278000005</v>
      </c>
      <c r="Z1135" s="27" t="s">
        <v>247</v>
      </c>
      <c r="AA1135" t="s">
        <v>224</v>
      </c>
    </row>
    <row r="1136" spans="1:27" x14ac:dyDescent="0.25">
      <c r="A1136" s="12">
        <v>124</v>
      </c>
      <c r="B1136">
        <v>45</v>
      </c>
      <c r="C1136">
        <f t="shared" si="130"/>
        <v>12445</v>
      </c>
      <c r="D1136" s="3" t="s">
        <v>86</v>
      </c>
      <c r="E1136" s="11">
        <f t="shared" si="135"/>
        <v>56.278163888888891</v>
      </c>
      <c r="F1136" s="11">
        <f t="shared" si="136"/>
        <v>3.3953305555555557</v>
      </c>
      <c r="G1136" s="12" t="s">
        <v>144</v>
      </c>
      <c r="H1136" s="12" t="s">
        <v>47</v>
      </c>
      <c r="I1136">
        <v>2017</v>
      </c>
      <c r="J1136" s="12" t="s">
        <v>163</v>
      </c>
      <c r="K1136" s="2">
        <v>0</v>
      </c>
      <c r="M1136" s="33">
        <v>0.90525783997142895</v>
      </c>
      <c r="N1136" s="33">
        <v>0.58450288622222202</v>
      </c>
      <c r="Z1136" s="27" t="s">
        <v>247</v>
      </c>
      <c r="AA1136" t="s">
        <v>224</v>
      </c>
    </row>
    <row r="1137" spans="1:27" x14ac:dyDescent="0.25">
      <c r="A1137" s="12">
        <v>124</v>
      </c>
      <c r="B1137">
        <v>45</v>
      </c>
      <c r="C1137">
        <f t="shared" si="130"/>
        <v>12445</v>
      </c>
      <c r="D1137" s="3" t="s">
        <v>86</v>
      </c>
      <c r="E1137" s="11">
        <f t="shared" si="135"/>
        <v>56.278163888888891</v>
      </c>
      <c r="F1137" s="11">
        <f t="shared" si="136"/>
        <v>3.3953305555555557</v>
      </c>
      <c r="G1137" s="12" t="s">
        <v>144</v>
      </c>
      <c r="H1137" s="12" t="s">
        <v>47</v>
      </c>
      <c r="I1137">
        <v>2018</v>
      </c>
      <c r="J1137" s="12" t="s">
        <v>163</v>
      </c>
      <c r="K1137" s="2">
        <v>0</v>
      </c>
      <c r="M1137" s="33">
        <v>1.0443177044777801</v>
      </c>
      <c r="N1137" s="33">
        <v>0.73937547155555605</v>
      </c>
      <c r="Z1137" s="27" t="s">
        <v>247</v>
      </c>
      <c r="AA1137" t="s">
        <v>224</v>
      </c>
    </row>
    <row r="1138" spans="1:27" x14ac:dyDescent="0.25">
      <c r="A1138" s="12">
        <v>124</v>
      </c>
      <c r="B1138">
        <v>45</v>
      </c>
      <c r="C1138">
        <f t="shared" si="130"/>
        <v>12445</v>
      </c>
      <c r="D1138" s="3" t="s">
        <v>86</v>
      </c>
      <c r="E1138" s="11">
        <f t="shared" si="135"/>
        <v>56.278163888888891</v>
      </c>
      <c r="F1138" s="11">
        <f t="shared" si="136"/>
        <v>3.3953305555555557</v>
      </c>
      <c r="G1138" s="12" t="s">
        <v>144</v>
      </c>
      <c r="H1138" s="12" t="s">
        <v>47</v>
      </c>
      <c r="I1138">
        <v>2019</v>
      </c>
      <c r="J1138" s="12" t="s">
        <v>163</v>
      </c>
      <c r="K1138" s="2">
        <v>0</v>
      </c>
      <c r="M1138" s="33">
        <v>1.3529875542000001</v>
      </c>
      <c r="N1138" s="33">
        <v>0.55716706455555598</v>
      </c>
      <c r="Z1138" s="27" t="s">
        <v>247</v>
      </c>
      <c r="AA1138" t="s">
        <v>224</v>
      </c>
    </row>
    <row r="1139" spans="1:27" x14ac:dyDescent="0.25">
      <c r="A1139" s="12">
        <v>124</v>
      </c>
      <c r="B1139">
        <v>45</v>
      </c>
      <c r="C1139">
        <f t="shared" si="130"/>
        <v>12445</v>
      </c>
      <c r="D1139" s="3" t="s">
        <v>86</v>
      </c>
      <c r="E1139" s="11">
        <f t="shared" si="135"/>
        <v>56.278163888888891</v>
      </c>
      <c r="F1139" s="11">
        <f t="shared" si="136"/>
        <v>3.3953305555555557</v>
      </c>
      <c r="G1139" s="12" t="s">
        <v>144</v>
      </c>
      <c r="H1139" s="12" t="s">
        <v>47</v>
      </c>
      <c r="I1139">
        <v>2020</v>
      </c>
      <c r="J1139" s="12" t="s">
        <v>163</v>
      </c>
      <c r="K1139" s="2">
        <v>0</v>
      </c>
      <c r="M1139" s="33">
        <v>1.4355409904875001</v>
      </c>
      <c r="N1139" s="33">
        <v>0.67132796054999999</v>
      </c>
      <c r="Z1139" s="27" t="s">
        <v>247</v>
      </c>
      <c r="AA1139" t="s">
        <v>224</v>
      </c>
    </row>
    <row r="1140" spans="1:27" x14ac:dyDescent="0.25">
      <c r="A1140" s="12">
        <v>124</v>
      </c>
      <c r="B1140">
        <v>45</v>
      </c>
      <c r="C1140">
        <f t="shared" si="130"/>
        <v>12445</v>
      </c>
      <c r="D1140" s="3" t="s">
        <v>86</v>
      </c>
      <c r="E1140" s="11">
        <f t="shared" si="135"/>
        <v>56.278163888888891</v>
      </c>
      <c r="F1140" s="11">
        <f t="shared" si="136"/>
        <v>3.3953305555555557</v>
      </c>
      <c r="G1140" s="12" t="s">
        <v>144</v>
      </c>
      <c r="H1140" s="12" t="s">
        <v>47</v>
      </c>
      <c r="I1140">
        <v>2021</v>
      </c>
      <c r="J1140" s="12" t="s">
        <v>163</v>
      </c>
      <c r="K1140" s="2">
        <v>0</v>
      </c>
      <c r="M1140" s="33">
        <v>1.28605902765714</v>
      </c>
      <c r="N1140" s="33">
        <v>0.60940333980000005</v>
      </c>
      <c r="Z1140" s="27" t="s">
        <v>247</v>
      </c>
      <c r="AA1140" t="s">
        <v>224</v>
      </c>
    </row>
    <row r="1141" spans="1:27" x14ac:dyDescent="0.25">
      <c r="A1141" s="12">
        <v>124</v>
      </c>
      <c r="B1141">
        <v>46</v>
      </c>
      <c r="C1141">
        <f t="shared" si="130"/>
        <v>12446</v>
      </c>
      <c r="D1141" s="3" t="s">
        <v>86</v>
      </c>
      <c r="E1141" s="11">
        <f>58+4/60+40.5/3600</f>
        <v>58.077916666666667</v>
      </c>
      <c r="F1141" s="11">
        <f>1+53/60+25.69/3600</f>
        <v>1.8904694444444443</v>
      </c>
      <c r="G1141" s="12" t="s">
        <v>144</v>
      </c>
      <c r="H1141" s="12" t="s">
        <v>47</v>
      </c>
      <c r="I1141">
        <v>2003</v>
      </c>
      <c r="J1141" s="12" t="s">
        <v>163</v>
      </c>
      <c r="K1141" s="2">
        <v>0</v>
      </c>
      <c r="M1141" s="33">
        <v>5.53</v>
      </c>
      <c r="N1141" s="33"/>
      <c r="Z1141" s="27" t="s">
        <v>247</v>
      </c>
      <c r="AA1141" t="s">
        <v>231</v>
      </c>
    </row>
    <row r="1142" spans="1:27" x14ac:dyDescent="0.25">
      <c r="A1142" s="12">
        <v>124</v>
      </c>
      <c r="B1142">
        <v>46</v>
      </c>
      <c r="C1142">
        <f t="shared" si="130"/>
        <v>12446</v>
      </c>
      <c r="D1142" s="3" t="s">
        <v>86</v>
      </c>
      <c r="E1142" s="11">
        <f t="shared" ref="E1142:E1154" si="137">58+4/60+40.5/3600</f>
        <v>58.077916666666667</v>
      </c>
      <c r="F1142" s="11">
        <f t="shared" ref="F1142:F1154" si="138">1+53/60+25.69/3600</f>
        <v>1.8904694444444443</v>
      </c>
      <c r="G1142" s="12" t="s">
        <v>144</v>
      </c>
      <c r="H1142" s="12" t="s">
        <v>47</v>
      </c>
      <c r="I1142">
        <v>2004</v>
      </c>
      <c r="J1142" s="12" t="s">
        <v>163</v>
      </c>
      <c r="K1142" s="2">
        <v>0</v>
      </c>
      <c r="M1142" s="33">
        <v>8.2200000000000006</v>
      </c>
      <c r="N1142" s="33"/>
      <c r="Z1142" s="27" t="s">
        <v>247</v>
      </c>
      <c r="AA1142" t="s">
        <v>231</v>
      </c>
    </row>
    <row r="1143" spans="1:27" x14ac:dyDescent="0.25">
      <c r="A1143" s="12">
        <v>124</v>
      </c>
      <c r="B1143">
        <v>46</v>
      </c>
      <c r="C1143">
        <f t="shared" si="130"/>
        <v>12446</v>
      </c>
      <c r="D1143" s="3" t="s">
        <v>86</v>
      </c>
      <c r="E1143" s="11">
        <f t="shared" si="137"/>
        <v>58.077916666666667</v>
      </c>
      <c r="F1143" s="11">
        <f t="shared" si="138"/>
        <v>1.8904694444444443</v>
      </c>
      <c r="G1143" s="12" t="s">
        <v>144</v>
      </c>
      <c r="H1143" s="12" t="s">
        <v>47</v>
      </c>
      <c r="I1143">
        <v>2005</v>
      </c>
      <c r="J1143" s="12" t="s">
        <v>163</v>
      </c>
      <c r="K1143" s="2">
        <v>0</v>
      </c>
      <c r="M1143" s="33">
        <v>14.9</v>
      </c>
      <c r="N1143" s="33">
        <v>9.33</v>
      </c>
      <c r="Z1143" s="27" t="s">
        <v>247</v>
      </c>
      <c r="AA1143" t="s">
        <v>231</v>
      </c>
    </row>
    <row r="1144" spans="1:27" x14ac:dyDescent="0.25">
      <c r="A1144" s="12">
        <v>124</v>
      </c>
      <c r="B1144">
        <v>46</v>
      </c>
      <c r="C1144">
        <f t="shared" si="130"/>
        <v>12446</v>
      </c>
      <c r="D1144" s="3" t="s">
        <v>86</v>
      </c>
      <c r="E1144" s="11">
        <f t="shared" si="137"/>
        <v>58.077916666666667</v>
      </c>
      <c r="F1144" s="11">
        <f t="shared" si="138"/>
        <v>1.8904694444444443</v>
      </c>
      <c r="G1144" s="12" t="s">
        <v>144</v>
      </c>
      <c r="H1144" s="12" t="s">
        <v>47</v>
      </c>
      <c r="I1144">
        <v>2006</v>
      </c>
      <c r="J1144" s="12" t="s">
        <v>163</v>
      </c>
      <c r="K1144" s="2">
        <v>0</v>
      </c>
      <c r="M1144" s="33">
        <v>9.283333335</v>
      </c>
      <c r="N1144" s="33">
        <v>6.5833333349999998</v>
      </c>
      <c r="Z1144" s="27" t="s">
        <v>247</v>
      </c>
      <c r="AA1144" t="s">
        <v>231</v>
      </c>
    </row>
    <row r="1145" spans="1:27" x14ac:dyDescent="0.25">
      <c r="A1145" s="12">
        <v>124</v>
      </c>
      <c r="B1145">
        <v>46</v>
      </c>
      <c r="C1145">
        <f t="shared" si="130"/>
        <v>12446</v>
      </c>
      <c r="D1145" s="3" t="s">
        <v>86</v>
      </c>
      <c r="E1145" s="11">
        <f t="shared" si="137"/>
        <v>58.077916666666667</v>
      </c>
      <c r="F1145" s="11">
        <f t="shared" si="138"/>
        <v>1.8904694444444443</v>
      </c>
      <c r="G1145" s="12" t="s">
        <v>144</v>
      </c>
      <c r="H1145" s="12" t="s">
        <v>47</v>
      </c>
      <c r="I1145">
        <v>2007</v>
      </c>
      <c r="J1145" s="12" t="s">
        <v>163</v>
      </c>
      <c r="K1145" s="2">
        <v>0</v>
      </c>
      <c r="M1145" s="33">
        <v>4</v>
      </c>
      <c r="N1145" s="33">
        <v>3</v>
      </c>
      <c r="Z1145" s="27" t="s">
        <v>247</v>
      </c>
      <c r="AA1145" t="s">
        <v>231</v>
      </c>
    </row>
    <row r="1146" spans="1:27" x14ac:dyDescent="0.25">
      <c r="A1146" s="12">
        <v>124</v>
      </c>
      <c r="B1146">
        <v>46</v>
      </c>
      <c r="C1146">
        <f t="shared" si="130"/>
        <v>12446</v>
      </c>
      <c r="D1146" s="3" t="s">
        <v>86</v>
      </c>
      <c r="E1146" s="11">
        <f t="shared" si="137"/>
        <v>58.077916666666667</v>
      </c>
      <c r="F1146" s="11">
        <f t="shared" si="138"/>
        <v>1.8904694444444443</v>
      </c>
      <c r="G1146" s="12" t="s">
        <v>144</v>
      </c>
      <c r="H1146" s="12" t="s">
        <v>47</v>
      </c>
      <c r="I1146">
        <v>2008</v>
      </c>
      <c r="J1146" s="12" t="s">
        <v>163</v>
      </c>
      <c r="K1146" s="2">
        <v>0</v>
      </c>
      <c r="M1146" s="33">
        <v>4.6333333300000001</v>
      </c>
      <c r="N1146" s="33">
        <v>3.95</v>
      </c>
      <c r="Z1146" s="27" t="s">
        <v>247</v>
      </c>
      <c r="AA1146" t="s">
        <v>231</v>
      </c>
    </row>
    <row r="1147" spans="1:27" x14ac:dyDescent="0.25">
      <c r="A1147" s="12">
        <v>124</v>
      </c>
      <c r="B1147">
        <v>46</v>
      </c>
      <c r="C1147">
        <f t="shared" si="130"/>
        <v>12446</v>
      </c>
      <c r="D1147" s="3" t="s">
        <v>86</v>
      </c>
      <c r="E1147" s="11">
        <f t="shared" si="137"/>
        <v>58.077916666666667</v>
      </c>
      <c r="F1147" s="11">
        <f t="shared" si="138"/>
        <v>1.8904694444444443</v>
      </c>
      <c r="G1147" s="12" t="s">
        <v>144</v>
      </c>
      <c r="H1147" s="12" t="s">
        <v>47</v>
      </c>
      <c r="I1147">
        <v>2009</v>
      </c>
      <c r="J1147" s="12" t="s">
        <v>163</v>
      </c>
      <c r="K1147" s="2">
        <v>0</v>
      </c>
      <c r="M1147" s="33">
        <v>8.9</v>
      </c>
      <c r="N1147" s="33">
        <v>5.0766666699999998</v>
      </c>
      <c r="Z1147" s="27" t="s">
        <v>247</v>
      </c>
      <c r="AA1147" t="s">
        <v>231</v>
      </c>
    </row>
    <row r="1148" spans="1:27" x14ac:dyDescent="0.25">
      <c r="A1148" s="12">
        <v>124</v>
      </c>
      <c r="B1148">
        <v>46</v>
      </c>
      <c r="C1148">
        <f t="shared" si="130"/>
        <v>12446</v>
      </c>
      <c r="D1148" s="3" t="s">
        <v>86</v>
      </c>
      <c r="E1148" s="11">
        <f t="shared" si="137"/>
        <v>58.077916666666667</v>
      </c>
      <c r="F1148" s="11">
        <f t="shared" si="138"/>
        <v>1.8904694444444443</v>
      </c>
      <c r="G1148" s="12" t="s">
        <v>144</v>
      </c>
      <c r="H1148" s="12" t="s">
        <v>47</v>
      </c>
      <c r="I1148">
        <v>2010</v>
      </c>
      <c r="J1148" s="12" t="s">
        <v>163</v>
      </c>
      <c r="K1148" s="2">
        <v>0</v>
      </c>
      <c r="M1148" s="33">
        <v>9.4749999999999996</v>
      </c>
      <c r="N1148" s="33">
        <v>5.2249999999999996</v>
      </c>
      <c r="Z1148" s="27" t="s">
        <v>247</v>
      </c>
      <c r="AA1148" t="s">
        <v>231</v>
      </c>
    </row>
    <row r="1149" spans="1:27" x14ac:dyDescent="0.25">
      <c r="A1149" s="12">
        <v>124</v>
      </c>
      <c r="B1149">
        <v>46</v>
      </c>
      <c r="C1149">
        <f t="shared" si="130"/>
        <v>12446</v>
      </c>
      <c r="D1149" s="3" t="s">
        <v>86</v>
      </c>
      <c r="E1149" s="11">
        <f t="shared" si="137"/>
        <v>58.077916666666667</v>
      </c>
      <c r="F1149" s="11">
        <f t="shared" si="138"/>
        <v>1.8904694444444443</v>
      </c>
      <c r="G1149" s="12" t="s">
        <v>144</v>
      </c>
      <c r="H1149" s="12" t="s">
        <v>47</v>
      </c>
      <c r="I1149">
        <v>2011</v>
      </c>
      <c r="J1149" s="12" t="s">
        <v>163</v>
      </c>
      <c r="K1149" s="2">
        <v>0</v>
      </c>
      <c r="M1149" s="33">
        <v>6.4</v>
      </c>
      <c r="N1149" s="33">
        <v>3.835</v>
      </c>
      <c r="Z1149" s="27" t="s">
        <v>247</v>
      </c>
      <c r="AA1149" t="s">
        <v>231</v>
      </c>
    </row>
    <row r="1150" spans="1:27" x14ac:dyDescent="0.25">
      <c r="A1150" s="12">
        <v>124</v>
      </c>
      <c r="B1150">
        <v>46</v>
      </c>
      <c r="C1150">
        <f t="shared" si="130"/>
        <v>12446</v>
      </c>
      <c r="D1150" s="3" t="s">
        <v>86</v>
      </c>
      <c r="E1150" s="11">
        <f t="shared" si="137"/>
        <v>58.077916666666667</v>
      </c>
      <c r="F1150" s="11">
        <f t="shared" si="138"/>
        <v>1.8904694444444443</v>
      </c>
      <c r="G1150" s="12" t="s">
        <v>144</v>
      </c>
      <c r="H1150" s="12" t="s">
        <v>47</v>
      </c>
      <c r="I1150">
        <v>2012</v>
      </c>
      <c r="J1150" s="12" t="s">
        <v>163</v>
      </c>
      <c r="K1150" s="2">
        <v>0</v>
      </c>
      <c r="M1150" s="33">
        <v>3</v>
      </c>
      <c r="N1150" s="33">
        <v>1.7875000000000001</v>
      </c>
      <c r="Z1150" s="27" t="s">
        <v>247</v>
      </c>
      <c r="AA1150" t="s">
        <v>231</v>
      </c>
    </row>
    <row r="1151" spans="1:27" x14ac:dyDescent="0.25">
      <c r="A1151" s="12">
        <v>124</v>
      </c>
      <c r="B1151">
        <v>46</v>
      </c>
      <c r="C1151">
        <f t="shared" si="130"/>
        <v>12446</v>
      </c>
      <c r="D1151" s="3" t="s">
        <v>86</v>
      </c>
      <c r="E1151" s="11">
        <f t="shared" si="137"/>
        <v>58.077916666666667</v>
      </c>
      <c r="F1151" s="11">
        <f t="shared" si="138"/>
        <v>1.8904694444444443</v>
      </c>
      <c r="G1151" s="12" t="s">
        <v>144</v>
      </c>
      <c r="H1151" s="12" t="s">
        <v>47</v>
      </c>
      <c r="I1151">
        <v>2013</v>
      </c>
      <c r="J1151" s="12" t="s">
        <v>163</v>
      </c>
      <c r="K1151" s="2">
        <v>0</v>
      </c>
      <c r="M1151" s="33">
        <v>2.7377810761555601</v>
      </c>
      <c r="N1151" s="33">
        <v>1.74992394002222</v>
      </c>
      <c r="Z1151" s="27" t="s">
        <v>247</v>
      </c>
      <c r="AA1151" t="s">
        <v>231</v>
      </c>
    </row>
    <row r="1152" spans="1:27" x14ac:dyDescent="0.25">
      <c r="A1152" s="12">
        <v>124</v>
      </c>
      <c r="B1152">
        <v>46</v>
      </c>
      <c r="C1152">
        <f t="shared" si="130"/>
        <v>12446</v>
      </c>
      <c r="D1152" s="3" t="s">
        <v>86</v>
      </c>
      <c r="E1152" s="11">
        <f t="shared" si="137"/>
        <v>58.077916666666667</v>
      </c>
      <c r="F1152" s="11">
        <f t="shared" si="138"/>
        <v>1.8904694444444443</v>
      </c>
      <c r="G1152" s="12" t="s">
        <v>144</v>
      </c>
      <c r="H1152" s="12" t="s">
        <v>47</v>
      </c>
      <c r="I1152">
        <v>2014</v>
      </c>
      <c r="J1152" s="12" t="s">
        <v>163</v>
      </c>
      <c r="K1152" s="2">
        <v>0</v>
      </c>
      <c r="M1152" s="33">
        <v>1.30666666666667</v>
      </c>
      <c r="N1152" s="33">
        <v>1.1200000000000001</v>
      </c>
      <c r="Z1152" s="27" t="s">
        <v>247</v>
      </c>
      <c r="AA1152" t="s">
        <v>231</v>
      </c>
    </row>
    <row r="1153" spans="1:27" x14ac:dyDescent="0.25">
      <c r="A1153" s="12">
        <v>124</v>
      </c>
      <c r="B1153">
        <v>46</v>
      </c>
      <c r="C1153">
        <f t="shared" si="130"/>
        <v>12446</v>
      </c>
      <c r="D1153" s="3" t="s">
        <v>86</v>
      </c>
      <c r="E1153" s="11">
        <f t="shared" si="137"/>
        <v>58.077916666666667</v>
      </c>
      <c r="F1153" s="11">
        <f t="shared" si="138"/>
        <v>1.8904694444444443</v>
      </c>
      <c r="G1153" s="12" t="s">
        <v>144</v>
      </c>
      <c r="H1153" s="12" t="s">
        <v>47</v>
      </c>
      <c r="I1153">
        <v>2015</v>
      </c>
      <c r="J1153" s="12" t="s">
        <v>163</v>
      </c>
      <c r="K1153" s="2">
        <v>0</v>
      </c>
      <c r="M1153" s="33">
        <v>1.5375000000000001</v>
      </c>
      <c r="N1153" s="33">
        <v>0.73250000000000004</v>
      </c>
      <c r="Z1153" s="27" t="s">
        <v>247</v>
      </c>
      <c r="AA1153" t="s">
        <v>231</v>
      </c>
    </row>
    <row r="1154" spans="1:27" x14ac:dyDescent="0.25">
      <c r="A1154" s="12">
        <v>124</v>
      </c>
      <c r="B1154">
        <v>46</v>
      </c>
      <c r="C1154">
        <f t="shared" si="130"/>
        <v>12446</v>
      </c>
      <c r="D1154" s="3" t="s">
        <v>86</v>
      </c>
      <c r="E1154" s="11">
        <f t="shared" si="137"/>
        <v>58.077916666666667</v>
      </c>
      <c r="F1154" s="11">
        <f t="shared" si="138"/>
        <v>1.8904694444444443</v>
      </c>
      <c r="G1154" s="12" t="s">
        <v>144</v>
      </c>
      <c r="H1154" s="12" t="s">
        <v>47</v>
      </c>
      <c r="I1154">
        <v>2016</v>
      </c>
      <c r="J1154" s="12" t="s">
        <v>163</v>
      </c>
      <c r="K1154" s="2">
        <v>0</v>
      </c>
      <c r="M1154" s="33">
        <v>0.45</v>
      </c>
      <c r="N1154" s="33">
        <v>0.46</v>
      </c>
      <c r="Z1154" s="27" t="s">
        <v>247</v>
      </c>
      <c r="AA1154" t="s">
        <v>231</v>
      </c>
    </row>
    <row r="1155" spans="1:27" x14ac:dyDescent="0.25">
      <c r="A1155" s="12">
        <v>124</v>
      </c>
      <c r="B1155">
        <v>47</v>
      </c>
      <c r="C1155">
        <f t="shared" ref="C1155:C1218" si="139">A1155*100+B1155</f>
        <v>12447</v>
      </c>
      <c r="D1155" s="3" t="s">
        <v>86</v>
      </c>
      <c r="E1155" s="11">
        <f>60+46/60+57.74/3600</f>
        <v>60.782705555555552</v>
      </c>
      <c r="F1155" s="11">
        <f>2+53/60+52.29/3600</f>
        <v>2.8978583333333332</v>
      </c>
      <c r="G1155" s="12" t="s">
        <v>144</v>
      </c>
      <c r="H1155" s="12" t="s">
        <v>47</v>
      </c>
      <c r="I1155">
        <v>2002</v>
      </c>
      <c r="J1155" s="12" t="s">
        <v>163</v>
      </c>
      <c r="K1155" s="2">
        <v>0</v>
      </c>
      <c r="M1155" s="33">
        <v>0.5</v>
      </c>
      <c r="N1155" s="33"/>
      <c r="Z1155" s="27" t="s">
        <v>247</v>
      </c>
      <c r="AA1155" t="s">
        <v>225</v>
      </c>
    </row>
    <row r="1156" spans="1:27" x14ac:dyDescent="0.25">
      <c r="A1156" s="12">
        <v>124</v>
      </c>
      <c r="B1156">
        <v>47</v>
      </c>
      <c r="C1156">
        <f t="shared" si="139"/>
        <v>12447</v>
      </c>
      <c r="D1156" s="3" t="s">
        <v>86</v>
      </c>
      <c r="E1156" s="11">
        <f t="shared" ref="E1156:E1174" si="140">60+46/60+57.74/3600</f>
        <v>60.782705555555552</v>
      </c>
      <c r="F1156" s="11">
        <f t="shared" ref="F1156:F1174" si="141">2+53/60+52.29/3600</f>
        <v>2.8978583333333332</v>
      </c>
      <c r="G1156" s="12" t="s">
        <v>144</v>
      </c>
      <c r="H1156" s="12" t="s">
        <v>47</v>
      </c>
      <c r="I1156">
        <v>2003</v>
      </c>
      <c r="J1156" s="12" t="s">
        <v>163</v>
      </c>
      <c r="K1156" s="2">
        <v>0</v>
      </c>
      <c r="M1156" s="33">
        <v>0.88700000000000001</v>
      </c>
      <c r="N1156" s="33"/>
      <c r="Z1156" s="27" t="s">
        <v>247</v>
      </c>
      <c r="AA1156" t="s">
        <v>225</v>
      </c>
    </row>
    <row r="1157" spans="1:27" x14ac:dyDescent="0.25">
      <c r="A1157" s="12">
        <v>124</v>
      </c>
      <c r="B1157">
        <v>47</v>
      </c>
      <c r="C1157">
        <f t="shared" si="139"/>
        <v>12447</v>
      </c>
      <c r="D1157" s="3" t="s">
        <v>86</v>
      </c>
      <c r="E1157" s="11">
        <f t="shared" si="140"/>
        <v>60.782705555555552</v>
      </c>
      <c r="F1157" s="11">
        <f t="shared" si="141"/>
        <v>2.8978583333333332</v>
      </c>
      <c r="G1157" s="12" t="s">
        <v>144</v>
      </c>
      <c r="H1157" s="12" t="s">
        <v>47</v>
      </c>
      <c r="I1157">
        <v>2004</v>
      </c>
      <c r="J1157" s="12" t="s">
        <v>163</v>
      </c>
      <c r="K1157" s="2">
        <v>0</v>
      </c>
      <c r="M1157" s="33">
        <v>1.7383743060000001</v>
      </c>
      <c r="N1157" s="33"/>
      <c r="Z1157" s="27" t="s">
        <v>247</v>
      </c>
      <c r="AA1157" t="s">
        <v>225</v>
      </c>
    </row>
    <row r="1158" spans="1:27" x14ac:dyDescent="0.25">
      <c r="A1158" s="12">
        <v>124</v>
      </c>
      <c r="B1158">
        <v>47</v>
      </c>
      <c r="C1158">
        <f t="shared" si="139"/>
        <v>12447</v>
      </c>
      <c r="D1158" s="3" t="s">
        <v>86</v>
      </c>
      <c r="E1158" s="11">
        <f t="shared" si="140"/>
        <v>60.782705555555552</v>
      </c>
      <c r="F1158" s="11">
        <f t="shared" si="141"/>
        <v>2.8978583333333332</v>
      </c>
      <c r="G1158" s="12" t="s">
        <v>144</v>
      </c>
      <c r="H1158" s="12" t="s">
        <v>47</v>
      </c>
      <c r="I1158">
        <v>2005</v>
      </c>
      <c r="J1158" s="12" t="s">
        <v>163</v>
      </c>
      <c r="K1158" s="2">
        <v>0</v>
      </c>
      <c r="M1158" s="33">
        <v>0.98705251800000005</v>
      </c>
      <c r="N1158" s="33">
        <v>1.519554893</v>
      </c>
      <c r="Z1158" s="27" t="s">
        <v>247</v>
      </c>
      <c r="AA1158" t="s">
        <v>225</v>
      </c>
    </row>
    <row r="1159" spans="1:27" x14ac:dyDescent="0.25">
      <c r="A1159" s="12">
        <v>124</v>
      </c>
      <c r="B1159">
        <v>47</v>
      </c>
      <c r="C1159">
        <f t="shared" si="139"/>
        <v>12447</v>
      </c>
      <c r="D1159" s="3" t="s">
        <v>86</v>
      </c>
      <c r="E1159" s="11">
        <f t="shared" si="140"/>
        <v>60.782705555555552</v>
      </c>
      <c r="F1159" s="11">
        <f t="shared" si="141"/>
        <v>2.8978583333333332</v>
      </c>
      <c r="G1159" s="12" t="s">
        <v>144</v>
      </c>
      <c r="H1159" s="12" t="s">
        <v>47</v>
      </c>
      <c r="I1159">
        <v>2006</v>
      </c>
      <c r="J1159" s="12" t="s">
        <v>163</v>
      </c>
      <c r="K1159" s="2">
        <v>0</v>
      </c>
      <c r="M1159" s="33">
        <v>1.060522094</v>
      </c>
      <c r="N1159" s="33">
        <v>1.1056264469999999</v>
      </c>
      <c r="Z1159" s="27" t="s">
        <v>247</v>
      </c>
      <c r="AA1159" t="s">
        <v>225</v>
      </c>
    </row>
    <row r="1160" spans="1:27" x14ac:dyDescent="0.25">
      <c r="A1160" s="12">
        <v>124</v>
      </c>
      <c r="B1160">
        <v>47</v>
      </c>
      <c r="C1160">
        <f t="shared" si="139"/>
        <v>12447</v>
      </c>
      <c r="D1160" s="3" t="s">
        <v>86</v>
      </c>
      <c r="E1160" s="11">
        <f t="shared" si="140"/>
        <v>60.782705555555552</v>
      </c>
      <c r="F1160" s="11">
        <f t="shared" si="141"/>
        <v>2.8978583333333332</v>
      </c>
      <c r="G1160" s="12" t="s">
        <v>144</v>
      </c>
      <c r="H1160" s="12" t="s">
        <v>47</v>
      </c>
      <c r="I1160">
        <v>2007</v>
      </c>
      <c r="J1160" s="12" t="s">
        <v>163</v>
      </c>
      <c r="K1160" s="2">
        <v>0</v>
      </c>
      <c r="M1160" s="33">
        <v>1.08666</v>
      </c>
      <c r="N1160" s="33">
        <v>1.1274299999999999</v>
      </c>
      <c r="Z1160" s="27" t="s">
        <v>247</v>
      </c>
      <c r="AA1160" t="s">
        <v>225</v>
      </c>
    </row>
    <row r="1161" spans="1:27" x14ac:dyDescent="0.25">
      <c r="A1161" s="12">
        <v>124</v>
      </c>
      <c r="B1161">
        <v>47</v>
      </c>
      <c r="C1161">
        <f t="shared" si="139"/>
        <v>12447</v>
      </c>
      <c r="D1161" s="3" t="s">
        <v>86</v>
      </c>
      <c r="E1161" s="11">
        <f t="shared" si="140"/>
        <v>60.782705555555552</v>
      </c>
      <c r="F1161" s="11">
        <f t="shared" si="141"/>
        <v>2.8978583333333332</v>
      </c>
      <c r="G1161" s="12" t="s">
        <v>144</v>
      </c>
      <c r="H1161" s="12" t="s">
        <v>47</v>
      </c>
      <c r="I1161">
        <v>2008</v>
      </c>
      <c r="J1161" s="12" t="s">
        <v>163</v>
      </c>
      <c r="K1161" s="2">
        <v>0</v>
      </c>
      <c r="M1161" s="33">
        <v>0.56489011200000006</v>
      </c>
      <c r="N1161" s="33">
        <v>1.004151274</v>
      </c>
      <c r="Z1161" s="27" t="s">
        <v>247</v>
      </c>
      <c r="AA1161" t="s">
        <v>225</v>
      </c>
    </row>
    <row r="1162" spans="1:27" x14ac:dyDescent="0.25">
      <c r="A1162" s="12">
        <v>124</v>
      </c>
      <c r="B1162">
        <v>47</v>
      </c>
      <c r="C1162">
        <f t="shared" si="139"/>
        <v>12447</v>
      </c>
      <c r="D1162" s="3" t="s">
        <v>86</v>
      </c>
      <c r="E1162" s="11">
        <f t="shared" si="140"/>
        <v>60.782705555555552</v>
      </c>
      <c r="F1162" s="11">
        <f t="shared" si="141"/>
        <v>2.8978583333333332</v>
      </c>
      <c r="G1162" s="12" t="s">
        <v>144</v>
      </c>
      <c r="H1162" s="12" t="s">
        <v>47</v>
      </c>
      <c r="I1162">
        <v>2009</v>
      </c>
      <c r="J1162" s="12" t="s">
        <v>163</v>
      </c>
      <c r="K1162" s="2">
        <v>0</v>
      </c>
      <c r="M1162" s="33">
        <v>0.75423173600000004</v>
      </c>
      <c r="N1162" s="33">
        <v>1.193702518</v>
      </c>
      <c r="Z1162" s="27" t="s">
        <v>247</v>
      </c>
      <c r="AA1162" t="s">
        <v>225</v>
      </c>
    </row>
    <row r="1163" spans="1:27" x14ac:dyDescent="0.25">
      <c r="A1163" s="12">
        <v>124</v>
      </c>
      <c r="B1163">
        <v>47</v>
      </c>
      <c r="C1163">
        <f t="shared" si="139"/>
        <v>12447</v>
      </c>
      <c r="D1163" s="3" t="s">
        <v>86</v>
      </c>
      <c r="E1163" s="11">
        <f t="shared" si="140"/>
        <v>60.782705555555552</v>
      </c>
      <c r="F1163" s="11">
        <f t="shared" si="141"/>
        <v>2.8978583333333332</v>
      </c>
      <c r="G1163" s="12" t="s">
        <v>144</v>
      </c>
      <c r="H1163" s="12" t="s">
        <v>47</v>
      </c>
      <c r="I1163">
        <v>2010</v>
      </c>
      <c r="J1163" s="12" t="s">
        <v>163</v>
      </c>
      <c r="K1163" s="2">
        <v>0</v>
      </c>
      <c r="M1163" s="33">
        <v>0.83992770400000005</v>
      </c>
      <c r="N1163" s="33">
        <v>1.1300672190000001</v>
      </c>
      <c r="Z1163" s="27" t="s">
        <v>247</v>
      </c>
      <c r="AA1163" t="s">
        <v>225</v>
      </c>
    </row>
    <row r="1164" spans="1:27" x14ac:dyDescent="0.25">
      <c r="A1164" s="12">
        <v>124</v>
      </c>
      <c r="B1164">
        <v>47</v>
      </c>
      <c r="C1164">
        <f t="shared" si="139"/>
        <v>12447</v>
      </c>
      <c r="D1164" s="3" t="s">
        <v>86</v>
      </c>
      <c r="E1164" s="11">
        <f t="shared" si="140"/>
        <v>60.782705555555552</v>
      </c>
      <c r="F1164" s="11">
        <f t="shared" si="141"/>
        <v>2.8978583333333332</v>
      </c>
      <c r="G1164" s="12" t="s">
        <v>144</v>
      </c>
      <c r="H1164" s="12" t="s">
        <v>47</v>
      </c>
      <c r="I1164">
        <v>2011</v>
      </c>
      <c r="J1164" s="12" t="s">
        <v>163</v>
      </c>
      <c r="K1164" s="2">
        <v>0</v>
      </c>
      <c r="M1164" s="33">
        <v>0.58714342100000005</v>
      </c>
      <c r="N1164" s="33">
        <v>0.97319769300000003</v>
      </c>
      <c r="Z1164" s="27" t="s">
        <v>247</v>
      </c>
      <c r="AA1164" t="s">
        <v>225</v>
      </c>
    </row>
    <row r="1165" spans="1:27" x14ac:dyDescent="0.25">
      <c r="A1165" s="12">
        <v>124</v>
      </c>
      <c r="B1165">
        <v>47</v>
      </c>
      <c r="C1165">
        <f t="shared" si="139"/>
        <v>12447</v>
      </c>
      <c r="D1165" s="3" t="s">
        <v>86</v>
      </c>
      <c r="E1165" s="11">
        <f t="shared" si="140"/>
        <v>60.782705555555552</v>
      </c>
      <c r="F1165" s="11">
        <f t="shared" si="141"/>
        <v>2.8978583333333332</v>
      </c>
      <c r="G1165" s="12" t="s">
        <v>144</v>
      </c>
      <c r="H1165" s="12" t="s">
        <v>47</v>
      </c>
      <c r="I1165">
        <v>2012</v>
      </c>
      <c r="J1165" s="12" t="s">
        <v>163</v>
      </c>
      <c r="K1165" s="2">
        <v>0</v>
      </c>
      <c r="M1165" s="33">
        <v>0.66469833333333295</v>
      </c>
      <c r="N1165" s="33">
        <v>0.99184499999999998</v>
      </c>
      <c r="Z1165" s="27" t="s">
        <v>247</v>
      </c>
      <c r="AA1165" t="s">
        <v>225</v>
      </c>
    </row>
    <row r="1166" spans="1:27" x14ac:dyDescent="0.25">
      <c r="A1166" s="12">
        <v>124</v>
      </c>
      <c r="B1166">
        <v>47</v>
      </c>
      <c r="C1166">
        <f t="shared" si="139"/>
        <v>12447</v>
      </c>
      <c r="D1166" s="3" t="s">
        <v>86</v>
      </c>
      <c r="E1166" s="11">
        <f t="shared" si="140"/>
        <v>60.782705555555552</v>
      </c>
      <c r="F1166" s="11">
        <f t="shared" si="141"/>
        <v>2.8978583333333332</v>
      </c>
      <c r="G1166" s="12" t="s">
        <v>144</v>
      </c>
      <c r="H1166" s="12" t="s">
        <v>47</v>
      </c>
      <c r="I1166">
        <v>2013</v>
      </c>
      <c r="J1166" s="12" t="s">
        <v>163</v>
      </c>
      <c r="K1166" s="2">
        <v>0</v>
      </c>
      <c r="M1166" s="33">
        <v>0.548588928452167</v>
      </c>
      <c r="N1166" s="33">
        <v>1.00924079346058</v>
      </c>
      <c r="Z1166" s="27" t="s">
        <v>247</v>
      </c>
      <c r="AA1166" t="s">
        <v>225</v>
      </c>
    </row>
    <row r="1167" spans="1:27" x14ac:dyDescent="0.25">
      <c r="A1167" s="12">
        <v>124</v>
      </c>
      <c r="B1167">
        <v>47</v>
      </c>
      <c r="C1167">
        <f t="shared" si="139"/>
        <v>12447</v>
      </c>
      <c r="D1167" s="3" t="s">
        <v>86</v>
      </c>
      <c r="E1167" s="11">
        <f t="shared" si="140"/>
        <v>60.782705555555552</v>
      </c>
      <c r="F1167" s="11">
        <f t="shared" si="141"/>
        <v>2.8978583333333332</v>
      </c>
      <c r="G1167" s="12" t="s">
        <v>144</v>
      </c>
      <c r="H1167" s="12" t="s">
        <v>47</v>
      </c>
      <c r="I1167">
        <v>2014</v>
      </c>
      <c r="J1167" s="12" t="s">
        <v>163</v>
      </c>
      <c r="K1167" s="2">
        <v>0</v>
      </c>
      <c r="M1167" s="33">
        <v>0.337651706831333</v>
      </c>
      <c r="N1167" s="33">
        <v>0.72583312333450001</v>
      </c>
      <c r="Z1167" s="27" t="s">
        <v>247</v>
      </c>
      <c r="AA1167" t="s">
        <v>225</v>
      </c>
    </row>
    <row r="1168" spans="1:27" x14ac:dyDescent="0.25">
      <c r="A1168" s="12">
        <v>124</v>
      </c>
      <c r="B1168">
        <v>47</v>
      </c>
      <c r="C1168">
        <f t="shared" si="139"/>
        <v>12447</v>
      </c>
      <c r="D1168" s="3" t="s">
        <v>86</v>
      </c>
      <c r="E1168" s="11">
        <f t="shared" si="140"/>
        <v>60.782705555555552</v>
      </c>
      <c r="F1168" s="11">
        <f t="shared" si="141"/>
        <v>2.8978583333333332</v>
      </c>
      <c r="G1168" s="12" t="s">
        <v>144</v>
      </c>
      <c r="H1168" s="12" t="s">
        <v>47</v>
      </c>
      <c r="I1168">
        <v>2015</v>
      </c>
      <c r="J1168" s="12" t="s">
        <v>163</v>
      </c>
      <c r="K1168" s="2">
        <v>0</v>
      </c>
      <c r="M1168" s="33">
        <v>0.39608333333333301</v>
      </c>
      <c r="N1168" s="33">
        <v>0.93183333333333296</v>
      </c>
      <c r="Z1168" s="27" t="s">
        <v>247</v>
      </c>
      <c r="AA1168" t="s">
        <v>225</v>
      </c>
    </row>
    <row r="1169" spans="1:27" x14ac:dyDescent="0.25">
      <c r="A1169" s="12">
        <v>124</v>
      </c>
      <c r="B1169">
        <v>47</v>
      </c>
      <c r="C1169">
        <f t="shared" si="139"/>
        <v>12447</v>
      </c>
      <c r="D1169" s="3" t="s">
        <v>86</v>
      </c>
      <c r="E1169" s="11">
        <f t="shared" si="140"/>
        <v>60.782705555555552</v>
      </c>
      <c r="F1169" s="11">
        <f t="shared" si="141"/>
        <v>2.8978583333333332</v>
      </c>
      <c r="G1169" s="12" t="s">
        <v>144</v>
      </c>
      <c r="H1169" s="12" t="s">
        <v>47</v>
      </c>
      <c r="I1169">
        <v>2016</v>
      </c>
      <c r="J1169" s="12" t="s">
        <v>163</v>
      </c>
      <c r="K1169" s="2">
        <v>0</v>
      </c>
      <c r="M1169" s="33">
        <v>0.34499999999999997</v>
      </c>
      <c r="N1169" s="33">
        <v>1.00275</v>
      </c>
      <c r="Z1169" s="27" t="s">
        <v>247</v>
      </c>
      <c r="AA1169" t="s">
        <v>225</v>
      </c>
    </row>
    <row r="1170" spans="1:27" x14ac:dyDescent="0.25">
      <c r="A1170" s="12">
        <v>124</v>
      </c>
      <c r="B1170">
        <v>47</v>
      </c>
      <c r="C1170">
        <f t="shared" si="139"/>
        <v>12447</v>
      </c>
      <c r="D1170" s="3" t="s">
        <v>86</v>
      </c>
      <c r="E1170" s="11">
        <f t="shared" si="140"/>
        <v>60.782705555555552</v>
      </c>
      <c r="F1170" s="11">
        <f t="shared" si="141"/>
        <v>2.8978583333333332</v>
      </c>
      <c r="G1170" s="12" t="s">
        <v>144</v>
      </c>
      <c r="H1170" s="12" t="s">
        <v>47</v>
      </c>
      <c r="I1170">
        <v>2017</v>
      </c>
      <c r="J1170" s="12" t="s">
        <v>163</v>
      </c>
      <c r="K1170" s="2">
        <v>0</v>
      </c>
      <c r="M1170" s="33">
        <v>0.13250000000000001</v>
      </c>
      <c r="N1170" s="33">
        <v>0.42299999999999999</v>
      </c>
      <c r="Z1170" s="27" t="s">
        <v>247</v>
      </c>
      <c r="AA1170" t="s">
        <v>225</v>
      </c>
    </row>
    <row r="1171" spans="1:27" x14ac:dyDescent="0.25">
      <c r="A1171" s="12">
        <v>124</v>
      </c>
      <c r="B1171">
        <v>47</v>
      </c>
      <c r="C1171">
        <f t="shared" si="139"/>
        <v>12447</v>
      </c>
      <c r="D1171" s="3" t="s">
        <v>86</v>
      </c>
      <c r="E1171" s="11">
        <f t="shared" si="140"/>
        <v>60.782705555555552</v>
      </c>
      <c r="F1171" s="11">
        <f t="shared" si="141"/>
        <v>2.8978583333333332</v>
      </c>
      <c r="G1171" s="12" t="s">
        <v>144</v>
      </c>
      <c r="H1171" s="12" t="s">
        <v>47</v>
      </c>
      <c r="I1171">
        <v>2018</v>
      </c>
      <c r="J1171" s="12" t="s">
        <v>163</v>
      </c>
      <c r="K1171" s="2">
        <v>0</v>
      </c>
      <c r="M1171" s="33">
        <v>0.66169999999999995</v>
      </c>
      <c r="N1171" s="33">
        <v>1.3975</v>
      </c>
      <c r="Z1171" s="27" t="s">
        <v>247</v>
      </c>
      <c r="AA1171" t="s">
        <v>225</v>
      </c>
    </row>
    <row r="1172" spans="1:27" x14ac:dyDescent="0.25">
      <c r="A1172" s="12">
        <v>124</v>
      </c>
      <c r="B1172">
        <v>47</v>
      </c>
      <c r="C1172">
        <f t="shared" si="139"/>
        <v>12447</v>
      </c>
      <c r="D1172" s="3" t="s">
        <v>86</v>
      </c>
      <c r="E1172" s="11">
        <f t="shared" si="140"/>
        <v>60.782705555555552</v>
      </c>
      <c r="F1172" s="11">
        <f t="shared" si="141"/>
        <v>2.8978583333333332</v>
      </c>
      <c r="G1172" s="12" t="s">
        <v>144</v>
      </c>
      <c r="H1172" s="12" t="s">
        <v>47</v>
      </c>
      <c r="I1172">
        <v>2019</v>
      </c>
      <c r="J1172" s="12" t="s">
        <v>163</v>
      </c>
      <c r="K1172" s="2">
        <v>0</v>
      </c>
      <c r="M1172" s="33">
        <v>0.47199999999999998</v>
      </c>
      <c r="N1172" s="33">
        <v>1.0375000000000001</v>
      </c>
      <c r="Z1172" s="27" t="s">
        <v>247</v>
      </c>
      <c r="AA1172" t="s">
        <v>225</v>
      </c>
    </row>
    <row r="1173" spans="1:27" x14ac:dyDescent="0.25">
      <c r="A1173" s="12">
        <v>124</v>
      </c>
      <c r="B1173">
        <v>47</v>
      </c>
      <c r="C1173">
        <f t="shared" si="139"/>
        <v>12447</v>
      </c>
      <c r="D1173" s="3" t="s">
        <v>86</v>
      </c>
      <c r="E1173" s="11">
        <f t="shared" si="140"/>
        <v>60.782705555555552</v>
      </c>
      <c r="F1173" s="11">
        <f t="shared" si="141"/>
        <v>2.8978583333333332</v>
      </c>
      <c r="G1173" s="12" t="s">
        <v>144</v>
      </c>
      <c r="H1173" s="12" t="s">
        <v>47</v>
      </c>
      <c r="I1173">
        <v>2020</v>
      </c>
      <c r="J1173" s="12" t="s">
        <v>163</v>
      </c>
      <c r="K1173" s="2">
        <v>0</v>
      </c>
      <c r="M1173" s="33">
        <v>1.07125</v>
      </c>
      <c r="N1173" s="33">
        <v>2.05925</v>
      </c>
      <c r="Z1173" s="27" t="s">
        <v>247</v>
      </c>
      <c r="AA1173" t="s">
        <v>225</v>
      </c>
    </row>
    <row r="1174" spans="1:27" x14ac:dyDescent="0.25">
      <c r="A1174" s="12">
        <v>124</v>
      </c>
      <c r="B1174">
        <v>47</v>
      </c>
      <c r="C1174">
        <f t="shared" si="139"/>
        <v>12447</v>
      </c>
      <c r="D1174" s="3" t="s">
        <v>86</v>
      </c>
      <c r="E1174" s="11">
        <f t="shared" si="140"/>
        <v>60.782705555555552</v>
      </c>
      <c r="F1174" s="11">
        <f t="shared" si="141"/>
        <v>2.8978583333333332</v>
      </c>
      <c r="G1174" s="12" t="s">
        <v>144</v>
      </c>
      <c r="H1174" s="12" t="s">
        <v>47</v>
      </c>
      <c r="I1174">
        <v>2021</v>
      </c>
      <c r="J1174" s="12" t="s">
        <v>163</v>
      </c>
      <c r="K1174" s="2">
        <v>0</v>
      </c>
      <c r="M1174" s="33">
        <v>1.8342499999999999</v>
      </c>
      <c r="N1174" s="33">
        <v>3.1637499999999998</v>
      </c>
      <c r="Z1174" s="27" t="s">
        <v>247</v>
      </c>
      <c r="AA1174" t="s">
        <v>225</v>
      </c>
    </row>
    <row r="1175" spans="1:27" x14ac:dyDescent="0.25">
      <c r="A1175" s="12">
        <v>124</v>
      </c>
      <c r="B1175">
        <v>48</v>
      </c>
      <c r="C1175">
        <f t="shared" si="139"/>
        <v>12448</v>
      </c>
      <c r="D1175" s="3" t="s">
        <v>86</v>
      </c>
      <c r="E1175" s="11">
        <f>61+22/60+49.55/3600</f>
        <v>61.380430555555556</v>
      </c>
      <c r="F1175" s="11">
        <f>2+6/60+12.21/3600</f>
        <v>2.1033916666666665</v>
      </c>
      <c r="G1175" s="12" t="s">
        <v>144</v>
      </c>
      <c r="H1175" s="12" t="s">
        <v>47</v>
      </c>
      <c r="I1175">
        <v>2003</v>
      </c>
      <c r="J1175" s="12" t="s">
        <v>163</v>
      </c>
      <c r="K1175" s="2">
        <v>0</v>
      </c>
      <c r="M1175" s="33">
        <v>8.8000000000000007</v>
      </c>
      <c r="N1175" s="33"/>
      <c r="Z1175" s="27" t="s">
        <v>247</v>
      </c>
      <c r="AA1175" t="s">
        <v>232</v>
      </c>
    </row>
    <row r="1176" spans="1:27" x14ac:dyDescent="0.25">
      <c r="A1176" s="12">
        <v>124</v>
      </c>
      <c r="B1176">
        <v>48</v>
      </c>
      <c r="C1176">
        <f t="shared" si="139"/>
        <v>12448</v>
      </c>
      <c r="D1176" s="3" t="s">
        <v>86</v>
      </c>
      <c r="E1176" s="11">
        <f>61+22/60+49.55/3600</f>
        <v>61.380430555555556</v>
      </c>
      <c r="F1176" s="11">
        <f>2+6/60+12.21/3600</f>
        <v>2.1033916666666665</v>
      </c>
      <c r="G1176" s="12" t="s">
        <v>144</v>
      </c>
      <c r="H1176" s="12" t="s">
        <v>47</v>
      </c>
      <c r="I1176">
        <v>2004</v>
      </c>
      <c r="J1176" s="12" t="s">
        <v>163</v>
      </c>
      <c r="K1176" s="2">
        <v>0</v>
      </c>
      <c r="M1176" s="33">
        <v>8.8000000000000007</v>
      </c>
      <c r="N1176" s="33"/>
      <c r="Z1176" s="27" t="s">
        <v>247</v>
      </c>
      <c r="AA1176" t="s">
        <v>232</v>
      </c>
    </row>
    <row r="1177" spans="1:27" x14ac:dyDescent="0.25">
      <c r="A1177" s="12">
        <v>124</v>
      </c>
      <c r="B1177">
        <v>49</v>
      </c>
      <c r="C1177">
        <f t="shared" si="139"/>
        <v>12449</v>
      </c>
      <c r="D1177" s="3" t="s">
        <v>86</v>
      </c>
      <c r="E1177" s="11">
        <f>61+22/60+12.56/3600</f>
        <v>61.370155555555556</v>
      </c>
      <c r="F1177" s="11">
        <f>2+27/60+32.1/3600</f>
        <v>2.4589166666666666</v>
      </c>
      <c r="G1177" s="12" t="s">
        <v>144</v>
      </c>
      <c r="H1177" s="12" t="s">
        <v>47</v>
      </c>
      <c r="I1177">
        <v>2002</v>
      </c>
      <c r="J1177" s="12" t="s">
        <v>163</v>
      </c>
      <c r="K1177" s="2">
        <v>0</v>
      </c>
      <c r="M1177" s="33">
        <v>7.5</v>
      </c>
      <c r="N1177" s="33"/>
      <c r="Z1177" s="27" t="s">
        <v>247</v>
      </c>
      <c r="AA1177" t="s">
        <v>226</v>
      </c>
    </row>
    <row r="1178" spans="1:27" x14ac:dyDescent="0.25">
      <c r="A1178" s="12">
        <v>124</v>
      </c>
      <c r="B1178">
        <v>49</v>
      </c>
      <c r="C1178">
        <f t="shared" si="139"/>
        <v>12449</v>
      </c>
      <c r="D1178" s="3" t="s">
        <v>86</v>
      </c>
      <c r="E1178" s="11">
        <f t="shared" ref="E1178:E1196" si="142">61+22/60+12.56/3600</f>
        <v>61.370155555555556</v>
      </c>
      <c r="F1178" s="11">
        <f t="shared" ref="F1178:F1196" si="143">2+27/60+32.1/3600</f>
        <v>2.4589166666666666</v>
      </c>
      <c r="G1178" s="12" t="s">
        <v>144</v>
      </c>
      <c r="H1178" s="12" t="s">
        <v>47</v>
      </c>
      <c r="I1178">
        <v>2003</v>
      </c>
      <c r="J1178" s="12" t="s">
        <v>163</v>
      </c>
      <c r="K1178" s="2">
        <v>0</v>
      </c>
      <c r="M1178" s="33">
        <v>14</v>
      </c>
      <c r="N1178" s="33"/>
      <c r="Z1178" s="27" t="s">
        <v>247</v>
      </c>
      <c r="AA1178" t="s">
        <v>226</v>
      </c>
    </row>
    <row r="1179" spans="1:27" x14ac:dyDescent="0.25">
      <c r="A1179" s="12">
        <v>124</v>
      </c>
      <c r="B1179">
        <v>49</v>
      </c>
      <c r="C1179">
        <f t="shared" si="139"/>
        <v>12449</v>
      </c>
      <c r="D1179" s="3" t="s">
        <v>86</v>
      </c>
      <c r="E1179" s="11">
        <f t="shared" si="142"/>
        <v>61.370155555555556</v>
      </c>
      <c r="F1179" s="11">
        <f t="shared" si="143"/>
        <v>2.4589166666666666</v>
      </c>
      <c r="G1179" s="12" t="s">
        <v>144</v>
      </c>
      <c r="H1179" s="12" t="s">
        <v>47</v>
      </c>
      <c r="I1179">
        <v>2004</v>
      </c>
      <c r="J1179" s="12" t="s">
        <v>163</v>
      </c>
      <c r="K1179" s="2">
        <v>0</v>
      </c>
      <c r="M1179" s="33">
        <v>6.7</v>
      </c>
      <c r="N1179" s="33"/>
      <c r="Z1179" s="27" t="s">
        <v>247</v>
      </c>
      <c r="AA1179" t="s">
        <v>226</v>
      </c>
    </row>
    <row r="1180" spans="1:27" x14ac:dyDescent="0.25">
      <c r="A1180" s="12">
        <v>124</v>
      </c>
      <c r="B1180">
        <v>49</v>
      </c>
      <c r="C1180">
        <f t="shared" si="139"/>
        <v>12449</v>
      </c>
      <c r="D1180" s="3" t="s">
        <v>86</v>
      </c>
      <c r="E1180" s="11">
        <f t="shared" si="142"/>
        <v>61.370155555555556</v>
      </c>
      <c r="F1180" s="11">
        <f t="shared" si="143"/>
        <v>2.4589166666666666</v>
      </c>
      <c r="G1180" s="12" t="s">
        <v>144</v>
      </c>
      <c r="H1180" s="12" t="s">
        <v>47</v>
      </c>
      <c r="I1180">
        <v>2005</v>
      </c>
      <c r="J1180" s="12" t="s">
        <v>163</v>
      </c>
      <c r="K1180" s="2">
        <v>0</v>
      </c>
      <c r="M1180" s="33">
        <v>7</v>
      </c>
      <c r="N1180" s="33">
        <v>7.7</v>
      </c>
      <c r="Z1180" s="27" t="s">
        <v>247</v>
      </c>
      <c r="AA1180" t="s">
        <v>226</v>
      </c>
    </row>
    <row r="1181" spans="1:27" x14ac:dyDescent="0.25">
      <c r="A1181" s="12">
        <v>124</v>
      </c>
      <c r="B1181">
        <v>49</v>
      </c>
      <c r="C1181">
        <f t="shared" si="139"/>
        <v>12449</v>
      </c>
      <c r="D1181" s="3" t="s">
        <v>86</v>
      </c>
      <c r="E1181" s="11">
        <f t="shared" si="142"/>
        <v>61.370155555555556</v>
      </c>
      <c r="F1181" s="11">
        <f t="shared" si="143"/>
        <v>2.4589166666666666</v>
      </c>
      <c r="G1181" s="12" t="s">
        <v>144</v>
      </c>
      <c r="H1181" s="12" t="s">
        <v>47</v>
      </c>
      <c r="I1181">
        <v>2006</v>
      </c>
      <c r="J1181" s="12" t="s">
        <v>163</v>
      </c>
      <c r="K1181" s="2">
        <v>0</v>
      </c>
      <c r="M1181" s="33">
        <v>6.8016500000000004</v>
      </c>
      <c r="N1181" s="33">
        <v>6.96835</v>
      </c>
      <c r="Z1181" s="27" t="s">
        <v>247</v>
      </c>
      <c r="AA1181" t="s">
        <v>226</v>
      </c>
    </row>
    <row r="1182" spans="1:27" x14ac:dyDescent="0.25">
      <c r="A1182" s="12">
        <v>124</v>
      </c>
      <c r="B1182">
        <v>49</v>
      </c>
      <c r="C1182">
        <f t="shared" si="139"/>
        <v>12449</v>
      </c>
      <c r="D1182" s="3" t="s">
        <v>86</v>
      </c>
      <c r="E1182" s="11">
        <f t="shared" si="142"/>
        <v>61.370155555555556</v>
      </c>
      <c r="F1182" s="11">
        <f t="shared" si="143"/>
        <v>2.4589166666666666</v>
      </c>
      <c r="G1182" s="12" t="s">
        <v>144</v>
      </c>
      <c r="H1182" s="12" t="s">
        <v>47</v>
      </c>
      <c r="I1182">
        <v>2007</v>
      </c>
      <c r="J1182" s="12" t="s">
        <v>163</v>
      </c>
      <c r="K1182" s="2">
        <v>0</v>
      </c>
      <c r="M1182" s="33">
        <v>8.4573</v>
      </c>
      <c r="N1182" s="33">
        <v>7.7011599999999998</v>
      </c>
      <c r="Z1182" s="27" t="s">
        <v>247</v>
      </c>
      <c r="AA1182" t="s">
        <v>226</v>
      </c>
    </row>
    <row r="1183" spans="1:27" x14ac:dyDescent="0.25">
      <c r="A1183" s="12">
        <v>124</v>
      </c>
      <c r="B1183">
        <v>49</v>
      </c>
      <c r="C1183">
        <f t="shared" si="139"/>
        <v>12449</v>
      </c>
      <c r="D1183" s="3" t="s">
        <v>86</v>
      </c>
      <c r="E1183" s="11">
        <f t="shared" si="142"/>
        <v>61.370155555555556</v>
      </c>
      <c r="F1183" s="11">
        <f t="shared" si="143"/>
        <v>2.4589166666666666</v>
      </c>
      <c r="G1183" s="12" t="s">
        <v>144</v>
      </c>
      <c r="H1183" s="12" t="s">
        <v>47</v>
      </c>
      <c r="I1183">
        <v>2008</v>
      </c>
      <c r="J1183" s="12" t="s">
        <v>163</v>
      </c>
      <c r="K1183" s="2">
        <v>0</v>
      </c>
      <c r="M1183" s="33">
        <v>8.6</v>
      </c>
      <c r="N1183" s="33">
        <v>8.6</v>
      </c>
      <c r="Z1183" s="27" t="s">
        <v>247</v>
      </c>
      <c r="AA1183" t="s">
        <v>226</v>
      </c>
    </row>
    <row r="1184" spans="1:27" x14ac:dyDescent="0.25">
      <c r="A1184" s="12">
        <v>124</v>
      </c>
      <c r="B1184">
        <v>49</v>
      </c>
      <c r="C1184">
        <f t="shared" si="139"/>
        <v>12449</v>
      </c>
      <c r="D1184" s="3" t="s">
        <v>86</v>
      </c>
      <c r="E1184" s="11">
        <f t="shared" si="142"/>
        <v>61.370155555555556</v>
      </c>
      <c r="F1184" s="11">
        <f t="shared" si="143"/>
        <v>2.4589166666666666</v>
      </c>
      <c r="G1184" s="12" t="s">
        <v>144</v>
      </c>
      <c r="H1184" s="12" t="s">
        <v>47</v>
      </c>
      <c r="I1184">
        <v>2009</v>
      </c>
      <c r="J1184" s="12" t="s">
        <v>163</v>
      </c>
      <c r="K1184" s="2">
        <v>0</v>
      </c>
      <c r="M1184" s="33">
        <v>6.8103889850000003</v>
      </c>
      <c r="N1184" s="33">
        <v>7.8133312699999999</v>
      </c>
      <c r="Z1184" s="27" t="s">
        <v>247</v>
      </c>
      <c r="AA1184" t="s">
        <v>226</v>
      </c>
    </row>
    <row r="1185" spans="1:27" x14ac:dyDescent="0.25">
      <c r="A1185" s="12">
        <v>124</v>
      </c>
      <c r="B1185">
        <v>49</v>
      </c>
      <c r="C1185">
        <f t="shared" si="139"/>
        <v>12449</v>
      </c>
      <c r="D1185" s="3" t="s">
        <v>86</v>
      </c>
      <c r="E1185" s="11">
        <f t="shared" si="142"/>
        <v>61.370155555555556</v>
      </c>
      <c r="F1185" s="11">
        <f t="shared" si="143"/>
        <v>2.4589166666666666</v>
      </c>
      <c r="G1185" s="12" t="s">
        <v>144</v>
      </c>
      <c r="H1185" s="12" t="s">
        <v>47</v>
      </c>
      <c r="I1185">
        <v>2010</v>
      </c>
      <c r="J1185" s="12" t="s">
        <v>163</v>
      </c>
      <c r="K1185" s="2">
        <v>0</v>
      </c>
      <c r="M1185" s="33">
        <v>3.1482716750000002</v>
      </c>
      <c r="N1185" s="33">
        <v>2.8698816119999999</v>
      </c>
      <c r="Z1185" s="27" t="s">
        <v>247</v>
      </c>
      <c r="AA1185" t="s">
        <v>226</v>
      </c>
    </row>
    <row r="1186" spans="1:27" x14ac:dyDescent="0.25">
      <c r="A1186" s="12">
        <v>124</v>
      </c>
      <c r="B1186">
        <v>49</v>
      </c>
      <c r="C1186">
        <f t="shared" si="139"/>
        <v>12449</v>
      </c>
      <c r="D1186" s="3" t="s">
        <v>86</v>
      </c>
      <c r="E1186" s="11">
        <f t="shared" si="142"/>
        <v>61.370155555555556</v>
      </c>
      <c r="F1186" s="11">
        <f t="shared" si="143"/>
        <v>2.4589166666666666</v>
      </c>
      <c r="G1186" s="12" t="s">
        <v>144</v>
      </c>
      <c r="H1186" s="12" t="s">
        <v>47</v>
      </c>
      <c r="I1186">
        <v>2011</v>
      </c>
      <c r="J1186" s="12" t="s">
        <v>163</v>
      </c>
      <c r="K1186" s="2">
        <v>0</v>
      </c>
      <c r="M1186" s="33">
        <v>7.791292952</v>
      </c>
      <c r="N1186" s="33">
        <v>8.3977076519999994</v>
      </c>
      <c r="Z1186" s="27" t="s">
        <v>247</v>
      </c>
      <c r="AA1186" t="s">
        <v>226</v>
      </c>
    </row>
    <row r="1187" spans="1:27" x14ac:dyDescent="0.25">
      <c r="A1187" s="12">
        <v>124</v>
      </c>
      <c r="B1187">
        <v>49</v>
      </c>
      <c r="C1187">
        <f t="shared" si="139"/>
        <v>12449</v>
      </c>
      <c r="D1187" s="3" t="s">
        <v>86</v>
      </c>
      <c r="E1187" s="11">
        <f t="shared" si="142"/>
        <v>61.370155555555556</v>
      </c>
      <c r="F1187" s="11">
        <f t="shared" si="143"/>
        <v>2.4589166666666666</v>
      </c>
      <c r="G1187" s="12" t="s">
        <v>144</v>
      </c>
      <c r="H1187" s="12" t="s">
        <v>47</v>
      </c>
      <c r="I1187">
        <v>2012</v>
      </c>
      <c r="J1187" s="12" t="s">
        <v>163</v>
      </c>
      <c r="K1187" s="2">
        <v>0</v>
      </c>
      <c r="M1187" s="33">
        <v>6.4376910000000001</v>
      </c>
      <c r="N1187" s="33">
        <v>6.85</v>
      </c>
      <c r="Z1187" s="27" t="s">
        <v>247</v>
      </c>
      <c r="AA1187" t="s">
        <v>226</v>
      </c>
    </row>
    <row r="1188" spans="1:27" x14ac:dyDescent="0.25">
      <c r="A1188" s="12">
        <v>124</v>
      </c>
      <c r="B1188">
        <v>49</v>
      </c>
      <c r="C1188">
        <f t="shared" si="139"/>
        <v>12449</v>
      </c>
      <c r="D1188" s="3" t="s">
        <v>86</v>
      </c>
      <c r="E1188" s="11">
        <f t="shared" si="142"/>
        <v>61.370155555555556</v>
      </c>
      <c r="F1188" s="11">
        <f t="shared" si="143"/>
        <v>2.4589166666666666</v>
      </c>
      <c r="G1188" s="12" t="s">
        <v>144</v>
      </c>
      <c r="H1188" s="12" t="s">
        <v>47</v>
      </c>
      <c r="I1188">
        <v>2013</v>
      </c>
      <c r="J1188" s="12" t="s">
        <v>163</v>
      </c>
      <c r="K1188" s="2">
        <v>0</v>
      </c>
      <c r="M1188" s="33">
        <v>6.4701769725290896</v>
      </c>
      <c r="N1188" s="33">
        <v>7.4139999999999997</v>
      </c>
      <c r="Z1188" s="27" t="s">
        <v>247</v>
      </c>
      <c r="AA1188" t="s">
        <v>226</v>
      </c>
    </row>
    <row r="1189" spans="1:27" x14ac:dyDescent="0.25">
      <c r="A1189" s="12">
        <v>124</v>
      </c>
      <c r="B1189">
        <v>49</v>
      </c>
      <c r="C1189">
        <f t="shared" si="139"/>
        <v>12449</v>
      </c>
      <c r="D1189" s="3" t="s">
        <v>86</v>
      </c>
      <c r="E1189" s="11">
        <f t="shared" si="142"/>
        <v>61.370155555555556</v>
      </c>
      <c r="F1189" s="11">
        <f t="shared" si="143"/>
        <v>2.4589166666666666</v>
      </c>
      <c r="G1189" s="12" t="s">
        <v>144</v>
      </c>
      <c r="H1189" s="12" t="s">
        <v>47</v>
      </c>
      <c r="I1189">
        <v>2014</v>
      </c>
      <c r="J1189" s="12" t="s">
        <v>163</v>
      </c>
      <c r="K1189" s="2">
        <v>0</v>
      </c>
      <c r="M1189" s="33">
        <v>4.3425000000000002</v>
      </c>
      <c r="N1189" s="33">
        <v>3.67</v>
      </c>
      <c r="Z1189" s="27" t="s">
        <v>247</v>
      </c>
      <c r="AA1189" t="s">
        <v>226</v>
      </c>
    </row>
    <row r="1190" spans="1:27" x14ac:dyDescent="0.25">
      <c r="A1190" s="12">
        <v>124</v>
      </c>
      <c r="B1190">
        <v>49</v>
      </c>
      <c r="C1190">
        <f t="shared" si="139"/>
        <v>12449</v>
      </c>
      <c r="D1190" s="3" t="s">
        <v>86</v>
      </c>
      <c r="E1190" s="11">
        <f t="shared" si="142"/>
        <v>61.370155555555556</v>
      </c>
      <c r="F1190" s="11">
        <f t="shared" si="143"/>
        <v>2.4589166666666666</v>
      </c>
      <c r="G1190" s="12" t="s">
        <v>144</v>
      </c>
      <c r="H1190" s="12" t="s">
        <v>47</v>
      </c>
      <c r="I1190">
        <v>2015</v>
      </c>
      <c r="J1190" s="12" t="s">
        <v>163</v>
      </c>
      <c r="K1190" s="2">
        <v>0</v>
      </c>
      <c r="M1190" s="33">
        <v>4.9024999999999999</v>
      </c>
      <c r="N1190" s="33">
        <v>4.5</v>
      </c>
      <c r="Z1190" s="27" t="s">
        <v>247</v>
      </c>
      <c r="AA1190" t="s">
        <v>226</v>
      </c>
    </row>
    <row r="1191" spans="1:27" x14ac:dyDescent="0.25">
      <c r="A1191" s="12">
        <v>124</v>
      </c>
      <c r="B1191">
        <v>49</v>
      </c>
      <c r="C1191">
        <f t="shared" si="139"/>
        <v>12449</v>
      </c>
      <c r="D1191" s="3" t="s">
        <v>86</v>
      </c>
      <c r="E1191" s="11">
        <f t="shared" si="142"/>
        <v>61.370155555555556</v>
      </c>
      <c r="F1191" s="11">
        <f t="shared" si="143"/>
        <v>2.4589166666666666</v>
      </c>
      <c r="G1191" s="12" t="s">
        <v>144</v>
      </c>
      <c r="H1191" s="12" t="s">
        <v>47</v>
      </c>
      <c r="I1191">
        <v>2016</v>
      </c>
      <c r="J1191" s="12" t="s">
        <v>163</v>
      </c>
      <c r="K1191" s="2">
        <v>0</v>
      </c>
      <c r="M1191" s="33">
        <v>5.99</v>
      </c>
      <c r="N1191" s="33">
        <v>5.0750000000000002</v>
      </c>
      <c r="Z1191" s="27" t="s">
        <v>247</v>
      </c>
      <c r="AA1191" t="s">
        <v>226</v>
      </c>
    </row>
    <row r="1192" spans="1:27" x14ac:dyDescent="0.25">
      <c r="A1192" s="12">
        <v>124</v>
      </c>
      <c r="B1192">
        <v>49</v>
      </c>
      <c r="C1192">
        <f t="shared" si="139"/>
        <v>12449</v>
      </c>
      <c r="D1192" s="3" t="s">
        <v>86</v>
      </c>
      <c r="E1192" s="11">
        <f t="shared" si="142"/>
        <v>61.370155555555556</v>
      </c>
      <c r="F1192" s="11">
        <f t="shared" si="143"/>
        <v>2.4589166666666666</v>
      </c>
      <c r="G1192" s="12" t="s">
        <v>144</v>
      </c>
      <c r="H1192" s="12" t="s">
        <v>47</v>
      </c>
      <c r="I1192">
        <v>2017</v>
      </c>
      <c r="J1192" s="12" t="s">
        <v>163</v>
      </c>
      <c r="K1192" s="2">
        <v>0</v>
      </c>
      <c r="M1192" s="33">
        <v>7.8449999999999998</v>
      </c>
      <c r="N1192" s="33">
        <v>6.875</v>
      </c>
      <c r="Z1192" s="27" t="s">
        <v>247</v>
      </c>
      <c r="AA1192" t="s">
        <v>226</v>
      </c>
    </row>
    <row r="1193" spans="1:27" x14ac:dyDescent="0.25">
      <c r="A1193" s="12">
        <v>124</v>
      </c>
      <c r="B1193">
        <v>49</v>
      </c>
      <c r="C1193">
        <f t="shared" si="139"/>
        <v>12449</v>
      </c>
      <c r="D1193" s="3" t="s">
        <v>86</v>
      </c>
      <c r="E1193" s="11">
        <f t="shared" si="142"/>
        <v>61.370155555555556</v>
      </c>
      <c r="F1193" s="11">
        <f t="shared" si="143"/>
        <v>2.4589166666666666</v>
      </c>
      <c r="G1193" s="12" t="s">
        <v>144</v>
      </c>
      <c r="H1193" s="12" t="s">
        <v>47</v>
      </c>
      <c r="I1193">
        <v>2018</v>
      </c>
      <c r="J1193" s="12" t="s">
        <v>163</v>
      </c>
      <c r="K1193" s="2">
        <v>0</v>
      </c>
      <c r="M1193" s="33">
        <v>5.6224999999999996</v>
      </c>
      <c r="N1193" s="33">
        <v>5.48</v>
      </c>
      <c r="Z1193" s="27" t="s">
        <v>247</v>
      </c>
      <c r="AA1193" t="s">
        <v>226</v>
      </c>
    </row>
    <row r="1194" spans="1:27" x14ac:dyDescent="0.25">
      <c r="A1194" s="12">
        <v>124</v>
      </c>
      <c r="B1194">
        <v>49</v>
      </c>
      <c r="C1194">
        <f t="shared" si="139"/>
        <v>12449</v>
      </c>
      <c r="D1194" s="3" t="s">
        <v>86</v>
      </c>
      <c r="E1194" s="11">
        <f t="shared" si="142"/>
        <v>61.370155555555556</v>
      </c>
      <c r="F1194" s="11">
        <f t="shared" si="143"/>
        <v>2.4589166666666666</v>
      </c>
      <c r="G1194" s="12" t="s">
        <v>144</v>
      </c>
      <c r="H1194" s="12" t="s">
        <v>47</v>
      </c>
      <c r="I1194">
        <v>2019</v>
      </c>
      <c r="J1194" s="12" t="s">
        <v>163</v>
      </c>
      <c r="K1194" s="2">
        <v>0</v>
      </c>
      <c r="M1194" s="33">
        <v>6.2474999999999996</v>
      </c>
      <c r="N1194" s="33">
        <v>6</v>
      </c>
      <c r="Z1194" s="27" t="s">
        <v>247</v>
      </c>
      <c r="AA1194" t="s">
        <v>226</v>
      </c>
    </row>
    <row r="1195" spans="1:27" x14ac:dyDescent="0.25">
      <c r="A1195" s="12">
        <v>124</v>
      </c>
      <c r="B1195">
        <v>49</v>
      </c>
      <c r="C1195">
        <f t="shared" si="139"/>
        <v>12449</v>
      </c>
      <c r="D1195" s="3" t="s">
        <v>86</v>
      </c>
      <c r="E1195" s="11">
        <f t="shared" si="142"/>
        <v>61.370155555555556</v>
      </c>
      <c r="F1195" s="11">
        <f t="shared" si="143"/>
        <v>2.4589166666666666</v>
      </c>
      <c r="G1195" s="12" t="s">
        <v>144</v>
      </c>
      <c r="H1195" s="12" t="s">
        <v>47</v>
      </c>
      <c r="I1195">
        <v>2020</v>
      </c>
      <c r="J1195" s="12" t="s">
        <v>163</v>
      </c>
      <c r="K1195" s="2">
        <v>0</v>
      </c>
      <c r="M1195" s="33">
        <v>7.7457500000000001</v>
      </c>
      <c r="N1195" s="33">
        <v>7.3192500000000003</v>
      </c>
      <c r="Z1195" s="27" t="s">
        <v>247</v>
      </c>
      <c r="AA1195" t="s">
        <v>226</v>
      </c>
    </row>
    <row r="1196" spans="1:27" x14ac:dyDescent="0.25">
      <c r="A1196" s="12">
        <v>124</v>
      </c>
      <c r="B1196">
        <v>49</v>
      </c>
      <c r="C1196">
        <f t="shared" si="139"/>
        <v>12449</v>
      </c>
      <c r="D1196" s="3" t="s">
        <v>86</v>
      </c>
      <c r="E1196" s="11">
        <f t="shared" si="142"/>
        <v>61.370155555555556</v>
      </c>
      <c r="F1196" s="11">
        <f t="shared" si="143"/>
        <v>2.4589166666666666</v>
      </c>
      <c r="G1196" s="12" t="s">
        <v>144</v>
      </c>
      <c r="H1196" s="12" t="s">
        <v>47</v>
      </c>
      <c r="I1196">
        <v>2021</v>
      </c>
      <c r="J1196" s="12" t="s">
        <v>163</v>
      </c>
      <c r="K1196" s="2">
        <v>0</v>
      </c>
      <c r="M1196" s="33">
        <v>9.3542500000000004</v>
      </c>
      <c r="N1196" s="33">
        <v>8.57</v>
      </c>
      <c r="Z1196" s="27" t="s">
        <v>247</v>
      </c>
      <c r="AA1196" t="s">
        <v>226</v>
      </c>
    </row>
    <row r="1197" spans="1:27" x14ac:dyDescent="0.25">
      <c r="A1197" s="12">
        <v>124</v>
      </c>
      <c r="B1197">
        <v>50</v>
      </c>
      <c r="C1197">
        <f t="shared" si="139"/>
        <v>12450</v>
      </c>
      <c r="D1197" s="3" t="s">
        <v>86</v>
      </c>
      <c r="E1197" s="11">
        <v>62</v>
      </c>
      <c r="F1197" s="11">
        <v>2.46</v>
      </c>
      <c r="G1197" s="12" t="s">
        <v>144</v>
      </c>
      <c r="H1197" s="12" t="s">
        <v>47</v>
      </c>
      <c r="I1197">
        <v>2009</v>
      </c>
      <c r="J1197" s="12" t="s">
        <v>163</v>
      </c>
      <c r="K1197" s="2">
        <v>0</v>
      </c>
      <c r="M1197" s="33">
        <v>0.80821898800000003</v>
      </c>
      <c r="N1197" s="33">
        <v>0.69790870900000002</v>
      </c>
      <c r="Z1197" s="27" t="s">
        <v>247</v>
      </c>
      <c r="AA1197" t="s">
        <v>235</v>
      </c>
    </row>
    <row r="1198" spans="1:27" x14ac:dyDescent="0.25">
      <c r="A1198" s="12">
        <v>124</v>
      </c>
      <c r="B1198">
        <v>50</v>
      </c>
      <c r="C1198">
        <f t="shared" si="139"/>
        <v>12450</v>
      </c>
      <c r="D1198" s="3" t="s">
        <v>86</v>
      </c>
      <c r="E1198" s="11">
        <v>62</v>
      </c>
      <c r="F1198" s="11">
        <v>2.46</v>
      </c>
      <c r="G1198" s="12" t="s">
        <v>144</v>
      </c>
      <c r="H1198" s="12" t="s">
        <v>47</v>
      </c>
      <c r="I1198">
        <v>2010</v>
      </c>
      <c r="J1198" s="12" t="s">
        <v>163</v>
      </c>
      <c r="K1198" s="2">
        <v>0</v>
      </c>
      <c r="M1198" s="33">
        <v>1.856774449</v>
      </c>
      <c r="N1198" s="33">
        <v>1.9481037940000001</v>
      </c>
      <c r="Z1198" s="27" t="s">
        <v>247</v>
      </c>
      <c r="AA1198" t="s">
        <v>235</v>
      </c>
    </row>
    <row r="1199" spans="1:27" x14ac:dyDescent="0.25">
      <c r="A1199" s="12">
        <v>124</v>
      </c>
      <c r="B1199">
        <v>50</v>
      </c>
      <c r="C1199">
        <f t="shared" si="139"/>
        <v>12450</v>
      </c>
      <c r="D1199" s="3" t="s">
        <v>86</v>
      </c>
      <c r="E1199" s="11">
        <v>62</v>
      </c>
      <c r="F1199" s="11">
        <v>2.46</v>
      </c>
      <c r="G1199" s="12" t="s">
        <v>144</v>
      </c>
      <c r="H1199" s="12" t="s">
        <v>47</v>
      </c>
      <c r="I1199">
        <v>2011</v>
      </c>
      <c r="J1199" s="12" t="s">
        <v>163</v>
      </c>
      <c r="K1199" s="2">
        <v>0</v>
      </c>
      <c r="M1199" s="33">
        <v>2.3217350065</v>
      </c>
      <c r="N1199" s="33">
        <v>2.6086196875000001</v>
      </c>
      <c r="Z1199" s="27" t="s">
        <v>247</v>
      </c>
      <c r="AA1199" t="s">
        <v>235</v>
      </c>
    </row>
    <row r="1200" spans="1:27" x14ac:dyDescent="0.25">
      <c r="A1200" s="12">
        <v>124</v>
      </c>
      <c r="B1200">
        <v>50</v>
      </c>
      <c r="C1200">
        <f t="shared" si="139"/>
        <v>12450</v>
      </c>
      <c r="D1200" s="3" t="s">
        <v>86</v>
      </c>
      <c r="E1200" s="11">
        <v>62</v>
      </c>
      <c r="F1200" s="11">
        <v>2.46</v>
      </c>
      <c r="G1200" s="12" t="s">
        <v>144</v>
      </c>
      <c r="H1200" s="12" t="s">
        <v>47</v>
      </c>
      <c r="I1200">
        <v>2012</v>
      </c>
      <c r="J1200" s="12" t="s">
        <v>163</v>
      </c>
      <c r="K1200" s="2">
        <v>0</v>
      </c>
      <c r="M1200" s="33">
        <v>2.9444444444444402</v>
      </c>
      <c r="N1200" s="33">
        <v>3.5755555555555598</v>
      </c>
      <c r="Z1200" s="27" t="s">
        <v>247</v>
      </c>
      <c r="AA1200" t="s">
        <v>235</v>
      </c>
    </row>
    <row r="1201" spans="1:27" x14ac:dyDescent="0.25">
      <c r="A1201" s="12">
        <v>124</v>
      </c>
      <c r="B1201">
        <v>50</v>
      </c>
      <c r="C1201">
        <f t="shared" si="139"/>
        <v>12450</v>
      </c>
      <c r="D1201" s="3" t="s">
        <v>86</v>
      </c>
      <c r="E1201" s="11">
        <v>62</v>
      </c>
      <c r="F1201" s="11">
        <v>2.46</v>
      </c>
      <c r="G1201" s="12" t="s">
        <v>144</v>
      </c>
      <c r="H1201" s="12" t="s">
        <v>47</v>
      </c>
      <c r="I1201">
        <v>2013</v>
      </c>
      <c r="J1201" s="12" t="s">
        <v>163</v>
      </c>
      <c r="K1201" s="2">
        <v>0</v>
      </c>
      <c r="M1201" s="33">
        <v>2.1788888888888902</v>
      </c>
      <c r="N1201" s="33">
        <v>2.778</v>
      </c>
      <c r="Z1201" s="27" t="s">
        <v>247</v>
      </c>
      <c r="AA1201" t="s">
        <v>235</v>
      </c>
    </row>
    <row r="1202" spans="1:27" x14ac:dyDescent="0.25">
      <c r="A1202" s="12">
        <v>124</v>
      </c>
      <c r="B1202">
        <v>50</v>
      </c>
      <c r="C1202">
        <f t="shared" si="139"/>
        <v>12450</v>
      </c>
      <c r="D1202" s="3" t="s">
        <v>86</v>
      </c>
      <c r="E1202" s="11">
        <v>62</v>
      </c>
      <c r="F1202" s="11">
        <v>2.46</v>
      </c>
      <c r="G1202" s="12" t="s">
        <v>144</v>
      </c>
      <c r="H1202" s="12" t="s">
        <v>47</v>
      </c>
      <c r="I1202">
        <v>2014</v>
      </c>
      <c r="J1202" s="12" t="s">
        <v>163</v>
      </c>
      <c r="K1202" s="2">
        <v>0</v>
      </c>
      <c r="M1202" s="33">
        <v>2.23</v>
      </c>
      <c r="N1202" s="33">
        <v>2.87</v>
      </c>
      <c r="Z1202" s="27" t="s">
        <v>247</v>
      </c>
      <c r="AA1202" t="s">
        <v>235</v>
      </c>
    </row>
    <row r="1203" spans="1:27" x14ac:dyDescent="0.25">
      <c r="A1203" s="12">
        <v>124</v>
      </c>
      <c r="B1203">
        <v>50</v>
      </c>
      <c r="C1203">
        <f t="shared" si="139"/>
        <v>12450</v>
      </c>
      <c r="D1203" s="3" t="s">
        <v>86</v>
      </c>
      <c r="E1203" s="11">
        <v>62</v>
      </c>
      <c r="F1203" s="11">
        <v>2.46</v>
      </c>
      <c r="G1203" s="12" t="s">
        <v>144</v>
      </c>
      <c r="H1203" s="12" t="s">
        <v>47</v>
      </c>
      <c r="I1203">
        <v>2015</v>
      </c>
      <c r="J1203" s="12" t="s">
        <v>163</v>
      </c>
      <c r="K1203" s="2">
        <v>0</v>
      </c>
      <c r="M1203" s="33">
        <v>1.974</v>
      </c>
      <c r="N1203" s="33">
        <v>3</v>
      </c>
      <c r="Z1203" s="27" t="s">
        <v>247</v>
      </c>
      <c r="AA1203" t="s">
        <v>235</v>
      </c>
    </row>
    <row r="1204" spans="1:27" x14ac:dyDescent="0.25">
      <c r="A1204" s="12">
        <v>124</v>
      </c>
      <c r="B1204">
        <v>50</v>
      </c>
      <c r="C1204">
        <f t="shared" si="139"/>
        <v>12450</v>
      </c>
      <c r="D1204" s="3" t="s">
        <v>86</v>
      </c>
      <c r="E1204" s="11">
        <v>62</v>
      </c>
      <c r="F1204" s="11">
        <v>2.46</v>
      </c>
      <c r="G1204" s="12" t="s">
        <v>144</v>
      </c>
      <c r="H1204" s="12" t="s">
        <v>47</v>
      </c>
      <c r="I1204">
        <v>2016</v>
      </c>
      <c r="J1204" s="12" t="s">
        <v>163</v>
      </c>
      <c r="K1204" s="2">
        <v>0</v>
      </c>
      <c r="M1204" s="33">
        <v>2.2200000000000002</v>
      </c>
      <c r="N1204" s="33">
        <v>3.3457142857142901</v>
      </c>
      <c r="Z1204" s="27" t="s">
        <v>247</v>
      </c>
      <c r="AA1204" t="s">
        <v>235</v>
      </c>
    </row>
    <row r="1205" spans="1:27" x14ac:dyDescent="0.25">
      <c r="A1205" s="12">
        <v>125</v>
      </c>
      <c r="B1205">
        <v>1</v>
      </c>
      <c r="C1205">
        <f t="shared" si="139"/>
        <v>12501</v>
      </c>
      <c r="D1205" t="s">
        <v>86</v>
      </c>
      <c r="E1205">
        <v>29.593824228028499</v>
      </c>
      <c r="F1205">
        <v>48.344418052256501</v>
      </c>
      <c r="G1205" t="s">
        <v>259</v>
      </c>
      <c r="H1205" t="s">
        <v>258</v>
      </c>
      <c r="I1205">
        <v>2017</v>
      </c>
      <c r="J1205" s="12" t="s">
        <v>268</v>
      </c>
      <c r="K1205" s="2">
        <v>0</v>
      </c>
      <c r="M1205"/>
      <c r="N1205"/>
      <c r="O1205">
        <v>8.8000000000000003E-4</v>
      </c>
      <c r="P1205"/>
      <c r="Q1205">
        <v>18.7</v>
      </c>
      <c r="R1205"/>
      <c r="S1205">
        <v>5.5E-2</v>
      </c>
      <c r="T1205">
        <v>1.8600000000000001E-3</v>
      </c>
      <c r="U1205">
        <v>4.8000000000000001E-2</v>
      </c>
      <c r="V1205">
        <v>5.1000000000000004E-4</v>
      </c>
      <c r="W1205"/>
      <c r="X1205"/>
      <c r="Y1205"/>
      <c r="Z1205" t="s">
        <v>397</v>
      </c>
      <c r="AA1205" t="s">
        <v>260</v>
      </c>
    </row>
    <row r="1206" spans="1:27" x14ac:dyDescent="0.25">
      <c r="A1206" s="12">
        <v>125</v>
      </c>
      <c r="B1206">
        <v>2</v>
      </c>
      <c r="C1206">
        <f t="shared" si="139"/>
        <v>12502</v>
      </c>
      <c r="D1206" t="s">
        <v>86</v>
      </c>
      <c r="E1206">
        <v>29.5083135391924</v>
      </c>
      <c r="F1206">
        <v>47.998812351543897</v>
      </c>
      <c r="G1206" t="s">
        <v>259</v>
      </c>
      <c r="H1206" t="s">
        <v>258</v>
      </c>
      <c r="I1206">
        <v>2017</v>
      </c>
      <c r="J1206" s="12" t="s">
        <v>268</v>
      </c>
      <c r="K1206" s="2">
        <v>0</v>
      </c>
      <c r="M1206"/>
      <c r="N1206"/>
      <c r="O1206">
        <v>9.2000000000000003E-4</v>
      </c>
      <c r="P1206"/>
      <c r="Q1206">
        <v>18.899999999999999</v>
      </c>
      <c r="R1206"/>
      <c r="S1206">
        <v>5.6000000000000001E-2</v>
      </c>
      <c r="T1206">
        <v>1.89E-3</v>
      </c>
      <c r="U1206">
        <v>4.9000000000000002E-2</v>
      </c>
      <c r="V1206">
        <v>5.8E-4</v>
      </c>
      <c r="W1206"/>
      <c r="X1206"/>
      <c r="Y1206"/>
      <c r="Z1206" t="s">
        <v>397</v>
      </c>
      <c r="AA1206" t="s">
        <v>261</v>
      </c>
    </row>
    <row r="1207" spans="1:27" x14ac:dyDescent="0.25">
      <c r="A1207" s="12">
        <v>125</v>
      </c>
      <c r="B1207">
        <v>3</v>
      </c>
      <c r="C1207">
        <f t="shared" si="139"/>
        <v>12503</v>
      </c>
      <c r="D1207" t="s">
        <v>86</v>
      </c>
      <c r="E1207">
        <v>29.4014251781472</v>
      </c>
      <c r="F1207">
        <v>47.806413301662701</v>
      </c>
      <c r="G1207" t="s">
        <v>259</v>
      </c>
      <c r="H1207" t="s">
        <v>258</v>
      </c>
      <c r="I1207">
        <v>2017</v>
      </c>
      <c r="J1207" s="12" t="s">
        <v>268</v>
      </c>
      <c r="K1207" s="2">
        <v>0</v>
      </c>
      <c r="M1207"/>
      <c r="N1207"/>
      <c r="O1207">
        <v>8.4999999999999995E-4</v>
      </c>
      <c r="P1207"/>
      <c r="Q1207">
        <v>19</v>
      </c>
      <c r="R1207"/>
      <c r="S1207">
        <v>5.6000000000000001E-2</v>
      </c>
      <c r="T1207">
        <v>1.8799999999999999E-3</v>
      </c>
      <c r="U1207">
        <v>4.9000000000000002E-2</v>
      </c>
      <c r="V1207">
        <v>5.6999999999999998E-4</v>
      </c>
      <c r="W1207"/>
      <c r="X1207"/>
      <c r="Y1207"/>
      <c r="Z1207" t="s">
        <v>397</v>
      </c>
      <c r="AA1207" t="s">
        <v>262</v>
      </c>
    </row>
    <row r="1208" spans="1:27" x14ac:dyDescent="0.25">
      <c r="A1208" s="12">
        <v>125</v>
      </c>
      <c r="B1208">
        <v>4</v>
      </c>
      <c r="C1208">
        <f t="shared" si="139"/>
        <v>12504</v>
      </c>
      <c r="D1208" t="s">
        <v>86</v>
      </c>
      <c r="E1208">
        <v>29.422802850356199</v>
      </c>
      <c r="F1208">
        <v>48.041567695961902</v>
      </c>
      <c r="G1208" t="s">
        <v>259</v>
      </c>
      <c r="H1208" t="s">
        <v>258</v>
      </c>
      <c r="I1208">
        <v>2017</v>
      </c>
      <c r="J1208" s="12" t="s">
        <v>268</v>
      </c>
      <c r="K1208" s="2">
        <v>0</v>
      </c>
      <c r="M1208"/>
      <c r="N1208"/>
      <c r="O1208">
        <v>8.9000000000000006E-4</v>
      </c>
      <c r="P1208"/>
      <c r="Q1208">
        <v>18.899999999999999</v>
      </c>
      <c r="R1208"/>
      <c r="S1208">
        <v>5.6000000000000001E-2</v>
      </c>
      <c r="T1208">
        <v>1.9199999999999998E-3</v>
      </c>
      <c r="U1208">
        <v>4.9000000000000002E-2</v>
      </c>
      <c r="V1208">
        <v>5.9999999999999995E-4</v>
      </c>
      <c r="W1208"/>
      <c r="X1208"/>
      <c r="Y1208"/>
      <c r="Z1208" t="s">
        <v>397</v>
      </c>
      <c r="AA1208" t="s">
        <v>263</v>
      </c>
    </row>
    <row r="1209" spans="1:27" x14ac:dyDescent="0.25">
      <c r="A1209" s="12">
        <v>125</v>
      </c>
      <c r="B1209">
        <v>5</v>
      </c>
      <c r="C1209">
        <f t="shared" si="139"/>
        <v>12505</v>
      </c>
      <c r="D1209" t="s">
        <v>86</v>
      </c>
      <c r="E1209">
        <v>29.476247030878799</v>
      </c>
      <c r="F1209">
        <v>48.551068883610398</v>
      </c>
      <c r="G1209" t="s">
        <v>259</v>
      </c>
      <c r="H1209" t="s">
        <v>258</v>
      </c>
      <c r="I1209">
        <v>2017</v>
      </c>
      <c r="J1209" s="12" t="s">
        <v>268</v>
      </c>
      <c r="K1209" s="2">
        <v>0</v>
      </c>
      <c r="M1209"/>
      <c r="N1209"/>
      <c r="O1209">
        <v>9.1E-4</v>
      </c>
      <c r="P1209"/>
      <c r="Q1209">
        <v>18.8</v>
      </c>
      <c r="R1209"/>
      <c r="S1209">
        <v>5.5E-2</v>
      </c>
      <c r="T1209">
        <v>1.9E-3</v>
      </c>
      <c r="U1209">
        <v>4.8000000000000001E-2</v>
      </c>
      <c r="V1209">
        <v>6.2E-4</v>
      </c>
      <c r="W1209"/>
      <c r="X1209"/>
      <c r="Y1209"/>
      <c r="Z1209" t="s">
        <v>397</v>
      </c>
      <c r="AA1209" t="s">
        <v>264</v>
      </c>
    </row>
    <row r="1210" spans="1:27" x14ac:dyDescent="0.25">
      <c r="A1210" s="12">
        <v>125</v>
      </c>
      <c r="B1210">
        <v>6</v>
      </c>
      <c r="C1210">
        <f t="shared" si="139"/>
        <v>12506</v>
      </c>
      <c r="D1210" t="s">
        <v>86</v>
      </c>
      <c r="E1210">
        <v>29.333729216152001</v>
      </c>
      <c r="F1210">
        <v>48.501187648456003</v>
      </c>
      <c r="G1210" t="s">
        <v>259</v>
      </c>
      <c r="H1210" t="s">
        <v>258</v>
      </c>
      <c r="I1210">
        <v>2017</v>
      </c>
      <c r="J1210" s="12" t="s">
        <v>268</v>
      </c>
      <c r="K1210" s="2">
        <v>0</v>
      </c>
      <c r="M1210"/>
      <c r="N1210"/>
      <c r="O1210">
        <v>8.9999999999999998E-4</v>
      </c>
      <c r="P1210"/>
      <c r="Q1210">
        <v>19</v>
      </c>
      <c r="R1210"/>
      <c r="S1210">
        <v>5.6000000000000001E-2</v>
      </c>
      <c r="T1210">
        <v>1.9599999999999999E-3</v>
      </c>
      <c r="U1210">
        <v>4.9000000000000002E-2</v>
      </c>
      <c r="V1210">
        <v>5.8E-4</v>
      </c>
      <c r="W1210"/>
      <c r="X1210"/>
      <c r="Y1210"/>
      <c r="Z1210" t="s">
        <v>397</v>
      </c>
      <c r="AA1210" t="s">
        <v>265</v>
      </c>
    </row>
    <row r="1211" spans="1:27" x14ac:dyDescent="0.25">
      <c r="A1211" s="12">
        <v>125</v>
      </c>
      <c r="B1211">
        <v>7</v>
      </c>
      <c r="C1211">
        <f t="shared" si="139"/>
        <v>12507</v>
      </c>
      <c r="D1211" t="s">
        <v>86</v>
      </c>
      <c r="E1211">
        <v>29.714964370546301</v>
      </c>
      <c r="F1211">
        <v>48.112826603325402</v>
      </c>
      <c r="G1211" t="s">
        <v>259</v>
      </c>
      <c r="H1211" t="s">
        <v>258</v>
      </c>
      <c r="I1211">
        <v>2017</v>
      </c>
      <c r="J1211" s="12" t="s">
        <v>268</v>
      </c>
      <c r="K1211" s="2">
        <v>0</v>
      </c>
      <c r="M1211"/>
      <c r="N1211"/>
      <c r="O1211">
        <v>8.7000000000000001E-4</v>
      </c>
      <c r="P1211"/>
      <c r="Q1211">
        <v>18.600000000000001</v>
      </c>
      <c r="R1211"/>
      <c r="S1211">
        <v>5.3999999999999999E-2</v>
      </c>
      <c r="T1211">
        <v>1.8700000000000001E-3</v>
      </c>
      <c r="U1211">
        <v>4.7E-2</v>
      </c>
      <c r="V1211">
        <v>5.2999999999999998E-4</v>
      </c>
      <c r="W1211"/>
      <c r="X1211"/>
      <c r="Y1211"/>
      <c r="Z1211" t="s">
        <v>397</v>
      </c>
      <c r="AA1211" t="s">
        <v>266</v>
      </c>
    </row>
    <row r="1212" spans="1:27" x14ac:dyDescent="0.25">
      <c r="A1212" s="12">
        <v>125</v>
      </c>
      <c r="B1212">
        <v>8</v>
      </c>
      <c r="C1212">
        <f t="shared" si="139"/>
        <v>12508</v>
      </c>
      <c r="D1212" t="s">
        <v>86</v>
      </c>
      <c r="E1212">
        <v>28.931116389548599</v>
      </c>
      <c r="F1212">
        <v>48.330166270783799</v>
      </c>
      <c r="G1212" t="s">
        <v>259</v>
      </c>
      <c r="H1212" t="s">
        <v>258</v>
      </c>
      <c r="I1212">
        <v>2017</v>
      </c>
      <c r="J1212" s="12" t="s">
        <v>268</v>
      </c>
      <c r="K1212" s="2">
        <v>0</v>
      </c>
      <c r="M1212"/>
      <c r="N1212"/>
      <c r="O1212">
        <v>8.8000000000000003E-4</v>
      </c>
      <c r="P1212"/>
      <c r="Q1212">
        <v>19.100000000000001</v>
      </c>
      <c r="R1212"/>
      <c r="S1212">
        <v>5.7000000000000002E-2</v>
      </c>
      <c r="T1212">
        <v>1.98E-3</v>
      </c>
      <c r="U1212">
        <v>0.05</v>
      </c>
      <c r="V1212">
        <v>5.6999999999999998E-4</v>
      </c>
      <c r="W1212"/>
      <c r="X1212"/>
      <c r="Y1212"/>
      <c r="Z1212" t="s">
        <v>397</v>
      </c>
      <c r="AA1212" t="s">
        <v>267</v>
      </c>
    </row>
    <row r="1213" spans="1:27" x14ac:dyDescent="0.25">
      <c r="A1213" s="12">
        <v>126</v>
      </c>
      <c r="B1213">
        <v>1</v>
      </c>
      <c r="C1213">
        <f t="shared" si="139"/>
        <v>12601</v>
      </c>
      <c r="D1213" t="s">
        <v>86</v>
      </c>
      <c r="E1213">
        <v>29.593824228028499</v>
      </c>
      <c r="F1213">
        <v>48.344418052256501</v>
      </c>
      <c r="G1213" t="s">
        <v>259</v>
      </c>
      <c r="H1213" t="s">
        <v>258</v>
      </c>
      <c r="I1213" s="4">
        <v>40308</v>
      </c>
      <c r="J1213" s="12" t="s">
        <v>268</v>
      </c>
      <c r="K1213" s="2">
        <v>0</v>
      </c>
      <c r="V1213" s="3">
        <v>5.0000000000000001E-4</v>
      </c>
      <c r="Z1213" t="s">
        <v>376</v>
      </c>
      <c r="AA1213" t="s">
        <v>250</v>
      </c>
    </row>
    <row r="1214" spans="1:27" x14ac:dyDescent="0.25">
      <c r="A1214" s="12">
        <v>126</v>
      </c>
      <c r="B1214">
        <v>2</v>
      </c>
      <c r="C1214">
        <f t="shared" si="139"/>
        <v>12602</v>
      </c>
      <c r="D1214" t="s">
        <v>86</v>
      </c>
      <c r="E1214">
        <v>29.5083135391924</v>
      </c>
      <c r="F1214">
        <v>47.998812351543897</v>
      </c>
      <c r="G1214" t="s">
        <v>259</v>
      </c>
      <c r="H1214" t="s">
        <v>258</v>
      </c>
      <c r="I1214" s="4">
        <v>40308</v>
      </c>
      <c r="J1214" s="12" t="s">
        <v>268</v>
      </c>
      <c r="K1214" s="2">
        <v>0</v>
      </c>
      <c r="V1214" s="3">
        <v>6.8000000000000005E-4</v>
      </c>
      <c r="Z1214" t="s">
        <v>376</v>
      </c>
      <c r="AA1214" t="s">
        <v>251</v>
      </c>
    </row>
    <row r="1215" spans="1:27" x14ac:dyDescent="0.25">
      <c r="A1215" s="12">
        <v>126</v>
      </c>
      <c r="B1215">
        <v>3</v>
      </c>
      <c r="C1215">
        <f t="shared" si="139"/>
        <v>12603</v>
      </c>
      <c r="D1215" t="s">
        <v>86</v>
      </c>
      <c r="E1215">
        <v>29.4014251781472</v>
      </c>
      <c r="F1215">
        <v>47.806413301662701</v>
      </c>
      <c r="G1215" t="s">
        <v>259</v>
      </c>
      <c r="H1215" t="s">
        <v>258</v>
      </c>
      <c r="I1215" s="4">
        <v>40308</v>
      </c>
      <c r="J1215" s="12" t="s">
        <v>268</v>
      </c>
      <c r="K1215" s="2">
        <v>0</v>
      </c>
      <c r="V1215" s="3">
        <v>5.4000000000000001E-4</v>
      </c>
      <c r="Z1215" t="s">
        <v>376</v>
      </c>
      <c r="AA1215" t="s">
        <v>252</v>
      </c>
    </row>
    <row r="1216" spans="1:27" x14ac:dyDescent="0.25">
      <c r="A1216" s="12">
        <v>126</v>
      </c>
      <c r="B1216">
        <v>4</v>
      </c>
      <c r="C1216">
        <f t="shared" si="139"/>
        <v>12604</v>
      </c>
      <c r="D1216" t="s">
        <v>86</v>
      </c>
      <c r="E1216">
        <v>29.422802850356199</v>
      </c>
      <c r="F1216">
        <v>48.041567695961902</v>
      </c>
      <c r="G1216" t="s">
        <v>259</v>
      </c>
      <c r="H1216" t="s">
        <v>258</v>
      </c>
      <c r="I1216" s="4">
        <v>40308</v>
      </c>
      <c r="J1216" s="12" t="s">
        <v>268</v>
      </c>
      <c r="K1216" s="2">
        <v>0</v>
      </c>
      <c r="V1216" s="3">
        <v>6.3000000000000003E-4</v>
      </c>
      <c r="Z1216" t="s">
        <v>376</v>
      </c>
      <c r="AA1216" t="s">
        <v>253</v>
      </c>
    </row>
    <row r="1217" spans="1:27" x14ac:dyDescent="0.25">
      <c r="A1217" s="12">
        <v>126</v>
      </c>
      <c r="B1217">
        <v>5</v>
      </c>
      <c r="C1217">
        <f t="shared" si="139"/>
        <v>12605</v>
      </c>
      <c r="D1217" t="s">
        <v>86</v>
      </c>
      <c r="E1217">
        <v>29.476247030878799</v>
      </c>
      <c r="F1217">
        <v>48.551068883610398</v>
      </c>
      <c r="G1217" t="s">
        <v>259</v>
      </c>
      <c r="H1217" t="s">
        <v>258</v>
      </c>
      <c r="I1217" s="4">
        <v>40308</v>
      </c>
      <c r="J1217" s="12" t="s">
        <v>268</v>
      </c>
      <c r="K1217" s="2">
        <v>0</v>
      </c>
      <c r="V1217" s="3">
        <v>6.8000000000000005E-4</v>
      </c>
      <c r="Z1217" t="s">
        <v>376</v>
      </c>
      <c r="AA1217" t="s">
        <v>254</v>
      </c>
    </row>
    <row r="1218" spans="1:27" x14ac:dyDescent="0.25">
      <c r="A1218" s="12">
        <v>126</v>
      </c>
      <c r="B1218">
        <v>6</v>
      </c>
      <c r="C1218">
        <f t="shared" si="139"/>
        <v>12606</v>
      </c>
      <c r="D1218" t="s">
        <v>86</v>
      </c>
      <c r="E1218">
        <v>29.333729216152001</v>
      </c>
      <c r="F1218">
        <v>48.501187648456003</v>
      </c>
      <c r="G1218" t="s">
        <v>259</v>
      </c>
      <c r="H1218" t="s">
        <v>258</v>
      </c>
      <c r="I1218" s="4">
        <v>40308</v>
      </c>
      <c r="J1218" s="12" t="s">
        <v>268</v>
      </c>
      <c r="K1218" s="2">
        <v>0</v>
      </c>
      <c r="V1218" s="3">
        <v>6.4000000000000005E-4</v>
      </c>
      <c r="Z1218" t="s">
        <v>376</v>
      </c>
      <c r="AA1218" t="s">
        <v>255</v>
      </c>
    </row>
    <row r="1219" spans="1:27" x14ac:dyDescent="0.25">
      <c r="A1219" s="12">
        <v>126</v>
      </c>
      <c r="B1219">
        <v>7</v>
      </c>
      <c r="C1219">
        <f t="shared" ref="C1219:C1282" si="144">A1219*100+B1219</f>
        <v>12607</v>
      </c>
      <c r="D1219" t="s">
        <v>86</v>
      </c>
      <c r="E1219">
        <v>29.714964370546301</v>
      </c>
      <c r="F1219">
        <v>48.112826603325402</v>
      </c>
      <c r="G1219" t="s">
        <v>259</v>
      </c>
      <c r="H1219" t="s">
        <v>258</v>
      </c>
      <c r="I1219" s="4">
        <v>40308</v>
      </c>
      <c r="J1219" s="12" t="s">
        <v>268</v>
      </c>
      <c r="K1219" s="2">
        <v>0</v>
      </c>
      <c r="V1219" s="3">
        <v>4.7999999999999996E-4</v>
      </c>
      <c r="Z1219" t="s">
        <v>376</v>
      </c>
      <c r="AA1219" t="s">
        <v>256</v>
      </c>
    </row>
    <row r="1220" spans="1:27" x14ac:dyDescent="0.25">
      <c r="A1220" s="12">
        <v>126</v>
      </c>
      <c r="B1220">
        <v>8</v>
      </c>
      <c r="C1220">
        <f t="shared" si="144"/>
        <v>12608</v>
      </c>
      <c r="D1220" t="s">
        <v>86</v>
      </c>
      <c r="E1220">
        <v>28.931116389548599</v>
      </c>
      <c r="F1220">
        <v>48.330166270783799</v>
      </c>
      <c r="G1220" t="s">
        <v>259</v>
      </c>
      <c r="H1220" t="s">
        <v>258</v>
      </c>
      <c r="I1220" s="4">
        <v>40308</v>
      </c>
      <c r="J1220" s="12" t="s">
        <v>268</v>
      </c>
      <c r="K1220" s="2">
        <v>0</v>
      </c>
      <c r="V1220" s="3">
        <v>4.8999999999999998E-4</v>
      </c>
      <c r="Z1220" t="s">
        <v>376</v>
      </c>
      <c r="AA1220" t="s">
        <v>257</v>
      </c>
    </row>
    <row r="1221" spans="1:27" x14ac:dyDescent="0.25">
      <c r="A1221" s="12">
        <v>127</v>
      </c>
      <c r="B1221">
        <v>1</v>
      </c>
      <c r="C1221">
        <f t="shared" si="144"/>
        <v>12701</v>
      </c>
      <c r="D1221" t="s">
        <v>86</v>
      </c>
      <c r="E1221">
        <v>29.627467105263101</v>
      </c>
      <c r="F1221">
        <v>48.403654485049799</v>
      </c>
      <c r="G1221" t="s">
        <v>259</v>
      </c>
      <c r="H1221" t="s">
        <v>258</v>
      </c>
      <c r="I1221">
        <v>2013</v>
      </c>
      <c r="J1221" s="12" t="s">
        <v>268</v>
      </c>
      <c r="K1221" s="2">
        <v>0</v>
      </c>
      <c r="O1221" s="34">
        <v>7.7999999999999999E-4</v>
      </c>
      <c r="V1221" s="3">
        <v>4.8999999999999998E-4</v>
      </c>
      <c r="Z1221" t="s">
        <v>356</v>
      </c>
      <c r="AA1221" t="s">
        <v>274</v>
      </c>
    </row>
    <row r="1222" spans="1:27" x14ac:dyDescent="0.25">
      <c r="A1222" s="12">
        <v>127</v>
      </c>
      <c r="B1222">
        <v>2</v>
      </c>
      <c r="C1222">
        <f t="shared" si="144"/>
        <v>12702</v>
      </c>
      <c r="D1222" t="s">
        <v>86</v>
      </c>
      <c r="E1222">
        <v>29.533717105263101</v>
      </c>
      <c r="F1222">
        <v>48.027408637873698</v>
      </c>
      <c r="G1222" t="s">
        <v>259</v>
      </c>
      <c r="H1222" t="s">
        <v>258</v>
      </c>
      <c r="I1222">
        <v>2013</v>
      </c>
      <c r="J1222" s="12" t="s">
        <v>268</v>
      </c>
      <c r="K1222" s="2">
        <v>0</v>
      </c>
      <c r="O1222" s="34">
        <v>8.9000000000000006E-4</v>
      </c>
      <c r="V1222" s="3">
        <v>6.8000000000000005E-4</v>
      </c>
      <c r="Z1222" t="s">
        <v>356</v>
      </c>
      <c r="AA1222" t="s">
        <v>275</v>
      </c>
    </row>
    <row r="1223" spans="1:27" x14ac:dyDescent="0.25">
      <c r="A1223" s="12">
        <v>127</v>
      </c>
      <c r="B1223">
        <v>3</v>
      </c>
      <c r="C1223">
        <f t="shared" si="144"/>
        <v>12703</v>
      </c>
      <c r="D1223" t="s">
        <v>86</v>
      </c>
      <c r="E1223">
        <v>29.415296052631501</v>
      </c>
      <c r="F1223">
        <v>47.800664451827203</v>
      </c>
      <c r="G1223" t="s">
        <v>259</v>
      </c>
      <c r="H1223" t="s">
        <v>258</v>
      </c>
      <c r="I1223">
        <v>2013</v>
      </c>
      <c r="J1223" s="12" t="s">
        <v>268</v>
      </c>
      <c r="K1223" s="2">
        <v>0</v>
      </c>
      <c r="O1223" s="34">
        <v>8.3000000000000001E-4</v>
      </c>
      <c r="V1223" s="3">
        <v>5.4000000000000001E-4</v>
      </c>
      <c r="Z1223" t="s">
        <v>356</v>
      </c>
      <c r="AA1223" t="s">
        <v>276</v>
      </c>
    </row>
    <row r="1224" spans="1:27" x14ac:dyDescent="0.25">
      <c r="A1224" s="12">
        <v>127</v>
      </c>
      <c r="B1224">
        <v>4</v>
      </c>
      <c r="C1224">
        <f t="shared" si="144"/>
        <v>12704</v>
      </c>
      <c r="D1224" t="s">
        <v>86</v>
      </c>
      <c r="E1224">
        <v>29.361019736842099</v>
      </c>
      <c r="F1224">
        <v>48.057308970099598</v>
      </c>
      <c r="G1224" t="s">
        <v>259</v>
      </c>
      <c r="H1224" t="s">
        <v>258</v>
      </c>
      <c r="I1224">
        <v>2013</v>
      </c>
      <c r="J1224" s="12" t="s">
        <v>268</v>
      </c>
      <c r="K1224" s="2">
        <v>0</v>
      </c>
      <c r="O1224" s="34">
        <v>8.5999999999999998E-4</v>
      </c>
      <c r="V1224" s="3">
        <v>6.3000000000000003E-4</v>
      </c>
      <c r="Z1224" t="s">
        <v>356</v>
      </c>
      <c r="AA1224" t="s">
        <v>277</v>
      </c>
    </row>
    <row r="1225" spans="1:27" x14ac:dyDescent="0.25">
      <c r="A1225" s="12">
        <v>127</v>
      </c>
      <c r="B1225">
        <v>5</v>
      </c>
      <c r="C1225">
        <f t="shared" si="144"/>
        <v>12705</v>
      </c>
      <c r="D1225" t="s">
        <v>86</v>
      </c>
      <c r="E1225">
        <v>29.422697368421002</v>
      </c>
      <c r="F1225">
        <v>48.622923588039797</v>
      </c>
      <c r="G1225" t="s">
        <v>259</v>
      </c>
      <c r="H1225" t="s">
        <v>258</v>
      </c>
      <c r="I1225">
        <v>2013</v>
      </c>
      <c r="J1225" s="12" t="s">
        <v>268</v>
      </c>
      <c r="K1225" s="2">
        <v>0</v>
      </c>
      <c r="O1225" s="34">
        <v>8.9000000000000006E-4</v>
      </c>
      <c r="V1225" s="3">
        <v>6.8000000000000005E-4</v>
      </c>
      <c r="Z1225" t="s">
        <v>356</v>
      </c>
      <c r="AA1225" t="s">
        <v>278</v>
      </c>
    </row>
    <row r="1226" spans="1:27" x14ac:dyDescent="0.25">
      <c r="A1226" s="12">
        <v>127</v>
      </c>
      <c r="B1226">
        <v>6</v>
      </c>
      <c r="C1226">
        <f t="shared" si="144"/>
        <v>12706</v>
      </c>
      <c r="D1226" t="s">
        <v>86</v>
      </c>
      <c r="E1226">
        <v>29.277138157894701</v>
      </c>
      <c r="F1226">
        <v>48.612956810631204</v>
      </c>
      <c r="G1226" t="s">
        <v>259</v>
      </c>
      <c r="H1226" t="s">
        <v>258</v>
      </c>
      <c r="I1226">
        <v>2013</v>
      </c>
      <c r="J1226" s="12" t="s">
        <v>268</v>
      </c>
      <c r="K1226" s="2">
        <v>0</v>
      </c>
      <c r="O1226" s="34">
        <v>8.7000000000000001E-4</v>
      </c>
      <c r="V1226" s="3">
        <v>6.4000000000000005E-4</v>
      </c>
      <c r="Z1226" t="s">
        <v>356</v>
      </c>
      <c r="AA1226" t="s">
        <v>279</v>
      </c>
    </row>
    <row r="1227" spans="1:27" x14ac:dyDescent="0.25">
      <c r="A1227" s="12">
        <v>127</v>
      </c>
      <c r="B1227">
        <v>7</v>
      </c>
      <c r="C1227">
        <f t="shared" si="144"/>
        <v>12707</v>
      </c>
      <c r="D1227" t="s">
        <v>86</v>
      </c>
      <c r="E1227">
        <v>29.326480263157801</v>
      </c>
      <c r="F1227">
        <v>47.833056478405297</v>
      </c>
      <c r="G1227" t="s">
        <v>259</v>
      </c>
      <c r="H1227" t="s">
        <v>258</v>
      </c>
      <c r="I1227">
        <v>2013</v>
      </c>
      <c r="J1227" s="12" t="s">
        <v>268</v>
      </c>
      <c r="K1227" s="2">
        <v>0</v>
      </c>
      <c r="O1227" s="34"/>
      <c r="Z1227" t="s">
        <v>356</v>
      </c>
      <c r="AA1227" t="s">
        <v>280</v>
      </c>
    </row>
    <row r="1228" spans="1:27" x14ac:dyDescent="0.25">
      <c r="A1228" s="12">
        <v>127</v>
      </c>
      <c r="B1228">
        <v>8</v>
      </c>
      <c r="C1228">
        <f t="shared" si="144"/>
        <v>12708</v>
      </c>
      <c r="D1228" t="s">
        <v>86</v>
      </c>
      <c r="E1228">
        <v>29.634868421052602</v>
      </c>
      <c r="F1228">
        <v>48.149501661129499</v>
      </c>
      <c r="G1228" t="s">
        <v>259</v>
      </c>
      <c r="H1228" t="s">
        <v>258</v>
      </c>
      <c r="I1228">
        <v>2013</v>
      </c>
      <c r="J1228" s="12" t="s">
        <v>268</v>
      </c>
      <c r="K1228" s="2">
        <v>0</v>
      </c>
      <c r="O1228" s="34">
        <v>7.5000000000000002E-4</v>
      </c>
      <c r="V1228" s="3">
        <v>4.7999999999999996E-4</v>
      </c>
      <c r="Z1228" t="s">
        <v>356</v>
      </c>
      <c r="AA1228" t="s">
        <v>281</v>
      </c>
    </row>
    <row r="1229" spans="1:27" x14ac:dyDescent="0.25">
      <c r="A1229" s="12">
        <v>127</v>
      </c>
      <c r="B1229">
        <v>9</v>
      </c>
      <c r="C1229">
        <f t="shared" si="144"/>
        <v>12709</v>
      </c>
      <c r="D1229" t="s">
        <v>86</v>
      </c>
      <c r="E1229">
        <v>28.717105263157801</v>
      </c>
      <c r="F1229">
        <v>48.438538205980002</v>
      </c>
      <c r="G1229" t="s">
        <v>259</v>
      </c>
      <c r="H1229" t="s">
        <v>258</v>
      </c>
      <c r="I1229">
        <v>2013</v>
      </c>
      <c r="J1229" s="12" t="s">
        <v>268</v>
      </c>
      <c r="K1229" s="2">
        <v>0</v>
      </c>
      <c r="O1229" s="34">
        <v>7.7000000000000007E-4</v>
      </c>
      <c r="V1229" s="3">
        <v>4.8999999999999998E-4</v>
      </c>
      <c r="Z1229" t="s">
        <v>356</v>
      </c>
      <c r="AA1229" t="s">
        <v>282</v>
      </c>
    </row>
    <row r="1230" spans="1:27" x14ac:dyDescent="0.25">
      <c r="A1230" s="12">
        <v>127</v>
      </c>
      <c r="B1230">
        <v>1</v>
      </c>
      <c r="C1230">
        <f t="shared" si="144"/>
        <v>12701</v>
      </c>
      <c r="D1230" t="s">
        <v>86</v>
      </c>
      <c r="E1230">
        <v>29.627467105263101</v>
      </c>
      <c r="F1230">
        <v>48.403654485049799</v>
      </c>
      <c r="G1230" t="s">
        <v>259</v>
      </c>
      <c r="H1230" t="s">
        <v>258</v>
      </c>
      <c r="I1230">
        <v>2010</v>
      </c>
      <c r="J1230" s="12" t="s">
        <v>268</v>
      </c>
      <c r="K1230" s="2">
        <v>0</v>
      </c>
      <c r="Q1230" s="1">
        <v>9</v>
      </c>
      <c r="Z1230" t="s">
        <v>356</v>
      </c>
      <c r="AA1230" t="s">
        <v>274</v>
      </c>
    </row>
    <row r="1231" spans="1:27" x14ac:dyDescent="0.25">
      <c r="A1231" s="12">
        <v>127</v>
      </c>
      <c r="B1231">
        <v>2</v>
      </c>
      <c r="C1231">
        <f t="shared" si="144"/>
        <v>12702</v>
      </c>
      <c r="D1231" t="s">
        <v>86</v>
      </c>
      <c r="E1231">
        <v>29.533717105263101</v>
      </c>
      <c r="F1231">
        <v>48.027408637873698</v>
      </c>
      <c r="G1231" t="s">
        <v>259</v>
      </c>
      <c r="H1231" t="s">
        <v>258</v>
      </c>
      <c r="I1231">
        <v>2010</v>
      </c>
      <c r="J1231" s="12" t="s">
        <v>268</v>
      </c>
      <c r="K1231" s="2">
        <v>0</v>
      </c>
      <c r="Q1231" s="1">
        <v>8.9</v>
      </c>
      <c r="Z1231" t="s">
        <v>356</v>
      </c>
      <c r="AA1231" t="s">
        <v>275</v>
      </c>
    </row>
    <row r="1232" spans="1:27" x14ac:dyDescent="0.25">
      <c r="A1232" s="12">
        <v>127</v>
      </c>
      <c r="B1232">
        <v>3</v>
      </c>
      <c r="C1232">
        <f t="shared" si="144"/>
        <v>12703</v>
      </c>
      <c r="D1232" t="s">
        <v>86</v>
      </c>
      <c r="E1232">
        <v>29.415296052631501</v>
      </c>
      <c r="F1232">
        <v>47.800664451827203</v>
      </c>
      <c r="G1232" t="s">
        <v>259</v>
      </c>
      <c r="H1232" t="s">
        <v>258</v>
      </c>
      <c r="I1232">
        <v>2010</v>
      </c>
      <c r="J1232" s="12" t="s">
        <v>268</v>
      </c>
      <c r="K1232" s="2">
        <v>0</v>
      </c>
      <c r="Q1232" s="1">
        <v>9.1999999999999993</v>
      </c>
      <c r="Z1232" t="s">
        <v>356</v>
      </c>
      <c r="AA1232" t="s">
        <v>276</v>
      </c>
    </row>
    <row r="1233" spans="1:27" x14ac:dyDescent="0.25">
      <c r="A1233" s="12">
        <v>127</v>
      </c>
      <c r="B1233">
        <v>4</v>
      </c>
      <c r="C1233">
        <f t="shared" si="144"/>
        <v>12704</v>
      </c>
      <c r="D1233" t="s">
        <v>86</v>
      </c>
      <c r="E1233">
        <v>29.361019736842099</v>
      </c>
      <c r="F1233">
        <v>48.057308970099598</v>
      </c>
      <c r="G1233" t="s">
        <v>259</v>
      </c>
      <c r="H1233" t="s">
        <v>258</v>
      </c>
      <c r="I1233">
        <v>2010</v>
      </c>
      <c r="J1233" s="12" t="s">
        <v>268</v>
      </c>
      <c r="K1233" s="2">
        <v>0</v>
      </c>
      <c r="Q1233" s="1">
        <v>9.1</v>
      </c>
      <c r="Z1233" t="s">
        <v>356</v>
      </c>
      <c r="AA1233" t="s">
        <v>277</v>
      </c>
    </row>
    <row r="1234" spans="1:27" x14ac:dyDescent="0.25">
      <c r="A1234" s="12">
        <v>127</v>
      </c>
      <c r="B1234">
        <v>5</v>
      </c>
      <c r="C1234">
        <f t="shared" si="144"/>
        <v>12705</v>
      </c>
      <c r="D1234" t="s">
        <v>86</v>
      </c>
      <c r="E1234">
        <v>29.422697368421002</v>
      </c>
      <c r="F1234">
        <v>48.622923588039797</v>
      </c>
      <c r="G1234" t="s">
        <v>259</v>
      </c>
      <c r="H1234" t="s">
        <v>258</v>
      </c>
      <c r="I1234">
        <v>2010</v>
      </c>
      <c r="J1234" s="12" t="s">
        <v>268</v>
      </c>
      <c r="K1234" s="2">
        <v>0</v>
      </c>
      <c r="Q1234" s="1">
        <v>9.3000000000000007</v>
      </c>
      <c r="Z1234" t="s">
        <v>356</v>
      </c>
      <c r="AA1234" t="s">
        <v>278</v>
      </c>
    </row>
    <row r="1235" spans="1:27" x14ac:dyDescent="0.25">
      <c r="A1235" s="12">
        <v>127</v>
      </c>
      <c r="B1235">
        <v>6</v>
      </c>
      <c r="C1235">
        <f t="shared" si="144"/>
        <v>12706</v>
      </c>
      <c r="D1235" t="s">
        <v>86</v>
      </c>
      <c r="E1235">
        <v>29.277138157894701</v>
      </c>
      <c r="F1235">
        <v>48.612956810631204</v>
      </c>
      <c r="G1235" t="s">
        <v>259</v>
      </c>
      <c r="H1235" t="s">
        <v>258</v>
      </c>
      <c r="I1235">
        <v>2010</v>
      </c>
      <c r="J1235" s="12" t="s">
        <v>268</v>
      </c>
      <c r="K1235" s="2">
        <v>0</v>
      </c>
      <c r="Q1235" s="1">
        <v>9.1</v>
      </c>
      <c r="Z1235" t="s">
        <v>356</v>
      </c>
      <c r="AA1235" t="s">
        <v>279</v>
      </c>
    </row>
    <row r="1236" spans="1:27" x14ac:dyDescent="0.25">
      <c r="A1236" s="12">
        <v>127</v>
      </c>
      <c r="B1236">
        <v>7</v>
      </c>
      <c r="C1236">
        <f t="shared" si="144"/>
        <v>12707</v>
      </c>
      <c r="D1236" t="s">
        <v>86</v>
      </c>
      <c r="E1236">
        <v>29.326480263157801</v>
      </c>
      <c r="F1236">
        <v>47.833056478405297</v>
      </c>
      <c r="G1236" t="s">
        <v>259</v>
      </c>
      <c r="H1236" t="s">
        <v>258</v>
      </c>
      <c r="I1236">
        <v>2010</v>
      </c>
      <c r="J1236" s="12" t="s">
        <v>268</v>
      </c>
      <c r="K1236" s="2">
        <v>0</v>
      </c>
      <c r="S1236" s="3">
        <v>5.3999999999999998E-5</v>
      </c>
      <c r="U1236" s="3">
        <v>4.0000000000000003E-5</v>
      </c>
      <c r="Z1236" t="s">
        <v>356</v>
      </c>
      <c r="AA1236" t="s">
        <v>280</v>
      </c>
    </row>
    <row r="1237" spans="1:27" x14ac:dyDescent="0.25">
      <c r="A1237" s="12">
        <v>127</v>
      </c>
      <c r="B1237">
        <v>1</v>
      </c>
      <c r="C1237">
        <f t="shared" si="144"/>
        <v>12701</v>
      </c>
      <c r="D1237" t="s">
        <v>86</v>
      </c>
      <c r="E1237">
        <v>29.627467105263101</v>
      </c>
      <c r="F1237">
        <v>48.403654485049799</v>
      </c>
      <c r="G1237" t="s">
        <v>259</v>
      </c>
      <c r="H1237" t="s">
        <v>258</v>
      </c>
      <c r="J1237" s="12" t="s">
        <v>20</v>
      </c>
      <c r="K1237" s="2">
        <v>0</v>
      </c>
      <c r="M1237" s="20">
        <v>17.5</v>
      </c>
      <c r="N1237" s="20">
        <v>15.8</v>
      </c>
      <c r="O1237" s="8">
        <v>44.3</v>
      </c>
      <c r="Q1237" s="1">
        <v>353</v>
      </c>
      <c r="Z1237" t="s">
        <v>356</v>
      </c>
      <c r="AA1237" t="s">
        <v>350</v>
      </c>
    </row>
    <row r="1238" spans="1:27" x14ac:dyDescent="0.25">
      <c r="A1238" s="12">
        <v>127</v>
      </c>
      <c r="B1238">
        <v>2</v>
      </c>
      <c r="C1238">
        <f t="shared" si="144"/>
        <v>12702</v>
      </c>
      <c r="D1238" t="s">
        <v>86</v>
      </c>
      <c r="E1238">
        <v>29.533717105263101</v>
      </c>
      <c r="F1238">
        <v>48.027408637873698</v>
      </c>
      <c r="G1238" t="s">
        <v>259</v>
      </c>
      <c r="H1238" t="s">
        <v>258</v>
      </c>
      <c r="J1238" s="12" t="s">
        <v>20</v>
      </c>
      <c r="K1238" s="2">
        <v>0</v>
      </c>
      <c r="M1238" s="20">
        <v>17.3</v>
      </c>
      <c r="N1238" s="20">
        <v>15.2</v>
      </c>
      <c r="O1238" s="8">
        <v>33.700000000000003</v>
      </c>
      <c r="Q1238" s="1">
        <v>405</v>
      </c>
      <c r="Z1238" t="s">
        <v>356</v>
      </c>
      <c r="AA1238" t="s">
        <v>351</v>
      </c>
    </row>
    <row r="1239" spans="1:27" x14ac:dyDescent="0.25">
      <c r="A1239" s="12">
        <v>127</v>
      </c>
      <c r="B1239">
        <v>3</v>
      </c>
      <c r="C1239">
        <f t="shared" si="144"/>
        <v>12703</v>
      </c>
      <c r="D1239" t="s">
        <v>86</v>
      </c>
      <c r="E1239">
        <v>29.415296052631501</v>
      </c>
      <c r="F1239">
        <v>47.800664451827203</v>
      </c>
      <c r="G1239" t="s">
        <v>259</v>
      </c>
      <c r="H1239" t="s">
        <v>258</v>
      </c>
      <c r="J1239" s="12" t="s">
        <v>20</v>
      </c>
      <c r="K1239" s="2">
        <v>0</v>
      </c>
      <c r="M1239" s="20">
        <v>17.8</v>
      </c>
      <c r="N1239" s="20">
        <v>15.8</v>
      </c>
      <c r="O1239" s="8">
        <v>23.6</v>
      </c>
      <c r="Q1239" s="1">
        <v>445</v>
      </c>
      <c r="S1239" s="3">
        <v>30</v>
      </c>
      <c r="T1239" s="3">
        <v>1.26</v>
      </c>
      <c r="U1239" s="3">
        <v>31.4</v>
      </c>
      <c r="Z1239" t="s">
        <v>356</v>
      </c>
      <c r="AA1239" t="s">
        <v>352</v>
      </c>
    </row>
    <row r="1240" spans="1:27" x14ac:dyDescent="0.25">
      <c r="A1240" s="12">
        <v>127</v>
      </c>
      <c r="B1240">
        <v>4</v>
      </c>
      <c r="C1240">
        <f t="shared" si="144"/>
        <v>12704</v>
      </c>
      <c r="D1240" t="s">
        <v>86</v>
      </c>
      <c r="E1240">
        <v>29.361019736842099</v>
      </c>
      <c r="F1240">
        <v>48.057308970099598</v>
      </c>
      <c r="G1240" t="s">
        <v>259</v>
      </c>
      <c r="H1240" t="s">
        <v>258</v>
      </c>
      <c r="J1240" s="12" t="s">
        <v>20</v>
      </c>
      <c r="K1240" s="2">
        <v>0</v>
      </c>
      <c r="M1240" s="20">
        <v>20.5</v>
      </c>
      <c r="N1240" s="20">
        <v>15</v>
      </c>
      <c r="O1240" s="8">
        <v>36.5</v>
      </c>
      <c r="Q1240" s="1">
        <v>402</v>
      </c>
      <c r="Z1240" t="s">
        <v>356</v>
      </c>
      <c r="AA1240" t="s">
        <v>353</v>
      </c>
    </row>
    <row r="1241" spans="1:27" x14ac:dyDescent="0.25">
      <c r="A1241" s="12">
        <v>127</v>
      </c>
      <c r="B1241">
        <v>5</v>
      </c>
      <c r="C1241">
        <f t="shared" si="144"/>
        <v>12705</v>
      </c>
      <c r="D1241" t="s">
        <v>86</v>
      </c>
      <c r="E1241">
        <v>29.422697368421002</v>
      </c>
      <c r="F1241">
        <v>48.622923588039797</v>
      </c>
      <c r="G1241" t="s">
        <v>259</v>
      </c>
      <c r="H1241" t="s">
        <v>258</v>
      </c>
      <c r="J1241" s="12" t="s">
        <v>20</v>
      </c>
      <c r="K1241" s="2">
        <v>0</v>
      </c>
      <c r="M1241" s="20">
        <v>20.100000000000001</v>
      </c>
      <c r="N1241" s="20">
        <v>16.399999999999999</v>
      </c>
      <c r="O1241" s="8">
        <v>39.5</v>
      </c>
      <c r="Q1241" s="1">
        <v>350</v>
      </c>
      <c r="S1241" s="3">
        <v>29.7</v>
      </c>
      <c r="T1241" s="3">
        <v>1.3</v>
      </c>
      <c r="U1241" s="3">
        <v>28.7</v>
      </c>
      <c r="Z1241" t="s">
        <v>356</v>
      </c>
      <c r="AA1241" t="s">
        <v>354</v>
      </c>
    </row>
    <row r="1242" spans="1:27" x14ac:dyDescent="0.25">
      <c r="A1242" s="12">
        <v>127</v>
      </c>
      <c r="B1242">
        <v>6</v>
      </c>
      <c r="C1242">
        <f t="shared" si="144"/>
        <v>12706</v>
      </c>
      <c r="D1242" t="s">
        <v>86</v>
      </c>
      <c r="E1242">
        <v>29.277138157894701</v>
      </c>
      <c r="F1242">
        <v>48.612956810631204</v>
      </c>
      <c r="G1242" t="s">
        <v>259</v>
      </c>
      <c r="H1242" t="s">
        <v>258</v>
      </c>
      <c r="J1242" s="12" t="s">
        <v>20</v>
      </c>
      <c r="K1242" s="2">
        <v>0</v>
      </c>
      <c r="M1242" s="20">
        <v>19.600000000000001</v>
      </c>
      <c r="N1242" s="20">
        <v>16.100000000000001</v>
      </c>
      <c r="O1242" s="8">
        <v>28</v>
      </c>
      <c r="Q1242" s="1">
        <v>363</v>
      </c>
      <c r="Z1242" t="s">
        <v>356</v>
      </c>
      <c r="AA1242" t="s">
        <v>355</v>
      </c>
    </row>
    <row r="1243" spans="1:27" x14ac:dyDescent="0.25">
      <c r="A1243" s="12">
        <v>127</v>
      </c>
      <c r="B1243">
        <v>10</v>
      </c>
      <c r="C1243">
        <f t="shared" si="144"/>
        <v>12710</v>
      </c>
      <c r="D1243" s="3" t="s">
        <v>87</v>
      </c>
      <c r="E1243" s="11">
        <v>29.042351973684166</v>
      </c>
      <c r="F1243" s="11">
        <v>48.18147840531558</v>
      </c>
      <c r="G1243" t="s">
        <v>259</v>
      </c>
      <c r="H1243" t="s">
        <v>258</v>
      </c>
      <c r="I1243" t="s">
        <v>273</v>
      </c>
      <c r="J1243" s="12" t="s">
        <v>270</v>
      </c>
      <c r="K1243" s="2">
        <v>0</v>
      </c>
      <c r="M1243" s="20">
        <v>7.3</v>
      </c>
      <c r="N1243" s="20">
        <v>15.8</v>
      </c>
      <c r="Q1243" s="1">
        <v>335</v>
      </c>
      <c r="R1243" s="1">
        <v>6.6</v>
      </c>
      <c r="V1243" s="3">
        <v>3.2</v>
      </c>
      <c r="Z1243" t="s">
        <v>356</v>
      </c>
      <c r="AA1243" t="s">
        <v>283</v>
      </c>
    </row>
    <row r="1244" spans="1:27" x14ac:dyDescent="0.25">
      <c r="A1244" s="12">
        <v>127</v>
      </c>
      <c r="B1244">
        <v>10</v>
      </c>
      <c r="C1244">
        <f t="shared" si="144"/>
        <v>12710</v>
      </c>
      <c r="D1244" s="3" t="s">
        <v>87</v>
      </c>
      <c r="E1244" s="11">
        <v>29.042351973684166</v>
      </c>
      <c r="F1244" s="11">
        <v>48.18147840531558</v>
      </c>
      <c r="G1244" t="s">
        <v>259</v>
      </c>
      <c r="H1244" t="s">
        <v>258</v>
      </c>
      <c r="I1244" t="s">
        <v>273</v>
      </c>
      <c r="J1244" t="s">
        <v>284</v>
      </c>
      <c r="K1244" s="2">
        <v>0</v>
      </c>
      <c r="M1244" s="20">
        <v>1.3</v>
      </c>
      <c r="N1244" s="20">
        <v>1.7</v>
      </c>
      <c r="Q1244" s="1">
        <v>279</v>
      </c>
      <c r="R1244" s="1">
        <v>0.8</v>
      </c>
      <c r="V1244" s="3">
        <v>1.94</v>
      </c>
      <c r="Z1244" t="s">
        <v>356</v>
      </c>
      <c r="AA1244" t="s">
        <v>283</v>
      </c>
    </row>
    <row r="1245" spans="1:27" x14ac:dyDescent="0.25">
      <c r="A1245" s="12">
        <v>127</v>
      </c>
      <c r="B1245">
        <v>10</v>
      </c>
      <c r="C1245">
        <f t="shared" si="144"/>
        <v>12710</v>
      </c>
      <c r="D1245" s="3" t="s">
        <v>87</v>
      </c>
      <c r="E1245" s="11">
        <v>29.042351973684166</v>
      </c>
      <c r="F1245" s="11">
        <v>48.18147840531558</v>
      </c>
      <c r="G1245" t="s">
        <v>259</v>
      </c>
      <c r="H1245" t="s">
        <v>258</v>
      </c>
      <c r="I1245" t="s">
        <v>273</v>
      </c>
      <c r="J1245" t="s">
        <v>285</v>
      </c>
      <c r="K1245" s="2">
        <v>0</v>
      </c>
      <c r="M1245" s="20">
        <v>5</v>
      </c>
      <c r="N1245" s="20">
        <v>9.9</v>
      </c>
      <c r="Q1245" s="1">
        <v>383</v>
      </c>
      <c r="R1245" s="1">
        <v>2.2599999999999998</v>
      </c>
      <c r="V1245" s="3">
        <v>3.08</v>
      </c>
      <c r="Z1245" t="s">
        <v>356</v>
      </c>
      <c r="AA1245" t="s">
        <v>283</v>
      </c>
    </row>
    <row r="1246" spans="1:27" x14ac:dyDescent="0.25">
      <c r="A1246" s="12">
        <v>127</v>
      </c>
      <c r="B1246">
        <v>10</v>
      </c>
      <c r="C1246">
        <f t="shared" si="144"/>
        <v>12710</v>
      </c>
      <c r="D1246" s="3" t="s">
        <v>87</v>
      </c>
      <c r="E1246" s="11">
        <v>29.042351973684166</v>
      </c>
      <c r="F1246" s="11">
        <v>48.18147840531558</v>
      </c>
      <c r="G1246" t="s">
        <v>259</v>
      </c>
      <c r="H1246" t="s">
        <v>258</v>
      </c>
      <c r="I1246" t="s">
        <v>273</v>
      </c>
      <c r="J1246" t="s">
        <v>286</v>
      </c>
      <c r="K1246" s="2">
        <v>0</v>
      </c>
      <c r="M1246" s="20">
        <v>1.1499999999999999</v>
      </c>
      <c r="N1246" s="20" t="s">
        <v>14</v>
      </c>
      <c r="Q1246" s="1">
        <v>412</v>
      </c>
      <c r="R1246" s="1" t="s">
        <v>14</v>
      </c>
      <c r="V1246" s="3">
        <v>0.88</v>
      </c>
      <c r="Z1246" t="s">
        <v>356</v>
      </c>
      <c r="AA1246" t="s">
        <v>283</v>
      </c>
    </row>
    <row r="1247" spans="1:27" x14ac:dyDescent="0.25">
      <c r="A1247" s="12">
        <v>127</v>
      </c>
      <c r="B1247">
        <v>10</v>
      </c>
      <c r="C1247">
        <f t="shared" si="144"/>
        <v>12710</v>
      </c>
      <c r="D1247" s="3" t="s">
        <v>87</v>
      </c>
      <c r="E1247" s="11">
        <v>29.042351973684166</v>
      </c>
      <c r="F1247" s="11">
        <v>48.18147840531558</v>
      </c>
      <c r="G1247" t="s">
        <v>259</v>
      </c>
      <c r="H1247" t="s">
        <v>258</v>
      </c>
      <c r="I1247" t="s">
        <v>273</v>
      </c>
      <c r="J1247" t="s">
        <v>287</v>
      </c>
      <c r="K1247" s="2">
        <v>0</v>
      </c>
      <c r="M1247" s="20">
        <v>0.7</v>
      </c>
      <c r="N1247" s="20">
        <v>1.2</v>
      </c>
      <c r="Q1247" s="1">
        <v>477</v>
      </c>
      <c r="R1247" s="1">
        <v>0.5</v>
      </c>
      <c r="V1247" s="3">
        <v>1.44</v>
      </c>
      <c r="Z1247" t="s">
        <v>356</v>
      </c>
      <c r="AA1247" t="s">
        <v>283</v>
      </c>
    </row>
    <row r="1248" spans="1:27" x14ac:dyDescent="0.25">
      <c r="A1248" s="12">
        <v>127</v>
      </c>
      <c r="B1248">
        <v>10</v>
      </c>
      <c r="C1248">
        <f t="shared" si="144"/>
        <v>12710</v>
      </c>
      <c r="D1248" s="3" t="s">
        <v>87</v>
      </c>
      <c r="E1248" s="11">
        <v>29.042351973684166</v>
      </c>
      <c r="F1248" s="11">
        <v>48.18147840531558</v>
      </c>
      <c r="G1248" t="s">
        <v>259</v>
      </c>
      <c r="H1248" t="s">
        <v>258</v>
      </c>
      <c r="I1248" t="s">
        <v>273</v>
      </c>
      <c r="J1248" t="s">
        <v>288</v>
      </c>
      <c r="K1248" s="2">
        <v>0</v>
      </c>
      <c r="M1248" s="20">
        <v>1.1000000000000001</v>
      </c>
      <c r="N1248" s="20">
        <v>2.4</v>
      </c>
      <c r="Q1248" s="1">
        <v>230</v>
      </c>
      <c r="R1248" s="1">
        <v>1.46</v>
      </c>
      <c r="V1248" s="3">
        <v>4.26</v>
      </c>
      <c r="Z1248" t="s">
        <v>356</v>
      </c>
      <c r="AA1248" t="s">
        <v>283</v>
      </c>
    </row>
    <row r="1249" spans="1:27" x14ac:dyDescent="0.25">
      <c r="A1249" s="12">
        <v>127</v>
      </c>
      <c r="B1249">
        <v>10</v>
      </c>
      <c r="C1249">
        <f t="shared" si="144"/>
        <v>12710</v>
      </c>
      <c r="D1249" s="3" t="s">
        <v>87</v>
      </c>
      <c r="E1249" s="11">
        <v>29.042351973684166</v>
      </c>
      <c r="F1249" s="11">
        <v>48.18147840531558</v>
      </c>
      <c r="G1249" t="s">
        <v>259</v>
      </c>
      <c r="H1249" t="s">
        <v>258</v>
      </c>
      <c r="I1249" t="s">
        <v>273</v>
      </c>
      <c r="J1249" t="s">
        <v>288</v>
      </c>
      <c r="K1249" s="2">
        <v>0</v>
      </c>
      <c r="V1249" s="3">
        <v>3.3</v>
      </c>
      <c r="Z1249" t="s">
        <v>356</v>
      </c>
      <c r="AA1249" t="s">
        <v>294</v>
      </c>
    </row>
    <row r="1250" spans="1:27" x14ac:dyDescent="0.25">
      <c r="A1250" s="12">
        <v>127</v>
      </c>
      <c r="B1250">
        <v>10</v>
      </c>
      <c r="C1250">
        <f t="shared" si="144"/>
        <v>12710</v>
      </c>
      <c r="D1250" s="3" t="s">
        <v>87</v>
      </c>
      <c r="E1250" s="11">
        <v>29.042351973684166</v>
      </c>
      <c r="F1250" s="11">
        <v>48.18147840531558</v>
      </c>
      <c r="G1250" t="s">
        <v>259</v>
      </c>
      <c r="H1250" t="s">
        <v>258</v>
      </c>
      <c r="I1250" t="s">
        <v>273</v>
      </c>
      <c r="J1250" t="s">
        <v>285</v>
      </c>
      <c r="K1250" s="2">
        <v>0</v>
      </c>
      <c r="V1250" s="3">
        <v>2.4</v>
      </c>
      <c r="Z1250" t="s">
        <v>356</v>
      </c>
      <c r="AA1250" t="s">
        <v>294</v>
      </c>
    </row>
    <row r="1251" spans="1:27" x14ac:dyDescent="0.25">
      <c r="A1251" s="12">
        <v>127</v>
      </c>
      <c r="B1251">
        <v>10</v>
      </c>
      <c r="C1251">
        <f t="shared" si="144"/>
        <v>12710</v>
      </c>
      <c r="D1251" s="3" t="s">
        <v>87</v>
      </c>
      <c r="E1251" s="11">
        <v>29.042351973684166</v>
      </c>
      <c r="F1251" s="11">
        <v>48.18147840531558</v>
      </c>
      <c r="G1251" t="s">
        <v>259</v>
      </c>
      <c r="H1251" t="s">
        <v>258</v>
      </c>
      <c r="I1251" t="s">
        <v>273</v>
      </c>
      <c r="J1251" t="s">
        <v>290</v>
      </c>
      <c r="K1251" s="2">
        <v>0</v>
      </c>
      <c r="V1251" s="3">
        <v>8.8999999999999996E-2</v>
      </c>
      <c r="Z1251" t="s">
        <v>356</v>
      </c>
      <c r="AA1251" t="s">
        <v>294</v>
      </c>
    </row>
    <row r="1252" spans="1:27" x14ac:dyDescent="0.25">
      <c r="A1252" s="12">
        <v>127</v>
      </c>
      <c r="B1252">
        <v>10</v>
      </c>
      <c r="C1252">
        <f t="shared" si="144"/>
        <v>12710</v>
      </c>
      <c r="D1252" s="3" t="s">
        <v>87</v>
      </c>
      <c r="E1252" s="11">
        <v>29.042351973684166</v>
      </c>
      <c r="F1252" s="11">
        <v>48.18147840531558</v>
      </c>
      <c r="G1252" t="s">
        <v>259</v>
      </c>
      <c r="H1252" t="s">
        <v>258</v>
      </c>
      <c r="I1252" t="s">
        <v>273</v>
      </c>
      <c r="J1252" t="s">
        <v>291</v>
      </c>
      <c r="K1252" s="2">
        <v>0</v>
      </c>
      <c r="V1252" s="3">
        <v>1.6040000000000001</v>
      </c>
      <c r="Z1252" t="s">
        <v>356</v>
      </c>
      <c r="AA1252" t="s">
        <v>294</v>
      </c>
    </row>
    <row r="1253" spans="1:27" x14ac:dyDescent="0.25">
      <c r="A1253" s="12">
        <v>127</v>
      </c>
      <c r="B1253">
        <v>10</v>
      </c>
      <c r="C1253">
        <f t="shared" si="144"/>
        <v>12710</v>
      </c>
      <c r="D1253" s="3" t="s">
        <v>87</v>
      </c>
      <c r="E1253" s="11">
        <v>29.042351973684166</v>
      </c>
      <c r="F1253" s="11">
        <v>48.18147840531558</v>
      </c>
      <c r="G1253" t="s">
        <v>259</v>
      </c>
      <c r="H1253" t="s">
        <v>258</v>
      </c>
      <c r="I1253" t="s">
        <v>273</v>
      </c>
      <c r="J1253" t="s">
        <v>270</v>
      </c>
      <c r="K1253" s="2">
        <v>0</v>
      </c>
      <c r="V1253" s="3">
        <v>2.29</v>
      </c>
      <c r="Z1253" t="s">
        <v>356</v>
      </c>
      <c r="AA1253" t="s">
        <v>294</v>
      </c>
    </row>
    <row r="1254" spans="1:27" x14ac:dyDescent="0.25">
      <c r="A1254" s="12">
        <v>127</v>
      </c>
      <c r="B1254">
        <v>10</v>
      </c>
      <c r="C1254">
        <f t="shared" si="144"/>
        <v>12710</v>
      </c>
      <c r="D1254" s="3" t="s">
        <v>87</v>
      </c>
      <c r="E1254" s="11">
        <v>29.042351973684166</v>
      </c>
      <c r="F1254" s="11">
        <v>48.18147840531558</v>
      </c>
      <c r="G1254" t="s">
        <v>259</v>
      </c>
      <c r="H1254" t="s">
        <v>258</v>
      </c>
      <c r="I1254" t="s">
        <v>273</v>
      </c>
      <c r="J1254" t="s">
        <v>292</v>
      </c>
      <c r="K1254" s="2">
        <v>0</v>
      </c>
      <c r="V1254" s="3">
        <v>0.373</v>
      </c>
      <c r="Z1254" t="s">
        <v>356</v>
      </c>
      <c r="AA1254" t="s">
        <v>294</v>
      </c>
    </row>
    <row r="1255" spans="1:27" x14ac:dyDescent="0.25">
      <c r="A1255" s="12">
        <v>127</v>
      </c>
      <c r="B1255">
        <v>10</v>
      </c>
      <c r="C1255">
        <f t="shared" si="144"/>
        <v>12710</v>
      </c>
      <c r="D1255" s="3" t="s">
        <v>87</v>
      </c>
      <c r="E1255" s="11">
        <v>29.042351973684166</v>
      </c>
      <c r="F1255" s="11">
        <v>48.18147840531558</v>
      </c>
      <c r="G1255" t="s">
        <v>259</v>
      </c>
      <c r="H1255" t="s">
        <v>258</v>
      </c>
      <c r="I1255" t="s">
        <v>273</v>
      </c>
      <c r="J1255" t="s">
        <v>287</v>
      </c>
      <c r="K1255" s="2">
        <v>0</v>
      </c>
      <c r="V1255" s="3">
        <v>0.66600000000000004</v>
      </c>
      <c r="Z1255" t="s">
        <v>356</v>
      </c>
      <c r="AA1255" t="s">
        <v>294</v>
      </c>
    </row>
    <row r="1256" spans="1:27" x14ac:dyDescent="0.25">
      <c r="A1256" s="12">
        <v>127</v>
      </c>
      <c r="B1256">
        <v>10</v>
      </c>
      <c r="C1256">
        <f t="shared" si="144"/>
        <v>12710</v>
      </c>
      <c r="D1256" s="3" t="s">
        <v>87</v>
      </c>
      <c r="E1256" s="11">
        <v>29.042351973684166</v>
      </c>
      <c r="F1256" s="11">
        <v>48.18147840531558</v>
      </c>
      <c r="G1256" t="s">
        <v>259</v>
      </c>
      <c r="H1256" t="s">
        <v>258</v>
      </c>
      <c r="I1256" t="s">
        <v>273</v>
      </c>
      <c r="J1256" t="s">
        <v>284</v>
      </c>
      <c r="K1256" s="2">
        <v>0</v>
      </c>
      <c r="V1256" s="3">
        <v>1.46</v>
      </c>
      <c r="Z1256" t="s">
        <v>356</v>
      </c>
      <c r="AA1256" t="s">
        <v>294</v>
      </c>
    </row>
    <row r="1257" spans="1:27" x14ac:dyDescent="0.25">
      <c r="A1257" s="12">
        <v>127</v>
      </c>
      <c r="B1257">
        <v>10</v>
      </c>
      <c r="C1257">
        <f t="shared" si="144"/>
        <v>12710</v>
      </c>
      <c r="D1257" s="3" t="s">
        <v>87</v>
      </c>
      <c r="E1257" s="11">
        <v>29.042351973684166</v>
      </c>
      <c r="F1257" s="11">
        <v>48.18147840531558</v>
      </c>
      <c r="G1257" t="s">
        <v>259</v>
      </c>
      <c r="H1257" t="s">
        <v>258</v>
      </c>
      <c r="I1257" t="s">
        <v>273</v>
      </c>
      <c r="J1257" t="s">
        <v>286</v>
      </c>
      <c r="K1257" s="2">
        <v>0</v>
      </c>
      <c r="V1257" s="3">
        <v>0.69</v>
      </c>
      <c r="Z1257" t="s">
        <v>356</v>
      </c>
      <c r="AA1257" t="s">
        <v>294</v>
      </c>
    </row>
    <row r="1258" spans="1:27" x14ac:dyDescent="0.25">
      <c r="A1258" s="12">
        <v>127</v>
      </c>
      <c r="B1258">
        <v>10</v>
      </c>
      <c r="C1258">
        <f t="shared" si="144"/>
        <v>12710</v>
      </c>
      <c r="D1258" s="3" t="s">
        <v>87</v>
      </c>
      <c r="E1258" s="11">
        <v>29.042351973684166</v>
      </c>
      <c r="F1258" s="11">
        <v>48.18147840531558</v>
      </c>
      <c r="G1258" t="s">
        <v>259</v>
      </c>
      <c r="H1258" t="s">
        <v>258</v>
      </c>
      <c r="I1258" t="s">
        <v>273</v>
      </c>
      <c r="J1258" t="s">
        <v>293</v>
      </c>
      <c r="K1258" s="2">
        <v>0</v>
      </c>
      <c r="V1258" s="3">
        <v>2.544</v>
      </c>
      <c r="Z1258" t="s">
        <v>356</v>
      </c>
      <c r="AA1258" t="s">
        <v>294</v>
      </c>
    </row>
    <row r="1259" spans="1:27" x14ac:dyDescent="0.25">
      <c r="A1259" s="12">
        <v>127</v>
      </c>
      <c r="B1259">
        <v>10</v>
      </c>
      <c r="C1259">
        <f t="shared" si="144"/>
        <v>12710</v>
      </c>
      <c r="D1259" s="3" t="s">
        <v>87</v>
      </c>
      <c r="E1259" s="11">
        <v>29.042351973684166</v>
      </c>
      <c r="F1259" s="11">
        <v>48.18147840531558</v>
      </c>
      <c r="G1259" t="s">
        <v>259</v>
      </c>
      <c r="H1259" t="s">
        <v>258</v>
      </c>
      <c r="I1259" t="s">
        <v>273</v>
      </c>
      <c r="J1259" t="s">
        <v>289</v>
      </c>
      <c r="K1259" s="2">
        <v>0</v>
      </c>
      <c r="L1259" s="2" t="s">
        <v>308</v>
      </c>
      <c r="V1259" s="3">
        <v>6.5000000000000002E-2</v>
      </c>
      <c r="Z1259" t="s">
        <v>356</v>
      </c>
      <c r="AA1259" t="s">
        <v>318</v>
      </c>
    </row>
    <row r="1260" spans="1:27" x14ac:dyDescent="0.25">
      <c r="A1260" s="12">
        <v>127</v>
      </c>
      <c r="B1260">
        <v>10</v>
      </c>
      <c r="C1260">
        <f t="shared" si="144"/>
        <v>12710</v>
      </c>
      <c r="D1260" s="3" t="s">
        <v>87</v>
      </c>
      <c r="E1260" s="11">
        <v>29.042351973684166</v>
      </c>
      <c r="F1260" s="11">
        <v>48.18147840531558</v>
      </c>
      <c r="G1260" t="s">
        <v>259</v>
      </c>
      <c r="H1260" t="s">
        <v>258</v>
      </c>
      <c r="I1260" t="s">
        <v>273</v>
      </c>
      <c r="J1260" t="s">
        <v>289</v>
      </c>
      <c r="K1260" s="2">
        <v>0</v>
      </c>
      <c r="L1260" s="2" t="s">
        <v>309</v>
      </c>
      <c r="V1260" s="3">
        <v>2.395</v>
      </c>
      <c r="Z1260" t="s">
        <v>356</v>
      </c>
      <c r="AA1260" t="s">
        <v>318</v>
      </c>
    </row>
    <row r="1261" spans="1:27" x14ac:dyDescent="0.25">
      <c r="A1261" s="12">
        <v>127</v>
      </c>
      <c r="B1261">
        <v>10</v>
      </c>
      <c r="C1261">
        <f t="shared" si="144"/>
        <v>12710</v>
      </c>
      <c r="D1261" s="3" t="s">
        <v>87</v>
      </c>
      <c r="E1261" s="11">
        <v>29.042351973684166</v>
      </c>
      <c r="F1261" s="11">
        <v>48.18147840531558</v>
      </c>
      <c r="G1261" t="s">
        <v>259</v>
      </c>
      <c r="H1261" t="s">
        <v>258</v>
      </c>
      <c r="I1261" t="s">
        <v>273</v>
      </c>
      <c r="J1261" t="s">
        <v>289</v>
      </c>
      <c r="K1261" s="2">
        <v>0</v>
      </c>
      <c r="L1261" s="2" t="s">
        <v>310</v>
      </c>
      <c r="V1261" s="3">
        <v>3.73</v>
      </c>
      <c r="Z1261" t="s">
        <v>356</v>
      </c>
      <c r="AA1261" t="s">
        <v>318</v>
      </c>
    </row>
    <row r="1262" spans="1:27" x14ac:dyDescent="0.25">
      <c r="A1262" s="12">
        <v>127</v>
      </c>
      <c r="B1262">
        <v>10</v>
      </c>
      <c r="C1262">
        <f t="shared" si="144"/>
        <v>12710</v>
      </c>
      <c r="D1262" s="3" t="s">
        <v>87</v>
      </c>
      <c r="E1262" s="11">
        <v>29.042351973684166</v>
      </c>
      <c r="F1262" s="11">
        <v>48.18147840531558</v>
      </c>
      <c r="G1262" t="s">
        <v>259</v>
      </c>
      <c r="H1262" t="s">
        <v>258</v>
      </c>
      <c r="I1262" t="s">
        <v>273</v>
      </c>
      <c r="J1262" t="s">
        <v>289</v>
      </c>
      <c r="K1262" s="2">
        <v>0</v>
      </c>
      <c r="L1262" s="2" t="s">
        <v>311</v>
      </c>
      <c r="V1262" s="3">
        <v>2.375</v>
      </c>
      <c r="Z1262" t="s">
        <v>356</v>
      </c>
      <c r="AA1262" t="s">
        <v>318</v>
      </c>
    </row>
    <row r="1263" spans="1:27" x14ac:dyDescent="0.25">
      <c r="A1263" s="12">
        <v>127</v>
      </c>
      <c r="B1263">
        <v>10</v>
      </c>
      <c r="C1263">
        <f t="shared" si="144"/>
        <v>12710</v>
      </c>
      <c r="D1263" s="3" t="s">
        <v>87</v>
      </c>
      <c r="E1263" s="11">
        <v>29.042351973684166</v>
      </c>
      <c r="F1263" s="11">
        <v>48.18147840531558</v>
      </c>
      <c r="G1263" t="s">
        <v>259</v>
      </c>
      <c r="H1263" t="s">
        <v>258</v>
      </c>
      <c r="I1263" t="s">
        <v>273</v>
      </c>
      <c r="J1263" t="s">
        <v>272</v>
      </c>
      <c r="K1263" s="2">
        <v>0</v>
      </c>
      <c r="L1263" s="2" t="s">
        <v>308</v>
      </c>
      <c r="V1263" s="3">
        <v>0.20500000000000002</v>
      </c>
      <c r="Z1263" t="s">
        <v>356</v>
      </c>
      <c r="AA1263" t="s">
        <v>318</v>
      </c>
    </row>
    <row r="1264" spans="1:27" x14ac:dyDescent="0.25">
      <c r="A1264" s="12">
        <v>127</v>
      </c>
      <c r="B1264">
        <v>10</v>
      </c>
      <c r="C1264">
        <f t="shared" si="144"/>
        <v>12710</v>
      </c>
      <c r="D1264" s="3" t="s">
        <v>87</v>
      </c>
      <c r="E1264" s="11">
        <v>29.042351973684166</v>
      </c>
      <c r="F1264" s="11">
        <v>48.18147840531558</v>
      </c>
      <c r="G1264" t="s">
        <v>259</v>
      </c>
      <c r="H1264" t="s">
        <v>258</v>
      </c>
      <c r="I1264" t="s">
        <v>273</v>
      </c>
      <c r="J1264" t="s">
        <v>272</v>
      </c>
      <c r="K1264" s="2">
        <v>0</v>
      </c>
      <c r="L1264" s="2" t="s">
        <v>309</v>
      </c>
      <c r="V1264" s="3">
        <v>3.58</v>
      </c>
      <c r="Z1264" t="s">
        <v>356</v>
      </c>
      <c r="AA1264" t="s">
        <v>318</v>
      </c>
    </row>
    <row r="1265" spans="1:27" x14ac:dyDescent="0.25">
      <c r="A1265" s="12">
        <v>127</v>
      </c>
      <c r="B1265">
        <v>10</v>
      </c>
      <c r="C1265">
        <f t="shared" si="144"/>
        <v>12710</v>
      </c>
      <c r="D1265" s="3" t="s">
        <v>87</v>
      </c>
      <c r="E1265" s="11">
        <v>29.042351973684166</v>
      </c>
      <c r="F1265" s="11">
        <v>48.18147840531558</v>
      </c>
      <c r="G1265" t="s">
        <v>259</v>
      </c>
      <c r="H1265" t="s">
        <v>258</v>
      </c>
      <c r="I1265" t="s">
        <v>273</v>
      </c>
      <c r="J1265" t="s">
        <v>272</v>
      </c>
      <c r="K1265" s="2">
        <v>0</v>
      </c>
      <c r="L1265" s="2" t="s">
        <v>310</v>
      </c>
      <c r="V1265" s="3">
        <v>4.91</v>
      </c>
      <c r="Z1265" t="s">
        <v>356</v>
      </c>
      <c r="AA1265" t="s">
        <v>318</v>
      </c>
    </row>
    <row r="1266" spans="1:27" x14ac:dyDescent="0.25">
      <c r="A1266" s="12">
        <v>127</v>
      </c>
      <c r="B1266">
        <v>10</v>
      </c>
      <c r="C1266">
        <f t="shared" si="144"/>
        <v>12710</v>
      </c>
      <c r="D1266" s="3" t="s">
        <v>87</v>
      </c>
      <c r="E1266" s="11">
        <v>29.042351973684166</v>
      </c>
      <c r="F1266" s="11">
        <v>48.18147840531558</v>
      </c>
      <c r="G1266" t="s">
        <v>259</v>
      </c>
      <c r="H1266" t="s">
        <v>258</v>
      </c>
      <c r="I1266" t="s">
        <v>273</v>
      </c>
      <c r="J1266" t="s">
        <v>272</v>
      </c>
      <c r="K1266" s="2">
        <v>0</v>
      </c>
      <c r="L1266" s="2" t="s">
        <v>311</v>
      </c>
      <c r="V1266" s="3">
        <v>19.945</v>
      </c>
      <c r="Z1266" t="s">
        <v>356</v>
      </c>
      <c r="AA1266" t="s">
        <v>318</v>
      </c>
    </row>
    <row r="1267" spans="1:27" x14ac:dyDescent="0.25">
      <c r="A1267" s="12">
        <v>127</v>
      </c>
      <c r="B1267">
        <v>10</v>
      </c>
      <c r="C1267">
        <f t="shared" si="144"/>
        <v>12710</v>
      </c>
      <c r="D1267" s="3" t="s">
        <v>87</v>
      </c>
      <c r="E1267" s="11">
        <v>29.042351973684166</v>
      </c>
      <c r="F1267" s="11">
        <v>48.18147840531558</v>
      </c>
      <c r="G1267" t="s">
        <v>259</v>
      </c>
      <c r="H1267" t="s">
        <v>258</v>
      </c>
      <c r="I1267" t="s">
        <v>273</v>
      </c>
      <c r="J1267" t="s">
        <v>271</v>
      </c>
      <c r="K1267" s="2">
        <v>0</v>
      </c>
      <c r="L1267" s="2" t="s">
        <v>308</v>
      </c>
      <c r="V1267" s="3">
        <v>0.14000000000000001</v>
      </c>
      <c r="Z1267" t="s">
        <v>356</v>
      </c>
      <c r="AA1267" t="s">
        <v>318</v>
      </c>
    </row>
    <row r="1268" spans="1:27" x14ac:dyDescent="0.25">
      <c r="A1268" s="12">
        <v>127</v>
      </c>
      <c r="B1268">
        <v>10</v>
      </c>
      <c r="C1268">
        <f t="shared" si="144"/>
        <v>12710</v>
      </c>
      <c r="D1268" s="3" t="s">
        <v>87</v>
      </c>
      <c r="E1268" s="11">
        <v>29.042351973684166</v>
      </c>
      <c r="F1268" s="11">
        <v>48.18147840531558</v>
      </c>
      <c r="G1268" t="s">
        <v>259</v>
      </c>
      <c r="H1268" t="s">
        <v>258</v>
      </c>
      <c r="I1268" t="s">
        <v>273</v>
      </c>
      <c r="J1268" t="s">
        <v>271</v>
      </c>
      <c r="K1268" s="2">
        <v>0</v>
      </c>
      <c r="L1268" s="2" t="s">
        <v>309</v>
      </c>
      <c r="V1268" s="3">
        <v>3.21</v>
      </c>
      <c r="Z1268" t="s">
        <v>356</v>
      </c>
      <c r="AA1268" t="s">
        <v>318</v>
      </c>
    </row>
    <row r="1269" spans="1:27" x14ac:dyDescent="0.25">
      <c r="A1269" s="12">
        <v>127</v>
      </c>
      <c r="B1269">
        <v>10</v>
      </c>
      <c r="C1269">
        <f t="shared" si="144"/>
        <v>12710</v>
      </c>
      <c r="D1269" s="3" t="s">
        <v>87</v>
      </c>
      <c r="E1269" s="11">
        <v>29.042351973684166</v>
      </c>
      <c r="F1269" s="11">
        <v>48.18147840531558</v>
      </c>
      <c r="G1269" t="s">
        <v>259</v>
      </c>
      <c r="H1269" t="s">
        <v>258</v>
      </c>
      <c r="I1269" t="s">
        <v>273</v>
      </c>
      <c r="J1269" t="s">
        <v>271</v>
      </c>
      <c r="K1269" s="2">
        <v>0</v>
      </c>
      <c r="L1269" s="2" t="s">
        <v>310</v>
      </c>
      <c r="V1269" s="3">
        <v>7.375</v>
      </c>
      <c r="Z1269" t="s">
        <v>356</v>
      </c>
      <c r="AA1269" t="s">
        <v>318</v>
      </c>
    </row>
    <row r="1270" spans="1:27" x14ac:dyDescent="0.25">
      <c r="A1270" s="12">
        <v>127</v>
      </c>
      <c r="B1270">
        <v>10</v>
      </c>
      <c r="C1270">
        <f t="shared" si="144"/>
        <v>12710</v>
      </c>
      <c r="D1270" s="3" t="s">
        <v>87</v>
      </c>
      <c r="E1270" s="11">
        <v>29.042351973684166</v>
      </c>
      <c r="F1270" s="11">
        <v>48.18147840531558</v>
      </c>
      <c r="G1270" t="s">
        <v>259</v>
      </c>
      <c r="H1270" t="s">
        <v>258</v>
      </c>
      <c r="I1270" t="s">
        <v>273</v>
      </c>
      <c r="J1270" t="s">
        <v>271</v>
      </c>
      <c r="K1270" s="2">
        <v>0</v>
      </c>
      <c r="L1270" s="2" t="s">
        <v>313</v>
      </c>
      <c r="V1270" s="3">
        <v>32.630000000000003</v>
      </c>
      <c r="Z1270" t="s">
        <v>356</v>
      </c>
      <c r="AA1270" t="s">
        <v>318</v>
      </c>
    </row>
    <row r="1271" spans="1:27" x14ac:dyDescent="0.25">
      <c r="A1271" s="12">
        <v>127</v>
      </c>
      <c r="B1271">
        <v>10</v>
      </c>
      <c r="C1271">
        <f t="shared" si="144"/>
        <v>12710</v>
      </c>
      <c r="D1271" s="3" t="s">
        <v>87</v>
      </c>
      <c r="E1271" s="11">
        <v>29.042351973684166</v>
      </c>
      <c r="F1271" s="11">
        <v>48.18147840531558</v>
      </c>
      <c r="G1271" t="s">
        <v>259</v>
      </c>
      <c r="H1271" t="s">
        <v>258</v>
      </c>
      <c r="I1271" t="s">
        <v>273</v>
      </c>
      <c r="J1271" t="s">
        <v>295</v>
      </c>
      <c r="K1271" s="2">
        <v>0</v>
      </c>
      <c r="L1271" s="2" t="s">
        <v>308</v>
      </c>
      <c r="V1271" s="3">
        <v>0.43</v>
      </c>
      <c r="Z1271" t="s">
        <v>356</v>
      </c>
      <c r="AA1271" t="s">
        <v>318</v>
      </c>
    </row>
    <row r="1272" spans="1:27" x14ac:dyDescent="0.25">
      <c r="A1272" s="12">
        <v>127</v>
      </c>
      <c r="B1272">
        <v>10</v>
      </c>
      <c r="C1272">
        <f t="shared" si="144"/>
        <v>12710</v>
      </c>
      <c r="D1272" s="3" t="s">
        <v>87</v>
      </c>
      <c r="E1272" s="11">
        <v>29.042351973684166</v>
      </c>
      <c r="F1272" s="11">
        <v>48.18147840531558</v>
      </c>
      <c r="G1272" t="s">
        <v>259</v>
      </c>
      <c r="H1272" t="s">
        <v>258</v>
      </c>
      <c r="I1272" t="s">
        <v>273</v>
      </c>
      <c r="J1272" t="s">
        <v>295</v>
      </c>
      <c r="K1272" s="2">
        <v>0</v>
      </c>
      <c r="L1272" s="2" t="s">
        <v>309</v>
      </c>
      <c r="V1272" s="3">
        <v>5.49</v>
      </c>
      <c r="Z1272" t="s">
        <v>356</v>
      </c>
      <c r="AA1272" t="s">
        <v>318</v>
      </c>
    </row>
    <row r="1273" spans="1:27" x14ac:dyDescent="0.25">
      <c r="A1273" s="12">
        <v>127</v>
      </c>
      <c r="B1273">
        <v>10</v>
      </c>
      <c r="C1273">
        <f t="shared" si="144"/>
        <v>12710</v>
      </c>
      <c r="D1273" s="3" t="s">
        <v>87</v>
      </c>
      <c r="E1273" s="11">
        <v>29.042351973684166</v>
      </c>
      <c r="F1273" s="11">
        <v>48.18147840531558</v>
      </c>
      <c r="G1273" t="s">
        <v>259</v>
      </c>
      <c r="H1273" t="s">
        <v>258</v>
      </c>
      <c r="I1273" t="s">
        <v>273</v>
      </c>
      <c r="J1273" t="s">
        <v>295</v>
      </c>
      <c r="K1273" s="2">
        <v>0</v>
      </c>
      <c r="L1273" s="2" t="s">
        <v>311</v>
      </c>
      <c r="V1273" s="3">
        <v>19.984999999999999</v>
      </c>
      <c r="Z1273" t="s">
        <v>356</v>
      </c>
      <c r="AA1273" t="s">
        <v>318</v>
      </c>
    </row>
    <row r="1274" spans="1:27" x14ac:dyDescent="0.25">
      <c r="A1274" s="12">
        <v>127</v>
      </c>
      <c r="B1274">
        <v>10</v>
      </c>
      <c r="C1274">
        <f t="shared" si="144"/>
        <v>12710</v>
      </c>
      <c r="D1274" s="3" t="s">
        <v>87</v>
      </c>
      <c r="E1274" s="11">
        <v>29.042351973684166</v>
      </c>
      <c r="F1274" s="11">
        <v>48.18147840531558</v>
      </c>
      <c r="G1274" t="s">
        <v>259</v>
      </c>
      <c r="H1274" t="s">
        <v>258</v>
      </c>
      <c r="I1274" t="s">
        <v>273</v>
      </c>
      <c r="J1274" t="s">
        <v>295</v>
      </c>
      <c r="K1274" s="2">
        <v>0</v>
      </c>
      <c r="L1274" s="2" t="s">
        <v>313</v>
      </c>
      <c r="V1274" s="3">
        <v>24.524999999999999</v>
      </c>
      <c r="Z1274" t="s">
        <v>356</v>
      </c>
      <c r="AA1274" t="s">
        <v>318</v>
      </c>
    </row>
    <row r="1275" spans="1:27" x14ac:dyDescent="0.25">
      <c r="A1275" s="12">
        <v>127</v>
      </c>
      <c r="B1275">
        <v>10</v>
      </c>
      <c r="C1275">
        <f t="shared" si="144"/>
        <v>12710</v>
      </c>
      <c r="D1275" s="3" t="s">
        <v>87</v>
      </c>
      <c r="E1275" s="11">
        <v>29.042351973684166</v>
      </c>
      <c r="F1275" s="11">
        <v>48.18147840531558</v>
      </c>
      <c r="G1275" t="s">
        <v>259</v>
      </c>
      <c r="H1275" t="s">
        <v>258</v>
      </c>
      <c r="I1275" t="s">
        <v>273</v>
      </c>
      <c r="J1275" t="s">
        <v>296</v>
      </c>
      <c r="K1275" s="2">
        <v>0</v>
      </c>
      <c r="L1275" s="2" t="s">
        <v>308</v>
      </c>
      <c r="V1275" s="3">
        <v>0.57000000000000006</v>
      </c>
      <c r="Z1275" t="s">
        <v>356</v>
      </c>
      <c r="AA1275" t="s">
        <v>318</v>
      </c>
    </row>
    <row r="1276" spans="1:27" x14ac:dyDescent="0.25">
      <c r="A1276" s="12">
        <v>127</v>
      </c>
      <c r="B1276">
        <v>10</v>
      </c>
      <c r="C1276">
        <f t="shared" si="144"/>
        <v>12710</v>
      </c>
      <c r="D1276" s="3" t="s">
        <v>87</v>
      </c>
      <c r="E1276" s="11">
        <v>29.042351973684166</v>
      </c>
      <c r="F1276" s="11">
        <v>48.18147840531558</v>
      </c>
      <c r="G1276" t="s">
        <v>259</v>
      </c>
      <c r="H1276" t="s">
        <v>258</v>
      </c>
      <c r="I1276" t="s">
        <v>273</v>
      </c>
      <c r="J1276" t="s">
        <v>296</v>
      </c>
      <c r="K1276" s="2">
        <v>0</v>
      </c>
      <c r="L1276" s="2" t="s">
        <v>311</v>
      </c>
      <c r="V1276" s="3">
        <v>6.2949999999999999</v>
      </c>
      <c r="Z1276" t="s">
        <v>356</v>
      </c>
      <c r="AA1276" t="s">
        <v>318</v>
      </c>
    </row>
    <row r="1277" spans="1:27" x14ac:dyDescent="0.25">
      <c r="A1277" s="12">
        <v>127</v>
      </c>
      <c r="B1277">
        <v>10</v>
      </c>
      <c r="C1277">
        <f t="shared" si="144"/>
        <v>12710</v>
      </c>
      <c r="D1277" s="3" t="s">
        <v>87</v>
      </c>
      <c r="E1277" s="11">
        <v>29.042351973684166</v>
      </c>
      <c r="F1277" s="11">
        <v>48.18147840531558</v>
      </c>
      <c r="G1277" t="s">
        <v>259</v>
      </c>
      <c r="H1277" t="s">
        <v>258</v>
      </c>
      <c r="I1277" t="s">
        <v>273</v>
      </c>
      <c r="J1277" t="s">
        <v>296</v>
      </c>
      <c r="K1277" s="2">
        <v>0</v>
      </c>
      <c r="L1277" s="2" t="s">
        <v>313</v>
      </c>
      <c r="V1277" s="3">
        <v>45.105000000000004</v>
      </c>
      <c r="Z1277" t="s">
        <v>356</v>
      </c>
      <c r="AA1277" t="s">
        <v>318</v>
      </c>
    </row>
    <row r="1278" spans="1:27" x14ac:dyDescent="0.25">
      <c r="A1278" s="12">
        <v>127</v>
      </c>
      <c r="B1278">
        <v>10</v>
      </c>
      <c r="C1278">
        <f t="shared" si="144"/>
        <v>12710</v>
      </c>
      <c r="D1278" s="3" t="s">
        <v>87</v>
      </c>
      <c r="E1278" s="11">
        <v>29.042351973684166</v>
      </c>
      <c r="F1278" s="11">
        <v>48.18147840531558</v>
      </c>
      <c r="G1278" t="s">
        <v>259</v>
      </c>
      <c r="H1278" t="s">
        <v>258</v>
      </c>
      <c r="I1278" t="s">
        <v>273</v>
      </c>
      <c r="J1278" t="s">
        <v>296</v>
      </c>
      <c r="K1278" s="2">
        <v>0</v>
      </c>
      <c r="L1278" s="2" t="s">
        <v>314</v>
      </c>
      <c r="V1278" s="3">
        <v>0.46</v>
      </c>
      <c r="Z1278" t="s">
        <v>356</v>
      </c>
      <c r="AA1278" t="s">
        <v>318</v>
      </c>
    </row>
    <row r="1279" spans="1:27" x14ac:dyDescent="0.25">
      <c r="A1279" s="12">
        <v>127</v>
      </c>
      <c r="B1279">
        <v>10</v>
      </c>
      <c r="C1279">
        <f t="shared" si="144"/>
        <v>12710</v>
      </c>
      <c r="D1279" s="3" t="s">
        <v>87</v>
      </c>
      <c r="E1279" s="11">
        <v>29.042351973684166</v>
      </c>
      <c r="F1279" s="11">
        <v>48.18147840531558</v>
      </c>
      <c r="G1279" t="s">
        <v>259</v>
      </c>
      <c r="H1279" t="s">
        <v>258</v>
      </c>
      <c r="I1279" t="s">
        <v>273</v>
      </c>
      <c r="J1279" t="s">
        <v>297</v>
      </c>
      <c r="K1279" s="2">
        <v>0</v>
      </c>
      <c r="L1279" s="2" t="s">
        <v>308</v>
      </c>
      <c r="V1279" s="3">
        <v>0.98</v>
      </c>
      <c r="Z1279" t="s">
        <v>356</v>
      </c>
      <c r="AA1279" t="s">
        <v>318</v>
      </c>
    </row>
    <row r="1280" spans="1:27" x14ac:dyDescent="0.25">
      <c r="A1280" s="12">
        <v>127</v>
      </c>
      <c r="B1280">
        <v>10</v>
      </c>
      <c r="C1280">
        <f t="shared" si="144"/>
        <v>12710</v>
      </c>
      <c r="D1280" s="3" t="s">
        <v>87</v>
      </c>
      <c r="E1280" s="11">
        <v>29.042351973684166</v>
      </c>
      <c r="F1280" s="11">
        <v>48.18147840531558</v>
      </c>
      <c r="G1280" t="s">
        <v>259</v>
      </c>
      <c r="H1280" t="s">
        <v>258</v>
      </c>
      <c r="I1280" t="s">
        <v>273</v>
      </c>
      <c r="J1280" t="s">
        <v>297</v>
      </c>
      <c r="K1280" s="2">
        <v>0</v>
      </c>
      <c r="L1280" s="2" t="s">
        <v>309</v>
      </c>
      <c r="V1280" s="3">
        <v>5.3599999999999994</v>
      </c>
      <c r="Z1280" t="s">
        <v>356</v>
      </c>
      <c r="AA1280" t="s">
        <v>318</v>
      </c>
    </row>
    <row r="1281" spans="1:27" x14ac:dyDescent="0.25">
      <c r="A1281" s="12">
        <v>127</v>
      </c>
      <c r="B1281">
        <v>10</v>
      </c>
      <c r="C1281">
        <f t="shared" si="144"/>
        <v>12710</v>
      </c>
      <c r="D1281" s="3" t="s">
        <v>87</v>
      </c>
      <c r="E1281" s="11">
        <v>29.042351973684166</v>
      </c>
      <c r="F1281" s="11">
        <v>48.18147840531558</v>
      </c>
      <c r="G1281" t="s">
        <v>259</v>
      </c>
      <c r="H1281" t="s">
        <v>258</v>
      </c>
      <c r="I1281" t="s">
        <v>273</v>
      </c>
      <c r="J1281" t="s">
        <v>297</v>
      </c>
      <c r="K1281" s="2">
        <v>0</v>
      </c>
      <c r="L1281" s="2" t="s">
        <v>311</v>
      </c>
      <c r="V1281" s="3">
        <v>18.07</v>
      </c>
      <c r="Z1281" t="s">
        <v>356</v>
      </c>
      <c r="AA1281" t="s">
        <v>318</v>
      </c>
    </row>
    <row r="1282" spans="1:27" x14ac:dyDescent="0.25">
      <c r="A1282" s="12">
        <v>127</v>
      </c>
      <c r="B1282">
        <v>10</v>
      </c>
      <c r="C1282">
        <f t="shared" si="144"/>
        <v>12710</v>
      </c>
      <c r="D1282" s="3" t="s">
        <v>87</v>
      </c>
      <c r="E1282" s="11">
        <v>29.042351973684166</v>
      </c>
      <c r="F1282" s="11">
        <v>48.18147840531558</v>
      </c>
      <c r="G1282" t="s">
        <v>259</v>
      </c>
      <c r="H1282" t="s">
        <v>258</v>
      </c>
      <c r="I1282" t="s">
        <v>273</v>
      </c>
      <c r="J1282" t="s">
        <v>297</v>
      </c>
      <c r="K1282" s="2">
        <v>0</v>
      </c>
      <c r="L1282" s="2" t="s">
        <v>314</v>
      </c>
      <c r="V1282" s="3">
        <v>77.669999999999987</v>
      </c>
      <c r="Z1282" t="s">
        <v>356</v>
      </c>
      <c r="AA1282" t="s">
        <v>318</v>
      </c>
    </row>
    <row r="1283" spans="1:27" x14ac:dyDescent="0.25">
      <c r="A1283" s="12">
        <v>127</v>
      </c>
      <c r="B1283">
        <v>10</v>
      </c>
      <c r="C1283">
        <f t="shared" ref="C1283:C1346" si="145">A1283*100+B1283</f>
        <v>12710</v>
      </c>
      <c r="D1283" s="3" t="s">
        <v>87</v>
      </c>
      <c r="E1283" s="11">
        <v>29.042351973684166</v>
      </c>
      <c r="F1283" s="11">
        <v>48.18147840531558</v>
      </c>
      <c r="G1283" t="s">
        <v>259</v>
      </c>
      <c r="H1283" t="s">
        <v>258</v>
      </c>
      <c r="I1283" t="s">
        <v>273</v>
      </c>
      <c r="J1283" t="s">
        <v>298</v>
      </c>
      <c r="K1283" s="2">
        <v>0</v>
      </c>
      <c r="L1283" s="2" t="s">
        <v>308</v>
      </c>
      <c r="V1283" s="3">
        <v>0.66999999999999993</v>
      </c>
      <c r="Z1283" t="s">
        <v>356</v>
      </c>
      <c r="AA1283" t="s">
        <v>318</v>
      </c>
    </row>
    <row r="1284" spans="1:27" x14ac:dyDescent="0.25">
      <c r="A1284" s="12">
        <v>127</v>
      </c>
      <c r="B1284">
        <v>10</v>
      </c>
      <c r="C1284">
        <f t="shared" si="145"/>
        <v>12710</v>
      </c>
      <c r="D1284" s="3" t="s">
        <v>87</v>
      </c>
      <c r="E1284" s="11">
        <v>29.042351973684166</v>
      </c>
      <c r="F1284" s="11">
        <v>48.18147840531558</v>
      </c>
      <c r="G1284" t="s">
        <v>259</v>
      </c>
      <c r="H1284" t="s">
        <v>258</v>
      </c>
      <c r="I1284" t="s">
        <v>273</v>
      </c>
      <c r="J1284" t="s">
        <v>298</v>
      </c>
      <c r="K1284" s="2">
        <v>0</v>
      </c>
      <c r="L1284" s="2" t="s">
        <v>309</v>
      </c>
      <c r="V1284" s="3">
        <v>2.0699999999999998</v>
      </c>
      <c r="Z1284" t="s">
        <v>356</v>
      </c>
      <c r="AA1284" t="s">
        <v>318</v>
      </c>
    </row>
    <row r="1285" spans="1:27" x14ac:dyDescent="0.25">
      <c r="A1285" s="12">
        <v>127</v>
      </c>
      <c r="B1285">
        <v>10</v>
      </c>
      <c r="C1285">
        <f t="shared" si="145"/>
        <v>12710</v>
      </c>
      <c r="D1285" s="3" t="s">
        <v>87</v>
      </c>
      <c r="E1285" s="11">
        <v>29.042351973684166</v>
      </c>
      <c r="F1285" s="11">
        <v>48.18147840531558</v>
      </c>
      <c r="G1285" t="s">
        <v>259</v>
      </c>
      <c r="H1285" t="s">
        <v>258</v>
      </c>
      <c r="I1285" t="s">
        <v>273</v>
      </c>
      <c r="J1285" t="s">
        <v>298</v>
      </c>
      <c r="K1285" s="2">
        <v>0</v>
      </c>
      <c r="L1285" s="2" t="s">
        <v>317</v>
      </c>
      <c r="V1285" s="3">
        <v>9.9350000000000005</v>
      </c>
      <c r="Z1285" t="s">
        <v>356</v>
      </c>
      <c r="AA1285" t="s">
        <v>318</v>
      </c>
    </row>
    <row r="1286" spans="1:27" x14ac:dyDescent="0.25">
      <c r="A1286" s="12">
        <v>127</v>
      </c>
      <c r="B1286">
        <v>10</v>
      </c>
      <c r="C1286">
        <f t="shared" si="145"/>
        <v>12710</v>
      </c>
      <c r="D1286" s="3" t="s">
        <v>87</v>
      </c>
      <c r="E1286" s="11">
        <v>29.042351973684166</v>
      </c>
      <c r="F1286" s="11">
        <v>48.18147840531558</v>
      </c>
      <c r="G1286" t="s">
        <v>259</v>
      </c>
      <c r="H1286" t="s">
        <v>258</v>
      </c>
      <c r="I1286" t="s">
        <v>273</v>
      </c>
      <c r="J1286" t="s">
        <v>298</v>
      </c>
      <c r="K1286" s="2">
        <v>0</v>
      </c>
      <c r="L1286" s="2" t="s">
        <v>311</v>
      </c>
      <c r="V1286" s="3">
        <v>13.654999999999999</v>
      </c>
      <c r="Z1286" t="s">
        <v>356</v>
      </c>
      <c r="AA1286" t="s">
        <v>318</v>
      </c>
    </row>
    <row r="1287" spans="1:27" x14ac:dyDescent="0.25">
      <c r="A1287" s="12">
        <v>127</v>
      </c>
      <c r="B1287">
        <v>10</v>
      </c>
      <c r="C1287">
        <f t="shared" si="145"/>
        <v>12710</v>
      </c>
      <c r="D1287" s="3" t="s">
        <v>87</v>
      </c>
      <c r="E1287" s="11">
        <v>29.042351973684166</v>
      </c>
      <c r="F1287" s="11">
        <v>48.18147840531558</v>
      </c>
      <c r="G1287" t="s">
        <v>259</v>
      </c>
      <c r="H1287" t="s">
        <v>258</v>
      </c>
      <c r="I1287" t="s">
        <v>273</v>
      </c>
      <c r="J1287" t="s">
        <v>298</v>
      </c>
      <c r="K1287" s="2">
        <v>0</v>
      </c>
      <c r="L1287" s="2" t="s">
        <v>313</v>
      </c>
      <c r="V1287" s="3">
        <v>36.064999999999998</v>
      </c>
      <c r="Z1287" t="s">
        <v>356</v>
      </c>
      <c r="AA1287" t="s">
        <v>318</v>
      </c>
    </row>
    <row r="1288" spans="1:27" x14ac:dyDescent="0.25">
      <c r="A1288" s="12">
        <v>127</v>
      </c>
      <c r="B1288">
        <v>10</v>
      </c>
      <c r="C1288">
        <f t="shared" si="145"/>
        <v>12710</v>
      </c>
      <c r="D1288" s="3" t="s">
        <v>87</v>
      </c>
      <c r="E1288" s="11">
        <v>29.042351973684166</v>
      </c>
      <c r="F1288" s="11">
        <v>48.18147840531558</v>
      </c>
      <c r="G1288" t="s">
        <v>259</v>
      </c>
      <c r="H1288" t="s">
        <v>258</v>
      </c>
      <c r="I1288" t="s">
        <v>273</v>
      </c>
      <c r="J1288" t="s">
        <v>298</v>
      </c>
      <c r="K1288" s="2">
        <v>0</v>
      </c>
      <c r="L1288" s="2" t="s">
        <v>314</v>
      </c>
      <c r="V1288" s="3">
        <v>78.33</v>
      </c>
      <c r="Z1288" t="s">
        <v>356</v>
      </c>
      <c r="AA1288" t="s">
        <v>318</v>
      </c>
    </row>
    <row r="1289" spans="1:27" x14ac:dyDescent="0.25">
      <c r="A1289" s="12">
        <v>127</v>
      </c>
      <c r="B1289">
        <v>10</v>
      </c>
      <c r="C1289">
        <f t="shared" si="145"/>
        <v>12710</v>
      </c>
      <c r="D1289" s="3" t="s">
        <v>87</v>
      </c>
      <c r="E1289" s="11">
        <v>29.042351973684166</v>
      </c>
      <c r="F1289" s="11">
        <v>48.18147840531558</v>
      </c>
      <c r="G1289" t="s">
        <v>259</v>
      </c>
      <c r="H1289" t="s">
        <v>258</v>
      </c>
      <c r="I1289" t="s">
        <v>273</v>
      </c>
      <c r="J1289" t="s">
        <v>299</v>
      </c>
      <c r="K1289" s="2">
        <v>0</v>
      </c>
      <c r="L1289" s="2" t="s">
        <v>308</v>
      </c>
      <c r="V1289" s="3">
        <v>1.9200000000000002</v>
      </c>
      <c r="Z1289" t="s">
        <v>356</v>
      </c>
      <c r="AA1289" t="s">
        <v>318</v>
      </c>
    </row>
    <row r="1290" spans="1:27" x14ac:dyDescent="0.25">
      <c r="A1290" s="12">
        <v>127</v>
      </c>
      <c r="B1290">
        <v>10</v>
      </c>
      <c r="C1290">
        <f t="shared" si="145"/>
        <v>12710</v>
      </c>
      <c r="D1290" s="3" t="s">
        <v>87</v>
      </c>
      <c r="E1290" s="11">
        <v>29.042351973684166</v>
      </c>
      <c r="F1290" s="11">
        <v>48.18147840531558</v>
      </c>
      <c r="G1290" t="s">
        <v>259</v>
      </c>
      <c r="H1290" t="s">
        <v>258</v>
      </c>
      <c r="I1290" t="s">
        <v>273</v>
      </c>
      <c r="J1290" t="s">
        <v>299</v>
      </c>
      <c r="K1290" s="2">
        <v>0</v>
      </c>
      <c r="L1290" s="2" t="s">
        <v>309</v>
      </c>
      <c r="V1290" s="3">
        <v>15.419999999999998</v>
      </c>
      <c r="Z1290" t="s">
        <v>356</v>
      </c>
      <c r="AA1290" t="s">
        <v>318</v>
      </c>
    </row>
    <row r="1291" spans="1:27" x14ac:dyDescent="0.25">
      <c r="A1291" s="12">
        <v>127</v>
      </c>
      <c r="B1291">
        <v>10</v>
      </c>
      <c r="C1291">
        <f t="shared" si="145"/>
        <v>12710</v>
      </c>
      <c r="D1291" s="3" t="s">
        <v>87</v>
      </c>
      <c r="E1291" s="11">
        <v>29.042351973684166</v>
      </c>
      <c r="F1291" s="11">
        <v>48.18147840531558</v>
      </c>
      <c r="G1291" t="s">
        <v>259</v>
      </c>
      <c r="H1291" t="s">
        <v>258</v>
      </c>
      <c r="I1291" t="s">
        <v>273</v>
      </c>
      <c r="J1291" t="s">
        <v>299</v>
      </c>
      <c r="K1291" s="2">
        <v>0</v>
      </c>
      <c r="L1291" s="2" t="s">
        <v>310</v>
      </c>
      <c r="V1291" s="3">
        <v>441.75</v>
      </c>
      <c r="Z1291" t="s">
        <v>356</v>
      </c>
      <c r="AA1291" t="s">
        <v>318</v>
      </c>
    </row>
    <row r="1292" spans="1:27" x14ac:dyDescent="0.25">
      <c r="A1292" s="12">
        <v>127</v>
      </c>
      <c r="B1292">
        <v>10</v>
      </c>
      <c r="C1292">
        <f t="shared" si="145"/>
        <v>12710</v>
      </c>
      <c r="D1292" s="3" t="s">
        <v>87</v>
      </c>
      <c r="E1292" s="11">
        <v>29.042351973684166</v>
      </c>
      <c r="F1292" s="11">
        <v>48.18147840531558</v>
      </c>
      <c r="G1292" t="s">
        <v>259</v>
      </c>
      <c r="H1292" t="s">
        <v>258</v>
      </c>
      <c r="I1292" t="s">
        <v>273</v>
      </c>
      <c r="J1292" t="s">
        <v>299</v>
      </c>
      <c r="K1292" s="2">
        <v>0</v>
      </c>
      <c r="L1292" s="2" t="s">
        <v>311</v>
      </c>
      <c r="V1292" s="3">
        <v>25.57</v>
      </c>
      <c r="Z1292" t="s">
        <v>356</v>
      </c>
      <c r="AA1292" t="s">
        <v>318</v>
      </c>
    </row>
    <row r="1293" spans="1:27" x14ac:dyDescent="0.25">
      <c r="A1293" s="12">
        <v>127</v>
      </c>
      <c r="B1293">
        <v>10</v>
      </c>
      <c r="C1293">
        <f t="shared" si="145"/>
        <v>12710</v>
      </c>
      <c r="D1293" s="3" t="s">
        <v>87</v>
      </c>
      <c r="E1293" s="11">
        <v>29.042351973684166</v>
      </c>
      <c r="F1293" s="11">
        <v>48.18147840531558</v>
      </c>
      <c r="G1293" t="s">
        <v>259</v>
      </c>
      <c r="H1293" t="s">
        <v>258</v>
      </c>
      <c r="I1293" t="s">
        <v>273</v>
      </c>
      <c r="J1293" t="s">
        <v>300</v>
      </c>
      <c r="K1293" s="2">
        <v>0</v>
      </c>
      <c r="L1293" s="2" t="s">
        <v>308</v>
      </c>
      <c r="V1293" s="3">
        <v>1.4849999999999999</v>
      </c>
      <c r="Z1293" t="s">
        <v>356</v>
      </c>
      <c r="AA1293" t="s">
        <v>318</v>
      </c>
    </row>
    <row r="1294" spans="1:27" x14ac:dyDescent="0.25">
      <c r="A1294" s="12">
        <v>127</v>
      </c>
      <c r="B1294">
        <v>10</v>
      </c>
      <c r="C1294">
        <f t="shared" si="145"/>
        <v>12710</v>
      </c>
      <c r="D1294" s="3" t="s">
        <v>87</v>
      </c>
      <c r="E1294" s="11">
        <v>29.042351973684166</v>
      </c>
      <c r="F1294" s="11">
        <v>48.18147840531558</v>
      </c>
      <c r="G1294" t="s">
        <v>259</v>
      </c>
      <c r="H1294" t="s">
        <v>258</v>
      </c>
      <c r="I1294" t="s">
        <v>273</v>
      </c>
      <c r="J1294" t="s">
        <v>300</v>
      </c>
      <c r="K1294" s="2">
        <v>0</v>
      </c>
      <c r="L1294" s="2" t="s">
        <v>309</v>
      </c>
      <c r="V1294" s="3">
        <v>17.060000000000002</v>
      </c>
      <c r="Z1294" t="s">
        <v>356</v>
      </c>
      <c r="AA1294" t="s">
        <v>318</v>
      </c>
    </row>
    <row r="1295" spans="1:27" x14ac:dyDescent="0.25">
      <c r="A1295" s="12">
        <v>127</v>
      </c>
      <c r="B1295">
        <v>10</v>
      </c>
      <c r="C1295">
        <f t="shared" si="145"/>
        <v>12710</v>
      </c>
      <c r="D1295" s="3" t="s">
        <v>87</v>
      </c>
      <c r="E1295" s="11">
        <v>29.042351973684166</v>
      </c>
      <c r="F1295" s="11">
        <v>48.18147840531558</v>
      </c>
      <c r="G1295" t="s">
        <v>259</v>
      </c>
      <c r="H1295" t="s">
        <v>258</v>
      </c>
      <c r="I1295" t="s">
        <v>273</v>
      </c>
      <c r="J1295" t="s">
        <v>300</v>
      </c>
      <c r="K1295" s="2">
        <v>0</v>
      </c>
      <c r="L1295" s="2" t="s">
        <v>310</v>
      </c>
      <c r="V1295" s="3">
        <v>97.25</v>
      </c>
      <c r="Z1295" t="s">
        <v>356</v>
      </c>
      <c r="AA1295" t="s">
        <v>318</v>
      </c>
    </row>
    <row r="1296" spans="1:27" x14ac:dyDescent="0.25">
      <c r="A1296" s="12">
        <v>127</v>
      </c>
      <c r="B1296">
        <v>10</v>
      </c>
      <c r="C1296">
        <f t="shared" si="145"/>
        <v>12710</v>
      </c>
      <c r="D1296" s="3" t="s">
        <v>87</v>
      </c>
      <c r="E1296" s="11">
        <v>29.042351973684166</v>
      </c>
      <c r="F1296" s="11">
        <v>48.18147840531558</v>
      </c>
      <c r="G1296" t="s">
        <v>259</v>
      </c>
      <c r="H1296" t="s">
        <v>258</v>
      </c>
      <c r="I1296" t="s">
        <v>273</v>
      </c>
      <c r="J1296" t="s">
        <v>300</v>
      </c>
      <c r="K1296" s="2">
        <v>0</v>
      </c>
      <c r="L1296" s="2" t="s">
        <v>311</v>
      </c>
      <c r="V1296" s="3">
        <v>193.2</v>
      </c>
      <c r="Z1296" t="s">
        <v>356</v>
      </c>
      <c r="AA1296" t="s">
        <v>318</v>
      </c>
    </row>
    <row r="1297" spans="1:27" x14ac:dyDescent="0.25">
      <c r="A1297" s="12">
        <v>127</v>
      </c>
      <c r="B1297">
        <v>10</v>
      </c>
      <c r="C1297">
        <f t="shared" si="145"/>
        <v>12710</v>
      </c>
      <c r="D1297" s="3" t="s">
        <v>87</v>
      </c>
      <c r="E1297" s="11">
        <v>29.042351973684166</v>
      </c>
      <c r="F1297" s="11">
        <v>48.18147840531558</v>
      </c>
      <c r="G1297" t="s">
        <v>259</v>
      </c>
      <c r="H1297" t="s">
        <v>258</v>
      </c>
      <c r="I1297" t="s">
        <v>273</v>
      </c>
      <c r="J1297" t="s">
        <v>300</v>
      </c>
      <c r="K1297" s="2">
        <v>0</v>
      </c>
      <c r="L1297" s="2" t="s">
        <v>314</v>
      </c>
      <c r="V1297" s="3">
        <v>40.884999999999998</v>
      </c>
      <c r="Z1297" t="s">
        <v>356</v>
      </c>
      <c r="AA1297" t="s">
        <v>318</v>
      </c>
    </row>
    <row r="1298" spans="1:27" x14ac:dyDescent="0.25">
      <c r="A1298" s="12">
        <v>127</v>
      </c>
      <c r="B1298">
        <v>10</v>
      </c>
      <c r="C1298">
        <f t="shared" si="145"/>
        <v>12710</v>
      </c>
      <c r="D1298" s="3" t="s">
        <v>87</v>
      </c>
      <c r="E1298" s="11">
        <v>29.042351973684166</v>
      </c>
      <c r="F1298" s="11">
        <v>48.18147840531558</v>
      </c>
      <c r="G1298" t="s">
        <v>259</v>
      </c>
      <c r="H1298" t="s">
        <v>258</v>
      </c>
      <c r="I1298" t="s">
        <v>273</v>
      </c>
      <c r="J1298" t="s">
        <v>301</v>
      </c>
      <c r="K1298" s="2">
        <v>0</v>
      </c>
      <c r="L1298" s="2" t="s">
        <v>308</v>
      </c>
      <c r="V1298" s="3">
        <v>0.7</v>
      </c>
      <c r="Z1298" t="s">
        <v>356</v>
      </c>
      <c r="AA1298" t="s">
        <v>318</v>
      </c>
    </row>
    <row r="1299" spans="1:27" x14ac:dyDescent="0.25">
      <c r="A1299" s="12">
        <v>127</v>
      </c>
      <c r="B1299">
        <v>10</v>
      </c>
      <c r="C1299">
        <f t="shared" si="145"/>
        <v>12710</v>
      </c>
      <c r="D1299" s="3" t="s">
        <v>87</v>
      </c>
      <c r="E1299" s="11">
        <v>29.042351973684166</v>
      </c>
      <c r="F1299" s="11">
        <v>48.18147840531558</v>
      </c>
      <c r="G1299" t="s">
        <v>259</v>
      </c>
      <c r="H1299" t="s">
        <v>258</v>
      </c>
      <c r="I1299" t="s">
        <v>273</v>
      </c>
      <c r="J1299" t="s">
        <v>301</v>
      </c>
      <c r="K1299" s="2">
        <v>0</v>
      </c>
      <c r="L1299" s="2" t="s">
        <v>309</v>
      </c>
      <c r="V1299" s="3">
        <v>2.64</v>
      </c>
      <c r="Z1299" t="s">
        <v>356</v>
      </c>
      <c r="AA1299" t="s">
        <v>318</v>
      </c>
    </row>
    <row r="1300" spans="1:27" x14ac:dyDescent="0.25">
      <c r="A1300" s="12">
        <v>127</v>
      </c>
      <c r="B1300">
        <v>10</v>
      </c>
      <c r="C1300">
        <f t="shared" si="145"/>
        <v>12710</v>
      </c>
      <c r="D1300" s="3" t="s">
        <v>87</v>
      </c>
      <c r="E1300" s="11">
        <v>29.042351973684166</v>
      </c>
      <c r="F1300" s="11">
        <v>48.18147840531558</v>
      </c>
      <c r="G1300" t="s">
        <v>259</v>
      </c>
      <c r="H1300" t="s">
        <v>258</v>
      </c>
      <c r="I1300" t="s">
        <v>273</v>
      </c>
      <c r="J1300" t="s">
        <v>301</v>
      </c>
      <c r="K1300" s="2">
        <v>0</v>
      </c>
      <c r="L1300" s="2" t="s">
        <v>310</v>
      </c>
      <c r="V1300" s="3">
        <v>6.2650000000000006</v>
      </c>
      <c r="Z1300" t="s">
        <v>356</v>
      </c>
      <c r="AA1300" t="s">
        <v>318</v>
      </c>
    </row>
    <row r="1301" spans="1:27" x14ac:dyDescent="0.25">
      <c r="A1301" s="12">
        <v>127</v>
      </c>
      <c r="B1301">
        <v>10</v>
      </c>
      <c r="C1301">
        <f t="shared" si="145"/>
        <v>12710</v>
      </c>
      <c r="D1301" s="3" t="s">
        <v>87</v>
      </c>
      <c r="E1301" s="11">
        <v>29.042351973684166</v>
      </c>
      <c r="F1301" s="11">
        <v>48.18147840531558</v>
      </c>
      <c r="G1301" t="s">
        <v>259</v>
      </c>
      <c r="H1301" t="s">
        <v>258</v>
      </c>
      <c r="I1301" t="s">
        <v>273</v>
      </c>
      <c r="J1301" t="s">
        <v>301</v>
      </c>
      <c r="K1301" s="2">
        <v>0</v>
      </c>
      <c r="L1301" s="2" t="s">
        <v>311</v>
      </c>
      <c r="V1301" s="3">
        <v>39.49</v>
      </c>
      <c r="Z1301" t="s">
        <v>356</v>
      </c>
      <c r="AA1301" t="s">
        <v>318</v>
      </c>
    </row>
    <row r="1302" spans="1:27" x14ac:dyDescent="0.25">
      <c r="A1302" s="12">
        <v>127</v>
      </c>
      <c r="B1302">
        <v>10</v>
      </c>
      <c r="C1302">
        <f t="shared" si="145"/>
        <v>12710</v>
      </c>
      <c r="D1302" s="3" t="s">
        <v>87</v>
      </c>
      <c r="E1302" s="11">
        <v>29.042351973684166</v>
      </c>
      <c r="F1302" s="11">
        <v>48.18147840531558</v>
      </c>
      <c r="G1302" t="s">
        <v>259</v>
      </c>
      <c r="H1302" t="s">
        <v>258</v>
      </c>
      <c r="I1302" t="s">
        <v>273</v>
      </c>
      <c r="J1302" t="s">
        <v>301</v>
      </c>
      <c r="K1302" s="2">
        <v>0</v>
      </c>
      <c r="L1302" s="2" t="s">
        <v>314</v>
      </c>
      <c r="V1302" s="3">
        <v>1.74</v>
      </c>
      <c r="Z1302" t="s">
        <v>356</v>
      </c>
      <c r="AA1302" t="s">
        <v>318</v>
      </c>
    </row>
    <row r="1303" spans="1:27" x14ac:dyDescent="0.25">
      <c r="A1303" s="12">
        <v>127</v>
      </c>
      <c r="B1303">
        <v>10</v>
      </c>
      <c r="C1303">
        <f t="shared" si="145"/>
        <v>12710</v>
      </c>
      <c r="D1303" s="3" t="s">
        <v>87</v>
      </c>
      <c r="E1303" s="11">
        <v>29.042351973684166</v>
      </c>
      <c r="F1303" s="11">
        <v>48.18147840531558</v>
      </c>
      <c r="G1303" t="s">
        <v>259</v>
      </c>
      <c r="H1303" t="s">
        <v>258</v>
      </c>
      <c r="I1303" t="s">
        <v>273</v>
      </c>
      <c r="J1303" t="s">
        <v>302</v>
      </c>
      <c r="K1303" s="2">
        <v>0</v>
      </c>
      <c r="L1303" s="2" t="s">
        <v>308</v>
      </c>
      <c r="V1303" s="3">
        <v>3.76</v>
      </c>
      <c r="Z1303" t="s">
        <v>356</v>
      </c>
      <c r="AA1303" t="s">
        <v>318</v>
      </c>
    </row>
    <row r="1304" spans="1:27" x14ac:dyDescent="0.25">
      <c r="A1304" s="12">
        <v>127</v>
      </c>
      <c r="B1304">
        <v>10</v>
      </c>
      <c r="C1304">
        <f t="shared" si="145"/>
        <v>12710</v>
      </c>
      <c r="D1304" s="3" t="s">
        <v>87</v>
      </c>
      <c r="E1304" s="11">
        <v>29.042351973684166</v>
      </c>
      <c r="F1304" s="11">
        <v>48.18147840531558</v>
      </c>
      <c r="G1304" t="s">
        <v>259</v>
      </c>
      <c r="H1304" t="s">
        <v>258</v>
      </c>
      <c r="I1304" t="s">
        <v>273</v>
      </c>
      <c r="J1304" t="s">
        <v>302</v>
      </c>
      <c r="K1304" s="2">
        <v>0</v>
      </c>
      <c r="L1304" s="2" t="s">
        <v>311</v>
      </c>
      <c r="V1304" s="3">
        <v>68.37</v>
      </c>
      <c r="Z1304" t="s">
        <v>356</v>
      </c>
      <c r="AA1304" t="s">
        <v>318</v>
      </c>
    </row>
    <row r="1305" spans="1:27" x14ac:dyDescent="0.25">
      <c r="A1305" s="12">
        <v>127</v>
      </c>
      <c r="B1305">
        <v>10</v>
      </c>
      <c r="C1305">
        <f t="shared" si="145"/>
        <v>12710</v>
      </c>
      <c r="D1305" s="3" t="s">
        <v>87</v>
      </c>
      <c r="E1305" s="11">
        <v>29.042351973684166</v>
      </c>
      <c r="F1305" s="11">
        <v>48.18147840531558</v>
      </c>
      <c r="G1305" t="s">
        <v>259</v>
      </c>
      <c r="H1305" t="s">
        <v>258</v>
      </c>
      <c r="I1305" t="s">
        <v>273</v>
      </c>
      <c r="J1305" t="s">
        <v>303</v>
      </c>
      <c r="K1305" s="2">
        <v>0</v>
      </c>
      <c r="L1305" s="2" t="s">
        <v>308</v>
      </c>
      <c r="V1305" s="3">
        <v>1.375</v>
      </c>
      <c r="Z1305" t="s">
        <v>356</v>
      </c>
      <c r="AA1305" t="s">
        <v>318</v>
      </c>
    </row>
    <row r="1306" spans="1:27" x14ac:dyDescent="0.25">
      <c r="A1306" s="12">
        <v>127</v>
      </c>
      <c r="B1306">
        <v>10</v>
      </c>
      <c r="C1306">
        <f t="shared" si="145"/>
        <v>12710</v>
      </c>
      <c r="D1306" s="3" t="s">
        <v>87</v>
      </c>
      <c r="E1306" s="11">
        <v>29.042351973684166</v>
      </c>
      <c r="F1306" s="11">
        <v>48.18147840531558</v>
      </c>
      <c r="G1306" t="s">
        <v>259</v>
      </c>
      <c r="H1306" t="s">
        <v>258</v>
      </c>
      <c r="I1306" t="s">
        <v>273</v>
      </c>
      <c r="J1306" t="s">
        <v>303</v>
      </c>
      <c r="K1306" s="2">
        <v>0</v>
      </c>
      <c r="L1306" s="2" t="s">
        <v>309</v>
      </c>
      <c r="V1306" s="3">
        <v>5.28</v>
      </c>
      <c r="Z1306" t="s">
        <v>356</v>
      </c>
      <c r="AA1306" t="s">
        <v>318</v>
      </c>
    </row>
    <row r="1307" spans="1:27" x14ac:dyDescent="0.25">
      <c r="A1307" s="12">
        <v>127</v>
      </c>
      <c r="B1307">
        <v>10</v>
      </c>
      <c r="C1307">
        <f t="shared" si="145"/>
        <v>12710</v>
      </c>
      <c r="D1307" s="3" t="s">
        <v>87</v>
      </c>
      <c r="E1307" s="11">
        <v>29.042351973684166</v>
      </c>
      <c r="F1307" s="11">
        <v>48.18147840531558</v>
      </c>
      <c r="G1307" t="s">
        <v>259</v>
      </c>
      <c r="H1307" t="s">
        <v>258</v>
      </c>
      <c r="I1307" t="s">
        <v>273</v>
      </c>
      <c r="J1307" t="s">
        <v>303</v>
      </c>
      <c r="K1307" s="2">
        <v>0</v>
      </c>
      <c r="L1307" s="2" t="s">
        <v>311</v>
      </c>
      <c r="V1307" s="3">
        <v>26.134999999999998</v>
      </c>
      <c r="Z1307" t="s">
        <v>356</v>
      </c>
      <c r="AA1307" t="s">
        <v>318</v>
      </c>
    </row>
    <row r="1308" spans="1:27" x14ac:dyDescent="0.25">
      <c r="A1308" s="12">
        <v>127</v>
      </c>
      <c r="B1308">
        <v>10</v>
      </c>
      <c r="C1308">
        <f t="shared" si="145"/>
        <v>12710</v>
      </c>
      <c r="D1308" s="3" t="s">
        <v>87</v>
      </c>
      <c r="E1308" s="11">
        <v>29.042351973684166</v>
      </c>
      <c r="F1308" s="11">
        <v>48.18147840531558</v>
      </c>
      <c r="G1308" t="s">
        <v>259</v>
      </c>
      <c r="H1308" t="s">
        <v>258</v>
      </c>
      <c r="I1308" t="s">
        <v>273</v>
      </c>
      <c r="J1308" t="s">
        <v>303</v>
      </c>
      <c r="K1308" s="2">
        <v>0</v>
      </c>
      <c r="L1308" s="2" t="s">
        <v>314</v>
      </c>
      <c r="V1308" s="3">
        <v>5.8049999999999997</v>
      </c>
      <c r="Z1308" t="s">
        <v>356</v>
      </c>
      <c r="AA1308" t="s">
        <v>318</v>
      </c>
    </row>
    <row r="1309" spans="1:27" x14ac:dyDescent="0.25">
      <c r="A1309" s="12">
        <v>127</v>
      </c>
      <c r="B1309">
        <v>10</v>
      </c>
      <c r="C1309">
        <f t="shared" si="145"/>
        <v>12710</v>
      </c>
      <c r="D1309" s="3" t="s">
        <v>87</v>
      </c>
      <c r="E1309" s="11">
        <v>29.042351973684166</v>
      </c>
      <c r="F1309" s="11">
        <v>48.18147840531558</v>
      </c>
      <c r="G1309" t="s">
        <v>259</v>
      </c>
      <c r="H1309" t="s">
        <v>258</v>
      </c>
      <c r="I1309" t="s">
        <v>273</v>
      </c>
      <c r="J1309" t="s">
        <v>304</v>
      </c>
      <c r="K1309" s="2">
        <v>0</v>
      </c>
      <c r="L1309" s="2" t="s">
        <v>308</v>
      </c>
      <c r="V1309" s="3">
        <v>0.53500000000000003</v>
      </c>
      <c r="Z1309" t="s">
        <v>356</v>
      </c>
      <c r="AA1309" t="s">
        <v>318</v>
      </c>
    </row>
    <row r="1310" spans="1:27" x14ac:dyDescent="0.25">
      <c r="A1310" s="12">
        <v>127</v>
      </c>
      <c r="B1310">
        <v>10</v>
      </c>
      <c r="C1310">
        <f t="shared" si="145"/>
        <v>12710</v>
      </c>
      <c r="D1310" s="3" t="s">
        <v>87</v>
      </c>
      <c r="E1310" s="11">
        <v>29.042351973684166</v>
      </c>
      <c r="F1310" s="11">
        <v>48.18147840531558</v>
      </c>
      <c r="G1310" t="s">
        <v>259</v>
      </c>
      <c r="H1310" t="s">
        <v>258</v>
      </c>
      <c r="I1310" t="s">
        <v>273</v>
      </c>
      <c r="J1310" t="s">
        <v>304</v>
      </c>
      <c r="K1310" s="2">
        <v>0</v>
      </c>
      <c r="L1310" s="2" t="s">
        <v>309</v>
      </c>
      <c r="V1310" s="3">
        <v>5.96</v>
      </c>
      <c r="Z1310" t="s">
        <v>356</v>
      </c>
      <c r="AA1310" t="s">
        <v>318</v>
      </c>
    </row>
    <row r="1311" spans="1:27" x14ac:dyDescent="0.25">
      <c r="A1311" s="12">
        <v>127</v>
      </c>
      <c r="B1311">
        <v>10</v>
      </c>
      <c r="C1311">
        <f t="shared" si="145"/>
        <v>12710</v>
      </c>
      <c r="D1311" s="3" t="s">
        <v>87</v>
      </c>
      <c r="E1311" s="11">
        <v>29.042351973684166</v>
      </c>
      <c r="F1311" s="11">
        <v>48.18147840531558</v>
      </c>
      <c r="G1311" t="s">
        <v>259</v>
      </c>
      <c r="H1311" t="s">
        <v>258</v>
      </c>
      <c r="I1311" t="s">
        <v>273</v>
      </c>
      <c r="J1311" t="s">
        <v>304</v>
      </c>
      <c r="K1311" s="2">
        <v>0</v>
      </c>
      <c r="L1311" s="2" t="s">
        <v>311</v>
      </c>
      <c r="V1311" s="3">
        <v>51.965000000000003</v>
      </c>
      <c r="Z1311" t="s">
        <v>356</v>
      </c>
      <c r="AA1311" t="s">
        <v>318</v>
      </c>
    </row>
    <row r="1312" spans="1:27" x14ac:dyDescent="0.25">
      <c r="A1312" s="12">
        <v>127</v>
      </c>
      <c r="B1312">
        <v>10</v>
      </c>
      <c r="C1312">
        <f t="shared" si="145"/>
        <v>12710</v>
      </c>
      <c r="D1312" s="3" t="s">
        <v>87</v>
      </c>
      <c r="E1312" s="11">
        <v>29.042351973684166</v>
      </c>
      <c r="F1312" s="11">
        <v>48.18147840531558</v>
      </c>
      <c r="G1312" t="s">
        <v>259</v>
      </c>
      <c r="H1312" t="s">
        <v>258</v>
      </c>
      <c r="I1312" t="s">
        <v>273</v>
      </c>
      <c r="J1312" t="s">
        <v>304</v>
      </c>
      <c r="K1312" s="2">
        <v>0</v>
      </c>
      <c r="L1312" s="2" t="s">
        <v>314</v>
      </c>
      <c r="V1312" s="3">
        <v>4.8949999999999996</v>
      </c>
      <c r="Z1312" t="s">
        <v>356</v>
      </c>
      <c r="AA1312" t="s">
        <v>318</v>
      </c>
    </row>
    <row r="1313" spans="1:27" x14ac:dyDescent="0.25">
      <c r="A1313" s="12">
        <v>127</v>
      </c>
      <c r="B1313">
        <v>10</v>
      </c>
      <c r="C1313">
        <f t="shared" si="145"/>
        <v>12710</v>
      </c>
      <c r="D1313" s="3" t="s">
        <v>87</v>
      </c>
      <c r="E1313" s="11">
        <v>29.042351973684166</v>
      </c>
      <c r="F1313" s="11">
        <v>48.18147840531558</v>
      </c>
      <c r="G1313" t="s">
        <v>259</v>
      </c>
      <c r="H1313" t="s">
        <v>258</v>
      </c>
      <c r="I1313" t="s">
        <v>273</v>
      </c>
      <c r="J1313" t="s">
        <v>305</v>
      </c>
      <c r="K1313" s="2">
        <v>0</v>
      </c>
      <c r="L1313" s="2" t="s">
        <v>308</v>
      </c>
      <c r="V1313" s="3">
        <v>6.8900000000000006</v>
      </c>
      <c r="Z1313" t="s">
        <v>356</v>
      </c>
      <c r="AA1313" t="s">
        <v>318</v>
      </c>
    </row>
    <row r="1314" spans="1:27" x14ac:dyDescent="0.25">
      <c r="A1314" s="12">
        <v>127</v>
      </c>
      <c r="B1314">
        <v>10</v>
      </c>
      <c r="C1314">
        <f t="shared" si="145"/>
        <v>12710</v>
      </c>
      <c r="D1314" s="3" t="s">
        <v>87</v>
      </c>
      <c r="E1314" s="11">
        <v>29.042351973684166</v>
      </c>
      <c r="F1314" s="11">
        <v>48.18147840531558</v>
      </c>
      <c r="G1314" t="s">
        <v>259</v>
      </c>
      <c r="H1314" t="s">
        <v>258</v>
      </c>
      <c r="I1314" t="s">
        <v>273</v>
      </c>
      <c r="J1314" t="s">
        <v>305</v>
      </c>
      <c r="K1314" s="2">
        <v>0</v>
      </c>
      <c r="L1314" s="2" t="s">
        <v>309</v>
      </c>
      <c r="V1314" s="3">
        <v>20.9</v>
      </c>
      <c r="Z1314" t="s">
        <v>356</v>
      </c>
      <c r="AA1314" t="s">
        <v>318</v>
      </c>
    </row>
    <row r="1315" spans="1:27" x14ac:dyDescent="0.25">
      <c r="A1315" s="12">
        <v>127</v>
      </c>
      <c r="B1315">
        <v>10</v>
      </c>
      <c r="C1315">
        <f t="shared" si="145"/>
        <v>12710</v>
      </c>
      <c r="D1315" s="3" t="s">
        <v>87</v>
      </c>
      <c r="E1315" s="11">
        <v>29.042351973684166</v>
      </c>
      <c r="F1315" s="11">
        <v>48.18147840531558</v>
      </c>
      <c r="G1315" t="s">
        <v>259</v>
      </c>
      <c r="H1315" t="s">
        <v>258</v>
      </c>
      <c r="I1315" t="s">
        <v>273</v>
      </c>
      <c r="J1315" t="s">
        <v>305</v>
      </c>
      <c r="K1315" s="2">
        <v>0</v>
      </c>
      <c r="L1315" s="2" t="s">
        <v>311</v>
      </c>
      <c r="V1315" s="3">
        <v>49.16</v>
      </c>
      <c r="Z1315" t="s">
        <v>356</v>
      </c>
      <c r="AA1315" t="s">
        <v>318</v>
      </c>
    </row>
    <row r="1316" spans="1:27" x14ac:dyDescent="0.25">
      <c r="A1316" s="12">
        <v>127</v>
      </c>
      <c r="B1316">
        <v>10</v>
      </c>
      <c r="C1316">
        <f t="shared" si="145"/>
        <v>12710</v>
      </c>
      <c r="D1316" s="3" t="s">
        <v>87</v>
      </c>
      <c r="E1316" s="11">
        <v>29.042351973684166</v>
      </c>
      <c r="F1316" s="11">
        <v>48.18147840531558</v>
      </c>
      <c r="G1316" t="s">
        <v>259</v>
      </c>
      <c r="H1316" t="s">
        <v>258</v>
      </c>
      <c r="I1316" t="s">
        <v>273</v>
      </c>
      <c r="J1316" t="s">
        <v>305</v>
      </c>
      <c r="K1316" s="2">
        <v>0</v>
      </c>
      <c r="L1316" s="2" t="s">
        <v>314</v>
      </c>
      <c r="V1316" s="3">
        <v>22.75</v>
      </c>
      <c r="Z1316" t="s">
        <v>356</v>
      </c>
      <c r="AA1316" t="s">
        <v>318</v>
      </c>
    </row>
    <row r="1317" spans="1:27" x14ac:dyDescent="0.25">
      <c r="A1317" s="12">
        <v>127</v>
      </c>
      <c r="B1317">
        <v>10</v>
      </c>
      <c r="C1317">
        <f t="shared" si="145"/>
        <v>12710</v>
      </c>
      <c r="D1317" s="3" t="s">
        <v>87</v>
      </c>
      <c r="E1317" s="11">
        <v>29.042351973684166</v>
      </c>
      <c r="F1317" s="11">
        <v>48.18147840531558</v>
      </c>
      <c r="G1317" t="s">
        <v>259</v>
      </c>
      <c r="H1317" t="s">
        <v>258</v>
      </c>
      <c r="I1317" t="s">
        <v>273</v>
      </c>
      <c r="J1317" t="s">
        <v>306</v>
      </c>
      <c r="K1317" s="2">
        <v>0</v>
      </c>
      <c r="L1317" s="2" t="s">
        <v>308</v>
      </c>
      <c r="V1317" s="3">
        <v>1.3149999999999999</v>
      </c>
      <c r="Z1317" t="s">
        <v>356</v>
      </c>
      <c r="AA1317" t="s">
        <v>318</v>
      </c>
    </row>
    <row r="1318" spans="1:27" x14ac:dyDescent="0.25">
      <c r="A1318" s="12">
        <v>127</v>
      </c>
      <c r="B1318">
        <v>10</v>
      </c>
      <c r="C1318">
        <f t="shared" si="145"/>
        <v>12710</v>
      </c>
      <c r="D1318" s="3" t="s">
        <v>87</v>
      </c>
      <c r="E1318" s="11">
        <v>29.042351973684166</v>
      </c>
      <c r="F1318" s="11">
        <v>48.18147840531558</v>
      </c>
      <c r="G1318" t="s">
        <v>259</v>
      </c>
      <c r="H1318" t="s">
        <v>258</v>
      </c>
      <c r="I1318" t="s">
        <v>273</v>
      </c>
      <c r="J1318" t="s">
        <v>306</v>
      </c>
      <c r="K1318" s="2">
        <v>0</v>
      </c>
      <c r="L1318" s="2" t="s">
        <v>315</v>
      </c>
      <c r="V1318" s="3">
        <v>7.0600000000000005</v>
      </c>
      <c r="Z1318" t="s">
        <v>356</v>
      </c>
      <c r="AA1318" t="s">
        <v>318</v>
      </c>
    </row>
    <row r="1319" spans="1:27" x14ac:dyDescent="0.25">
      <c r="A1319" s="12">
        <v>127</v>
      </c>
      <c r="B1319">
        <v>10</v>
      </c>
      <c r="C1319">
        <f t="shared" si="145"/>
        <v>12710</v>
      </c>
      <c r="D1319" s="3" t="s">
        <v>87</v>
      </c>
      <c r="E1319" s="11">
        <v>29.042351973684166</v>
      </c>
      <c r="F1319" s="11">
        <v>48.18147840531558</v>
      </c>
      <c r="G1319" t="s">
        <v>259</v>
      </c>
      <c r="H1319" t="s">
        <v>258</v>
      </c>
      <c r="I1319" t="s">
        <v>273</v>
      </c>
      <c r="J1319" t="s">
        <v>306</v>
      </c>
      <c r="K1319" s="2">
        <v>0</v>
      </c>
      <c r="L1319" s="2" t="s">
        <v>316</v>
      </c>
      <c r="V1319" s="3">
        <v>14.195</v>
      </c>
      <c r="Z1319" t="s">
        <v>356</v>
      </c>
      <c r="AA1319" t="s">
        <v>318</v>
      </c>
    </row>
    <row r="1320" spans="1:27" x14ac:dyDescent="0.25">
      <c r="A1320" s="12">
        <v>127</v>
      </c>
      <c r="B1320">
        <v>10</v>
      </c>
      <c r="C1320">
        <f t="shared" si="145"/>
        <v>12710</v>
      </c>
      <c r="D1320" s="3" t="s">
        <v>87</v>
      </c>
      <c r="E1320" s="11">
        <v>29.042351973684166</v>
      </c>
      <c r="F1320" s="11">
        <v>48.18147840531558</v>
      </c>
      <c r="G1320" t="s">
        <v>259</v>
      </c>
      <c r="H1320" t="s">
        <v>258</v>
      </c>
      <c r="I1320" t="s">
        <v>273</v>
      </c>
      <c r="J1320" t="s">
        <v>306</v>
      </c>
      <c r="K1320" s="2">
        <v>0</v>
      </c>
      <c r="L1320" s="2" t="s">
        <v>309</v>
      </c>
      <c r="V1320" s="3">
        <v>28.22</v>
      </c>
      <c r="Z1320" t="s">
        <v>356</v>
      </c>
      <c r="AA1320" t="s">
        <v>318</v>
      </c>
    </row>
    <row r="1321" spans="1:27" x14ac:dyDescent="0.25">
      <c r="A1321" s="12">
        <v>127</v>
      </c>
      <c r="B1321">
        <v>10</v>
      </c>
      <c r="C1321">
        <f t="shared" si="145"/>
        <v>12710</v>
      </c>
      <c r="D1321" s="3" t="s">
        <v>87</v>
      </c>
      <c r="E1321" s="11">
        <v>29.042351973684166</v>
      </c>
      <c r="F1321" s="11">
        <v>48.18147840531558</v>
      </c>
      <c r="G1321" t="s">
        <v>259</v>
      </c>
      <c r="H1321" t="s">
        <v>258</v>
      </c>
      <c r="I1321" t="s">
        <v>273</v>
      </c>
      <c r="J1321" t="s">
        <v>306</v>
      </c>
      <c r="K1321" s="2">
        <v>0</v>
      </c>
      <c r="L1321" s="2" t="s">
        <v>313</v>
      </c>
      <c r="V1321" s="3">
        <v>133.85</v>
      </c>
      <c r="Z1321" t="s">
        <v>356</v>
      </c>
      <c r="AA1321" t="s">
        <v>318</v>
      </c>
    </row>
    <row r="1322" spans="1:27" x14ac:dyDescent="0.25">
      <c r="A1322" s="12">
        <v>127</v>
      </c>
      <c r="B1322">
        <v>10</v>
      </c>
      <c r="C1322">
        <f t="shared" si="145"/>
        <v>12710</v>
      </c>
      <c r="D1322" s="3" t="s">
        <v>87</v>
      </c>
      <c r="E1322" s="11">
        <v>29.042351973684166</v>
      </c>
      <c r="F1322" s="11">
        <v>48.18147840531558</v>
      </c>
      <c r="G1322" t="s">
        <v>259</v>
      </c>
      <c r="H1322" t="s">
        <v>258</v>
      </c>
      <c r="I1322" t="s">
        <v>273</v>
      </c>
      <c r="J1322" t="s">
        <v>306</v>
      </c>
      <c r="K1322" s="2">
        <v>0</v>
      </c>
      <c r="L1322" s="2" t="s">
        <v>314</v>
      </c>
      <c r="V1322" s="3">
        <v>45.234999999999999</v>
      </c>
      <c r="Z1322" t="s">
        <v>356</v>
      </c>
      <c r="AA1322" t="s">
        <v>318</v>
      </c>
    </row>
    <row r="1323" spans="1:27" x14ac:dyDescent="0.25">
      <c r="A1323" s="12">
        <v>127</v>
      </c>
      <c r="B1323">
        <v>11</v>
      </c>
      <c r="C1323">
        <f t="shared" si="145"/>
        <v>12711</v>
      </c>
      <c r="D1323" s="3" t="s">
        <v>86</v>
      </c>
      <c r="E1323">
        <v>29.180921052631501</v>
      </c>
      <c r="F1323">
        <v>48.147009966777397</v>
      </c>
      <c r="G1323" t="s">
        <v>259</v>
      </c>
      <c r="H1323" t="s">
        <v>258</v>
      </c>
      <c r="I1323" t="s">
        <v>273</v>
      </c>
      <c r="J1323" t="s">
        <v>319</v>
      </c>
      <c r="K1323" s="2">
        <v>0</v>
      </c>
      <c r="V1323" s="3">
        <v>11.375</v>
      </c>
      <c r="Z1323" t="s">
        <v>356</v>
      </c>
      <c r="AA1323" t="s">
        <v>322</v>
      </c>
    </row>
    <row r="1324" spans="1:27" x14ac:dyDescent="0.25">
      <c r="A1324" s="12">
        <v>127</v>
      </c>
      <c r="B1324">
        <v>12</v>
      </c>
      <c r="C1324">
        <f t="shared" si="145"/>
        <v>12712</v>
      </c>
      <c r="D1324" s="3" t="s">
        <v>86</v>
      </c>
      <c r="E1324">
        <v>29.1315789473684</v>
      </c>
      <c r="F1324">
        <v>48.154485049833802</v>
      </c>
      <c r="G1324" t="s">
        <v>259</v>
      </c>
      <c r="H1324" t="s">
        <v>258</v>
      </c>
      <c r="I1324" t="s">
        <v>273</v>
      </c>
      <c r="J1324" t="s">
        <v>319</v>
      </c>
      <c r="K1324" s="2">
        <v>0</v>
      </c>
      <c r="V1324" s="3">
        <v>56.515000000000001</v>
      </c>
      <c r="Z1324" t="s">
        <v>356</v>
      </c>
      <c r="AA1324" t="s">
        <v>323</v>
      </c>
    </row>
    <row r="1325" spans="1:27" x14ac:dyDescent="0.25">
      <c r="A1325" s="12">
        <v>127</v>
      </c>
      <c r="B1325">
        <v>13</v>
      </c>
      <c r="C1325">
        <f t="shared" si="145"/>
        <v>12713</v>
      </c>
      <c r="D1325" s="3" t="s">
        <v>86</v>
      </c>
      <c r="E1325">
        <v>29.368421052631501</v>
      </c>
      <c r="F1325">
        <v>47.815614617940199</v>
      </c>
      <c r="G1325" t="s">
        <v>259</v>
      </c>
      <c r="H1325" t="s">
        <v>258</v>
      </c>
      <c r="I1325" t="s">
        <v>273</v>
      </c>
      <c r="J1325" t="s">
        <v>320</v>
      </c>
      <c r="K1325" s="2">
        <v>0</v>
      </c>
      <c r="V1325" s="3">
        <v>204.55</v>
      </c>
      <c r="Z1325" t="s">
        <v>356</v>
      </c>
      <c r="AA1325" t="s">
        <v>324</v>
      </c>
    </row>
    <row r="1326" spans="1:27" x14ac:dyDescent="0.25">
      <c r="A1326" s="12">
        <v>127</v>
      </c>
      <c r="B1326">
        <v>14</v>
      </c>
      <c r="C1326">
        <f t="shared" si="145"/>
        <v>12714</v>
      </c>
      <c r="D1326" s="3" t="s">
        <v>86</v>
      </c>
      <c r="E1326">
        <v>28.766447368421002</v>
      </c>
      <c r="F1326">
        <v>48.361295681063098</v>
      </c>
      <c r="G1326" t="s">
        <v>259</v>
      </c>
      <c r="H1326" t="s">
        <v>258</v>
      </c>
      <c r="I1326" t="s">
        <v>273</v>
      </c>
      <c r="J1326" t="s">
        <v>320</v>
      </c>
      <c r="K1326" s="2">
        <v>0</v>
      </c>
      <c r="V1326" s="3">
        <v>60</v>
      </c>
      <c r="Z1326" t="s">
        <v>356</v>
      </c>
      <c r="AA1326" t="s">
        <v>325</v>
      </c>
    </row>
    <row r="1327" spans="1:27" x14ac:dyDescent="0.25">
      <c r="A1327" s="12">
        <v>127</v>
      </c>
      <c r="B1327">
        <v>15</v>
      </c>
      <c r="C1327">
        <f t="shared" si="145"/>
        <v>12715</v>
      </c>
      <c r="D1327" s="3" t="s">
        <v>86</v>
      </c>
      <c r="E1327">
        <v>29.348684210526301</v>
      </c>
      <c r="F1327">
        <v>48.102159468438501</v>
      </c>
      <c r="G1327" t="s">
        <v>259</v>
      </c>
      <c r="H1327" t="s">
        <v>258</v>
      </c>
      <c r="I1327" t="s">
        <v>273</v>
      </c>
      <c r="J1327" t="s">
        <v>320</v>
      </c>
      <c r="K1327" s="2">
        <v>0</v>
      </c>
      <c r="V1327" s="3">
        <v>48.585000000000001</v>
      </c>
      <c r="Z1327" t="s">
        <v>356</v>
      </c>
      <c r="AA1327" t="s">
        <v>326</v>
      </c>
    </row>
    <row r="1328" spans="1:27" x14ac:dyDescent="0.25">
      <c r="A1328" s="12">
        <v>127</v>
      </c>
      <c r="B1328">
        <v>16</v>
      </c>
      <c r="C1328">
        <f t="shared" si="145"/>
        <v>12716</v>
      </c>
      <c r="D1328" s="3" t="s">
        <v>86</v>
      </c>
      <c r="E1328">
        <v>28.458059210526301</v>
      </c>
      <c r="F1328">
        <v>48.508305647840501</v>
      </c>
      <c r="G1328" t="s">
        <v>259</v>
      </c>
      <c r="H1328" t="s">
        <v>258</v>
      </c>
      <c r="I1328" t="s">
        <v>273</v>
      </c>
      <c r="J1328" t="s">
        <v>321</v>
      </c>
      <c r="K1328" s="2">
        <v>0</v>
      </c>
      <c r="V1328" s="3">
        <v>46.255000000000003</v>
      </c>
      <c r="Z1328" t="s">
        <v>356</v>
      </c>
      <c r="AA1328" t="s">
        <v>327</v>
      </c>
    </row>
    <row r="1329" spans="1:27" x14ac:dyDescent="0.25">
      <c r="A1329" s="12">
        <v>127</v>
      </c>
      <c r="B1329">
        <v>11</v>
      </c>
      <c r="C1329">
        <f t="shared" si="145"/>
        <v>12711</v>
      </c>
      <c r="D1329" s="3" t="s">
        <v>86</v>
      </c>
      <c r="E1329">
        <v>29.180921052631501</v>
      </c>
      <c r="F1329">
        <v>48.147009966777397</v>
      </c>
      <c r="G1329" t="s">
        <v>259</v>
      </c>
      <c r="H1329" t="s">
        <v>258</v>
      </c>
      <c r="I1329" t="s">
        <v>273</v>
      </c>
      <c r="J1329" t="s">
        <v>268</v>
      </c>
      <c r="K1329" s="2">
        <v>0</v>
      </c>
      <c r="V1329" s="3">
        <v>5.0000000000000001E-4</v>
      </c>
      <c r="Z1329" t="s">
        <v>398</v>
      </c>
      <c r="AA1329" t="s">
        <v>328</v>
      </c>
    </row>
    <row r="1330" spans="1:27" x14ac:dyDescent="0.25">
      <c r="A1330" s="12">
        <v>127</v>
      </c>
      <c r="B1330">
        <v>12</v>
      </c>
      <c r="C1330">
        <f t="shared" si="145"/>
        <v>12712</v>
      </c>
      <c r="D1330" s="3" t="s">
        <v>86</v>
      </c>
      <c r="E1330">
        <v>29.1315789473684</v>
      </c>
      <c r="F1330">
        <v>48.154485049833802</v>
      </c>
      <c r="G1330" t="s">
        <v>259</v>
      </c>
      <c r="H1330" t="s">
        <v>258</v>
      </c>
      <c r="I1330" t="s">
        <v>273</v>
      </c>
      <c r="J1330" t="s">
        <v>268</v>
      </c>
      <c r="K1330" s="2">
        <v>0</v>
      </c>
      <c r="V1330" s="3">
        <v>6.7000000000000002E-4</v>
      </c>
      <c r="Z1330" t="s">
        <v>398</v>
      </c>
      <c r="AA1330" t="s">
        <v>329</v>
      </c>
    </row>
    <row r="1331" spans="1:27" x14ac:dyDescent="0.25">
      <c r="A1331" s="12">
        <v>127</v>
      </c>
      <c r="B1331">
        <v>13</v>
      </c>
      <c r="C1331">
        <f t="shared" si="145"/>
        <v>12713</v>
      </c>
      <c r="D1331" s="3" t="s">
        <v>86</v>
      </c>
      <c r="E1331">
        <v>29.368421052631501</v>
      </c>
      <c r="F1331">
        <v>47.815614617940199</v>
      </c>
      <c r="G1331" t="s">
        <v>259</v>
      </c>
      <c r="H1331" t="s">
        <v>258</v>
      </c>
      <c r="I1331" t="s">
        <v>273</v>
      </c>
      <c r="J1331" t="s">
        <v>268</v>
      </c>
      <c r="K1331" s="2">
        <v>0</v>
      </c>
      <c r="V1331" s="3">
        <v>5.4000000000000001E-4</v>
      </c>
      <c r="Z1331" t="s">
        <v>398</v>
      </c>
      <c r="AA1331" t="s">
        <v>330</v>
      </c>
    </row>
    <row r="1332" spans="1:27" x14ac:dyDescent="0.25">
      <c r="A1332" s="12">
        <v>127</v>
      </c>
      <c r="B1332">
        <v>14</v>
      </c>
      <c r="C1332">
        <f t="shared" si="145"/>
        <v>12714</v>
      </c>
      <c r="D1332" s="3" t="s">
        <v>86</v>
      </c>
      <c r="E1332">
        <v>28.766447368421002</v>
      </c>
      <c r="F1332">
        <v>48.361295681063098</v>
      </c>
      <c r="G1332" t="s">
        <v>259</v>
      </c>
      <c r="H1332" t="s">
        <v>258</v>
      </c>
      <c r="I1332" t="s">
        <v>273</v>
      </c>
      <c r="J1332" t="s">
        <v>268</v>
      </c>
      <c r="K1332" s="2">
        <v>0</v>
      </c>
      <c r="V1332" s="3">
        <v>6.3000000000000003E-4</v>
      </c>
      <c r="Z1332" t="s">
        <v>398</v>
      </c>
      <c r="AA1332" t="s">
        <v>331</v>
      </c>
    </row>
    <row r="1333" spans="1:27" x14ac:dyDescent="0.25">
      <c r="A1333" s="12">
        <v>127</v>
      </c>
      <c r="B1333">
        <v>15</v>
      </c>
      <c r="C1333">
        <f t="shared" si="145"/>
        <v>12715</v>
      </c>
      <c r="D1333" s="3" t="s">
        <v>86</v>
      </c>
      <c r="E1333">
        <v>29.348684210526301</v>
      </c>
      <c r="F1333">
        <v>48.102159468438501</v>
      </c>
      <c r="G1333" t="s">
        <v>259</v>
      </c>
      <c r="H1333" t="s">
        <v>258</v>
      </c>
      <c r="I1333" t="s">
        <v>273</v>
      </c>
      <c r="J1333" t="s">
        <v>268</v>
      </c>
      <c r="K1333" s="2">
        <v>0</v>
      </c>
      <c r="V1333" s="3">
        <v>6.8999999999999997E-4</v>
      </c>
      <c r="Z1333" t="s">
        <v>398</v>
      </c>
      <c r="AA1333" t="s">
        <v>332</v>
      </c>
    </row>
    <row r="1334" spans="1:27" x14ac:dyDescent="0.25">
      <c r="A1334" s="12">
        <v>127</v>
      </c>
      <c r="B1334">
        <v>16</v>
      </c>
      <c r="C1334">
        <f t="shared" si="145"/>
        <v>12716</v>
      </c>
      <c r="D1334" s="3" t="s">
        <v>86</v>
      </c>
      <c r="E1334">
        <v>28.458059210526301</v>
      </c>
      <c r="F1334">
        <v>48.508305647840501</v>
      </c>
      <c r="G1334" t="s">
        <v>259</v>
      </c>
      <c r="H1334" t="s">
        <v>258</v>
      </c>
      <c r="I1334" t="s">
        <v>273</v>
      </c>
      <c r="J1334" t="s">
        <v>268</v>
      </c>
      <c r="K1334" s="2">
        <v>0</v>
      </c>
      <c r="V1334" s="3">
        <v>6.4000000000000005E-4</v>
      </c>
      <c r="Z1334" t="s">
        <v>398</v>
      </c>
      <c r="AA1334" t="s">
        <v>333</v>
      </c>
    </row>
    <row r="1335" spans="1:27" x14ac:dyDescent="0.25">
      <c r="A1335" s="12">
        <v>127</v>
      </c>
      <c r="B1335">
        <v>17</v>
      </c>
      <c r="C1335">
        <f t="shared" si="145"/>
        <v>12717</v>
      </c>
      <c r="D1335" s="3" t="s">
        <v>86</v>
      </c>
      <c r="E1335">
        <v>29.400493421052602</v>
      </c>
      <c r="F1335">
        <v>47.865448504983299</v>
      </c>
      <c r="G1335" t="s">
        <v>259</v>
      </c>
      <c r="H1335" t="s">
        <v>258</v>
      </c>
      <c r="I1335" t="s">
        <v>273</v>
      </c>
      <c r="J1335" t="s">
        <v>334</v>
      </c>
      <c r="K1335" s="2">
        <v>0</v>
      </c>
      <c r="O1335" s="8">
        <v>15.8</v>
      </c>
      <c r="V1335" s="3">
        <v>22.5</v>
      </c>
      <c r="Z1335" t="s">
        <v>357</v>
      </c>
      <c r="AA1335" t="s">
        <v>336</v>
      </c>
    </row>
    <row r="1336" spans="1:27" x14ac:dyDescent="0.25">
      <c r="A1336" s="12">
        <v>127</v>
      </c>
      <c r="B1336">
        <v>18</v>
      </c>
      <c r="C1336">
        <f t="shared" si="145"/>
        <v>12718</v>
      </c>
      <c r="D1336" s="3" t="s">
        <v>86</v>
      </c>
      <c r="E1336">
        <v>29.003289473684202</v>
      </c>
      <c r="F1336">
        <v>48.204318936877002</v>
      </c>
      <c r="G1336" t="s">
        <v>259</v>
      </c>
      <c r="H1336" t="s">
        <v>258</v>
      </c>
      <c r="I1336" t="s">
        <v>273</v>
      </c>
      <c r="J1336" t="s">
        <v>334</v>
      </c>
      <c r="K1336" s="2">
        <v>0</v>
      </c>
      <c r="O1336" s="8">
        <v>15.3</v>
      </c>
      <c r="V1336" s="3">
        <v>25.6</v>
      </c>
      <c r="Z1336" t="s">
        <v>357</v>
      </c>
      <c r="AA1336" t="s">
        <v>337</v>
      </c>
    </row>
    <row r="1337" spans="1:27" x14ac:dyDescent="0.25">
      <c r="A1337" s="12">
        <v>127</v>
      </c>
      <c r="B1337">
        <v>19</v>
      </c>
      <c r="C1337">
        <f t="shared" si="145"/>
        <v>12719</v>
      </c>
      <c r="D1337" s="3" t="s">
        <v>86</v>
      </c>
      <c r="E1337">
        <v>28.551809210526301</v>
      </c>
      <c r="F1337">
        <v>48.468438538205902</v>
      </c>
      <c r="G1337" t="s">
        <v>259</v>
      </c>
      <c r="H1337" t="s">
        <v>258</v>
      </c>
      <c r="I1337" t="s">
        <v>273</v>
      </c>
      <c r="J1337" t="s">
        <v>334</v>
      </c>
      <c r="K1337" s="2">
        <v>0</v>
      </c>
      <c r="O1337" s="8">
        <v>16.8</v>
      </c>
      <c r="V1337" s="3">
        <v>23.6</v>
      </c>
      <c r="Z1337" t="s">
        <v>357</v>
      </c>
      <c r="AA1337" t="s">
        <v>338</v>
      </c>
    </row>
    <row r="1338" spans="1:27" x14ac:dyDescent="0.25">
      <c r="A1338" s="12">
        <v>127</v>
      </c>
      <c r="B1338">
        <v>17</v>
      </c>
      <c r="C1338">
        <f t="shared" si="145"/>
        <v>12717</v>
      </c>
      <c r="D1338" s="3" t="s">
        <v>86</v>
      </c>
      <c r="E1338">
        <v>29.400493421052602</v>
      </c>
      <c r="F1338">
        <v>47.865448504983299</v>
      </c>
      <c r="G1338" t="s">
        <v>259</v>
      </c>
      <c r="H1338" t="s">
        <v>258</v>
      </c>
      <c r="I1338" t="s">
        <v>273</v>
      </c>
      <c r="J1338" t="s">
        <v>335</v>
      </c>
      <c r="K1338" s="2">
        <v>0</v>
      </c>
      <c r="O1338" s="8">
        <v>18.399999999999999</v>
      </c>
      <c r="V1338" s="3">
        <v>22.5</v>
      </c>
      <c r="Z1338" t="s">
        <v>357</v>
      </c>
      <c r="AA1338" t="s">
        <v>336</v>
      </c>
    </row>
    <row r="1339" spans="1:27" x14ac:dyDescent="0.25">
      <c r="A1339" s="12">
        <v>127</v>
      </c>
      <c r="B1339">
        <v>18</v>
      </c>
      <c r="C1339">
        <f t="shared" si="145"/>
        <v>12718</v>
      </c>
      <c r="D1339" s="3" t="s">
        <v>86</v>
      </c>
      <c r="E1339">
        <v>29.003289473684202</v>
      </c>
      <c r="F1339">
        <v>48.204318936877002</v>
      </c>
      <c r="G1339" t="s">
        <v>259</v>
      </c>
      <c r="H1339" t="s">
        <v>258</v>
      </c>
      <c r="I1339" t="s">
        <v>273</v>
      </c>
      <c r="J1339" t="s">
        <v>335</v>
      </c>
      <c r="K1339" s="2">
        <v>0</v>
      </c>
      <c r="O1339" s="8">
        <v>22</v>
      </c>
      <c r="V1339" s="3">
        <v>22.3</v>
      </c>
      <c r="Z1339" t="s">
        <v>357</v>
      </c>
      <c r="AA1339" t="s">
        <v>337</v>
      </c>
    </row>
    <row r="1340" spans="1:27" x14ac:dyDescent="0.25">
      <c r="A1340" s="12">
        <v>127</v>
      </c>
      <c r="B1340">
        <v>19</v>
      </c>
      <c r="C1340">
        <f t="shared" si="145"/>
        <v>12719</v>
      </c>
      <c r="D1340" s="3" t="s">
        <v>86</v>
      </c>
      <c r="E1340">
        <v>28.551809210526301</v>
      </c>
      <c r="F1340">
        <v>48.468438538205902</v>
      </c>
      <c r="G1340" t="s">
        <v>259</v>
      </c>
      <c r="H1340" t="s">
        <v>258</v>
      </c>
      <c r="I1340" t="s">
        <v>273</v>
      </c>
      <c r="J1340" t="s">
        <v>335</v>
      </c>
      <c r="K1340" s="2">
        <v>0</v>
      </c>
      <c r="O1340" s="8">
        <v>19.7</v>
      </c>
      <c r="V1340" s="3">
        <v>20.2</v>
      </c>
      <c r="Z1340" t="s">
        <v>357</v>
      </c>
      <c r="AA1340" t="s">
        <v>338</v>
      </c>
    </row>
    <row r="1341" spans="1:27" x14ac:dyDescent="0.25">
      <c r="A1341" s="12">
        <v>127</v>
      </c>
      <c r="B1341">
        <v>17</v>
      </c>
      <c r="C1341">
        <f t="shared" si="145"/>
        <v>12717</v>
      </c>
      <c r="D1341" s="3" t="s">
        <v>86</v>
      </c>
      <c r="E1341">
        <v>29.400493421052602</v>
      </c>
      <c r="F1341">
        <v>47.865448504983299</v>
      </c>
      <c r="G1341" t="s">
        <v>259</v>
      </c>
      <c r="H1341" t="s">
        <v>258</v>
      </c>
      <c r="I1341" t="s">
        <v>273</v>
      </c>
      <c r="J1341" t="s">
        <v>268</v>
      </c>
      <c r="K1341" s="2">
        <v>0</v>
      </c>
      <c r="O1341" s="34">
        <v>5.9999999999999995E-4</v>
      </c>
      <c r="V1341" s="3">
        <v>2.9999999999999997E-4</v>
      </c>
      <c r="Z1341" t="s">
        <v>357</v>
      </c>
      <c r="AA1341" t="s">
        <v>339</v>
      </c>
    </row>
    <row r="1342" spans="1:27" x14ac:dyDescent="0.25">
      <c r="A1342" s="12">
        <v>127</v>
      </c>
      <c r="B1342">
        <v>18</v>
      </c>
      <c r="C1342">
        <f t="shared" si="145"/>
        <v>12718</v>
      </c>
      <c r="D1342" s="3" t="s">
        <v>86</v>
      </c>
      <c r="E1342">
        <v>29.003289473684202</v>
      </c>
      <c r="F1342">
        <v>48.204318936877002</v>
      </c>
      <c r="G1342" t="s">
        <v>259</v>
      </c>
      <c r="H1342" t="s">
        <v>258</v>
      </c>
      <c r="I1342" t="s">
        <v>273</v>
      </c>
      <c r="J1342" t="s">
        <v>268</v>
      </c>
      <c r="K1342" s="2">
        <v>0</v>
      </c>
      <c r="O1342" s="34">
        <v>6.6E-4</v>
      </c>
      <c r="V1342" s="3">
        <v>3.6999999999999999E-4</v>
      </c>
      <c r="Z1342" t="s">
        <v>357</v>
      </c>
      <c r="AA1342" t="s">
        <v>339</v>
      </c>
    </row>
    <row r="1343" spans="1:27" x14ac:dyDescent="0.25">
      <c r="A1343" s="12">
        <v>127</v>
      </c>
      <c r="B1343">
        <v>19</v>
      </c>
      <c r="C1343">
        <f t="shared" si="145"/>
        <v>12719</v>
      </c>
      <c r="D1343" s="3" t="s">
        <v>86</v>
      </c>
      <c r="E1343">
        <v>28.551809210526301</v>
      </c>
      <c r="F1343">
        <v>48.468438538205902</v>
      </c>
      <c r="G1343" t="s">
        <v>259</v>
      </c>
      <c r="H1343" t="s">
        <v>258</v>
      </c>
      <c r="I1343" t="s">
        <v>273</v>
      </c>
      <c r="J1343" t="s">
        <v>268</v>
      </c>
      <c r="K1343" s="2">
        <v>0</v>
      </c>
      <c r="O1343" s="34">
        <v>6.2E-4</v>
      </c>
      <c r="V1343" s="3">
        <v>3.3E-4</v>
      </c>
      <c r="Z1343" t="s">
        <v>357</v>
      </c>
      <c r="AA1343" t="s">
        <v>339</v>
      </c>
    </row>
    <row r="1344" spans="1:27" x14ac:dyDescent="0.25">
      <c r="A1344" s="12">
        <v>127</v>
      </c>
      <c r="B1344">
        <v>20</v>
      </c>
      <c r="C1344">
        <f t="shared" si="145"/>
        <v>12720</v>
      </c>
      <c r="D1344" s="3" t="s">
        <v>86</v>
      </c>
      <c r="E1344">
        <v>29.430098684210499</v>
      </c>
      <c r="F1344">
        <v>48.062292358803901</v>
      </c>
      <c r="G1344" t="s">
        <v>259</v>
      </c>
      <c r="H1344" t="s">
        <v>258</v>
      </c>
      <c r="I1344" t="s">
        <v>273</v>
      </c>
      <c r="J1344" t="s">
        <v>340</v>
      </c>
      <c r="K1344" s="2">
        <v>0</v>
      </c>
      <c r="V1344" s="3">
        <v>31.299999999999997</v>
      </c>
      <c r="Z1344" t="s">
        <v>356</v>
      </c>
      <c r="AA1344" t="s">
        <v>342</v>
      </c>
    </row>
    <row r="1345" spans="1:27" x14ac:dyDescent="0.25">
      <c r="A1345" s="12">
        <v>127</v>
      </c>
      <c r="B1345">
        <v>21</v>
      </c>
      <c r="C1345">
        <f t="shared" si="145"/>
        <v>12721</v>
      </c>
      <c r="D1345" s="3" t="s">
        <v>86</v>
      </c>
      <c r="E1345">
        <v>29.183388157894701</v>
      </c>
      <c r="F1345">
        <v>48.406146179401901</v>
      </c>
      <c r="G1345" t="s">
        <v>259</v>
      </c>
      <c r="H1345" t="s">
        <v>258</v>
      </c>
      <c r="I1345" t="s">
        <v>273</v>
      </c>
      <c r="J1345" t="s">
        <v>341</v>
      </c>
      <c r="K1345" s="2">
        <v>0</v>
      </c>
      <c r="V1345" s="3">
        <v>12.6</v>
      </c>
      <c r="Z1345" t="s">
        <v>356</v>
      </c>
      <c r="AA1345" t="s">
        <v>343</v>
      </c>
    </row>
    <row r="1346" spans="1:27" x14ac:dyDescent="0.25">
      <c r="A1346" s="12">
        <v>127</v>
      </c>
      <c r="B1346">
        <v>22</v>
      </c>
      <c r="C1346">
        <f t="shared" si="145"/>
        <v>12722</v>
      </c>
      <c r="D1346" s="3" t="s">
        <v>86</v>
      </c>
      <c r="E1346">
        <v>29.955592105263101</v>
      </c>
      <c r="F1346">
        <v>48.261627906976699</v>
      </c>
      <c r="G1346" t="s">
        <v>259</v>
      </c>
      <c r="H1346" t="s">
        <v>258</v>
      </c>
      <c r="I1346">
        <v>1994</v>
      </c>
      <c r="J1346" t="s">
        <v>20</v>
      </c>
      <c r="K1346" s="2">
        <v>0</v>
      </c>
      <c r="V1346" s="3">
        <v>23.56</v>
      </c>
      <c r="Z1346" t="s">
        <v>356</v>
      </c>
      <c r="AA1346" t="s">
        <v>345</v>
      </c>
    </row>
    <row r="1347" spans="1:27" x14ac:dyDescent="0.25">
      <c r="A1347" s="12">
        <v>127</v>
      </c>
      <c r="B1347">
        <v>23</v>
      </c>
      <c r="C1347">
        <f t="shared" ref="C1347:C1410" si="146">A1347*100+B1347</f>
        <v>12723</v>
      </c>
      <c r="D1347" s="3" t="s">
        <v>86</v>
      </c>
      <c r="E1347">
        <v>29.563322368421002</v>
      </c>
      <c r="F1347">
        <v>48.386212624584701</v>
      </c>
      <c r="G1347" t="s">
        <v>259</v>
      </c>
      <c r="H1347" t="s">
        <v>258</v>
      </c>
      <c r="I1347">
        <v>1994</v>
      </c>
      <c r="J1347" t="s">
        <v>20</v>
      </c>
      <c r="K1347" s="2">
        <v>0</v>
      </c>
      <c r="V1347" s="3">
        <v>26.95</v>
      </c>
      <c r="Z1347" t="s">
        <v>356</v>
      </c>
      <c r="AA1347" t="s">
        <v>346</v>
      </c>
    </row>
    <row r="1348" spans="1:27" x14ac:dyDescent="0.25">
      <c r="A1348" s="12">
        <v>127</v>
      </c>
      <c r="B1348">
        <v>24</v>
      </c>
      <c r="C1348">
        <f t="shared" si="146"/>
        <v>12724</v>
      </c>
      <c r="D1348" s="3" t="s">
        <v>86</v>
      </c>
      <c r="E1348">
        <v>29.472039473684202</v>
      </c>
      <c r="F1348">
        <v>48.109634551494999</v>
      </c>
      <c r="G1348" t="s">
        <v>259</v>
      </c>
      <c r="H1348" t="s">
        <v>258</v>
      </c>
      <c r="I1348">
        <v>1994</v>
      </c>
      <c r="J1348" t="s">
        <v>20</v>
      </c>
      <c r="K1348" s="2">
        <v>0</v>
      </c>
      <c r="V1348" s="3">
        <v>26.43</v>
      </c>
      <c r="Z1348" t="s">
        <v>356</v>
      </c>
      <c r="AA1348" t="s">
        <v>347</v>
      </c>
    </row>
    <row r="1349" spans="1:27" x14ac:dyDescent="0.25">
      <c r="A1349" s="12">
        <v>127</v>
      </c>
      <c r="B1349">
        <v>25</v>
      </c>
      <c r="C1349">
        <f t="shared" si="146"/>
        <v>12725</v>
      </c>
      <c r="D1349" s="3" t="s">
        <v>86</v>
      </c>
      <c r="E1349">
        <v>29.3659539473684</v>
      </c>
      <c r="F1349">
        <v>47.950166112956801</v>
      </c>
      <c r="G1349" t="s">
        <v>259</v>
      </c>
      <c r="H1349" t="s">
        <v>258</v>
      </c>
      <c r="I1349">
        <v>1994</v>
      </c>
      <c r="J1349" t="s">
        <v>20</v>
      </c>
      <c r="K1349" s="2">
        <v>0</v>
      </c>
      <c r="V1349" s="3">
        <v>37.950000000000003</v>
      </c>
      <c r="Z1349" t="s">
        <v>356</v>
      </c>
      <c r="AA1349" t="s">
        <v>348</v>
      </c>
    </row>
    <row r="1350" spans="1:27" x14ac:dyDescent="0.25">
      <c r="A1350" s="12">
        <v>127</v>
      </c>
      <c r="B1350">
        <v>26</v>
      </c>
      <c r="C1350">
        <f t="shared" si="146"/>
        <v>12726</v>
      </c>
      <c r="D1350" s="3" t="s">
        <v>86</v>
      </c>
      <c r="E1350">
        <v>29.025493421052602</v>
      </c>
      <c r="F1350">
        <v>48.171926910299</v>
      </c>
      <c r="G1350" t="s">
        <v>259</v>
      </c>
      <c r="H1350" t="s">
        <v>258</v>
      </c>
      <c r="I1350">
        <v>1994</v>
      </c>
      <c r="J1350" t="s">
        <v>20</v>
      </c>
      <c r="K1350" s="2">
        <v>0</v>
      </c>
      <c r="V1350" s="3">
        <v>12.32</v>
      </c>
      <c r="Z1350" t="s">
        <v>356</v>
      </c>
      <c r="AA1350" t="s">
        <v>349</v>
      </c>
    </row>
    <row r="1351" spans="1:27" x14ac:dyDescent="0.25">
      <c r="A1351" s="12">
        <v>128</v>
      </c>
      <c r="B1351">
        <v>1</v>
      </c>
      <c r="C1351">
        <f t="shared" si="146"/>
        <v>12801</v>
      </c>
      <c r="D1351" s="3" t="s">
        <v>86</v>
      </c>
      <c r="E1351">
        <v>27.3910256272315</v>
      </c>
      <c r="F1351">
        <v>-94.714856883729297</v>
      </c>
      <c r="G1351" t="s">
        <v>15</v>
      </c>
      <c r="H1351" s="12" t="s">
        <v>17</v>
      </c>
      <c r="I1351">
        <v>1993</v>
      </c>
      <c r="J1351" t="s">
        <v>163</v>
      </c>
      <c r="K1351" s="2">
        <v>0</v>
      </c>
      <c r="M1351" s="20">
        <f>1494.33*0.037</f>
        <v>55.290209999999995</v>
      </c>
      <c r="N1351" s="20">
        <v>13.171999999999999</v>
      </c>
      <c r="O1351" s="20">
        <v>0.46360999999999997</v>
      </c>
      <c r="Z1351" t="s">
        <v>360</v>
      </c>
      <c r="AA1351" t="s">
        <v>361</v>
      </c>
    </row>
    <row r="1352" spans="1:27" x14ac:dyDescent="0.25">
      <c r="A1352" s="12">
        <v>128</v>
      </c>
      <c r="B1352">
        <v>2</v>
      </c>
      <c r="C1352">
        <f t="shared" si="146"/>
        <v>12802</v>
      </c>
      <c r="D1352" s="3" t="s">
        <v>86</v>
      </c>
      <c r="E1352">
        <v>27.7612178987143</v>
      </c>
      <c r="F1352">
        <v>-92.3074286720543</v>
      </c>
      <c r="G1352" t="s">
        <v>15</v>
      </c>
      <c r="H1352" s="12" t="s">
        <v>17</v>
      </c>
      <c r="I1352">
        <v>1993</v>
      </c>
      <c r="J1352" t="s">
        <v>163</v>
      </c>
      <c r="K1352" s="2">
        <v>0</v>
      </c>
      <c r="M1352" s="20">
        <f>362.33*0.037</f>
        <v>13.406209999999998</v>
      </c>
      <c r="N1352" s="20">
        <v>6.0679999999999996</v>
      </c>
      <c r="O1352" s="20">
        <v>0.20719999999999997</v>
      </c>
      <c r="Z1352" t="s">
        <v>360</v>
      </c>
      <c r="AA1352" t="s">
        <v>361</v>
      </c>
    </row>
    <row r="1353" spans="1:27" x14ac:dyDescent="0.25">
      <c r="A1353" s="12">
        <v>128</v>
      </c>
      <c r="B1353">
        <v>3</v>
      </c>
      <c r="C1353">
        <f t="shared" si="146"/>
        <v>12803</v>
      </c>
      <c r="D1353" s="3" t="s">
        <v>86</v>
      </c>
      <c r="E1353">
        <v>28.995192405975299</v>
      </c>
      <c r="F1353">
        <v>-92.213142964345494</v>
      </c>
      <c r="G1353" t="s">
        <v>15</v>
      </c>
      <c r="H1353" s="12" t="s">
        <v>17</v>
      </c>
      <c r="I1353">
        <v>1993</v>
      </c>
      <c r="J1353" t="s">
        <v>163</v>
      </c>
      <c r="K1353" s="2">
        <v>0</v>
      </c>
      <c r="M1353" s="20">
        <f>91.17*0.037</f>
        <v>3.3732899999999999</v>
      </c>
      <c r="N1353" s="20">
        <v>8.8307899999999986</v>
      </c>
      <c r="O1353" s="20">
        <v>0.45398999999999995</v>
      </c>
      <c r="Z1353" t="s">
        <v>360</v>
      </c>
      <c r="AA1353" t="s">
        <v>361</v>
      </c>
    </row>
    <row r="1354" spans="1:27" x14ac:dyDescent="0.25">
      <c r="A1354" s="12">
        <v>128</v>
      </c>
      <c r="B1354">
        <v>4</v>
      </c>
      <c r="C1354">
        <f t="shared" si="146"/>
        <v>12804</v>
      </c>
      <c r="D1354" s="3" t="s">
        <v>86</v>
      </c>
      <c r="E1354">
        <v>28.231303681466098</v>
      </c>
      <c r="F1354">
        <v>-92.565142747967101</v>
      </c>
      <c r="G1354" t="s">
        <v>15</v>
      </c>
      <c r="H1354" s="12" t="s">
        <v>17</v>
      </c>
      <c r="I1354">
        <v>1993</v>
      </c>
      <c r="J1354" t="s">
        <v>163</v>
      </c>
      <c r="K1354" s="2">
        <v>0</v>
      </c>
      <c r="M1354" s="20">
        <f>300.33*0.037</f>
        <v>11.112209999999999</v>
      </c>
      <c r="N1354" s="20">
        <v>8.4237899999999986</v>
      </c>
      <c r="O1354" s="20">
        <v>0.28489999999999999</v>
      </c>
      <c r="Z1354" t="s">
        <v>360</v>
      </c>
      <c r="AA1354" t="s">
        <v>361</v>
      </c>
    </row>
    <row r="1355" spans="1:27" x14ac:dyDescent="0.25">
      <c r="A1355" s="12">
        <v>128</v>
      </c>
      <c r="B1355">
        <v>5</v>
      </c>
      <c r="C1355">
        <f t="shared" si="146"/>
        <v>12805</v>
      </c>
      <c r="D1355" s="3" t="s">
        <v>86</v>
      </c>
      <c r="E1355">
        <v>27.743589695310298</v>
      </c>
      <c r="F1355">
        <v>-91.986857265844193</v>
      </c>
      <c r="G1355" t="s">
        <v>15</v>
      </c>
      <c r="H1355" s="12" t="s">
        <v>17</v>
      </c>
      <c r="I1355">
        <v>1993</v>
      </c>
      <c r="J1355" t="s">
        <v>163</v>
      </c>
      <c r="K1355" s="2">
        <v>0</v>
      </c>
      <c r="M1355" s="20">
        <f>270.33*0.037</f>
        <v>10.002209999999998</v>
      </c>
      <c r="N1355" s="20">
        <v>14.368209999999999</v>
      </c>
      <c r="O1355" s="20">
        <v>0.51171</v>
      </c>
      <c r="Z1355" t="s">
        <v>360</v>
      </c>
      <c r="AA1355" t="s">
        <v>361</v>
      </c>
    </row>
    <row r="1356" spans="1:27" x14ac:dyDescent="0.25">
      <c r="A1356" s="12">
        <v>128</v>
      </c>
      <c r="B1356">
        <v>6</v>
      </c>
      <c r="C1356">
        <f t="shared" si="146"/>
        <v>12806</v>
      </c>
      <c r="D1356" s="3" t="s">
        <v>86</v>
      </c>
      <c r="E1356">
        <v>27.66720117254</v>
      </c>
      <c r="F1356">
        <v>-94.331428722696103</v>
      </c>
      <c r="G1356" t="s">
        <v>15</v>
      </c>
      <c r="H1356" s="12" t="s">
        <v>17</v>
      </c>
      <c r="I1356">
        <v>1993</v>
      </c>
      <c r="J1356" t="s">
        <v>163</v>
      </c>
      <c r="K1356" s="2">
        <v>0</v>
      </c>
      <c r="M1356" s="20">
        <f>112.33*0.037</f>
        <v>4.1562099999999997</v>
      </c>
      <c r="N1356" s="20">
        <v>5.9817899999999993</v>
      </c>
      <c r="O1356" s="20">
        <v>0.19128999999999999</v>
      </c>
      <c r="Z1356" t="s">
        <v>360</v>
      </c>
      <c r="AA1356" t="s">
        <v>361</v>
      </c>
    </row>
    <row r="1357" spans="1:27" x14ac:dyDescent="0.25">
      <c r="A1357" s="12">
        <v>128</v>
      </c>
      <c r="B1357">
        <v>7</v>
      </c>
      <c r="C1357">
        <f t="shared" si="146"/>
        <v>12807</v>
      </c>
      <c r="D1357" s="3" t="s">
        <v>86</v>
      </c>
      <c r="E1357">
        <v>27.432158281164</v>
      </c>
      <c r="F1357">
        <v>-94.488571185227997</v>
      </c>
      <c r="G1357" t="s">
        <v>15</v>
      </c>
      <c r="H1357" s="12" t="s">
        <v>17</v>
      </c>
      <c r="I1357">
        <v>1993</v>
      </c>
      <c r="J1357" t="s">
        <v>163</v>
      </c>
      <c r="K1357" s="2">
        <v>0</v>
      </c>
      <c r="M1357" s="20">
        <f>255*0.037</f>
        <v>9.4349999999999987</v>
      </c>
      <c r="N1357" s="20">
        <v>22.187789999999996</v>
      </c>
      <c r="O1357" s="20">
        <v>0.61679000000000006</v>
      </c>
      <c r="Z1357" t="s">
        <v>360</v>
      </c>
      <c r="AA1357" t="s">
        <v>361</v>
      </c>
    </row>
    <row r="1358" spans="1:27" x14ac:dyDescent="0.25">
      <c r="A1358" s="12">
        <v>128</v>
      </c>
      <c r="B1358">
        <v>8</v>
      </c>
      <c r="C1358">
        <f t="shared" si="146"/>
        <v>12808</v>
      </c>
      <c r="D1358" s="3" t="s">
        <v>86</v>
      </c>
      <c r="E1358">
        <v>27.990384811950602</v>
      </c>
      <c r="F1358">
        <v>-95.758285574198794</v>
      </c>
      <c r="G1358" t="s">
        <v>15</v>
      </c>
      <c r="H1358" s="12" t="s">
        <v>17</v>
      </c>
      <c r="I1358">
        <v>1993</v>
      </c>
      <c r="J1358" t="s">
        <v>18</v>
      </c>
      <c r="K1358" s="2">
        <v>0</v>
      </c>
      <c r="M1358" s="20">
        <f>0.07*0.037</f>
        <v>2.5900000000000003E-3</v>
      </c>
      <c r="N1358" s="20">
        <v>2.5899999999999996E-2</v>
      </c>
      <c r="O1358" s="20">
        <v>8.5100000000000002E-3</v>
      </c>
      <c r="Z1358" t="s">
        <v>360</v>
      </c>
      <c r="AA1358" t="s">
        <v>361</v>
      </c>
    </row>
    <row r="1359" spans="1:27" x14ac:dyDescent="0.25">
      <c r="A1359" s="12">
        <v>128</v>
      </c>
      <c r="B1359">
        <v>9</v>
      </c>
      <c r="C1359">
        <f t="shared" si="146"/>
        <v>12809</v>
      </c>
      <c r="D1359" s="3" t="s">
        <v>86</v>
      </c>
      <c r="E1359">
        <v>27.579060155520299</v>
      </c>
      <c r="F1359">
        <v>-96.059999838867199</v>
      </c>
      <c r="G1359" t="s">
        <v>15</v>
      </c>
      <c r="H1359" s="12" t="s">
        <v>17</v>
      </c>
      <c r="I1359">
        <v>1993</v>
      </c>
      <c r="J1359" t="s">
        <v>18</v>
      </c>
      <c r="K1359" s="2">
        <v>0</v>
      </c>
      <c r="M1359" s="20">
        <f>0.13*0.037</f>
        <v>4.81E-3</v>
      </c>
      <c r="N1359" s="20">
        <v>3.4410000000000003E-2</v>
      </c>
      <c r="O1359" s="20">
        <v>1.1099999999999999E-2</v>
      </c>
      <c r="Z1359" t="s">
        <v>360</v>
      </c>
      <c r="AA1359" t="s">
        <v>361</v>
      </c>
    </row>
    <row r="1360" spans="1:27" x14ac:dyDescent="0.25">
      <c r="A1360" s="12">
        <v>128</v>
      </c>
      <c r="B1360">
        <v>10</v>
      </c>
      <c r="C1360">
        <f t="shared" si="146"/>
        <v>12810</v>
      </c>
      <c r="D1360" s="3" t="s">
        <v>86</v>
      </c>
      <c r="E1360">
        <v>27.432158281164</v>
      </c>
      <c r="F1360">
        <v>-92.326285813596101</v>
      </c>
      <c r="G1360" t="s">
        <v>15</v>
      </c>
      <c r="H1360" s="12" t="s">
        <v>17</v>
      </c>
      <c r="I1360">
        <v>1993</v>
      </c>
      <c r="J1360" t="s">
        <v>18</v>
      </c>
      <c r="K1360" s="2">
        <v>0</v>
      </c>
      <c r="M1360" s="20">
        <f>0.13*0.037</f>
        <v>4.81E-3</v>
      </c>
      <c r="N1360" s="20">
        <v>2.2199999999999998E-2</v>
      </c>
      <c r="O1360" s="20">
        <v>1.1099999999999999E-3</v>
      </c>
      <c r="Z1360" t="s">
        <v>360</v>
      </c>
      <c r="AA1360" t="s">
        <v>361</v>
      </c>
    </row>
    <row r="1361" spans="1:27" x14ac:dyDescent="0.25">
      <c r="A1361" s="12">
        <v>128</v>
      </c>
      <c r="B1361">
        <v>11</v>
      </c>
      <c r="C1361">
        <f t="shared" si="146"/>
        <v>12811</v>
      </c>
      <c r="D1361" s="3" t="s">
        <v>86</v>
      </c>
      <c r="E1361">
        <v>28.219551456201799</v>
      </c>
      <c r="F1361">
        <v>-93.916571608777005</v>
      </c>
      <c r="G1361" t="s">
        <v>15</v>
      </c>
      <c r="H1361" s="12" t="s">
        <v>17</v>
      </c>
      <c r="I1361">
        <v>1993</v>
      </c>
      <c r="J1361" t="s">
        <v>18</v>
      </c>
      <c r="K1361" s="2">
        <v>0</v>
      </c>
      <c r="M1361" s="20">
        <f>0.3*0.037</f>
        <v>1.1099999999999999E-2</v>
      </c>
      <c r="N1361" s="20">
        <v>5.5499999999999994E-3</v>
      </c>
      <c r="O1361" s="20">
        <v>1.3689999999999999E-2</v>
      </c>
      <c r="Z1361" t="s">
        <v>360</v>
      </c>
      <c r="AA1361" t="s">
        <v>361</v>
      </c>
    </row>
    <row r="1362" spans="1:27" x14ac:dyDescent="0.25">
      <c r="A1362" s="12">
        <v>128</v>
      </c>
      <c r="B1362">
        <v>3</v>
      </c>
      <c r="C1362">
        <f t="shared" si="146"/>
        <v>12803</v>
      </c>
      <c r="D1362" s="3" t="s">
        <v>86</v>
      </c>
      <c r="E1362">
        <v>28.995192405975299</v>
      </c>
      <c r="F1362">
        <v>-92.213142964345494</v>
      </c>
      <c r="G1362" t="s">
        <v>15</v>
      </c>
      <c r="H1362" s="12" t="s">
        <v>17</v>
      </c>
      <c r="I1362">
        <v>1993</v>
      </c>
      <c r="J1362" t="s">
        <v>163</v>
      </c>
      <c r="K1362" s="2">
        <v>0</v>
      </c>
      <c r="M1362" s="20">
        <v>3.3732899999999999</v>
      </c>
      <c r="N1362" s="20">
        <v>8.8307899999999986</v>
      </c>
      <c r="O1362" s="31">
        <v>0.45398999999999995</v>
      </c>
      <c r="Z1362" t="s">
        <v>360</v>
      </c>
      <c r="AA1362" t="s">
        <v>362</v>
      </c>
    </row>
    <row r="1363" spans="1:27" x14ac:dyDescent="0.25">
      <c r="A1363" s="12">
        <v>128</v>
      </c>
      <c r="B1363">
        <v>3</v>
      </c>
      <c r="C1363">
        <f t="shared" si="146"/>
        <v>12803</v>
      </c>
      <c r="D1363" s="3" t="s">
        <v>86</v>
      </c>
      <c r="E1363">
        <v>28.995192405975299</v>
      </c>
      <c r="F1363">
        <v>-92.213142964345494</v>
      </c>
      <c r="G1363" t="s">
        <v>15</v>
      </c>
      <c r="H1363" s="12" t="s">
        <v>17</v>
      </c>
      <c r="I1363">
        <v>1993</v>
      </c>
      <c r="J1363" t="s">
        <v>18</v>
      </c>
      <c r="K1363" s="2">
        <v>5</v>
      </c>
      <c r="M1363" s="20">
        <v>1.4800000000000001E-2</v>
      </c>
      <c r="N1363" s="20">
        <v>3.0709999999999998E-2</v>
      </c>
      <c r="O1363" s="31">
        <v>6.2900000000000005E-3</v>
      </c>
      <c r="Z1363" t="s">
        <v>360</v>
      </c>
      <c r="AA1363" t="s">
        <v>362</v>
      </c>
    </row>
    <row r="1364" spans="1:27" x14ac:dyDescent="0.25">
      <c r="A1364" s="12">
        <v>128</v>
      </c>
      <c r="B1364">
        <v>3</v>
      </c>
      <c r="C1364">
        <f t="shared" si="146"/>
        <v>12803</v>
      </c>
      <c r="D1364" s="3" t="s">
        <v>86</v>
      </c>
      <c r="E1364">
        <v>28.995192405975299</v>
      </c>
      <c r="F1364">
        <v>-92.213142964345494</v>
      </c>
      <c r="G1364" t="s">
        <v>15</v>
      </c>
      <c r="H1364" s="12" t="s">
        <v>17</v>
      </c>
      <c r="I1364">
        <v>1993</v>
      </c>
      <c r="J1364" t="s">
        <v>18</v>
      </c>
      <c r="K1364" s="2">
        <v>10</v>
      </c>
      <c r="M1364" s="20">
        <v>1.1099999999999999E-2</v>
      </c>
      <c r="N1364" s="20">
        <v>2.2199999999999998E-2</v>
      </c>
      <c r="O1364" s="31">
        <v>6.2900000000000005E-3</v>
      </c>
      <c r="Z1364" t="s">
        <v>360</v>
      </c>
      <c r="AA1364" t="s">
        <v>362</v>
      </c>
    </row>
    <row r="1365" spans="1:27" x14ac:dyDescent="0.25">
      <c r="A1365" s="12">
        <v>128</v>
      </c>
      <c r="B1365">
        <v>3</v>
      </c>
      <c r="C1365">
        <f t="shared" si="146"/>
        <v>12803</v>
      </c>
      <c r="D1365" s="3" t="s">
        <v>86</v>
      </c>
      <c r="E1365">
        <v>28.995192405975299</v>
      </c>
      <c r="F1365">
        <v>-92.213142964345494</v>
      </c>
      <c r="G1365" t="s">
        <v>15</v>
      </c>
      <c r="H1365" s="12" t="s">
        <v>17</v>
      </c>
      <c r="I1365">
        <v>1993</v>
      </c>
      <c r="J1365" t="s">
        <v>18</v>
      </c>
      <c r="K1365" s="2">
        <v>30</v>
      </c>
      <c r="M1365" s="20">
        <v>1.9609999999999999E-2</v>
      </c>
      <c r="N1365" s="20">
        <v>3.959E-2</v>
      </c>
      <c r="O1365" s="31">
        <v>1.1099999999999999E-3</v>
      </c>
      <c r="Z1365" t="s">
        <v>360</v>
      </c>
      <c r="AA1365" t="s">
        <v>362</v>
      </c>
    </row>
    <row r="1366" spans="1:27" x14ac:dyDescent="0.25">
      <c r="A1366" s="12">
        <v>128</v>
      </c>
      <c r="B1366">
        <v>3</v>
      </c>
      <c r="C1366">
        <f t="shared" si="146"/>
        <v>12803</v>
      </c>
      <c r="D1366" s="3" t="s">
        <v>86</v>
      </c>
      <c r="E1366">
        <v>28.995192405975299</v>
      </c>
      <c r="F1366">
        <v>-92.213142964345494</v>
      </c>
      <c r="G1366" t="s">
        <v>15</v>
      </c>
      <c r="H1366" s="12" t="s">
        <v>17</v>
      </c>
      <c r="I1366">
        <v>1993</v>
      </c>
      <c r="J1366" t="s">
        <v>18</v>
      </c>
      <c r="K1366" s="2">
        <v>50</v>
      </c>
      <c r="M1366" s="20">
        <v>1.8499999999999999E-2</v>
      </c>
      <c r="N1366" s="20">
        <v>0.13319999999999999</v>
      </c>
      <c r="O1366" s="31">
        <v>4.81E-3</v>
      </c>
      <c r="Z1366" t="s">
        <v>360</v>
      </c>
      <c r="AA1366" t="s">
        <v>362</v>
      </c>
    </row>
    <row r="1367" spans="1:27" x14ac:dyDescent="0.25">
      <c r="A1367" s="12">
        <v>128</v>
      </c>
      <c r="B1367">
        <v>3</v>
      </c>
      <c r="C1367">
        <f t="shared" si="146"/>
        <v>12803</v>
      </c>
      <c r="D1367" s="3" t="s">
        <v>86</v>
      </c>
      <c r="E1367">
        <v>28.995192405975299</v>
      </c>
      <c r="F1367">
        <v>-92.213142964345494</v>
      </c>
      <c r="G1367" t="s">
        <v>15</v>
      </c>
      <c r="H1367" s="12" t="s">
        <v>17</v>
      </c>
      <c r="I1367">
        <v>1993</v>
      </c>
      <c r="J1367" t="s">
        <v>18</v>
      </c>
      <c r="K1367" s="2">
        <v>100</v>
      </c>
      <c r="M1367" s="20">
        <v>2.1089999999999998E-2</v>
      </c>
      <c r="N1367" s="20">
        <v>0.14318999999999998</v>
      </c>
      <c r="O1367" s="31">
        <v>1.8500000000000001E-3</v>
      </c>
      <c r="Z1367" t="s">
        <v>360</v>
      </c>
      <c r="AA1367" t="s">
        <v>362</v>
      </c>
    </row>
    <row r="1368" spans="1:27" x14ac:dyDescent="0.25">
      <c r="A1368" s="12">
        <v>128</v>
      </c>
      <c r="B1368">
        <v>3</v>
      </c>
      <c r="C1368">
        <f t="shared" si="146"/>
        <v>12803</v>
      </c>
      <c r="D1368" s="3" t="s">
        <v>86</v>
      </c>
      <c r="E1368">
        <v>28.995192405975299</v>
      </c>
      <c r="F1368">
        <v>-92.213142964345494</v>
      </c>
      <c r="G1368" t="s">
        <v>15</v>
      </c>
      <c r="H1368" s="12" t="s">
        <v>17</v>
      </c>
      <c r="I1368">
        <v>1993</v>
      </c>
      <c r="J1368" t="s">
        <v>18</v>
      </c>
      <c r="K1368" s="2">
        <v>2000</v>
      </c>
      <c r="M1368" s="20">
        <v>6.1666666666666658E-3</v>
      </c>
      <c r="N1368" s="20">
        <v>6.0433333333333339E-2</v>
      </c>
      <c r="O1368" s="31">
        <v>9.3733333333333342E-3</v>
      </c>
      <c r="Z1368" t="s">
        <v>360</v>
      </c>
      <c r="AA1368" t="s">
        <v>362</v>
      </c>
    </row>
    <row r="1369" spans="1:27" x14ac:dyDescent="0.25">
      <c r="A1369" s="12">
        <v>128</v>
      </c>
      <c r="B1369">
        <v>3</v>
      </c>
      <c r="C1369">
        <f t="shared" si="146"/>
        <v>12803</v>
      </c>
      <c r="D1369" s="3" t="s">
        <v>86</v>
      </c>
      <c r="E1369">
        <v>28.995192405975299</v>
      </c>
      <c r="F1369">
        <v>-92.213142964345494</v>
      </c>
      <c r="G1369" t="s">
        <v>15</v>
      </c>
      <c r="H1369" s="12" t="s">
        <v>17</v>
      </c>
      <c r="I1369">
        <v>1993</v>
      </c>
      <c r="J1369" t="s">
        <v>18</v>
      </c>
      <c r="K1369" s="2">
        <v>0</v>
      </c>
      <c r="M1369" s="20">
        <v>1.1099999999999999E-2</v>
      </c>
      <c r="N1369" s="20">
        <v>5.5499999999999994E-3</v>
      </c>
      <c r="O1369" s="31">
        <v>1.3689999999999999E-2</v>
      </c>
      <c r="Z1369" t="s">
        <v>360</v>
      </c>
      <c r="AA1369" t="s">
        <v>362</v>
      </c>
    </row>
    <row r="1370" spans="1:27" x14ac:dyDescent="0.25">
      <c r="A1370" s="12">
        <v>128</v>
      </c>
      <c r="B1370">
        <v>4</v>
      </c>
      <c r="C1370">
        <f t="shared" si="146"/>
        <v>12804</v>
      </c>
      <c r="D1370" s="3" t="s">
        <v>86</v>
      </c>
      <c r="E1370">
        <v>28.231303681466098</v>
      </c>
      <c r="F1370">
        <v>-92.565142747967101</v>
      </c>
      <c r="G1370" t="s">
        <v>15</v>
      </c>
      <c r="H1370" s="12" t="s">
        <v>17</v>
      </c>
      <c r="I1370">
        <v>1993</v>
      </c>
      <c r="J1370" t="s">
        <v>163</v>
      </c>
      <c r="K1370" s="2">
        <v>0</v>
      </c>
      <c r="M1370" s="20">
        <v>11.112209999999999</v>
      </c>
      <c r="N1370" s="20">
        <v>8.4237899999999986</v>
      </c>
      <c r="O1370" s="31">
        <v>0.28489999999999999</v>
      </c>
      <c r="Z1370" t="s">
        <v>360</v>
      </c>
      <c r="AA1370" t="s">
        <v>362</v>
      </c>
    </row>
    <row r="1371" spans="1:27" x14ac:dyDescent="0.25">
      <c r="A1371" s="12">
        <v>128</v>
      </c>
      <c r="B1371">
        <v>4</v>
      </c>
      <c r="C1371">
        <f t="shared" si="146"/>
        <v>12804</v>
      </c>
      <c r="D1371" s="3" t="s">
        <v>86</v>
      </c>
      <c r="E1371">
        <v>28.231303681466098</v>
      </c>
      <c r="F1371">
        <v>-92.565142747967101</v>
      </c>
      <c r="G1371" t="s">
        <v>15</v>
      </c>
      <c r="H1371" s="12" t="s">
        <v>17</v>
      </c>
      <c r="I1371">
        <v>1993</v>
      </c>
      <c r="J1371" t="s">
        <v>18</v>
      </c>
      <c r="K1371" s="2">
        <v>5</v>
      </c>
      <c r="M1371" s="20">
        <v>6.6599999999999993E-3</v>
      </c>
      <c r="N1371" s="20">
        <v>1.1099999999999999E-2</v>
      </c>
      <c r="O1371" s="31">
        <v>3.7000000000000002E-3</v>
      </c>
      <c r="Z1371" t="s">
        <v>360</v>
      </c>
      <c r="AA1371" t="s">
        <v>362</v>
      </c>
    </row>
    <row r="1372" spans="1:27" x14ac:dyDescent="0.25">
      <c r="A1372" s="12">
        <v>128</v>
      </c>
      <c r="B1372">
        <v>4</v>
      </c>
      <c r="C1372">
        <f t="shared" si="146"/>
        <v>12804</v>
      </c>
      <c r="D1372" s="3" t="s">
        <v>86</v>
      </c>
      <c r="E1372">
        <v>28.231303681466098</v>
      </c>
      <c r="F1372">
        <v>-92.565142747967101</v>
      </c>
      <c r="G1372" t="s">
        <v>15</v>
      </c>
      <c r="H1372" s="12" t="s">
        <v>17</v>
      </c>
      <c r="I1372">
        <v>1993</v>
      </c>
      <c r="J1372" t="s">
        <v>18</v>
      </c>
      <c r="K1372" s="2">
        <v>10</v>
      </c>
      <c r="M1372" s="20">
        <v>2.5899999999999996E-2</v>
      </c>
      <c r="N1372" s="20">
        <v>6.9190000000000002E-2</v>
      </c>
      <c r="O1372" s="31">
        <v>8.5100000000000002E-3</v>
      </c>
      <c r="Z1372" t="s">
        <v>360</v>
      </c>
      <c r="AA1372" t="s">
        <v>362</v>
      </c>
    </row>
    <row r="1373" spans="1:27" x14ac:dyDescent="0.25">
      <c r="A1373" s="12">
        <v>128</v>
      </c>
      <c r="B1373">
        <v>4</v>
      </c>
      <c r="C1373">
        <f t="shared" si="146"/>
        <v>12804</v>
      </c>
      <c r="D1373" s="3" t="s">
        <v>86</v>
      </c>
      <c r="E1373">
        <v>28.231303681466098</v>
      </c>
      <c r="F1373">
        <v>-92.565142747967101</v>
      </c>
      <c r="G1373" t="s">
        <v>15</v>
      </c>
      <c r="H1373" s="12" t="s">
        <v>17</v>
      </c>
      <c r="I1373">
        <v>1993</v>
      </c>
      <c r="J1373" t="s">
        <v>18</v>
      </c>
      <c r="K1373" s="2">
        <v>30</v>
      </c>
      <c r="M1373" s="20">
        <v>1.6649999999999998E-2</v>
      </c>
      <c r="N1373" s="20">
        <v>3.4410000000000003E-2</v>
      </c>
      <c r="O1373" s="31">
        <v>3.7000000000000002E-3</v>
      </c>
      <c r="Z1373" t="s">
        <v>360</v>
      </c>
      <c r="AA1373" t="s">
        <v>362</v>
      </c>
    </row>
    <row r="1374" spans="1:27" x14ac:dyDescent="0.25">
      <c r="A1374" s="12">
        <v>128</v>
      </c>
      <c r="B1374">
        <v>4</v>
      </c>
      <c r="C1374">
        <f t="shared" si="146"/>
        <v>12804</v>
      </c>
      <c r="D1374" s="3" t="s">
        <v>86</v>
      </c>
      <c r="E1374">
        <v>28.231303681466098</v>
      </c>
      <c r="F1374">
        <v>-92.565142747967101</v>
      </c>
      <c r="G1374" t="s">
        <v>15</v>
      </c>
      <c r="H1374" s="12" t="s">
        <v>17</v>
      </c>
      <c r="I1374">
        <v>1993</v>
      </c>
      <c r="J1374" t="s">
        <v>18</v>
      </c>
      <c r="K1374" s="2">
        <v>50</v>
      </c>
      <c r="M1374" s="20">
        <v>1.221E-2</v>
      </c>
      <c r="N1374" s="20">
        <v>1.8499999999999999E-2</v>
      </c>
      <c r="O1374" s="31">
        <v>1.221E-2</v>
      </c>
      <c r="Z1374" t="s">
        <v>360</v>
      </c>
      <c r="AA1374" t="s">
        <v>362</v>
      </c>
    </row>
    <row r="1375" spans="1:27" x14ac:dyDescent="0.25">
      <c r="A1375" s="12">
        <v>128</v>
      </c>
      <c r="B1375">
        <v>4</v>
      </c>
      <c r="C1375">
        <f t="shared" si="146"/>
        <v>12804</v>
      </c>
      <c r="D1375" s="3" t="s">
        <v>86</v>
      </c>
      <c r="E1375">
        <v>28.231303681466098</v>
      </c>
      <c r="F1375">
        <v>-92.565142747967101</v>
      </c>
      <c r="G1375" t="s">
        <v>15</v>
      </c>
      <c r="H1375" s="12" t="s">
        <v>17</v>
      </c>
      <c r="I1375">
        <v>1993</v>
      </c>
      <c r="J1375" t="s">
        <v>18</v>
      </c>
      <c r="K1375" s="2">
        <v>100</v>
      </c>
      <c r="M1375" s="20">
        <v>1.221E-2</v>
      </c>
      <c r="N1375" s="20">
        <v>5.9200000000000003E-2</v>
      </c>
      <c r="O1375" s="31">
        <v>2.9600000000000001E-2</v>
      </c>
      <c r="Z1375" t="s">
        <v>360</v>
      </c>
      <c r="AA1375" t="s">
        <v>362</v>
      </c>
    </row>
    <row r="1376" spans="1:27" x14ac:dyDescent="0.25">
      <c r="A1376" s="12">
        <v>128</v>
      </c>
      <c r="B1376">
        <v>4</v>
      </c>
      <c r="C1376">
        <f t="shared" si="146"/>
        <v>12804</v>
      </c>
      <c r="D1376" s="3" t="s">
        <v>86</v>
      </c>
      <c r="E1376">
        <v>28.231303681466098</v>
      </c>
      <c r="F1376">
        <v>-92.565142747967101</v>
      </c>
      <c r="G1376" t="s">
        <v>15</v>
      </c>
      <c r="H1376" s="12" t="s">
        <v>17</v>
      </c>
      <c r="I1376">
        <v>1993</v>
      </c>
      <c r="J1376" t="s">
        <v>18</v>
      </c>
      <c r="K1376" s="2">
        <v>2000</v>
      </c>
      <c r="M1376" s="20">
        <v>2.96E-3</v>
      </c>
      <c r="N1376" s="20">
        <v>2.3803333333333333E-2</v>
      </c>
      <c r="O1376" s="31">
        <v>1.4306666666666667E-2</v>
      </c>
      <c r="Z1376" t="s">
        <v>360</v>
      </c>
      <c r="AA1376" t="s">
        <v>362</v>
      </c>
    </row>
    <row r="1377" spans="1:27" x14ac:dyDescent="0.25">
      <c r="A1377" s="12">
        <v>128</v>
      </c>
      <c r="B1377">
        <v>4</v>
      </c>
      <c r="C1377">
        <f t="shared" si="146"/>
        <v>12804</v>
      </c>
      <c r="D1377" s="3" t="s">
        <v>86</v>
      </c>
      <c r="E1377">
        <v>28.231303681466098</v>
      </c>
      <c r="F1377">
        <v>-92.565142747967101</v>
      </c>
      <c r="G1377" t="s">
        <v>15</v>
      </c>
      <c r="H1377" s="12" t="s">
        <v>17</v>
      </c>
      <c r="I1377">
        <v>1993</v>
      </c>
      <c r="J1377" t="s">
        <v>18</v>
      </c>
      <c r="K1377" s="2">
        <v>0</v>
      </c>
      <c r="M1377" s="20">
        <v>4.81E-3</v>
      </c>
      <c r="N1377" s="20">
        <v>2.2199999999999998E-2</v>
      </c>
      <c r="O1377" s="31">
        <v>1.1099999999999999E-3</v>
      </c>
      <c r="Z1377" t="s">
        <v>360</v>
      </c>
      <c r="AA1377" t="s">
        <v>362</v>
      </c>
    </row>
    <row r="1378" spans="1:27" x14ac:dyDescent="0.25">
      <c r="A1378" s="12">
        <v>128</v>
      </c>
      <c r="B1378">
        <v>2</v>
      </c>
      <c r="C1378">
        <f t="shared" si="146"/>
        <v>12802</v>
      </c>
      <c r="D1378" s="3" t="s">
        <v>86</v>
      </c>
      <c r="E1378">
        <v>27.7612178987143</v>
      </c>
      <c r="F1378">
        <v>-92.3074286720543</v>
      </c>
      <c r="G1378" t="s">
        <v>15</v>
      </c>
      <c r="H1378" s="12" t="s">
        <v>17</v>
      </c>
      <c r="I1378">
        <v>1993</v>
      </c>
      <c r="J1378" t="s">
        <v>163</v>
      </c>
      <c r="K1378" s="2">
        <v>0</v>
      </c>
      <c r="M1378" s="20">
        <v>13.406209999999998</v>
      </c>
      <c r="N1378" s="20">
        <v>6.0679999999999996</v>
      </c>
      <c r="O1378" s="31">
        <v>0.20719999999999997</v>
      </c>
      <c r="Z1378" t="s">
        <v>360</v>
      </c>
      <c r="AA1378" t="s">
        <v>362</v>
      </c>
    </row>
    <row r="1379" spans="1:27" x14ac:dyDescent="0.25">
      <c r="A1379" s="12">
        <v>128</v>
      </c>
      <c r="B1379">
        <v>2</v>
      </c>
      <c r="C1379">
        <f t="shared" si="146"/>
        <v>12802</v>
      </c>
      <c r="D1379" s="3" t="s">
        <v>86</v>
      </c>
      <c r="E1379">
        <v>27.7612178987143</v>
      </c>
      <c r="F1379">
        <v>-92.3074286720543</v>
      </c>
      <c r="G1379" t="s">
        <v>15</v>
      </c>
      <c r="H1379" s="12" t="s">
        <v>17</v>
      </c>
      <c r="I1379">
        <v>1993</v>
      </c>
      <c r="J1379" t="s">
        <v>18</v>
      </c>
      <c r="K1379" s="2">
        <v>5</v>
      </c>
      <c r="M1379" s="20">
        <v>1.9609999999999999E-2</v>
      </c>
      <c r="N1379" s="20">
        <v>2.3309999999999997E-2</v>
      </c>
      <c r="O1379" s="31">
        <v>2.5900000000000003E-3</v>
      </c>
      <c r="Z1379" t="s">
        <v>360</v>
      </c>
      <c r="AA1379" t="s">
        <v>362</v>
      </c>
    </row>
    <row r="1380" spans="1:27" x14ac:dyDescent="0.25">
      <c r="A1380" s="12">
        <v>128</v>
      </c>
      <c r="B1380">
        <v>2</v>
      </c>
      <c r="C1380">
        <f t="shared" si="146"/>
        <v>12802</v>
      </c>
      <c r="D1380" s="3" t="s">
        <v>86</v>
      </c>
      <c r="E1380">
        <v>27.7612178987143</v>
      </c>
      <c r="F1380">
        <v>-92.3074286720543</v>
      </c>
      <c r="G1380" t="s">
        <v>15</v>
      </c>
      <c r="H1380" s="12" t="s">
        <v>17</v>
      </c>
      <c r="I1380">
        <v>1993</v>
      </c>
      <c r="J1380" t="s">
        <v>18</v>
      </c>
      <c r="K1380" s="2">
        <v>10</v>
      </c>
      <c r="M1380" s="20">
        <v>3.5889999999999998E-2</v>
      </c>
      <c r="N1380" s="20">
        <v>3.3299999999999996E-2</v>
      </c>
      <c r="O1380" s="31">
        <v>4.81E-3</v>
      </c>
      <c r="Z1380" t="s">
        <v>360</v>
      </c>
      <c r="AA1380" t="s">
        <v>362</v>
      </c>
    </row>
    <row r="1381" spans="1:27" x14ac:dyDescent="0.25">
      <c r="A1381" s="12">
        <v>128</v>
      </c>
      <c r="B1381">
        <v>2</v>
      </c>
      <c r="C1381">
        <f t="shared" si="146"/>
        <v>12802</v>
      </c>
      <c r="D1381" s="3" t="s">
        <v>86</v>
      </c>
      <c r="E1381">
        <v>27.7612178987143</v>
      </c>
      <c r="F1381">
        <v>-92.3074286720543</v>
      </c>
      <c r="G1381" t="s">
        <v>15</v>
      </c>
      <c r="H1381" s="12" t="s">
        <v>17</v>
      </c>
      <c r="I1381">
        <v>1993</v>
      </c>
      <c r="J1381" t="s">
        <v>18</v>
      </c>
      <c r="K1381" s="2">
        <v>30</v>
      </c>
      <c r="M1381" s="20">
        <v>2.1089999999999998E-2</v>
      </c>
      <c r="N1381" s="20">
        <v>1.221E-2</v>
      </c>
      <c r="O1381" s="31">
        <v>2.5900000000000003E-3</v>
      </c>
      <c r="Z1381" t="s">
        <v>360</v>
      </c>
      <c r="AA1381" t="s">
        <v>362</v>
      </c>
    </row>
    <row r="1382" spans="1:27" x14ac:dyDescent="0.25">
      <c r="A1382" s="12">
        <v>128</v>
      </c>
      <c r="B1382">
        <v>2</v>
      </c>
      <c r="C1382">
        <f t="shared" si="146"/>
        <v>12802</v>
      </c>
      <c r="D1382" s="3" t="s">
        <v>86</v>
      </c>
      <c r="E1382">
        <v>27.7612178987143</v>
      </c>
      <c r="F1382">
        <v>-92.3074286720543</v>
      </c>
      <c r="G1382" t="s">
        <v>15</v>
      </c>
      <c r="H1382" s="12" t="s">
        <v>17</v>
      </c>
      <c r="I1382">
        <v>1993</v>
      </c>
      <c r="J1382" t="s">
        <v>18</v>
      </c>
      <c r="K1382" s="2">
        <v>50</v>
      </c>
      <c r="M1382" s="20">
        <v>3.3299999999999996E-2</v>
      </c>
      <c r="N1382" s="20">
        <v>4.8099999999999997E-2</v>
      </c>
      <c r="O1382" s="31">
        <v>1.1099999999999999E-3</v>
      </c>
      <c r="Z1382" t="s">
        <v>360</v>
      </c>
      <c r="AA1382" t="s">
        <v>362</v>
      </c>
    </row>
    <row r="1383" spans="1:27" x14ac:dyDescent="0.25">
      <c r="A1383" s="12">
        <v>128</v>
      </c>
      <c r="B1383">
        <v>2</v>
      </c>
      <c r="C1383">
        <f t="shared" si="146"/>
        <v>12802</v>
      </c>
      <c r="D1383" s="3" t="s">
        <v>86</v>
      </c>
      <c r="E1383">
        <v>27.7612178987143</v>
      </c>
      <c r="F1383">
        <v>-92.3074286720543</v>
      </c>
      <c r="G1383" t="s">
        <v>15</v>
      </c>
      <c r="H1383" s="12" t="s">
        <v>17</v>
      </c>
      <c r="I1383">
        <v>1993</v>
      </c>
      <c r="J1383" t="s">
        <v>18</v>
      </c>
      <c r="K1383" s="2">
        <v>100</v>
      </c>
      <c r="M1383" s="20">
        <v>2.5900000000000003E-3</v>
      </c>
      <c r="N1383" s="20">
        <v>4.5509999999999995E-2</v>
      </c>
      <c r="O1383" s="31">
        <v>4.81E-3</v>
      </c>
      <c r="Z1383" t="s">
        <v>360</v>
      </c>
      <c r="AA1383" t="s">
        <v>362</v>
      </c>
    </row>
    <row r="1384" spans="1:27" x14ac:dyDescent="0.25">
      <c r="A1384" s="12">
        <v>128</v>
      </c>
      <c r="B1384">
        <v>2</v>
      </c>
      <c r="C1384">
        <f t="shared" si="146"/>
        <v>12802</v>
      </c>
      <c r="D1384" s="3" t="s">
        <v>86</v>
      </c>
      <c r="E1384">
        <v>27.7612178987143</v>
      </c>
      <c r="F1384">
        <v>-92.3074286720543</v>
      </c>
      <c r="G1384" t="s">
        <v>15</v>
      </c>
      <c r="H1384" s="12" t="s">
        <v>17</v>
      </c>
      <c r="I1384">
        <v>1993</v>
      </c>
      <c r="J1384" t="s">
        <v>18</v>
      </c>
      <c r="K1384" s="2">
        <v>2000</v>
      </c>
      <c r="M1384" s="20">
        <v>3.3299999999999996E-3</v>
      </c>
      <c r="N1384" s="20">
        <v>3.7863333333333325E-2</v>
      </c>
      <c r="O1384" s="31">
        <v>2.836666666666667E-3</v>
      </c>
      <c r="Z1384" t="s">
        <v>360</v>
      </c>
      <c r="AA1384" t="s">
        <v>362</v>
      </c>
    </row>
    <row r="1385" spans="1:27" x14ac:dyDescent="0.25">
      <c r="A1385" s="12">
        <v>128</v>
      </c>
      <c r="B1385">
        <v>2</v>
      </c>
      <c r="C1385">
        <f t="shared" si="146"/>
        <v>12802</v>
      </c>
      <c r="D1385" s="3" t="s">
        <v>86</v>
      </c>
      <c r="E1385">
        <v>27.7612178987143</v>
      </c>
      <c r="F1385">
        <v>-92.3074286720543</v>
      </c>
      <c r="G1385" t="s">
        <v>15</v>
      </c>
      <c r="H1385" s="12" t="s">
        <v>17</v>
      </c>
      <c r="I1385">
        <v>1993</v>
      </c>
      <c r="J1385" t="s">
        <v>18</v>
      </c>
      <c r="K1385" s="2">
        <v>0</v>
      </c>
      <c r="M1385" s="20">
        <v>4.81E-3</v>
      </c>
      <c r="N1385" s="20">
        <v>3.4410000000000003E-2</v>
      </c>
      <c r="O1385" s="31">
        <v>1.1099999999999999E-2</v>
      </c>
      <c r="Z1385" t="s">
        <v>360</v>
      </c>
      <c r="AA1385" t="s">
        <v>362</v>
      </c>
    </row>
    <row r="1386" spans="1:27" x14ac:dyDescent="0.25">
      <c r="A1386" s="12">
        <v>128</v>
      </c>
      <c r="B1386">
        <v>1</v>
      </c>
      <c r="C1386">
        <f t="shared" si="146"/>
        <v>12801</v>
      </c>
      <c r="D1386" s="3" t="s">
        <v>86</v>
      </c>
      <c r="E1386">
        <v>27.3910256272315</v>
      </c>
      <c r="F1386">
        <v>-94.714856883729297</v>
      </c>
      <c r="G1386" t="s">
        <v>15</v>
      </c>
      <c r="H1386" s="12" t="s">
        <v>17</v>
      </c>
      <c r="I1386">
        <v>1993</v>
      </c>
      <c r="J1386" t="s">
        <v>163</v>
      </c>
      <c r="K1386" s="2">
        <v>0</v>
      </c>
      <c r="M1386" s="20">
        <v>55.277999999999999</v>
      </c>
      <c r="N1386" s="20">
        <v>13.171999999999999</v>
      </c>
      <c r="O1386" s="31">
        <v>0.46249999999999997</v>
      </c>
      <c r="Z1386" t="s">
        <v>360</v>
      </c>
      <c r="AA1386" t="s">
        <v>362</v>
      </c>
    </row>
    <row r="1387" spans="1:27" x14ac:dyDescent="0.25">
      <c r="A1387" s="12">
        <v>128</v>
      </c>
      <c r="B1387">
        <v>1</v>
      </c>
      <c r="C1387">
        <f t="shared" si="146"/>
        <v>12801</v>
      </c>
      <c r="D1387" s="3" t="s">
        <v>86</v>
      </c>
      <c r="E1387">
        <v>27.3910256272315</v>
      </c>
      <c r="F1387">
        <v>-94.714856883729297</v>
      </c>
      <c r="G1387" t="s">
        <v>15</v>
      </c>
      <c r="H1387" s="12" t="s">
        <v>17</v>
      </c>
      <c r="I1387">
        <v>1993</v>
      </c>
      <c r="J1387" t="s">
        <v>18</v>
      </c>
      <c r="K1387" s="2">
        <v>5</v>
      </c>
      <c r="M1387" s="20">
        <v>3.4410000000000003E-2</v>
      </c>
      <c r="N1387" s="20">
        <v>8.14E-2</v>
      </c>
      <c r="O1387" s="31">
        <v>1.9609999999999999E-2</v>
      </c>
      <c r="Z1387" t="s">
        <v>360</v>
      </c>
      <c r="AA1387" t="s">
        <v>362</v>
      </c>
    </row>
    <row r="1388" spans="1:27" x14ac:dyDescent="0.25">
      <c r="A1388" s="12">
        <v>128</v>
      </c>
      <c r="B1388">
        <v>1</v>
      </c>
      <c r="C1388">
        <f t="shared" si="146"/>
        <v>12801</v>
      </c>
      <c r="D1388" s="3" t="s">
        <v>86</v>
      </c>
      <c r="E1388">
        <v>27.3910256272315</v>
      </c>
      <c r="F1388">
        <v>-94.714856883729297</v>
      </c>
      <c r="G1388" t="s">
        <v>15</v>
      </c>
      <c r="H1388" s="12" t="s">
        <v>17</v>
      </c>
      <c r="I1388">
        <v>1993</v>
      </c>
      <c r="J1388" t="s">
        <v>18</v>
      </c>
      <c r="K1388" s="2">
        <v>10</v>
      </c>
      <c r="M1388" s="20">
        <v>3.2189999999999996E-2</v>
      </c>
      <c r="N1388" s="20">
        <v>7.1409999999999987E-2</v>
      </c>
      <c r="O1388" s="31">
        <v>2.9600000000000001E-2</v>
      </c>
      <c r="Z1388" t="s">
        <v>360</v>
      </c>
      <c r="AA1388" t="s">
        <v>362</v>
      </c>
    </row>
    <row r="1389" spans="1:27" x14ac:dyDescent="0.25">
      <c r="A1389" s="12">
        <v>128</v>
      </c>
      <c r="B1389">
        <v>1</v>
      </c>
      <c r="C1389">
        <f t="shared" si="146"/>
        <v>12801</v>
      </c>
      <c r="D1389" s="3" t="s">
        <v>86</v>
      </c>
      <c r="E1389">
        <v>27.3910256272315</v>
      </c>
      <c r="F1389">
        <v>-94.714856883729297</v>
      </c>
      <c r="G1389" t="s">
        <v>15</v>
      </c>
      <c r="H1389" s="12" t="s">
        <v>17</v>
      </c>
      <c r="I1389">
        <v>1993</v>
      </c>
      <c r="J1389" t="s">
        <v>18</v>
      </c>
      <c r="K1389" s="2">
        <v>30</v>
      </c>
      <c r="M1389" s="20">
        <v>1.7389999999999999E-2</v>
      </c>
      <c r="N1389" s="20">
        <v>7.5109999999999982E-2</v>
      </c>
      <c r="O1389" s="31">
        <v>2.5899999999999996E-2</v>
      </c>
      <c r="Z1389" t="s">
        <v>360</v>
      </c>
      <c r="AA1389" t="s">
        <v>362</v>
      </c>
    </row>
    <row r="1390" spans="1:27" x14ac:dyDescent="0.25">
      <c r="A1390" s="12">
        <v>128</v>
      </c>
      <c r="B1390">
        <v>1</v>
      </c>
      <c r="C1390">
        <f t="shared" si="146"/>
        <v>12801</v>
      </c>
      <c r="D1390" s="3" t="s">
        <v>86</v>
      </c>
      <c r="E1390">
        <v>27.3910256272315</v>
      </c>
      <c r="F1390">
        <v>-94.714856883729297</v>
      </c>
      <c r="G1390" t="s">
        <v>15</v>
      </c>
      <c r="H1390" s="12" t="s">
        <v>17</v>
      </c>
      <c r="I1390">
        <v>1993</v>
      </c>
      <c r="J1390" t="s">
        <v>18</v>
      </c>
      <c r="K1390" s="2">
        <v>50</v>
      </c>
      <c r="M1390" s="20">
        <v>1.6649999999999998E-2</v>
      </c>
      <c r="N1390" s="20">
        <v>7.1409999999999987E-2</v>
      </c>
      <c r="O1390" s="31">
        <v>1.9609999999999999E-2</v>
      </c>
      <c r="Z1390" t="s">
        <v>360</v>
      </c>
      <c r="AA1390" t="s">
        <v>362</v>
      </c>
    </row>
    <row r="1391" spans="1:27" x14ac:dyDescent="0.25">
      <c r="A1391" s="12">
        <v>128</v>
      </c>
      <c r="B1391">
        <v>1</v>
      </c>
      <c r="C1391">
        <f t="shared" si="146"/>
        <v>12801</v>
      </c>
      <c r="D1391" s="3" t="s">
        <v>86</v>
      </c>
      <c r="E1391">
        <v>27.3910256272315</v>
      </c>
      <c r="F1391">
        <v>-94.714856883729297</v>
      </c>
      <c r="G1391" t="s">
        <v>15</v>
      </c>
      <c r="H1391" s="12" t="s">
        <v>17</v>
      </c>
      <c r="I1391">
        <v>1993</v>
      </c>
      <c r="J1391" t="s">
        <v>18</v>
      </c>
      <c r="K1391" s="2">
        <v>100</v>
      </c>
      <c r="M1391" s="20">
        <v>8.5100000000000002E-3</v>
      </c>
      <c r="N1391" s="20">
        <v>3.959E-2</v>
      </c>
      <c r="O1391" s="31">
        <v>6.2900000000000005E-3</v>
      </c>
      <c r="Z1391" t="s">
        <v>360</v>
      </c>
      <c r="AA1391" t="s">
        <v>362</v>
      </c>
    </row>
    <row r="1392" spans="1:27" x14ac:dyDescent="0.25">
      <c r="A1392" s="12">
        <v>128</v>
      </c>
      <c r="B1392">
        <v>1</v>
      </c>
      <c r="C1392">
        <f t="shared" si="146"/>
        <v>12801</v>
      </c>
      <c r="D1392" s="3" t="s">
        <v>86</v>
      </c>
      <c r="E1392">
        <v>27.3910256272315</v>
      </c>
      <c r="F1392">
        <v>-94.714856883729297</v>
      </c>
      <c r="G1392" t="s">
        <v>15</v>
      </c>
      <c r="H1392" s="12" t="s">
        <v>17</v>
      </c>
      <c r="I1392">
        <v>1993</v>
      </c>
      <c r="J1392" t="s">
        <v>18</v>
      </c>
      <c r="K1392" s="2">
        <v>2000</v>
      </c>
      <c r="M1392" s="20">
        <v>1.1099999999999999E-3</v>
      </c>
      <c r="N1392" s="20">
        <v>2.9106666666666666E-2</v>
      </c>
      <c r="O1392" s="31">
        <v>3.7000000000000002E-3</v>
      </c>
      <c r="Z1392" t="s">
        <v>360</v>
      </c>
      <c r="AA1392" t="s">
        <v>362</v>
      </c>
    </row>
    <row r="1393" spans="1:27" x14ac:dyDescent="0.25">
      <c r="A1393" s="12">
        <v>128</v>
      </c>
      <c r="B1393">
        <v>1</v>
      </c>
      <c r="C1393">
        <f t="shared" si="146"/>
        <v>12801</v>
      </c>
      <c r="D1393" s="3" t="s">
        <v>86</v>
      </c>
      <c r="E1393">
        <v>27.3910256272315</v>
      </c>
      <c r="F1393">
        <v>-94.714856883729297</v>
      </c>
      <c r="G1393" t="s">
        <v>15</v>
      </c>
      <c r="H1393" s="12" t="s">
        <v>17</v>
      </c>
      <c r="I1393">
        <v>1993</v>
      </c>
      <c r="J1393" t="s">
        <v>18</v>
      </c>
      <c r="K1393" s="2">
        <v>0</v>
      </c>
      <c r="M1393" s="20">
        <v>2.5900000000000003E-3</v>
      </c>
      <c r="N1393" s="20">
        <v>2.5899999999999996E-2</v>
      </c>
      <c r="O1393" s="31">
        <v>8.5100000000000002E-3</v>
      </c>
      <c r="Z1393" t="s">
        <v>360</v>
      </c>
      <c r="AA1393" t="s">
        <v>362</v>
      </c>
    </row>
    <row r="1394" spans="1:27" x14ac:dyDescent="0.25">
      <c r="A1394" s="12">
        <v>128</v>
      </c>
      <c r="B1394">
        <v>7</v>
      </c>
      <c r="C1394">
        <f t="shared" si="146"/>
        <v>12807</v>
      </c>
      <c r="D1394" s="3" t="s">
        <v>86</v>
      </c>
      <c r="E1394">
        <v>27.432158281164</v>
      </c>
      <c r="F1394">
        <v>-94.488571185227997</v>
      </c>
      <c r="G1394" t="s">
        <v>15</v>
      </c>
      <c r="H1394" s="12" t="s">
        <v>17</v>
      </c>
      <c r="I1394">
        <v>1993</v>
      </c>
      <c r="J1394" t="s">
        <v>24</v>
      </c>
      <c r="K1394" s="2">
        <v>0</v>
      </c>
      <c r="M1394" s="20">
        <f>0.365*37*1000</f>
        <v>13504.999999999998</v>
      </c>
      <c r="N1394" s="20">
        <f>0.006*37*1000</f>
        <v>222</v>
      </c>
      <c r="O1394" s="8">
        <f>0.211*37*1000</f>
        <v>7806.9999999999991</v>
      </c>
      <c r="Z1394" t="s">
        <v>360</v>
      </c>
      <c r="AA1394" t="s">
        <v>366</v>
      </c>
    </row>
    <row r="1395" spans="1:27" x14ac:dyDescent="0.25">
      <c r="A1395" s="12">
        <v>128</v>
      </c>
      <c r="B1395">
        <v>5</v>
      </c>
      <c r="C1395">
        <f t="shared" si="146"/>
        <v>12805</v>
      </c>
      <c r="D1395" s="3" t="s">
        <v>86</v>
      </c>
      <c r="E1395">
        <v>27.743589695310298</v>
      </c>
      <c r="F1395">
        <v>-91.986857265844193</v>
      </c>
      <c r="G1395" t="s">
        <v>15</v>
      </c>
      <c r="H1395" s="12" t="s">
        <v>17</v>
      </c>
      <c r="I1395">
        <v>1993</v>
      </c>
      <c r="J1395" t="s">
        <v>24</v>
      </c>
      <c r="K1395" s="2">
        <v>0</v>
      </c>
      <c r="M1395" s="20">
        <f>0.167*37*1000</f>
        <v>6179</v>
      </c>
      <c r="N1395" s="20">
        <f>0.0015*37*1000</f>
        <v>55.5</v>
      </c>
      <c r="O1395" s="8">
        <f>0.308*37*1000</f>
        <v>11395.999999999998</v>
      </c>
      <c r="Z1395" t="s">
        <v>360</v>
      </c>
      <c r="AA1395" t="s">
        <v>366</v>
      </c>
    </row>
    <row r="1396" spans="1:27" x14ac:dyDescent="0.25">
      <c r="A1396" s="12">
        <v>128</v>
      </c>
      <c r="B1396">
        <v>7</v>
      </c>
      <c r="C1396">
        <f t="shared" si="146"/>
        <v>12807</v>
      </c>
      <c r="D1396" s="3" t="s">
        <v>86</v>
      </c>
      <c r="E1396">
        <v>27.432158281164</v>
      </c>
      <c r="F1396">
        <v>-94.488571185227997</v>
      </c>
      <c r="G1396" t="s">
        <v>15</v>
      </c>
      <c r="H1396" s="12" t="s">
        <v>17</v>
      </c>
      <c r="I1396">
        <v>1993</v>
      </c>
      <c r="J1396" t="s">
        <v>24</v>
      </c>
      <c r="K1396" s="2">
        <v>0</v>
      </c>
      <c r="M1396" s="20">
        <f>0.175*37*1000</f>
        <v>6475</v>
      </c>
      <c r="N1396" s="20">
        <f>0.081*37*1000</f>
        <v>2997</v>
      </c>
      <c r="O1396" s="8">
        <f>0.454*37*1000</f>
        <v>16798</v>
      </c>
      <c r="Z1396" t="s">
        <v>360</v>
      </c>
      <c r="AA1396" t="s">
        <v>366</v>
      </c>
    </row>
    <row r="1397" spans="1:27" x14ac:dyDescent="0.25">
      <c r="A1397" s="12">
        <v>128</v>
      </c>
      <c r="B1397">
        <v>1</v>
      </c>
      <c r="C1397">
        <f t="shared" si="146"/>
        <v>12801</v>
      </c>
      <c r="D1397" s="3" t="s">
        <v>86</v>
      </c>
      <c r="E1397">
        <v>27.3910256272315</v>
      </c>
      <c r="F1397">
        <v>-94.714856883729297</v>
      </c>
      <c r="G1397" t="s">
        <v>15</v>
      </c>
      <c r="H1397" s="12" t="s">
        <v>17</v>
      </c>
      <c r="I1397">
        <v>1993</v>
      </c>
      <c r="J1397" t="s">
        <v>24</v>
      </c>
      <c r="K1397" s="2">
        <v>0</v>
      </c>
      <c r="M1397" s="20">
        <f>0.118*37*1000</f>
        <v>4366</v>
      </c>
      <c r="N1397" s="20">
        <f>0.061*37*1000</f>
        <v>2257</v>
      </c>
      <c r="O1397" s="8">
        <f>0.416*37*1000</f>
        <v>15392</v>
      </c>
      <c r="Z1397" t="s">
        <v>360</v>
      </c>
      <c r="AA1397" t="s">
        <v>366</v>
      </c>
    </row>
    <row r="1398" spans="1:27" x14ac:dyDescent="0.25">
      <c r="A1398" s="12">
        <v>128</v>
      </c>
      <c r="B1398">
        <v>6</v>
      </c>
      <c r="C1398">
        <f t="shared" si="146"/>
        <v>12806</v>
      </c>
      <c r="D1398" s="3" t="s">
        <v>86</v>
      </c>
      <c r="E1398">
        <v>27.66720117254</v>
      </c>
      <c r="F1398">
        <v>-94.331428722696103</v>
      </c>
      <c r="G1398" t="s">
        <v>15</v>
      </c>
      <c r="H1398" s="12" t="s">
        <v>17</v>
      </c>
      <c r="I1398">
        <v>1993</v>
      </c>
      <c r="J1398" t="s">
        <v>24</v>
      </c>
      <c r="K1398" s="2">
        <v>0</v>
      </c>
      <c r="M1398" s="20">
        <f>0.076*37*1000</f>
        <v>2812</v>
      </c>
      <c r="N1398" s="20">
        <f>0.066*37*1000</f>
        <v>2442</v>
      </c>
      <c r="O1398" s="8">
        <f>0.188*37*1000</f>
        <v>6956</v>
      </c>
      <c r="Z1398" t="s">
        <v>360</v>
      </c>
      <c r="AA1398" t="s">
        <v>366</v>
      </c>
    </row>
    <row r="1399" spans="1:27" x14ac:dyDescent="0.25">
      <c r="A1399" s="12">
        <v>128</v>
      </c>
      <c r="B1399">
        <v>2</v>
      </c>
      <c r="C1399">
        <f t="shared" si="146"/>
        <v>12802</v>
      </c>
      <c r="D1399" s="3" t="s">
        <v>86</v>
      </c>
      <c r="E1399">
        <v>27.7612178987143</v>
      </c>
      <c r="F1399">
        <v>-92.3074286720543</v>
      </c>
      <c r="G1399" t="s">
        <v>15</v>
      </c>
      <c r="H1399" s="12" t="s">
        <v>17</v>
      </c>
      <c r="I1399">
        <v>1993</v>
      </c>
      <c r="J1399" t="s">
        <v>24</v>
      </c>
      <c r="K1399" s="2">
        <v>0</v>
      </c>
      <c r="M1399" s="20">
        <f>0.048*37*1000</f>
        <v>1776</v>
      </c>
      <c r="N1399" s="20">
        <f>0.0045*37*1000</f>
        <v>166.49999999999997</v>
      </c>
      <c r="O1399" s="8">
        <f>0.281*37*1000</f>
        <v>10397</v>
      </c>
      <c r="Z1399" t="s">
        <v>360</v>
      </c>
      <c r="AA1399" t="s">
        <v>366</v>
      </c>
    </row>
    <row r="1400" spans="1:27" x14ac:dyDescent="0.25">
      <c r="A1400" s="12">
        <v>128</v>
      </c>
      <c r="B1400">
        <v>4</v>
      </c>
      <c r="C1400">
        <f t="shared" si="146"/>
        <v>12804</v>
      </c>
      <c r="D1400" s="3" t="s">
        <v>86</v>
      </c>
      <c r="E1400">
        <v>28.231303681466098</v>
      </c>
      <c r="F1400">
        <v>-92.565142747967101</v>
      </c>
      <c r="G1400" t="s">
        <v>15</v>
      </c>
      <c r="H1400" s="12" t="s">
        <v>17</v>
      </c>
      <c r="I1400">
        <v>1993</v>
      </c>
      <c r="J1400" t="s">
        <v>24</v>
      </c>
      <c r="K1400" s="2">
        <v>0</v>
      </c>
      <c r="M1400" s="20">
        <f>0.033*37*1000</f>
        <v>1221</v>
      </c>
      <c r="N1400" s="20">
        <f>0.007*37*1000</f>
        <v>259</v>
      </c>
      <c r="O1400" s="8">
        <f>0.275*37*1000</f>
        <v>10175</v>
      </c>
      <c r="Z1400" t="s">
        <v>360</v>
      </c>
      <c r="AA1400" t="s">
        <v>366</v>
      </c>
    </row>
    <row r="1401" spans="1:27" x14ac:dyDescent="0.25">
      <c r="A1401" s="12">
        <v>128</v>
      </c>
      <c r="B1401">
        <v>3</v>
      </c>
      <c r="C1401">
        <f t="shared" si="146"/>
        <v>12803</v>
      </c>
      <c r="D1401" s="3" t="s">
        <v>86</v>
      </c>
      <c r="E1401">
        <v>28.7951924059753</v>
      </c>
      <c r="F1401">
        <v>-92.213142964345494</v>
      </c>
      <c r="G1401" t="s">
        <v>15</v>
      </c>
      <c r="H1401" s="12" t="s">
        <v>17</v>
      </c>
      <c r="I1401">
        <v>1993</v>
      </c>
      <c r="J1401" t="s">
        <v>24</v>
      </c>
      <c r="K1401" s="2">
        <v>0</v>
      </c>
      <c r="M1401" s="20">
        <f>0.013*37*1000</f>
        <v>481</v>
      </c>
      <c r="N1401" s="20">
        <f>0.047*37*1000</f>
        <v>1739</v>
      </c>
      <c r="O1401" s="8">
        <f>0.035*37*1000</f>
        <v>1295.0000000000002</v>
      </c>
      <c r="Z1401" t="s">
        <v>360</v>
      </c>
      <c r="AA1401" t="s">
        <v>366</v>
      </c>
    </row>
    <row r="1402" spans="1:27" x14ac:dyDescent="0.25">
      <c r="A1402" s="12">
        <v>128</v>
      </c>
      <c r="B1402">
        <v>3</v>
      </c>
      <c r="C1402">
        <f t="shared" si="146"/>
        <v>12803</v>
      </c>
      <c r="D1402" s="3" t="s">
        <v>86</v>
      </c>
      <c r="E1402">
        <v>28.995192405975299</v>
      </c>
      <c r="F1402">
        <v>-92.213142964345494</v>
      </c>
      <c r="G1402" t="s">
        <v>15</v>
      </c>
      <c r="H1402" s="12" t="s">
        <v>17</v>
      </c>
      <c r="I1402">
        <v>1993</v>
      </c>
      <c r="J1402" t="s">
        <v>24</v>
      </c>
      <c r="K1402" s="2">
        <v>0</v>
      </c>
      <c r="M1402" s="20">
        <f>0.002*37*1000</f>
        <v>74</v>
      </c>
      <c r="N1402" s="20">
        <f>0.0055*37*1000</f>
        <v>203.5</v>
      </c>
      <c r="O1402" s="8">
        <f>0.024*37*1000</f>
        <v>888</v>
      </c>
      <c r="Z1402" t="s">
        <v>360</v>
      </c>
      <c r="AA1402" t="s">
        <v>366</v>
      </c>
    </row>
    <row r="1403" spans="1:27" x14ac:dyDescent="0.25">
      <c r="A1403" s="12">
        <v>129</v>
      </c>
      <c r="B1403">
        <v>1</v>
      </c>
      <c r="C1403">
        <f t="shared" si="146"/>
        <v>12901</v>
      </c>
      <c r="D1403" s="3" t="s">
        <v>87</v>
      </c>
      <c r="E1403" s="11">
        <f>29+18/3600</f>
        <v>29.004999999999999</v>
      </c>
      <c r="F1403" s="11">
        <f>48+54/60+53/3600</f>
        <v>48.914722222222224</v>
      </c>
      <c r="G1403" t="s">
        <v>388</v>
      </c>
      <c r="H1403" s="12" t="s">
        <v>364</v>
      </c>
      <c r="I1403">
        <v>2007</v>
      </c>
      <c r="J1403" t="s">
        <v>163</v>
      </c>
      <c r="K1403" s="2">
        <v>0</v>
      </c>
      <c r="M1403" s="20">
        <v>12.2</v>
      </c>
      <c r="N1403" s="3">
        <v>5.74</v>
      </c>
      <c r="Q1403" s="1">
        <v>25.1</v>
      </c>
      <c r="T1403" s="3">
        <v>0.5</v>
      </c>
      <c r="U1403" s="3" t="s">
        <v>14</v>
      </c>
      <c r="Y1403" s="3">
        <v>144.5</v>
      </c>
      <c r="Z1403" t="s">
        <v>365</v>
      </c>
      <c r="AA1403" t="s">
        <v>367</v>
      </c>
    </row>
    <row r="1404" spans="1:27" x14ac:dyDescent="0.25">
      <c r="A1404" s="12">
        <v>129</v>
      </c>
      <c r="B1404">
        <v>2</v>
      </c>
      <c r="C1404">
        <f t="shared" si="146"/>
        <v>12902</v>
      </c>
      <c r="D1404" s="3" t="s">
        <v>87</v>
      </c>
      <c r="E1404" s="11">
        <f>29+7/60+53/3600</f>
        <v>29.131388888888889</v>
      </c>
      <c r="F1404" s="11">
        <f>49+34/60</f>
        <v>49.56666666666667</v>
      </c>
      <c r="G1404" t="s">
        <v>388</v>
      </c>
      <c r="H1404" s="12" t="s">
        <v>364</v>
      </c>
      <c r="I1404">
        <v>2007</v>
      </c>
      <c r="J1404" t="s">
        <v>163</v>
      </c>
      <c r="K1404" s="2">
        <v>0</v>
      </c>
      <c r="M1404" s="20">
        <v>7</v>
      </c>
      <c r="N1404" s="3">
        <v>5</v>
      </c>
      <c r="Q1404" s="1">
        <v>18.5</v>
      </c>
      <c r="T1404" s="3">
        <v>0.4</v>
      </c>
      <c r="U1404" s="3" t="s">
        <v>14</v>
      </c>
      <c r="Y1404" s="3">
        <v>118.6</v>
      </c>
      <c r="Z1404" t="s">
        <v>365</v>
      </c>
      <c r="AA1404" t="s">
        <v>367</v>
      </c>
    </row>
    <row r="1405" spans="1:27" x14ac:dyDescent="0.25">
      <c r="A1405" s="12">
        <v>129</v>
      </c>
      <c r="B1405">
        <v>3</v>
      </c>
      <c r="C1405">
        <f t="shared" si="146"/>
        <v>12903</v>
      </c>
      <c r="D1405" s="3" t="s">
        <v>87</v>
      </c>
      <c r="E1405" s="11">
        <f>28+39/60+52/3600</f>
        <v>28.664444444444442</v>
      </c>
      <c r="F1405" s="11">
        <f>49+13/60+27/3600</f>
        <v>49.224166666666669</v>
      </c>
      <c r="G1405" t="s">
        <v>388</v>
      </c>
      <c r="H1405" s="12" t="s">
        <v>364</v>
      </c>
      <c r="I1405">
        <v>2007</v>
      </c>
      <c r="J1405" t="s">
        <v>163</v>
      </c>
      <c r="K1405" s="2">
        <v>0</v>
      </c>
      <c r="M1405" s="20">
        <v>8.4</v>
      </c>
      <c r="N1405" s="3">
        <v>4.3</v>
      </c>
      <c r="Q1405" s="1">
        <v>14.3</v>
      </c>
      <c r="T1405" s="3">
        <v>0.54</v>
      </c>
      <c r="U1405" s="3" t="s">
        <v>14</v>
      </c>
      <c r="Y1405" s="3">
        <v>118.8</v>
      </c>
      <c r="Z1405" t="s">
        <v>365</v>
      </c>
      <c r="AA1405" t="s">
        <v>367</v>
      </c>
    </row>
    <row r="1406" spans="1:27" x14ac:dyDescent="0.25">
      <c r="A1406" s="12">
        <v>129</v>
      </c>
      <c r="B1406">
        <v>4</v>
      </c>
      <c r="C1406">
        <f t="shared" si="146"/>
        <v>12904</v>
      </c>
      <c r="D1406" s="3" t="s">
        <v>87</v>
      </c>
      <c r="E1406" s="11">
        <f>28+52/60+49.4/3600</f>
        <v>28.880388888888888</v>
      </c>
      <c r="F1406" s="11">
        <f>50+4/60+31/3600</f>
        <v>50.075277777777778</v>
      </c>
      <c r="G1406" t="s">
        <v>388</v>
      </c>
      <c r="H1406" s="12" t="s">
        <v>364</v>
      </c>
      <c r="I1406">
        <v>2007</v>
      </c>
      <c r="J1406" t="s">
        <v>163</v>
      </c>
      <c r="K1406" s="2">
        <v>0</v>
      </c>
      <c r="M1406" s="20">
        <v>11.62</v>
      </c>
      <c r="N1406" s="3" t="s">
        <v>14</v>
      </c>
      <c r="Q1406" s="1">
        <v>30</v>
      </c>
      <c r="T1406" s="3">
        <v>0.7</v>
      </c>
      <c r="U1406" s="3" t="s">
        <v>14</v>
      </c>
      <c r="Y1406" s="3">
        <v>217.3</v>
      </c>
      <c r="Z1406" t="s">
        <v>365</v>
      </c>
      <c r="AA1406" t="s">
        <v>367</v>
      </c>
    </row>
    <row r="1407" spans="1:27" x14ac:dyDescent="0.25">
      <c r="A1407" s="12">
        <v>129</v>
      </c>
      <c r="B1407">
        <v>5</v>
      </c>
      <c r="C1407">
        <f t="shared" si="146"/>
        <v>12905</v>
      </c>
      <c r="D1407" s="3" t="s">
        <v>87</v>
      </c>
      <c r="E1407" s="11">
        <f>28+15/60+14/3600</f>
        <v>28.253888888888888</v>
      </c>
      <c r="F1407" s="11">
        <f>49+29/60</f>
        <v>49.483333333333334</v>
      </c>
      <c r="G1407" t="s">
        <v>388</v>
      </c>
      <c r="H1407" s="12" t="s">
        <v>364</v>
      </c>
      <c r="I1407">
        <v>2007</v>
      </c>
      <c r="J1407" t="s">
        <v>163</v>
      </c>
      <c r="K1407" s="2">
        <v>0</v>
      </c>
      <c r="M1407" s="20" t="s">
        <v>14</v>
      </c>
      <c r="N1407" s="3" t="s">
        <v>14</v>
      </c>
      <c r="Q1407" s="1">
        <v>4.4000000000000004</v>
      </c>
      <c r="T1407" s="3" t="s">
        <v>14</v>
      </c>
      <c r="U1407" s="3">
        <v>30</v>
      </c>
      <c r="Y1407" s="3">
        <v>4</v>
      </c>
      <c r="Z1407" t="s">
        <v>365</v>
      </c>
      <c r="AA1407" t="s">
        <v>367</v>
      </c>
    </row>
    <row r="1408" spans="1:27" x14ac:dyDescent="0.25">
      <c r="A1408" s="12">
        <v>129</v>
      </c>
      <c r="B1408">
        <v>6</v>
      </c>
      <c r="C1408">
        <f t="shared" si="146"/>
        <v>12906</v>
      </c>
      <c r="D1408" s="3" t="s">
        <v>87</v>
      </c>
      <c r="E1408" s="11">
        <f>28+23/60+28/3600</f>
        <v>28.391111111111112</v>
      </c>
      <c r="F1408" s="11">
        <f>49+55/60+2/3600</f>
        <v>49.917222222222222</v>
      </c>
      <c r="G1408" t="s">
        <v>388</v>
      </c>
      <c r="H1408" s="12" t="s">
        <v>364</v>
      </c>
      <c r="I1408">
        <v>2007</v>
      </c>
      <c r="J1408" t="s">
        <v>163</v>
      </c>
      <c r="K1408" s="2">
        <v>0</v>
      </c>
      <c r="M1408" s="20">
        <v>15</v>
      </c>
      <c r="N1408" s="3">
        <v>2</v>
      </c>
      <c r="Q1408" s="1">
        <v>38</v>
      </c>
      <c r="T1408" s="3">
        <v>1</v>
      </c>
      <c r="U1408" s="3" t="s">
        <v>14</v>
      </c>
      <c r="Y1408" s="3">
        <v>254</v>
      </c>
      <c r="Z1408" t="s">
        <v>365</v>
      </c>
      <c r="AA1408" t="s">
        <v>367</v>
      </c>
    </row>
    <row r="1409" spans="1:27" x14ac:dyDescent="0.25">
      <c r="A1409" s="12">
        <v>129</v>
      </c>
      <c r="B1409">
        <v>7</v>
      </c>
      <c r="C1409">
        <f t="shared" si="146"/>
        <v>12907</v>
      </c>
      <c r="D1409" s="3" t="s">
        <v>87</v>
      </c>
      <c r="E1409" s="11">
        <f>27+49/60+35/3600</f>
        <v>27.826388888888889</v>
      </c>
      <c r="F1409" s="11">
        <f>49+49/60+51/3600</f>
        <v>49.830833333333338</v>
      </c>
      <c r="G1409" t="s">
        <v>388</v>
      </c>
      <c r="H1409" s="12" t="s">
        <v>364</v>
      </c>
      <c r="I1409">
        <v>2007</v>
      </c>
      <c r="J1409" t="s">
        <v>163</v>
      </c>
      <c r="K1409" s="2">
        <v>0</v>
      </c>
      <c r="M1409" s="20">
        <v>11</v>
      </c>
      <c r="N1409" s="3">
        <v>10</v>
      </c>
      <c r="Q1409" s="1">
        <v>9</v>
      </c>
      <c r="T1409" s="3">
        <v>0.6</v>
      </c>
      <c r="U1409" s="3">
        <v>157.30000000000001</v>
      </c>
      <c r="Y1409" s="3">
        <v>159</v>
      </c>
      <c r="Z1409" t="s">
        <v>365</v>
      </c>
      <c r="AA1409" t="s">
        <v>367</v>
      </c>
    </row>
    <row r="1410" spans="1:27" x14ac:dyDescent="0.25">
      <c r="A1410" s="12">
        <v>129</v>
      </c>
      <c r="B1410">
        <v>8</v>
      </c>
      <c r="C1410">
        <f t="shared" si="146"/>
        <v>12908</v>
      </c>
      <c r="D1410" s="3" t="s">
        <v>87</v>
      </c>
      <c r="E1410" s="11">
        <f>27+36/60+5/3600</f>
        <v>27.601388888888891</v>
      </c>
      <c r="F1410" s="11">
        <f>50+19/60+37.3/3600</f>
        <v>50.327027777777779</v>
      </c>
      <c r="G1410" t="s">
        <v>388</v>
      </c>
      <c r="H1410" s="12" t="s">
        <v>364</v>
      </c>
      <c r="I1410">
        <v>2007</v>
      </c>
      <c r="J1410" t="s">
        <v>163</v>
      </c>
      <c r="K1410" s="2">
        <v>0</v>
      </c>
      <c r="M1410" s="20">
        <v>9.4</v>
      </c>
      <c r="N1410" s="3">
        <v>7.1</v>
      </c>
      <c r="Q1410" s="1">
        <v>29</v>
      </c>
      <c r="T1410" s="3">
        <v>0.73</v>
      </c>
      <c r="U1410" s="3">
        <v>130.1</v>
      </c>
      <c r="Y1410" s="3">
        <v>150</v>
      </c>
      <c r="Z1410" t="s">
        <v>365</v>
      </c>
      <c r="AA1410" t="s">
        <v>367</v>
      </c>
    </row>
    <row r="1411" spans="1:27" x14ac:dyDescent="0.25">
      <c r="A1411" s="12">
        <v>129</v>
      </c>
      <c r="B1411">
        <v>9</v>
      </c>
      <c r="C1411">
        <f t="shared" ref="C1411:C1441" si="147">A1411*100+B1411</f>
        <v>12909</v>
      </c>
      <c r="D1411" s="3" t="s">
        <v>87</v>
      </c>
      <c r="E1411" s="11">
        <f>27+46/60+27/3600</f>
        <v>27.774166666666666</v>
      </c>
      <c r="F1411" s="11">
        <f>50+49/60+54/3600</f>
        <v>50.831666666666671</v>
      </c>
      <c r="G1411" t="s">
        <v>388</v>
      </c>
      <c r="H1411" s="12" t="s">
        <v>364</v>
      </c>
      <c r="I1411">
        <v>2007</v>
      </c>
      <c r="J1411" t="s">
        <v>163</v>
      </c>
      <c r="K1411" s="2">
        <v>0</v>
      </c>
      <c r="M1411" s="20">
        <v>20.13</v>
      </c>
      <c r="N1411" s="3">
        <v>1.8</v>
      </c>
      <c r="Q1411" s="1">
        <v>40.5</v>
      </c>
      <c r="T1411" s="3">
        <v>1.2</v>
      </c>
      <c r="U1411" s="3" t="s">
        <v>14</v>
      </c>
      <c r="Y1411" s="3">
        <v>337</v>
      </c>
      <c r="Z1411" t="s">
        <v>365</v>
      </c>
      <c r="AA1411" t="s">
        <v>367</v>
      </c>
    </row>
    <row r="1412" spans="1:27" x14ac:dyDescent="0.25">
      <c r="A1412" s="12">
        <v>129</v>
      </c>
      <c r="B1412">
        <v>10</v>
      </c>
      <c r="C1412">
        <f t="shared" si="147"/>
        <v>12910</v>
      </c>
      <c r="D1412" s="3" t="s">
        <v>87</v>
      </c>
      <c r="E1412" s="11">
        <f>27+13/60+4.3/3600</f>
        <v>27.217861111111109</v>
      </c>
      <c r="F1412" s="11">
        <f>50+37/60+26/3600</f>
        <v>50.623888888888892</v>
      </c>
      <c r="G1412" t="s">
        <v>388</v>
      </c>
      <c r="H1412" s="12" t="s">
        <v>364</v>
      </c>
      <c r="I1412">
        <v>2007</v>
      </c>
      <c r="J1412" t="s">
        <v>163</v>
      </c>
      <c r="K1412" s="2">
        <v>0</v>
      </c>
      <c r="M1412" s="20">
        <v>5.5</v>
      </c>
      <c r="N1412" s="3">
        <v>4.5999999999999996</v>
      </c>
      <c r="Q1412" s="1">
        <v>22</v>
      </c>
      <c r="T1412" s="3">
        <v>0.32</v>
      </c>
      <c r="U1412" s="3" t="s">
        <v>14</v>
      </c>
      <c r="Y1412" s="3">
        <v>90.5</v>
      </c>
      <c r="Z1412" t="s">
        <v>365</v>
      </c>
      <c r="AA1412" t="s">
        <v>367</v>
      </c>
    </row>
    <row r="1413" spans="1:27" x14ac:dyDescent="0.25">
      <c r="A1413" s="12">
        <v>129</v>
      </c>
      <c r="B1413">
        <v>11</v>
      </c>
      <c r="C1413">
        <f t="shared" si="147"/>
        <v>12911</v>
      </c>
      <c r="D1413" s="3" t="s">
        <v>87</v>
      </c>
      <c r="E1413" s="11">
        <f>27+24/60+9.5/3600</f>
        <v>27.402638888888887</v>
      </c>
      <c r="F1413" s="11">
        <f>51+24/60+27.2/3600</f>
        <v>51.407555555555554</v>
      </c>
      <c r="G1413" t="s">
        <v>388</v>
      </c>
      <c r="H1413" s="12" t="s">
        <v>364</v>
      </c>
      <c r="I1413">
        <v>2007</v>
      </c>
      <c r="J1413" t="s">
        <v>163</v>
      </c>
      <c r="K1413" s="2">
        <v>0</v>
      </c>
      <c r="M1413" s="20">
        <v>28</v>
      </c>
      <c r="N1413" s="3">
        <v>6</v>
      </c>
      <c r="Q1413" s="1">
        <v>36.5</v>
      </c>
      <c r="T1413" s="3">
        <v>1.6</v>
      </c>
      <c r="U1413" s="3" t="s">
        <v>14</v>
      </c>
      <c r="Y1413" s="3">
        <v>471</v>
      </c>
      <c r="Z1413" t="s">
        <v>365</v>
      </c>
      <c r="AA1413" t="s">
        <v>367</v>
      </c>
    </row>
    <row r="1414" spans="1:27" x14ac:dyDescent="0.25">
      <c r="A1414" s="12">
        <v>129</v>
      </c>
      <c r="B1414">
        <v>12</v>
      </c>
      <c r="C1414">
        <f t="shared" si="147"/>
        <v>12912</v>
      </c>
      <c r="D1414" s="3" t="s">
        <v>87</v>
      </c>
      <c r="E1414" s="11">
        <f>26+29/60</f>
        <v>26.483333333333334</v>
      </c>
      <c r="F1414" s="11">
        <f>51+40/60+35/3600</f>
        <v>51.676388888888887</v>
      </c>
      <c r="G1414" t="s">
        <v>388</v>
      </c>
      <c r="H1414" s="12" t="s">
        <v>364</v>
      </c>
      <c r="I1414">
        <v>2007</v>
      </c>
      <c r="J1414" t="s">
        <v>163</v>
      </c>
      <c r="K1414" s="2">
        <v>0</v>
      </c>
      <c r="M1414" s="20">
        <v>6.7</v>
      </c>
      <c r="N1414" s="3">
        <v>4.5</v>
      </c>
      <c r="Q1414" s="1">
        <v>17.399999999999999</v>
      </c>
      <c r="T1414" s="3">
        <v>0.3</v>
      </c>
      <c r="U1414" s="3">
        <v>211</v>
      </c>
      <c r="Y1414" s="3" t="s">
        <v>14</v>
      </c>
      <c r="Z1414" t="s">
        <v>365</v>
      </c>
      <c r="AA1414" t="s">
        <v>367</v>
      </c>
    </row>
    <row r="1415" spans="1:27" x14ac:dyDescent="0.25">
      <c r="A1415" s="12">
        <v>129</v>
      </c>
      <c r="B1415">
        <v>13</v>
      </c>
      <c r="C1415">
        <f t="shared" si="147"/>
        <v>12913</v>
      </c>
      <c r="D1415" s="3" t="s">
        <v>87</v>
      </c>
      <c r="E1415" s="11">
        <f>25+48/60+27/3600</f>
        <v>25.807500000000001</v>
      </c>
      <c r="F1415" s="11">
        <f>52+37/60+13/3600</f>
        <v>52.62027777777778</v>
      </c>
      <c r="G1415" t="s">
        <v>388</v>
      </c>
      <c r="H1415" s="12" t="s">
        <v>364</v>
      </c>
      <c r="I1415">
        <v>2007</v>
      </c>
      <c r="J1415" t="s">
        <v>163</v>
      </c>
      <c r="K1415" s="2">
        <v>0</v>
      </c>
      <c r="M1415" s="20">
        <v>12.7</v>
      </c>
      <c r="N1415" s="3">
        <v>3</v>
      </c>
      <c r="Q1415" s="1">
        <v>14</v>
      </c>
      <c r="T1415" s="3">
        <v>0.7</v>
      </c>
      <c r="U1415" s="3" t="s">
        <v>14</v>
      </c>
      <c r="Y1415" s="3">
        <v>152</v>
      </c>
      <c r="Z1415" t="s">
        <v>365</v>
      </c>
      <c r="AA1415" t="s">
        <v>367</v>
      </c>
    </row>
    <row r="1416" spans="1:27" x14ac:dyDescent="0.25">
      <c r="A1416" s="12">
        <v>129</v>
      </c>
      <c r="B1416">
        <v>14</v>
      </c>
      <c r="C1416">
        <f t="shared" si="147"/>
        <v>12914</v>
      </c>
      <c r="D1416" s="3" t="s">
        <v>87</v>
      </c>
      <c r="E1416" s="11">
        <f>25+9/60+38.4/3600</f>
        <v>25.160666666666664</v>
      </c>
      <c r="F1416" s="11">
        <f>53+41/60+27.6/3600</f>
        <v>53.690999999999995</v>
      </c>
      <c r="G1416" t="s">
        <v>388</v>
      </c>
      <c r="H1416" s="12" t="s">
        <v>364</v>
      </c>
      <c r="I1416">
        <v>2007</v>
      </c>
      <c r="J1416" t="s">
        <v>163</v>
      </c>
      <c r="K1416" s="2">
        <v>0</v>
      </c>
      <c r="M1416" s="20">
        <v>5</v>
      </c>
      <c r="N1416" s="3">
        <v>4.5</v>
      </c>
      <c r="Q1416" s="1">
        <v>22</v>
      </c>
      <c r="T1416" s="3">
        <v>0.3</v>
      </c>
      <c r="U1416" s="3">
        <v>106</v>
      </c>
      <c r="Y1416" s="3">
        <v>88.2</v>
      </c>
      <c r="Z1416" t="s">
        <v>365</v>
      </c>
      <c r="AA1416" t="s">
        <v>367</v>
      </c>
    </row>
    <row r="1417" spans="1:27" x14ac:dyDescent="0.25">
      <c r="A1417" s="12">
        <v>129</v>
      </c>
      <c r="B1417">
        <v>15</v>
      </c>
      <c r="C1417">
        <f t="shared" si="147"/>
        <v>12915</v>
      </c>
      <c r="D1417" s="3" t="s">
        <v>87</v>
      </c>
      <c r="E1417" s="11">
        <f>25+38/60+32/3600</f>
        <v>25.642222222222223</v>
      </c>
      <c r="F1417" s="11">
        <f>54+46/60+13.4/3600</f>
        <v>54.770388888888888</v>
      </c>
      <c r="G1417" t="s">
        <v>388</v>
      </c>
      <c r="H1417" s="12" t="s">
        <v>364</v>
      </c>
      <c r="I1417">
        <v>2007</v>
      </c>
      <c r="J1417" t="s">
        <v>163</v>
      </c>
      <c r="K1417" s="2">
        <v>0</v>
      </c>
      <c r="M1417" s="20">
        <v>15.3</v>
      </c>
      <c r="N1417" s="3" t="s">
        <v>14</v>
      </c>
      <c r="Q1417" s="1">
        <v>43.7</v>
      </c>
      <c r="T1417" s="3">
        <v>1</v>
      </c>
      <c r="U1417" s="3" t="s">
        <v>14</v>
      </c>
      <c r="Y1417" s="3">
        <v>324</v>
      </c>
      <c r="Z1417" t="s">
        <v>365</v>
      </c>
      <c r="AA1417" t="s">
        <v>367</v>
      </c>
    </row>
    <row r="1418" spans="1:27" x14ac:dyDescent="0.25">
      <c r="A1418" s="12">
        <v>130</v>
      </c>
      <c r="B1418">
        <v>1</v>
      </c>
      <c r="C1418">
        <f t="shared" si="147"/>
        <v>13001</v>
      </c>
      <c r="D1418" s="3" t="s">
        <v>87</v>
      </c>
      <c r="E1418" s="11">
        <f>5+8/60+49/3600</f>
        <v>5.1469444444444452</v>
      </c>
      <c r="F1418" s="11">
        <f>103+37/60</f>
        <v>103.61666666666666</v>
      </c>
      <c r="G1418" t="s">
        <v>369</v>
      </c>
      <c r="H1418" s="12" t="s">
        <v>370</v>
      </c>
      <c r="I1418">
        <v>2004</v>
      </c>
      <c r="J1418" t="s">
        <v>368</v>
      </c>
      <c r="K1418" s="2">
        <v>0</v>
      </c>
      <c r="M1418" s="20">
        <v>51</v>
      </c>
      <c r="N1418" s="20">
        <v>58</v>
      </c>
      <c r="Z1418" t="s">
        <v>371</v>
      </c>
      <c r="AA1418" t="s">
        <v>372</v>
      </c>
    </row>
    <row r="1419" spans="1:27" x14ac:dyDescent="0.25">
      <c r="A1419" s="12">
        <v>131</v>
      </c>
      <c r="B1419">
        <v>1</v>
      </c>
      <c r="C1419">
        <f t="shared" si="147"/>
        <v>13101</v>
      </c>
      <c r="D1419" s="3" t="s">
        <v>87</v>
      </c>
      <c r="E1419" s="11">
        <f>26+47/60+21/3600</f>
        <v>26.789166666666667</v>
      </c>
      <c r="F1419" s="11">
        <f>51+44/60+58/3600</f>
        <v>51.749444444444443</v>
      </c>
      <c r="G1419" t="s">
        <v>259</v>
      </c>
      <c r="H1419" s="12" t="s">
        <v>364</v>
      </c>
      <c r="I1419" s="38" t="s">
        <v>377</v>
      </c>
      <c r="J1419" t="s">
        <v>378</v>
      </c>
      <c r="K1419" s="2">
        <v>0</v>
      </c>
      <c r="V1419" s="3">
        <v>3.3</v>
      </c>
      <c r="Z1419" t="s">
        <v>389</v>
      </c>
      <c r="AA1419" t="s">
        <v>390</v>
      </c>
    </row>
    <row r="1420" spans="1:27" x14ac:dyDescent="0.25">
      <c r="A1420" s="12">
        <v>131</v>
      </c>
      <c r="B1420">
        <v>1</v>
      </c>
      <c r="C1420">
        <f t="shared" si="147"/>
        <v>13101</v>
      </c>
      <c r="D1420" s="3" t="s">
        <v>87</v>
      </c>
      <c r="E1420" s="11">
        <f t="shared" ref="E1420:E1428" si="148">26+47/60+21/3600</f>
        <v>26.789166666666667</v>
      </c>
      <c r="F1420" s="11">
        <f t="shared" ref="F1420:F1428" si="149">51+44/60+58/3600</f>
        <v>51.749444444444443</v>
      </c>
      <c r="G1420" t="s">
        <v>259</v>
      </c>
      <c r="H1420" s="12" t="s">
        <v>364</v>
      </c>
      <c r="I1420" s="38" t="s">
        <v>377</v>
      </c>
      <c r="J1420" t="s">
        <v>379</v>
      </c>
      <c r="K1420" s="2">
        <v>0</v>
      </c>
      <c r="V1420" s="3">
        <v>2.544</v>
      </c>
      <c r="Z1420" t="s">
        <v>389</v>
      </c>
      <c r="AA1420" t="s">
        <v>390</v>
      </c>
    </row>
    <row r="1421" spans="1:27" x14ac:dyDescent="0.25">
      <c r="A1421" s="12">
        <v>131</v>
      </c>
      <c r="B1421">
        <v>1</v>
      </c>
      <c r="C1421">
        <f t="shared" si="147"/>
        <v>13101</v>
      </c>
      <c r="D1421" s="3" t="s">
        <v>87</v>
      </c>
      <c r="E1421" s="11">
        <f t="shared" si="148"/>
        <v>26.789166666666667</v>
      </c>
      <c r="F1421" s="11">
        <f t="shared" si="149"/>
        <v>51.749444444444443</v>
      </c>
      <c r="G1421" t="s">
        <v>259</v>
      </c>
      <c r="H1421" s="12" t="s">
        <v>364</v>
      </c>
      <c r="I1421" s="38" t="s">
        <v>377</v>
      </c>
      <c r="J1421" t="s">
        <v>380</v>
      </c>
      <c r="K1421" s="2">
        <v>0</v>
      </c>
      <c r="V1421" s="3">
        <v>2.4</v>
      </c>
      <c r="Z1421" t="s">
        <v>389</v>
      </c>
      <c r="AA1421" t="s">
        <v>390</v>
      </c>
    </row>
    <row r="1422" spans="1:27" x14ac:dyDescent="0.25">
      <c r="A1422" s="12">
        <v>131</v>
      </c>
      <c r="B1422">
        <v>1</v>
      </c>
      <c r="C1422">
        <f t="shared" si="147"/>
        <v>13101</v>
      </c>
      <c r="D1422" s="3" t="s">
        <v>87</v>
      </c>
      <c r="E1422" s="11">
        <f t="shared" si="148"/>
        <v>26.789166666666667</v>
      </c>
      <c r="F1422" s="11">
        <f t="shared" si="149"/>
        <v>51.749444444444443</v>
      </c>
      <c r="G1422" t="s">
        <v>259</v>
      </c>
      <c r="H1422" s="12" t="s">
        <v>364</v>
      </c>
      <c r="I1422" s="38" t="s">
        <v>377</v>
      </c>
      <c r="J1422" t="s">
        <v>381</v>
      </c>
      <c r="K1422" s="2">
        <v>0</v>
      </c>
      <c r="V1422" s="3">
        <v>2.29</v>
      </c>
      <c r="Z1422" t="s">
        <v>389</v>
      </c>
      <c r="AA1422" t="s">
        <v>390</v>
      </c>
    </row>
    <row r="1423" spans="1:27" x14ac:dyDescent="0.25">
      <c r="A1423" s="12">
        <v>131</v>
      </c>
      <c r="B1423">
        <v>1</v>
      </c>
      <c r="C1423">
        <f t="shared" si="147"/>
        <v>13101</v>
      </c>
      <c r="D1423" s="3" t="s">
        <v>87</v>
      </c>
      <c r="E1423" s="11">
        <f t="shared" si="148"/>
        <v>26.789166666666667</v>
      </c>
      <c r="F1423" s="11">
        <f t="shared" si="149"/>
        <v>51.749444444444443</v>
      </c>
      <c r="G1423" t="s">
        <v>259</v>
      </c>
      <c r="H1423" s="12" t="s">
        <v>364</v>
      </c>
      <c r="I1423" s="38" t="s">
        <v>377</v>
      </c>
      <c r="J1423" t="s">
        <v>382</v>
      </c>
      <c r="K1423" s="2">
        <v>0</v>
      </c>
      <c r="V1423" s="3">
        <v>1.6040000000000001</v>
      </c>
      <c r="Z1423" t="s">
        <v>389</v>
      </c>
      <c r="AA1423" t="s">
        <v>390</v>
      </c>
    </row>
    <row r="1424" spans="1:27" x14ac:dyDescent="0.25">
      <c r="A1424" s="12">
        <v>131</v>
      </c>
      <c r="B1424">
        <v>1</v>
      </c>
      <c r="C1424">
        <f t="shared" si="147"/>
        <v>13101</v>
      </c>
      <c r="D1424" s="3" t="s">
        <v>87</v>
      </c>
      <c r="E1424" s="11">
        <f t="shared" si="148"/>
        <v>26.789166666666667</v>
      </c>
      <c r="F1424" s="11">
        <f t="shared" si="149"/>
        <v>51.749444444444443</v>
      </c>
      <c r="G1424" t="s">
        <v>259</v>
      </c>
      <c r="H1424" s="12" t="s">
        <v>364</v>
      </c>
      <c r="I1424" s="38" t="s">
        <v>377</v>
      </c>
      <c r="J1424" t="s">
        <v>383</v>
      </c>
      <c r="K1424" s="2">
        <v>0</v>
      </c>
      <c r="V1424" s="3">
        <v>1.46</v>
      </c>
      <c r="Z1424" t="s">
        <v>389</v>
      </c>
      <c r="AA1424" t="s">
        <v>390</v>
      </c>
    </row>
    <row r="1425" spans="1:27" x14ac:dyDescent="0.25">
      <c r="A1425" s="12">
        <v>131</v>
      </c>
      <c r="B1425">
        <v>1</v>
      </c>
      <c r="C1425">
        <f t="shared" si="147"/>
        <v>13101</v>
      </c>
      <c r="D1425" s="3" t="s">
        <v>87</v>
      </c>
      <c r="E1425" s="11">
        <f t="shared" si="148"/>
        <v>26.789166666666667</v>
      </c>
      <c r="F1425" s="11">
        <f t="shared" si="149"/>
        <v>51.749444444444443</v>
      </c>
      <c r="G1425" t="s">
        <v>259</v>
      </c>
      <c r="H1425" s="12" t="s">
        <v>364</v>
      </c>
      <c r="I1425" s="38" t="s">
        <v>377</v>
      </c>
      <c r="J1425" t="s">
        <v>384</v>
      </c>
      <c r="K1425" s="2">
        <v>0</v>
      </c>
      <c r="V1425" s="3">
        <v>0.69</v>
      </c>
      <c r="Z1425" t="s">
        <v>389</v>
      </c>
      <c r="AA1425" t="s">
        <v>390</v>
      </c>
    </row>
    <row r="1426" spans="1:27" x14ac:dyDescent="0.25">
      <c r="A1426" s="12">
        <v>131</v>
      </c>
      <c r="B1426">
        <v>1</v>
      </c>
      <c r="C1426">
        <f t="shared" si="147"/>
        <v>13101</v>
      </c>
      <c r="D1426" s="3" t="s">
        <v>87</v>
      </c>
      <c r="E1426" s="11">
        <f t="shared" si="148"/>
        <v>26.789166666666667</v>
      </c>
      <c r="F1426" s="11">
        <f t="shared" si="149"/>
        <v>51.749444444444443</v>
      </c>
      <c r="G1426" t="s">
        <v>259</v>
      </c>
      <c r="H1426" s="12" t="s">
        <v>364</v>
      </c>
      <c r="I1426" s="38" t="s">
        <v>377</v>
      </c>
      <c r="J1426" t="s">
        <v>385</v>
      </c>
      <c r="K1426" s="2">
        <v>0</v>
      </c>
      <c r="V1426" s="3">
        <v>0.66600000000000004</v>
      </c>
      <c r="Z1426" t="s">
        <v>389</v>
      </c>
      <c r="AA1426" t="s">
        <v>390</v>
      </c>
    </row>
    <row r="1427" spans="1:27" x14ac:dyDescent="0.25">
      <c r="A1427" s="12">
        <v>131</v>
      </c>
      <c r="B1427">
        <v>1</v>
      </c>
      <c r="C1427">
        <f t="shared" si="147"/>
        <v>13101</v>
      </c>
      <c r="D1427" s="3" t="s">
        <v>87</v>
      </c>
      <c r="E1427" s="11">
        <f t="shared" si="148"/>
        <v>26.789166666666667</v>
      </c>
      <c r="F1427" s="11">
        <f t="shared" si="149"/>
        <v>51.749444444444443</v>
      </c>
      <c r="G1427" t="s">
        <v>259</v>
      </c>
      <c r="H1427" s="12" t="s">
        <v>364</v>
      </c>
      <c r="I1427" s="38" t="s">
        <v>377</v>
      </c>
      <c r="J1427" t="s">
        <v>386</v>
      </c>
      <c r="K1427" s="2">
        <v>0</v>
      </c>
      <c r="V1427" s="3">
        <v>0.373</v>
      </c>
      <c r="Z1427" t="s">
        <v>389</v>
      </c>
      <c r="AA1427" t="s">
        <v>390</v>
      </c>
    </row>
    <row r="1428" spans="1:27" x14ac:dyDescent="0.25">
      <c r="A1428" s="12">
        <v>131</v>
      </c>
      <c r="B1428">
        <v>1</v>
      </c>
      <c r="C1428">
        <f t="shared" si="147"/>
        <v>13101</v>
      </c>
      <c r="D1428" s="3" t="s">
        <v>87</v>
      </c>
      <c r="E1428" s="11">
        <f t="shared" si="148"/>
        <v>26.789166666666667</v>
      </c>
      <c r="F1428" s="11">
        <f t="shared" si="149"/>
        <v>51.749444444444443</v>
      </c>
      <c r="G1428" t="s">
        <v>259</v>
      </c>
      <c r="H1428" s="12" t="s">
        <v>364</v>
      </c>
      <c r="I1428" s="38" t="s">
        <v>377</v>
      </c>
      <c r="J1428" t="s">
        <v>387</v>
      </c>
      <c r="K1428" s="2">
        <v>0</v>
      </c>
      <c r="V1428" s="3">
        <v>8.8999999999999996E-2</v>
      </c>
      <c r="Z1428" t="s">
        <v>389</v>
      </c>
      <c r="AA1428" t="s">
        <v>390</v>
      </c>
    </row>
    <row r="1429" spans="1:27" x14ac:dyDescent="0.25">
      <c r="A1429" s="12">
        <v>132</v>
      </c>
      <c r="B1429">
        <v>1</v>
      </c>
      <c r="C1429">
        <f t="shared" si="147"/>
        <v>13201</v>
      </c>
      <c r="D1429" s="3" t="s">
        <v>86</v>
      </c>
      <c r="E1429">
        <v>29.064236902050101</v>
      </c>
      <c r="F1429">
        <v>48.144776119402898</v>
      </c>
      <c r="G1429" t="s">
        <v>259</v>
      </c>
      <c r="H1429" s="12" t="s">
        <v>364</v>
      </c>
      <c r="I1429">
        <v>2013</v>
      </c>
      <c r="J1429" t="s">
        <v>391</v>
      </c>
      <c r="K1429" s="2">
        <v>0</v>
      </c>
      <c r="V1429" s="3">
        <v>11.375</v>
      </c>
      <c r="Z1429" t="s">
        <v>394</v>
      </c>
      <c r="AA1429" t="s">
        <v>395</v>
      </c>
    </row>
    <row r="1430" spans="1:27" x14ac:dyDescent="0.25">
      <c r="A1430" s="12">
        <v>132</v>
      </c>
      <c r="B1430">
        <v>2</v>
      </c>
      <c r="C1430">
        <f t="shared" si="147"/>
        <v>13202</v>
      </c>
      <c r="D1430" s="3" t="s">
        <v>86</v>
      </c>
      <c r="E1430">
        <v>29.015034168564899</v>
      </c>
      <c r="F1430">
        <v>48.177611940298497</v>
      </c>
      <c r="G1430" t="s">
        <v>259</v>
      </c>
      <c r="H1430" s="12" t="s">
        <v>364</v>
      </c>
      <c r="I1430">
        <v>2013</v>
      </c>
      <c r="J1430" t="s">
        <v>391</v>
      </c>
      <c r="K1430" s="2">
        <v>0</v>
      </c>
      <c r="V1430" s="3">
        <v>56.515000000000001</v>
      </c>
      <c r="Z1430" t="s">
        <v>394</v>
      </c>
      <c r="AA1430" t="s">
        <v>395</v>
      </c>
    </row>
    <row r="1431" spans="1:27" x14ac:dyDescent="0.25">
      <c r="A1431" s="12">
        <v>132</v>
      </c>
      <c r="B1431">
        <v>3</v>
      </c>
      <c r="C1431">
        <f t="shared" si="147"/>
        <v>13203</v>
      </c>
      <c r="D1431" s="3" t="s">
        <v>86</v>
      </c>
      <c r="E1431">
        <v>29.370387243735699</v>
      </c>
      <c r="F1431">
        <v>47.816417910447697</v>
      </c>
      <c r="G1431" t="s">
        <v>259</v>
      </c>
      <c r="H1431" s="12" t="s">
        <v>364</v>
      </c>
      <c r="I1431">
        <v>2013</v>
      </c>
      <c r="J1431" t="s">
        <v>392</v>
      </c>
      <c r="K1431" s="2">
        <v>0</v>
      </c>
      <c r="V1431" s="3">
        <v>204.55500000000001</v>
      </c>
      <c r="Z1431" t="s">
        <v>394</v>
      </c>
      <c r="AA1431" t="s">
        <v>395</v>
      </c>
    </row>
    <row r="1432" spans="1:27" x14ac:dyDescent="0.25">
      <c r="A1432" s="12">
        <v>132</v>
      </c>
      <c r="B1432">
        <v>4</v>
      </c>
      <c r="C1432">
        <f t="shared" si="147"/>
        <v>13204</v>
      </c>
      <c r="D1432" s="3" t="s">
        <v>86</v>
      </c>
      <c r="E1432">
        <v>28.719817767653701</v>
      </c>
      <c r="F1432">
        <v>48.362686567164097</v>
      </c>
      <c r="G1432" t="s">
        <v>259</v>
      </c>
      <c r="H1432" s="12" t="s">
        <v>364</v>
      </c>
      <c r="I1432">
        <v>2013</v>
      </c>
      <c r="J1432" t="s">
        <v>392</v>
      </c>
      <c r="K1432" s="2">
        <v>0</v>
      </c>
      <c r="V1432" s="3">
        <v>60</v>
      </c>
      <c r="Z1432" t="s">
        <v>394</v>
      </c>
      <c r="AA1432" t="s">
        <v>395</v>
      </c>
    </row>
    <row r="1433" spans="1:27" x14ac:dyDescent="0.25">
      <c r="A1433" s="12">
        <v>132</v>
      </c>
      <c r="B1433">
        <v>5</v>
      </c>
      <c r="C1433">
        <f t="shared" si="147"/>
        <v>13205</v>
      </c>
      <c r="D1433" s="3" t="s">
        <v>86</v>
      </c>
      <c r="E1433">
        <v>29.351252847380401</v>
      </c>
      <c r="F1433">
        <v>48.0492537313432</v>
      </c>
      <c r="G1433" t="s">
        <v>259</v>
      </c>
      <c r="H1433" s="12" t="s">
        <v>364</v>
      </c>
      <c r="I1433">
        <v>2013</v>
      </c>
      <c r="J1433" t="s">
        <v>392</v>
      </c>
      <c r="K1433" s="2">
        <v>0</v>
      </c>
      <c r="V1433" s="3">
        <v>48.585000000000001</v>
      </c>
      <c r="Z1433" t="s">
        <v>394</v>
      </c>
      <c r="AA1433" t="s">
        <v>395</v>
      </c>
    </row>
    <row r="1434" spans="1:27" x14ac:dyDescent="0.25">
      <c r="A1434" s="12">
        <v>132</v>
      </c>
      <c r="B1434">
        <v>6</v>
      </c>
      <c r="C1434">
        <f t="shared" si="147"/>
        <v>13206</v>
      </c>
      <c r="D1434" s="3" t="s">
        <v>86</v>
      </c>
      <c r="E1434">
        <v>28.421867881548899</v>
      </c>
      <c r="F1434">
        <v>48.517910447761103</v>
      </c>
      <c r="G1434" t="s">
        <v>259</v>
      </c>
      <c r="H1434" s="12" t="s">
        <v>364</v>
      </c>
      <c r="I1434">
        <v>2013</v>
      </c>
      <c r="J1434" t="s">
        <v>393</v>
      </c>
      <c r="K1434" s="2">
        <v>0</v>
      </c>
      <c r="V1434" s="3">
        <v>46.255000000000003</v>
      </c>
      <c r="Z1434" t="s">
        <v>394</v>
      </c>
      <c r="AA1434" t="s">
        <v>395</v>
      </c>
    </row>
    <row r="1435" spans="1:27" x14ac:dyDescent="0.25">
      <c r="A1435" s="12">
        <v>133</v>
      </c>
      <c r="B1435">
        <v>1</v>
      </c>
      <c r="C1435">
        <f t="shared" si="147"/>
        <v>13301</v>
      </c>
      <c r="D1435" t="s">
        <v>86</v>
      </c>
      <c r="E1435">
        <v>29.627467105263101</v>
      </c>
      <c r="F1435">
        <v>48.403654485049799</v>
      </c>
      <c r="G1435" t="s">
        <v>259</v>
      </c>
      <c r="H1435" t="s">
        <v>258</v>
      </c>
      <c r="I1435">
        <v>2013</v>
      </c>
      <c r="J1435" t="s">
        <v>20</v>
      </c>
      <c r="K1435" s="2">
        <v>0</v>
      </c>
      <c r="M1435" s="20">
        <v>18.3</v>
      </c>
      <c r="N1435" s="20">
        <v>18.8</v>
      </c>
      <c r="O1435" s="8">
        <v>48.8</v>
      </c>
      <c r="Q1435" s="1">
        <v>388</v>
      </c>
      <c r="S1435" s="3">
        <v>302.60000000000002</v>
      </c>
      <c r="T1435" s="3">
        <v>1.19</v>
      </c>
      <c r="U1435" s="3">
        <v>26.6</v>
      </c>
      <c r="Z1435" t="s">
        <v>399</v>
      </c>
      <c r="AA1435" t="s">
        <v>396</v>
      </c>
    </row>
    <row r="1436" spans="1:27" x14ac:dyDescent="0.25">
      <c r="A1436" s="12">
        <v>133</v>
      </c>
      <c r="B1436">
        <v>2</v>
      </c>
      <c r="C1436">
        <f t="shared" si="147"/>
        <v>13302</v>
      </c>
      <c r="D1436" t="s">
        <v>86</v>
      </c>
      <c r="E1436">
        <v>29.533717105263101</v>
      </c>
      <c r="F1436">
        <v>48.027408637873698</v>
      </c>
      <c r="G1436" t="s">
        <v>259</v>
      </c>
      <c r="H1436" t="s">
        <v>258</v>
      </c>
      <c r="I1436">
        <v>2013</v>
      </c>
      <c r="J1436" t="s">
        <v>20</v>
      </c>
      <c r="K1436" s="2">
        <v>0</v>
      </c>
      <c r="M1436" s="20">
        <v>19.600000000000001</v>
      </c>
      <c r="N1436" s="20">
        <v>19.2</v>
      </c>
      <c r="O1436" s="8">
        <v>36.1</v>
      </c>
      <c r="Q1436" s="1">
        <v>474</v>
      </c>
      <c r="S1436" s="3">
        <v>30.3</v>
      </c>
      <c r="T1436" s="3">
        <v>1.18</v>
      </c>
      <c r="U1436" s="3">
        <v>26.1</v>
      </c>
      <c r="Z1436" t="s">
        <v>399</v>
      </c>
      <c r="AA1436" t="s">
        <v>396</v>
      </c>
    </row>
    <row r="1437" spans="1:27" x14ac:dyDescent="0.25">
      <c r="A1437" s="12">
        <v>133</v>
      </c>
      <c r="B1437">
        <v>3</v>
      </c>
      <c r="C1437">
        <f t="shared" si="147"/>
        <v>13303</v>
      </c>
      <c r="D1437" t="s">
        <v>86</v>
      </c>
      <c r="E1437">
        <v>29.415296052631501</v>
      </c>
      <c r="F1437">
        <v>47.800664451827203</v>
      </c>
      <c r="G1437" t="s">
        <v>259</v>
      </c>
      <c r="H1437" t="s">
        <v>258</v>
      </c>
      <c r="I1437">
        <v>2013</v>
      </c>
      <c r="J1437" t="s">
        <v>20</v>
      </c>
      <c r="K1437" s="2">
        <v>0</v>
      </c>
      <c r="M1437" s="20">
        <v>21.7</v>
      </c>
      <c r="N1437" s="20">
        <v>19.8</v>
      </c>
      <c r="O1437" s="8">
        <v>32.299999999999997</v>
      </c>
      <c r="Q1437" s="1">
        <v>489</v>
      </c>
      <c r="S1437" s="3">
        <v>34.799999999999997</v>
      </c>
      <c r="T1437" s="3">
        <v>1.33</v>
      </c>
      <c r="U1437" s="3">
        <v>30.5</v>
      </c>
      <c r="Z1437" t="s">
        <v>399</v>
      </c>
      <c r="AA1437" t="s">
        <v>396</v>
      </c>
    </row>
    <row r="1438" spans="1:27" x14ac:dyDescent="0.25">
      <c r="A1438" s="12">
        <v>133</v>
      </c>
      <c r="B1438">
        <v>4</v>
      </c>
      <c r="C1438">
        <f t="shared" si="147"/>
        <v>13304</v>
      </c>
      <c r="D1438" t="s">
        <v>86</v>
      </c>
      <c r="E1438">
        <v>29.361019736842099</v>
      </c>
      <c r="F1438">
        <v>48.057308970099598</v>
      </c>
      <c r="G1438" t="s">
        <v>259</v>
      </c>
      <c r="H1438" t="s">
        <v>258</v>
      </c>
      <c r="I1438">
        <v>2013</v>
      </c>
      <c r="J1438" t="s">
        <v>20</v>
      </c>
      <c r="K1438" s="2">
        <v>0</v>
      </c>
      <c r="M1438" s="20">
        <v>22.5</v>
      </c>
      <c r="N1438" s="20">
        <v>23</v>
      </c>
      <c r="O1438" s="8">
        <v>41.2</v>
      </c>
      <c r="Q1438" s="1">
        <v>45656</v>
      </c>
      <c r="S1438" s="3">
        <v>34.200000000000003</v>
      </c>
      <c r="T1438" s="3">
        <v>1.27</v>
      </c>
      <c r="U1438" s="3">
        <v>29.6</v>
      </c>
      <c r="Z1438" t="s">
        <v>399</v>
      </c>
      <c r="AA1438" t="s">
        <v>396</v>
      </c>
    </row>
    <row r="1439" spans="1:27" x14ac:dyDescent="0.25">
      <c r="A1439" s="12">
        <v>133</v>
      </c>
      <c r="B1439">
        <v>5</v>
      </c>
      <c r="C1439">
        <f t="shared" si="147"/>
        <v>13305</v>
      </c>
      <c r="D1439" t="s">
        <v>86</v>
      </c>
      <c r="E1439">
        <v>29.422697368421002</v>
      </c>
      <c r="F1439">
        <v>48.622923588039797</v>
      </c>
      <c r="G1439" t="s">
        <v>259</v>
      </c>
      <c r="H1439" t="s">
        <v>258</v>
      </c>
      <c r="I1439">
        <v>2013</v>
      </c>
      <c r="J1439" t="s">
        <v>20</v>
      </c>
      <c r="K1439" s="2">
        <v>0</v>
      </c>
      <c r="M1439" s="20">
        <v>23.1</v>
      </c>
      <c r="N1439" s="20">
        <v>21.6</v>
      </c>
      <c r="O1439" s="8">
        <v>43.5</v>
      </c>
      <c r="Q1439" s="1">
        <v>394</v>
      </c>
      <c r="S1439" s="3">
        <v>31.8</v>
      </c>
      <c r="T1439" s="3">
        <v>1.19</v>
      </c>
      <c r="U1439" s="3">
        <v>27.6</v>
      </c>
      <c r="Z1439" t="s">
        <v>399</v>
      </c>
      <c r="AA1439" t="s">
        <v>396</v>
      </c>
    </row>
    <row r="1440" spans="1:27" x14ac:dyDescent="0.25">
      <c r="A1440" s="12">
        <v>133</v>
      </c>
      <c r="B1440">
        <v>6</v>
      </c>
      <c r="C1440">
        <f t="shared" si="147"/>
        <v>13306</v>
      </c>
      <c r="D1440" t="s">
        <v>86</v>
      </c>
      <c r="E1440">
        <v>29.277138157894701</v>
      </c>
      <c r="F1440">
        <v>48.612956810631204</v>
      </c>
      <c r="G1440" t="s">
        <v>259</v>
      </c>
      <c r="H1440" t="s">
        <v>258</v>
      </c>
      <c r="I1440">
        <v>2013</v>
      </c>
      <c r="J1440" t="s">
        <v>20</v>
      </c>
      <c r="K1440" s="2">
        <v>0</v>
      </c>
      <c r="M1440" s="20">
        <v>21.2</v>
      </c>
      <c r="N1440" s="20">
        <v>20.6</v>
      </c>
      <c r="O1440" s="8">
        <v>32.700000000000003</v>
      </c>
      <c r="Q1440" s="1">
        <v>386</v>
      </c>
      <c r="S1440" s="3">
        <v>25.6</v>
      </c>
      <c r="T1440" s="3">
        <v>0.99</v>
      </c>
      <c r="U1440" s="3">
        <v>22.3</v>
      </c>
      <c r="Z1440" t="s">
        <v>399</v>
      </c>
      <c r="AA1440" t="s">
        <v>396</v>
      </c>
    </row>
    <row r="1441" spans="1:27" x14ac:dyDescent="0.25">
      <c r="A1441" s="12">
        <v>134</v>
      </c>
      <c r="B1441">
        <v>1</v>
      </c>
      <c r="C1441">
        <f t="shared" si="147"/>
        <v>13401</v>
      </c>
      <c r="D1441" s="3" t="s">
        <v>87</v>
      </c>
      <c r="E1441" s="11">
        <f>26+47/60+21/3600</f>
        <v>26.789166666666667</v>
      </c>
      <c r="F1441" s="11">
        <f>51+44/60+58/3600</f>
        <v>51.749444444444443</v>
      </c>
      <c r="G1441" t="s">
        <v>259</v>
      </c>
      <c r="H1441" s="12" t="s">
        <v>364</v>
      </c>
      <c r="I1441">
        <v>2017</v>
      </c>
      <c r="J1441" t="s">
        <v>400</v>
      </c>
      <c r="K1441" s="2">
        <v>0</v>
      </c>
      <c r="V1441" s="3">
        <v>10.8</v>
      </c>
      <c r="Z1441" t="s">
        <v>406</v>
      </c>
      <c r="AA1441" t="s">
        <v>361</v>
      </c>
    </row>
    <row r="1442" spans="1:27" x14ac:dyDescent="0.25">
      <c r="A1442" s="12">
        <v>134</v>
      </c>
      <c r="B1442">
        <v>1</v>
      </c>
      <c r="C1442">
        <f t="shared" ref="C1442:C1447" si="150">A1442*100+B1442</f>
        <v>13401</v>
      </c>
      <c r="D1442" s="3" t="s">
        <v>87</v>
      </c>
      <c r="E1442" s="11">
        <f t="shared" ref="E1442:E1446" si="151">26+47/60+21/3600</f>
        <v>26.789166666666667</v>
      </c>
      <c r="F1442" s="11">
        <f t="shared" ref="F1442:F1446" si="152">51+44/60+58/3600</f>
        <v>51.749444444444443</v>
      </c>
      <c r="G1442" t="s">
        <v>259</v>
      </c>
      <c r="H1442" s="12" t="s">
        <v>364</v>
      </c>
      <c r="I1442">
        <v>2017</v>
      </c>
      <c r="J1442" t="s">
        <v>401</v>
      </c>
      <c r="K1442" s="2">
        <v>0</v>
      </c>
      <c r="V1442" s="3">
        <v>7.0649999999999995</v>
      </c>
      <c r="Z1442" t="s">
        <v>406</v>
      </c>
      <c r="AA1442" t="s">
        <v>361</v>
      </c>
    </row>
    <row r="1443" spans="1:27" x14ac:dyDescent="0.25">
      <c r="A1443" s="12">
        <v>134</v>
      </c>
      <c r="B1443">
        <v>1</v>
      </c>
      <c r="C1443">
        <f t="shared" si="150"/>
        <v>13401</v>
      </c>
      <c r="D1443" s="3" t="s">
        <v>87</v>
      </c>
      <c r="E1443" s="11">
        <f t="shared" si="151"/>
        <v>26.789166666666667</v>
      </c>
      <c r="F1443" s="11">
        <f t="shared" si="152"/>
        <v>51.749444444444443</v>
      </c>
      <c r="G1443" t="s">
        <v>259</v>
      </c>
      <c r="H1443" s="12" t="s">
        <v>364</v>
      </c>
      <c r="I1443">
        <v>2017</v>
      </c>
      <c r="J1443" t="s">
        <v>402</v>
      </c>
      <c r="K1443" s="2">
        <v>0</v>
      </c>
      <c r="V1443" s="3">
        <v>9.5350000000000001</v>
      </c>
      <c r="Z1443" t="s">
        <v>406</v>
      </c>
      <c r="AA1443" t="s">
        <v>361</v>
      </c>
    </row>
    <row r="1444" spans="1:27" x14ac:dyDescent="0.25">
      <c r="A1444" s="12">
        <v>134</v>
      </c>
      <c r="B1444">
        <v>1</v>
      </c>
      <c r="C1444">
        <f t="shared" si="150"/>
        <v>13401</v>
      </c>
      <c r="D1444" s="3" t="s">
        <v>87</v>
      </c>
      <c r="E1444" s="11">
        <f t="shared" si="151"/>
        <v>26.789166666666667</v>
      </c>
      <c r="F1444" s="11">
        <f t="shared" si="152"/>
        <v>51.749444444444443</v>
      </c>
      <c r="G1444" t="s">
        <v>259</v>
      </c>
      <c r="H1444" s="12" t="s">
        <v>364</v>
      </c>
      <c r="I1444">
        <v>2017</v>
      </c>
      <c r="J1444" t="s">
        <v>403</v>
      </c>
      <c r="K1444" s="2">
        <v>0</v>
      </c>
      <c r="V1444" s="3">
        <v>8.6449999999999996</v>
      </c>
      <c r="Z1444" t="s">
        <v>406</v>
      </c>
      <c r="AA1444" t="s">
        <v>361</v>
      </c>
    </row>
    <row r="1445" spans="1:27" x14ac:dyDescent="0.25">
      <c r="A1445" s="12">
        <v>134</v>
      </c>
      <c r="B1445">
        <v>1</v>
      </c>
      <c r="C1445">
        <f t="shared" si="150"/>
        <v>13401</v>
      </c>
      <c r="D1445" s="3" t="s">
        <v>87</v>
      </c>
      <c r="E1445" s="11">
        <f t="shared" si="151"/>
        <v>26.789166666666667</v>
      </c>
      <c r="F1445" s="11">
        <f t="shared" si="152"/>
        <v>51.749444444444443</v>
      </c>
      <c r="G1445" t="s">
        <v>259</v>
      </c>
      <c r="H1445" s="12" t="s">
        <v>364</v>
      </c>
      <c r="I1445">
        <v>2017</v>
      </c>
      <c r="J1445" t="s">
        <v>404</v>
      </c>
      <c r="K1445" s="2">
        <v>0</v>
      </c>
      <c r="V1445" s="3">
        <v>15.3</v>
      </c>
      <c r="Z1445" t="s">
        <v>406</v>
      </c>
      <c r="AA1445" t="s">
        <v>361</v>
      </c>
    </row>
    <row r="1446" spans="1:27" x14ac:dyDescent="0.25">
      <c r="A1446" s="12">
        <v>134</v>
      </c>
      <c r="B1446">
        <v>1</v>
      </c>
      <c r="C1446">
        <f t="shared" si="150"/>
        <v>13401</v>
      </c>
      <c r="D1446" s="3" t="s">
        <v>87</v>
      </c>
      <c r="E1446" s="11">
        <f t="shared" si="151"/>
        <v>26.789166666666667</v>
      </c>
      <c r="F1446" s="11">
        <f t="shared" si="152"/>
        <v>51.749444444444443</v>
      </c>
      <c r="G1446" t="s">
        <v>259</v>
      </c>
      <c r="H1446" s="12" t="s">
        <v>364</v>
      </c>
      <c r="I1446">
        <v>2017</v>
      </c>
      <c r="J1446" t="s">
        <v>405</v>
      </c>
      <c r="K1446" s="2">
        <v>0</v>
      </c>
      <c r="V1446" s="3">
        <v>14.5</v>
      </c>
      <c r="Z1446" t="s">
        <v>406</v>
      </c>
      <c r="AA1446" t="s">
        <v>361</v>
      </c>
    </row>
    <row r="1447" spans="1:27" x14ac:dyDescent="0.25">
      <c r="A1447" s="12">
        <v>135</v>
      </c>
      <c r="B1447">
        <v>1</v>
      </c>
      <c r="C1447">
        <f t="shared" si="150"/>
        <v>13501</v>
      </c>
      <c r="D1447" s="3" t="s">
        <v>87</v>
      </c>
      <c r="E1447" s="11">
        <f>26+47/60+21/3600</f>
        <v>26.789166666666667</v>
      </c>
      <c r="F1447" s="11">
        <f>51+44/60+58/3600</f>
        <v>51.749444444444443</v>
      </c>
      <c r="G1447" t="s">
        <v>259</v>
      </c>
      <c r="H1447" s="12" t="s">
        <v>364</v>
      </c>
      <c r="I1447">
        <v>2017</v>
      </c>
      <c r="J1447" t="s">
        <v>407</v>
      </c>
      <c r="K1447" s="2">
        <v>0</v>
      </c>
      <c r="V1447" s="3">
        <v>34.980000000000004</v>
      </c>
      <c r="Z1447" t="s">
        <v>413</v>
      </c>
      <c r="AA1447" t="s">
        <v>361</v>
      </c>
    </row>
    <row r="1448" spans="1:27" x14ac:dyDescent="0.25">
      <c r="A1448" s="12">
        <v>135</v>
      </c>
      <c r="B1448">
        <v>1</v>
      </c>
      <c r="C1448">
        <f t="shared" ref="C1448:C1456" si="153">A1448*100+B1448</f>
        <v>13501</v>
      </c>
      <c r="D1448" s="3" t="s">
        <v>87</v>
      </c>
      <c r="E1448" s="11">
        <f t="shared" ref="E1448:E1452" si="154">26+47/60+21/3600</f>
        <v>26.789166666666667</v>
      </c>
      <c r="F1448" s="11">
        <f t="shared" ref="F1448:F1452" si="155">51+44/60+58/3600</f>
        <v>51.749444444444443</v>
      </c>
      <c r="G1448" t="s">
        <v>259</v>
      </c>
      <c r="H1448" s="12" t="s">
        <v>364</v>
      </c>
      <c r="I1448">
        <v>2017</v>
      </c>
      <c r="J1448" t="s">
        <v>408</v>
      </c>
      <c r="K1448" s="2">
        <v>0</v>
      </c>
      <c r="V1448" s="3">
        <v>38.18</v>
      </c>
      <c r="Z1448" t="s">
        <v>413</v>
      </c>
      <c r="AA1448" t="s">
        <v>361</v>
      </c>
    </row>
    <row r="1449" spans="1:27" x14ac:dyDescent="0.25">
      <c r="A1449" s="12">
        <v>135</v>
      </c>
      <c r="B1449">
        <v>1</v>
      </c>
      <c r="C1449">
        <f t="shared" si="153"/>
        <v>13501</v>
      </c>
      <c r="D1449" s="3" t="s">
        <v>87</v>
      </c>
      <c r="E1449" s="11">
        <f t="shared" si="154"/>
        <v>26.789166666666667</v>
      </c>
      <c r="F1449" s="11">
        <f t="shared" si="155"/>
        <v>51.749444444444443</v>
      </c>
      <c r="G1449" t="s">
        <v>259</v>
      </c>
      <c r="H1449" s="12" t="s">
        <v>364</v>
      </c>
      <c r="I1449">
        <v>2017</v>
      </c>
      <c r="J1449" t="s">
        <v>409</v>
      </c>
      <c r="K1449" s="2">
        <v>0</v>
      </c>
      <c r="V1449" s="3">
        <v>39.484999999999999</v>
      </c>
      <c r="Z1449" t="s">
        <v>413</v>
      </c>
      <c r="AA1449" t="s">
        <v>361</v>
      </c>
    </row>
    <row r="1450" spans="1:27" x14ac:dyDescent="0.25">
      <c r="A1450" s="12">
        <v>135</v>
      </c>
      <c r="B1450">
        <v>1</v>
      </c>
      <c r="C1450">
        <f t="shared" si="153"/>
        <v>13501</v>
      </c>
      <c r="D1450" s="3" t="s">
        <v>87</v>
      </c>
      <c r="E1450" s="11">
        <f t="shared" si="154"/>
        <v>26.789166666666667</v>
      </c>
      <c r="F1450" s="11">
        <f t="shared" si="155"/>
        <v>51.749444444444443</v>
      </c>
      <c r="G1450" t="s">
        <v>259</v>
      </c>
      <c r="H1450" s="12" t="s">
        <v>364</v>
      </c>
      <c r="I1450">
        <v>2017</v>
      </c>
      <c r="J1450" t="s">
        <v>410</v>
      </c>
      <c r="K1450" s="2">
        <v>0</v>
      </c>
      <c r="V1450" s="3">
        <v>53.069999999999993</v>
      </c>
      <c r="Z1450" t="s">
        <v>413</v>
      </c>
      <c r="AA1450" t="s">
        <v>361</v>
      </c>
    </row>
    <row r="1451" spans="1:27" x14ac:dyDescent="0.25">
      <c r="A1451" s="12">
        <v>135</v>
      </c>
      <c r="B1451">
        <v>1</v>
      </c>
      <c r="C1451">
        <f t="shared" si="153"/>
        <v>13501</v>
      </c>
      <c r="D1451" s="3" t="s">
        <v>87</v>
      </c>
      <c r="E1451" s="11">
        <f t="shared" si="154"/>
        <v>26.789166666666667</v>
      </c>
      <c r="F1451" s="11">
        <f t="shared" si="155"/>
        <v>51.749444444444443</v>
      </c>
      <c r="G1451" t="s">
        <v>259</v>
      </c>
      <c r="H1451" s="12" t="s">
        <v>364</v>
      </c>
      <c r="I1451">
        <v>2017</v>
      </c>
      <c r="J1451" t="s">
        <v>411</v>
      </c>
      <c r="K1451" s="2">
        <v>0</v>
      </c>
      <c r="V1451" s="3">
        <v>125.3</v>
      </c>
      <c r="Z1451" t="s">
        <v>413</v>
      </c>
      <c r="AA1451" t="s">
        <v>361</v>
      </c>
    </row>
    <row r="1452" spans="1:27" x14ac:dyDescent="0.25">
      <c r="A1452" s="12">
        <v>135</v>
      </c>
      <c r="B1452">
        <v>1</v>
      </c>
      <c r="C1452">
        <f t="shared" si="153"/>
        <v>13501</v>
      </c>
      <c r="D1452" s="3" t="s">
        <v>87</v>
      </c>
      <c r="E1452" s="11">
        <f t="shared" si="154"/>
        <v>26.789166666666667</v>
      </c>
      <c r="F1452" s="11">
        <f t="shared" si="155"/>
        <v>51.749444444444443</v>
      </c>
      <c r="G1452" t="s">
        <v>259</v>
      </c>
      <c r="H1452" s="12" t="s">
        <v>364</v>
      </c>
      <c r="I1452">
        <v>2017</v>
      </c>
      <c r="J1452" t="s">
        <v>412</v>
      </c>
      <c r="K1452" s="2">
        <v>0</v>
      </c>
      <c r="V1452" s="3">
        <v>155.05000000000001</v>
      </c>
      <c r="Z1452" t="s">
        <v>413</v>
      </c>
      <c r="AA1452" t="s">
        <v>361</v>
      </c>
    </row>
    <row r="1453" spans="1:27" x14ac:dyDescent="0.25">
      <c r="A1453" s="12">
        <v>136</v>
      </c>
      <c r="B1453">
        <v>1</v>
      </c>
      <c r="C1453">
        <f t="shared" si="153"/>
        <v>13601</v>
      </c>
      <c r="D1453" s="3" t="s">
        <v>86</v>
      </c>
      <c r="E1453">
        <v>29.400493421052602</v>
      </c>
      <c r="F1453">
        <v>47.865448504983299</v>
      </c>
      <c r="G1453" t="s">
        <v>259</v>
      </c>
      <c r="H1453" t="s">
        <v>258</v>
      </c>
      <c r="I1453" t="s">
        <v>273</v>
      </c>
      <c r="J1453" t="s">
        <v>268</v>
      </c>
      <c r="K1453" s="2">
        <v>0</v>
      </c>
      <c r="O1453" s="34">
        <f>0.00052</f>
        <v>5.1999999999999995E-4</v>
      </c>
      <c r="V1453" s="3">
        <f>0.28/1000</f>
        <v>2.8000000000000003E-4</v>
      </c>
      <c r="Z1453" t="s">
        <v>414</v>
      </c>
      <c r="AA1453" t="s">
        <v>396</v>
      </c>
    </row>
    <row r="1454" spans="1:27" x14ac:dyDescent="0.25">
      <c r="A1454" s="12">
        <v>136</v>
      </c>
      <c r="B1454">
        <v>2</v>
      </c>
      <c r="C1454">
        <f t="shared" si="153"/>
        <v>13602</v>
      </c>
      <c r="D1454" s="3" t="s">
        <v>86</v>
      </c>
      <c r="E1454">
        <v>29.003289473684202</v>
      </c>
      <c r="F1454">
        <v>48.204318936877002</v>
      </c>
      <c r="G1454" t="s">
        <v>259</v>
      </c>
      <c r="H1454" t="s">
        <v>258</v>
      </c>
      <c r="I1454" t="s">
        <v>273</v>
      </c>
      <c r="J1454" t="s">
        <v>268</v>
      </c>
      <c r="K1454" s="2">
        <v>0</v>
      </c>
      <c r="O1454" s="34">
        <f>0.00052</f>
        <v>5.1999999999999995E-4</v>
      </c>
      <c r="V1454" s="3">
        <f>0.00029</f>
        <v>2.9E-4</v>
      </c>
      <c r="Z1454" t="s">
        <v>414</v>
      </c>
      <c r="AA1454" t="s">
        <v>396</v>
      </c>
    </row>
    <row r="1455" spans="1:27" x14ac:dyDescent="0.25">
      <c r="A1455" s="12">
        <v>136</v>
      </c>
      <c r="B1455">
        <v>3</v>
      </c>
      <c r="C1455">
        <f t="shared" si="153"/>
        <v>13603</v>
      </c>
      <c r="D1455" s="3" t="s">
        <v>86</v>
      </c>
      <c r="E1455">
        <v>28.551809210526301</v>
      </c>
      <c r="F1455">
        <v>48.468438538205902</v>
      </c>
      <c r="G1455" t="s">
        <v>259</v>
      </c>
      <c r="H1455" t="s">
        <v>258</v>
      </c>
      <c r="I1455" t="s">
        <v>273</v>
      </c>
      <c r="J1455" t="s">
        <v>268</v>
      </c>
      <c r="K1455" s="2">
        <v>0</v>
      </c>
      <c r="O1455" s="34">
        <f>0.00053</f>
        <v>5.2999999999999998E-4</v>
      </c>
      <c r="V1455" s="3">
        <f>0.00028</f>
        <v>2.7999999999999998E-4</v>
      </c>
      <c r="Z1455" t="s">
        <v>414</v>
      </c>
      <c r="AA1455" t="s">
        <v>396</v>
      </c>
    </row>
    <row r="1456" spans="1:27" x14ac:dyDescent="0.25">
      <c r="A1456" s="12">
        <v>136</v>
      </c>
      <c r="B1456">
        <v>4</v>
      </c>
      <c r="C1456">
        <f t="shared" si="153"/>
        <v>13604</v>
      </c>
      <c r="D1456" s="3" t="s">
        <v>87</v>
      </c>
      <c r="E1456" s="11">
        <f>AVERAGE(E1453:E1455)</f>
        <v>28.985197368421037</v>
      </c>
      <c r="F1456" s="11">
        <f>AVERAGE(F1453:F1455)</f>
        <v>48.179401993355405</v>
      </c>
      <c r="G1456" t="s">
        <v>259</v>
      </c>
      <c r="H1456" t="s">
        <v>258</v>
      </c>
      <c r="I1456" t="s">
        <v>273</v>
      </c>
      <c r="J1456" t="s">
        <v>416</v>
      </c>
      <c r="K1456" s="2">
        <v>0</v>
      </c>
      <c r="O1456" s="39">
        <v>1.0569999999999999</v>
      </c>
      <c r="V1456" s="3">
        <v>2.9470000000000001</v>
      </c>
      <c r="Z1456" t="s">
        <v>414</v>
      </c>
      <c r="AA1456" t="s">
        <v>415</v>
      </c>
    </row>
    <row r="1457" spans="1:27" x14ac:dyDescent="0.25">
      <c r="A1457" s="12">
        <v>136</v>
      </c>
      <c r="B1457">
        <v>4</v>
      </c>
      <c r="C1457">
        <f t="shared" ref="C1457:C1462" si="156">A1457*100+B1457</f>
        <v>13604</v>
      </c>
      <c r="D1457" s="3" t="s">
        <v>87</v>
      </c>
      <c r="E1457" s="11">
        <f t="shared" ref="E1457:F1457" si="157">AVERAGE(E1454:E1456)</f>
        <v>28.846765350877181</v>
      </c>
      <c r="F1457" s="11">
        <f t="shared" si="157"/>
        <v>48.284053156146108</v>
      </c>
      <c r="G1457" t="s">
        <v>259</v>
      </c>
      <c r="H1457" t="s">
        <v>258</v>
      </c>
      <c r="I1457" t="s">
        <v>273</v>
      </c>
      <c r="J1457" t="s">
        <v>417</v>
      </c>
      <c r="K1457" s="2">
        <v>0</v>
      </c>
      <c r="O1457" s="39">
        <v>0.89200000000000002</v>
      </c>
      <c r="V1457" s="3">
        <v>2.3719999999999999</v>
      </c>
      <c r="Z1457" t="s">
        <v>414</v>
      </c>
      <c r="AA1457" t="s">
        <v>415</v>
      </c>
    </row>
    <row r="1458" spans="1:27" x14ac:dyDescent="0.25">
      <c r="A1458" s="12">
        <v>136</v>
      </c>
      <c r="B1458">
        <v>4</v>
      </c>
      <c r="C1458">
        <f t="shared" si="156"/>
        <v>13604</v>
      </c>
      <c r="D1458" s="3" t="s">
        <v>87</v>
      </c>
      <c r="E1458" s="11">
        <f t="shared" ref="E1458:F1458" si="158">AVERAGE(E1455:E1457)</f>
        <v>28.794590643274841</v>
      </c>
      <c r="F1458" s="11">
        <f t="shared" si="158"/>
        <v>48.31063122923581</v>
      </c>
      <c r="G1458" t="s">
        <v>259</v>
      </c>
      <c r="H1458" t="s">
        <v>258</v>
      </c>
      <c r="I1458" t="s">
        <v>273</v>
      </c>
      <c r="J1458" t="s">
        <v>418</v>
      </c>
      <c r="K1458" s="2">
        <v>0</v>
      </c>
      <c r="O1458" s="39">
        <v>0.24399999999999999</v>
      </c>
      <c r="V1458" s="3">
        <v>1.7829999999999999</v>
      </c>
      <c r="Z1458" t="s">
        <v>414</v>
      </c>
      <c r="AA1458" t="s">
        <v>415</v>
      </c>
    </row>
    <row r="1459" spans="1:27" x14ac:dyDescent="0.25">
      <c r="A1459" s="12">
        <v>136</v>
      </c>
      <c r="B1459">
        <v>4</v>
      </c>
      <c r="C1459">
        <f t="shared" si="156"/>
        <v>13604</v>
      </c>
      <c r="D1459" s="3" t="s">
        <v>87</v>
      </c>
      <c r="E1459" s="11">
        <f t="shared" ref="E1459:F1459" si="159">AVERAGE(E1456:E1458)</f>
        <v>28.875517787524355</v>
      </c>
      <c r="F1459" s="11">
        <f t="shared" si="159"/>
        <v>48.258028792912434</v>
      </c>
      <c r="G1459" t="s">
        <v>259</v>
      </c>
      <c r="H1459" t="s">
        <v>258</v>
      </c>
      <c r="I1459" t="s">
        <v>273</v>
      </c>
      <c r="J1459" t="s">
        <v>419</v>
      </c>
      <c r="K1459" s="2">
        <v>0</v>
      </c>
      <c r="O1459" s="39">
        <v>0.23799999999999999</v>
      </c>
      <c r="V1459" s="3">
        <v>2.6059999999999999</v>
      </c>
      <c r="Z1459" t="s">
        <v>414</v>
      </c>
      <c r="AA1459" t="s">
        <v>415</v>
      </c>
    </row>
    <row r="1460" spans="1:27" x14ac:dyDescent="0.25">
      <c r="A1460" s="12">
        <v>136</v>
      </c>
      <c r="B1460">
        <v>4</v>
      </c>
      <c r="C1460">
        <f t="shared" si="156"/>
        <v>13604</v>
      </c>
      <c r="D1460" s="3" t="s">
        <v>87</v>
      </c>
      <c r="E1460" s="11">
        <f t="shared" ref="E1460:F1460" si="160">AVERAGE(E1457:E1459)</f>
        <v>28.838957927225461</v>
      </c>
      <c r="F1460" s="11">
        <f t="shared" si="160"/>
        <v>48.284237726098119</v>
      </c>
      <c r="G1460" t="s">
        <v>259</v>
      </c>
      <c r="H1460" t="s">
        <v>258</v>
      </c>
      <c r="I1460" t="s">
        <v>273</v>
      </c>
      <c r="J1460" t="s">
        <v>420</v>
      </c>
      <c r="K1460" s="2">
        <v>0</v>
      </c>
      <c r="O1460" s="39">
        <v>0.39300000000000002</v>
      </c>
      <c r="V1460" s="3">
        <v>2.0830000000000002</v>
      </c>
      <c r="Z1460" t="s">
        <v>414</v>
      </c>
      <c r="AA1460" t="s">
        <v>415</v>
      </c>
    </row>
    <row r="1461" spans="1:27" x14ac:dyDescent="0.25">
      <c r="A1461" s="12">
        <v>136</v>
      </c>
      <c r="B1461">
        <v>4</v>
      </c>
      <c r="C1461">
        <f t="shared" si="156"/>
        <v>13604</v>
      </c>
      <c r="D1461" s="3" t="s">
        <v>87</v>
      </c>
      <c r="E1461" s="11">
        <f t="shared" ref="E1461:F1461" si="161">AVERAGE(E1458:E1460)</f>
        <v>28.836355452674884</v>
      </c>
      <c r="F1461" s="11">
        <f t="shared" si="161"/>
        <v>48.284299249415454</v>
      </c>
      <c r="G1461" t="s">
        <v>259</v>
      </c>
      <c r="H1461" t="s">
        <v>258</v>
      </c>
      <c r="I1461" t="s">
        <v>273</v>
      </c>
      <c r="J1461" t="s">
        <v>421</v>
      </c>
      <c r="K1461" s="2">
        <v>0</v>
      </c>
      <c r="O1461" s="39">
        <v>0.17</v>
      </c>
      <c r="V1461" s="3">
        <v>1.5329999999999999</v>
      </c>
      <c r="Z1461" t="s">
        <v>414</v>
      </c>
      <c r="AA1461" t="s">
        <v>415</v>
      </c>
    </row>
    <row r="1462" spans="1:27" x14ac:dyDescent="0.25">
      <c r="A1462" s="12">
        <v>136</v>
      </c>
      <c r="B1462">
        <v>4</v>
      </c>
      <c r="C1462">
        <f t="shared" si="156"/>
        <v>13604</v>
      </c>
      <c r="D1462" s="3" t="s">
        <v>87</v>
      </c>
      <c r="E1462" s="11">
        <f t="shared" ref="E1462:F1462" si="162">AVERAGE(E1459:E1461)</f>
        <v>28.850277055808235</v>
      </c>
      <c r="F1462" s="11">
        <f t="shared" si="162"/>
        <v>48.275521922808672</v>
      </c>
      <c r="G1462" t="s">
        <v>259</v>
      </c>
      <c r="H1462" t="s">
        <v>258</v>
      </c>
      <c r="I1462" t="s">
        <v>273</v>
      </c>
      <c r="J1462" t="s">
        <v>422</v>
      </c>
      <c r="K1462" s="2">
        <v>0</v>
      </c>
      <c r="O1462" s="39">
        <v>0.22600000000000001</v>
      </c>
      <c r="V1462" s="3">
        <v>1.6539999999999999</v>
      </c>
      <c r="Z1462" t="s">
        <v>414</v>
      </c>
      <c r="AA1462" t="s">
        <v>415</v>
      </c>
    </row>
  </sheetData>
  <autoFilter ref="J1:J1402" xr:uid="{C110E6DA-8837-46EC-B23B-296E17DF5869}"/>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E20E-B0A0-4BC0-856B-06698960E8E8}">
  <dimension ref="A1:AA1267"/>
  <sheetViews>
    <sheetView tabSelected="1" workbookViewId="0">
      <pane xSplit="11" ySplit="2" topLeftCell="L1233" activePane="bottomRight" state="frozen"/>
      <selection activeCell="L1267" sqref="L1267"/>
      <selection pane="topRight" activeCell="L1267" sqref="L1267"/>
      <selection pane="bottomLeft" activeCell="L1267" sqref="L1267"/>
      <selection pane="bottomRight" activeCell="Q1246" sqref="Q1246"/>
    </sheetView>
  </sheetViews>
  <sheetFormatPr defaultColWidth="8.875" defaultRowHeight="15.75" x14ac:dyDescent="0.25"/>
  <cols>
    <col min="9" max="9" width="11.625" customWidth="1"/>
    <col min="10" max="10" width="14.625" customWidth="1"/>
    <col min="26" max="26" width="17" customWidth="1"/>
  </cols>
  <sheetData>
    <row r="1" spans="1:27" x14ac:dyDescent="0.25">
      <c r="A1" s="16" t="s">
        <v>9</v>
      </c>
      <c r="B1" s="16" t="s">
        <v>7</v>
      </c>
      <c r="C1" s="16" t="s">
        <v>8</v>
      </c>
      <c r="D1" s="10" t="s">
        <v>84</v>
      </c>
      <c r="E1" s="17" t="s">
        <v>6</v>
      </c>
      <c r="F1" s="17" t="s">
        <v>5</v>
      </c>
      <c r="G1" s="16" t="s">
        <v>16</v>
      </c>
      <c r="H1" s="18" t="s">
        <v>12</v>
      </c>
      <c r="I1" s="16" t="s">
        <v>4</v>
      </c>
      <c r="J1" s="16" t="s">
        <v>3</v>
      </c>
      <c r="K1" s="19" t="s">
        <v>21</v>
      </c>
      <c r="L1" s="19" t="s">
        <v>307</v>
      </c>
      <c r="M1" s="7" t="s">
        <v>174</v>
      </c>
      <c r="N1" s="7" t="s">
        <v>175</v>
      </c>
      <c r="O1" s="7" t="s">
        <v>176</v>
      </c>
      <c r="P1" s="6" t="s">
        <v>177</v>
      </c>
      <c r="Q1" s="6" t="s">
        <v>178</v>
      </c>
      <c r="R1" s="6" t="s">
        <v>179</v>
      </c>
      <c r="S1" s="6" t="s">
        <v>180</v>
      </c>
      <c r="T1" s="6" t="s">
        <v>269</v>
      </c>
      <c r="U1" s="6" t="s">
        <v>181</v>
      </c>
      <c r="V1" s="6" t="s">
        <v>182</v>
      </c>
      <c r="W1" s="6" t="s">
        <v>183</v>
      </c>
      <c r="X1" s="6" t="s">
        <v>184</v>
      </c>
      <c r="Y1" s="6" t="s">
        <v>195</v>
      </c>
      <c r="Z1" s="16" t="s">
        <v>10</v>
      </c>
      <c r="AA1" s="16" t="s">
        <v>27</v>
      </c>
    </row>
    <row r="2" spans="1:27" x14ac:dyDescent="0.25">
      <c r="D2" s="3"/>
      <c r="E2" s="11"/>
      <c r="F2" s="11"/>
      <c r="H2" s="12"/>
      <c r="K2" s="2" t="s">
        <v>22</v>
      </c>
      <c r="L2" s="2"/>
      <c r="M2" s="5" t="s">
        <v>2</v>
      </c>
      <c r="N2" s="5" t="s">
        <v>2</v>
      </c>
      <c r="O2" s="5" t="s">
        <v>2</v>
      </c>
      <c r="P2" s="1" t="s">
        <v>2</v>
      </c>
      <c r="Q2" s="1" t="s">
        <v>2</v>
      </c>
      <c r="R2" s="1" t="s">
        <v>2</v>
      </c>
      <c r="S2" s="1" t="s">
        <v>2</v>
      </c>
      <c r="T2" s="1" t="s">
        <v>2</v>
      </c>
      <c r="U2" s="1" t="s">
        <v>2</v>
      </c>
      <c r="V2" s="1" t="s">
        <v>2</v>
      </c>
      <c r="W2" s="1" t="s">
        <v>2</v>
      </c>
      <c r="X2" s="1" t="s">
        <v>2</v>
      </c>
      <c r="Y2" s="1" t="s">
        <v>2</v>
      </c>
    </row>
    <row r="3" spans="1:27" x14ac:dyDescent="0.25">
      <c r="A3">
        <v>100</v>
      </c>
      <c r="B3">
        <v>1</v>
      </c>
      <c r="C3">
        <f t="shared" ref="C3:C66" si="0">A3*100+B3</f>
        <v>10001</v>
      </c>
      <c r="D3" s="3" t="s">
        <v>86</v>
      </c>
      <c r="E3" s="11">
        <v>5.05</v>
      </c>
      <c r="F3" s="11">
        <v>-1.0669999999999999</v>
      </c>
      <c r="G3" t="s">
        <v>11</v>
      </c>
      <c r="H3" s="12" t="s">
        <v>13</v>
      </c>
      <c r="I3" s="4">
        <v>41562</v>
      </c>
      <c r="J3" t="s">
        <v>1</v>
      </c>
      <c r="K3" s="2">
        <v>0</v>
      </c>
      <c r="L3" s="2"/>
      <c r="M3" s="5">
        <v>6.7</v>
      </c>
      <c r="N3" s="5">
        <v>6.6</v>
      </c>
      <c r="O3" s="8"/>
      <c r="P3" s="1">
        <v>0.82</v>
      </c>
      <c r="Q3" s="1">
        <v>6.3</v>
      </c>
      <c r="R3" s="1">
        <v>0.82</v>
      </c>
      <c r="S3" s="1">
        <v>6.1</v>
      </c>
      <c r="T3" s="1"/>
      <c r="U3" s="1">
        <v>5.5</v>
      </c>
      <c r="V3" s="1">
        <v>22</v>
      </c>
      <c r="W3" s="1">
        <v>6.4</v>
      </c>
      <c r="X3" s="1">
        <v>2.1</v>
      </c>
      <c r="Y3" s="1"/>
      <c r="Z3" t="s">
        <v>0</v>
      </c>
      <c r="AA3" s="9" t="s">
        <v>28</v>
      </c>
    </row>
    <row r="4" spans="1:27" x14ac:dyDescent="0.25">
      <c r="A4">
        <v>100</v>
      </c>
      <c r="B4">
        <v>2</v>
      </c>
      <c r="C4">
        <f t="shared" si="0"/>
        <v>10002</v>
      </c>
      <c r="D4" s="3" t="s">
        <v>86</v>
      </c>
      <c r="E4" s="11">
        <v>5.05</v>
      </c>
      <c r="F4" s="11">
        <v>-1.0669999999999999</v>
      </c>
      <c r="G4" t="s">
        <v>11</v>
      </c>
      <c r="H4" s="12" t="s">
        <v>13</v>
      </c>
      <c r="I4" s="4">
        <v>41562</v>
      </c>
      <c r="J4" t="s">
        <v>1</v>
      </c>
      <c r="K4" s="2">
        <v>50</v>
      </c>
      <c r="L4" s="2"/>
      <c r="M4" s="5">
        <v>7.6</v>
      </c>
      <c r="N4" s="5">
        <v>6.9</v>
      </c>
      <c r="O4" s="8"/>
      <c r="P4" s="1">
        <v>1.22</v>
      </c>
      <c r="Q4" s="1">
        <v>8.3000000000000007</v>
      </c>
      <c r="R4" s="1">
        <v>1.43</v>
      </c>
      <c r="S4" s="1">
        <v>2.5</v>
      </c>
      <c r="T4" s="1"/>
      <c r="U4" s="1">
        <v>2.2999999999999998</v>
      </c>
      <c r="V4" s="1">
        <v>43</v>
      </c>
      <c r="W4" s="1">
        <v>4.5999999999999996</v>
      </c>
      <c r="X4" s="1">
        <v>1.7</v>
      </c>
      <c r="Y4" s="1"/>
      <c r="Z4" t="s">
        <v>0</v>
      </c>
      <c r="AA4" s="9" t="s">
        <v>28</v>
      </c>
    </row>
    <row r="5" spans="1:27" x14ac:dyDescent="0.25">
      <c r="A5">
        <v>100</v>
      </c>
      <c r="B5">
        <v>3</v>
      </c>
      <c r="C5">
        <f t="shared" si="0"/>
        <v>10003</v>
      </c>
      <c r="D5" s="3" t="s">
        <v>86</v>
      </c>
      <c r="E5" s="11">
        <v>5.05</v>
      </c>
      <c r="F5" s="11">
        <v>-1.0669999999999999</v>
      </c>
      <c r="G5" t="s">
        <v>11</v>
      </c>
      <c r="H5" s="12" t="s">
        <v>13</v>
      </c>
      <c r="I5" s="4">
        <v>41562</v>
      </c>
      <c r="J5" t="s">
        <v>1</v>
      </c>
      <c r="K5" s="2">
        <v>100</v>
      </c>
      <c r="L5" s="2"/>
      <c r="M5" s="5">
        <v>6.2</v>
      </c>
      <c r="N5" s="5">
        <v>6.4</v>
      </c>
      <c r="O5" s="8"/>
      <c r="P5" s="1">
        <v>0.71</v>
      </c>
      <c r="Q5" s="1">
        <v>7.7</v>
      </c>
      <c r="R5" s="1">
        <v>0.69</v>
      </c>
      <c r="S5" s="1">
        <v>1.6</v>
      </c>
      <c r="T5" s="1"/>
      <c r="U5" s="1">
        <v>1.5</v>
      </c>
      <c r="V5" s="1">
        <v>39</v>
      </c>
      <c r="W5" s="1">
        <v>8</v>
      </c>
      <c r="X5" s="1">
        <v>1.6</v>
      </c>
      <c r="Y5" s="1"/>
      <c r="Z5" t="s">
        <v>0</v>
      </c>
      <c r="AA5" s="9" t="s">
        <v>28</v>
      </c>
    </row>
    <row r="6" spans="1:27" x14ac:dyDescent="0.25">
      <c r="A6">
        <v>100</v>
      </c>
      <c r="B6">
        <v>4</v>
      </c>
      <c r="C6">
        <f t="shared" si="0"/>
        <v>10004</v>
      </c>
      <c r="D6" s="3" t="s">
        <v>86</v>
      </c>
      <c r="E6" s="11">
        <v>5.05</v>
      </c>
      <c r="F6" s="11">
        <v>-1.0669999999999999</v>
      </c>
      <c r="G6" t="s">
        <v>11</v>
      </c>
      <c r="H6" s="12" t="s">
        <v>13</v>
      </c>
      <c r="I6" s="4">
        <v>41562</v>
      </c>
      <c r="J6" t="s">
        <v>1</v>
      </c>
      <c r="K6" s="2">
        <v>150</v>
      </c>
      <c r="L6" s="2"/>
      <c r="M6" s="5">
        <v>6.6</v>
      </c>
      <c r="N6" s="5">
        <v>6.6</v>
      </c>
      <c r="O6" s="8"/>
      <c r="P6" s="1">
        <v>0.81</v>
      </c>
      <c r="Q6" s="1">
        <v>5.9</v>
      </c>
      <c r="R6" s="1">
        <v>0.78</v>
      </c>
      <c r="S6" s="1">
        <v>5.5</v>
      </c>
      <c r="T6" s="1"/>
      <c r="U6" s="1">
        <v>5</v>
      </c>
      <c r="V6" s="1">
        <v>40</v>
      </c>
      <c r="W6" s="1">
        <v>6.8</v>
      </c>
      <c r="X6" s="1">
        <v>5.6</v>
      </c>
      <c r="Y6" s="1"/>
      <c r="Z6" t="s">
        <v>0</v>
      </c>
      <c r="AA6" s="9" t="s">
        <v>28</v>
      </c>
    </row>
    <row r="7" spans="1:27" x14ac:dyDescent="0.25">
      <c r="A7">
        <v>100</v>
      </c>
      <c r="B7">
        <v>5</v>
      </c>
      <c r="C7">
        <f t="shared" si="0"/>
        <v>10005</v>
      </c>
      <c r="D7" s="3" t="s">
        <v>86</v>
      </c>
      <c r="E7" s="11">
        <v>5.05</v>
      </c>
      <c r="F7" s="11">
        <v>-1.0669999999999999</v>
      </c>
      <c r="G7" t="s">
        <v>11</v>
      </c>
      <c r="H7" s="12" t="s">
        <v>13</v>
      </c>
      <c r="I7" s="4">
        <v>41562</v>
      </c>
      <c r="J7" t="s">
        <v>1</v>
      </c>
      <c r="K7" s="2">
        <v>200</v>
      </c>
      <c r="L7" s="2"/>
      <c r="M7" s="5">
        <v>6.8</v>
      </c>
      <c r="N7" s="5">
        <v>6.7</v>
      </c>
      <c r="O7" s="8"/>
      <c r="P7" s="1">
        <v>0.92</v>
      </c>
      <c r="Q7" s="1">
        <v>7.3</v>
      </c>
      <c r="R7" s="1">
        <v>0.92</v>
      </c>
      <c r="S7" s="1">
        <v>4.8</v>
      </c>
      <c r="T7" s="1"/>
      <c r="U7" s="1">
        <v>4.3</v>
      </c>
      <c r="V7" s="1">
        <v>48</v>
      </c>
      <c r="W7" s="1">
        <v>5.6</v>
      </c>
      <c r="X7" s="1">
        <v>2.7</v>
      </c>
      <c r="Y7" s="1"/>
      <c r="Z7" t="s">
        <v>0</v>
      </c>
      <c r="AA7" s="9" t="s">
        <v>28</v>
      </c>
    </row>
    <row r="8" spans="1:27" x14ac:dyDescent="0.25">
      <c r="A8">
        <v>100</v>
      </c>
      <c r="B8">
        <v>6</v>
      </c>
      <c r="C8">
        <f t="shared" si="0"/>
        <v>10006</v>
      </c>
      <c r="D8" s="3" t="s">
        <v>86</v>
      </c>
      <c r="E8" s="11">
        <v>5.05</v>
      </c>
      <c r="F8" s="11">
        <v>-1.0669999999999999</v>
      </c>
      <c r="G8" t="s">
        <v>11</v>
      </c>
      <c r="H8" s="12" t="s">
        <v>13</v>
      </c>
      <c r="I8" s="4">
        <v>41562</v>
      </c>
      <c r="J8" t="s">
        <v>1</v>
      </c>
      <c r="K8" s="2">
        <v>250</v>
      </c>
      <c r="L8" s="2"/>
      <c r="M8" s="5">
        <v>20.100000000000001</v>
      </c>
      <c r="N8" s="5">
        <v>33.5</v>
      </c>
      <c r="O8" s="8"/>
      <c r="P8" s="1">
        <v>5.7</v>
      </c>
      <c r="Q8" s="1">
        <v>23.4</v>
      </c>
      <c r="R8" s="1">
        <v>5.8</v>
      </c>
      <c r="S8" s="3" t="s">
        <v>14</v>
      </c>
      <c r="T8" s="3"/>
      <c r="U8" s="1">
        <v>2.9</v>
      </c>
      <c r="V8" s="1">
        <v>82</v>
      </c>
      <c r="W8" s="1">
        <v>5.6</v>
      </c>
      <c r="X8" s="1">
        <v>4.2</v>
      </c>
      <c r="Y8" s="1"/>
      <c r="Z8" t="s">
        <v>0</v>
      </c>
      <c r="AA8" s="9" t="s">
        <v>28</v>
      </c>
    </row>
    <row r="9" spans="1:27" x14ac:dyDescent="0.25">
      <c r="A9">
        <v>100</v>
      </c>
      <c r="B9">
        <v>7</v>
      </c>
      <c r="C9">
        <f t="shared" si="0"/>
        <v>10007</v>
      </c>
      <c r="D9" s="3" t="s">
        <v>86</v>
      </c>
      <c r="E9" s="11">
        <v>5.05</v>
      </c>
      <c r="F9" s="11">
        <v>-1.0669999999999999</v>
      </c>
      <c r="G9" t="s">
        <v>11</v>
      </c>
      <c r="H9" s="12" t="s">
        <v>13</v>
      </c>
      <c r="I9" s="4">
        <v>41562</v>
      </c>
      <c r="J9" t="s">
        <v>1</v>
      </c>
      <c r="K9" s="2">
        <v>300</v>
      </c>
      <c r="L9" s="2"/>
      <c r="M9" s="5">
        <v>22.2</v>
      </c>
      <c r="N9" s="5">
        <v>34.200000000000003</v>
      </c>
      <c r="O9" s="8"/>
      <c r="P9" s="1">
        <v>5.5</v>
      </c>
      <c r="Q9" s="1">
        <v>22.3</v>
      </c>
      <c r="R9" s="1">
        <v>5.4</v>
      </c>
      <c r="S9" s="1">
        <v>2.8</v>
      </c>
      <c r="T9" s="1"/>
      <c r="U9" s="1">
        <v>4.2</v>
      </c>
      <c r="V9" s="1">
        <v>46</v>
      </c>
      <c r="W9" s="1">
        <v>4.7</v>
      </c>
      <c r="X9" s="1">
        <v>3.6</v>
      </c>
      <c r="Y9" s="1"/>
      <c r="Z9" t="s">
        <v>0</v>
      </c>
      <c r="AA9" s="9" t="s">
        <v>28</v>
      </c>
    </row>
    <row r="10" spans="1:27" x14ac:dyDescent="0.25">
      <c r="A10">
        <v>100</v>
      </c>
      <c r="B10">
        <v>8</v>
      </c>
      <c r="C10">
        <f t="shared" si="0"/>
        <v>10008</v>
      </c>
      <c r="D10" s="3" t="s">
        <v>86</v>
      </c>
      <c r="E10" s="11">
        <v>5.05</v>
      </c>
      <c r="F10" s="11">
        <v>-1.0669999999999999</v>
      </c>
      <c r="G10" t="s">
        <v>11</v>
      </c>
      <c r="H10" s="12" t="s">
        <v>13</v>
      </c>
      <c r="I10" s="4">
        <v>41562</v>
      </c>
      <c r="J10" t="s">
        <v>1</v>
      </c>
      <c r="K10" s="2">
        <v>350</v>
      </c>
      <c r="L10" s="2"/>
      <c r="M10" s="5">
        <v>19.5</v>
      </c>
      <c r="N10" s="5">
        <v>32.299999999999997</v>
      </c>
      <c r="O10" s="8"/>
      <c r="P10" s="1">
        <v>5</v>
      </c>
      <c r="Q10" s="1">
        <v>22.1</v>
      </c>
      <c r="R10" s="1">
        <v>5.0999999999999996</v>
      </c>
      <c r="S10" s="1">
        <v>2.5</v>
      </c>
      <c r="T10" s="1"/>
      <c r="U10" s="3" t="s">
        <v>14</v>
      </c>
      <c r="V10" s="1">
        <v>35</v>
      </c>
      <c r="W10" s="1">
        <v>2.9</v>
      </c>
      <c r="X10" s="1">
        <v>2.4</v>
      </c>
      <c r="Y10" s="1"/>
      <c r="Z10" t="s">
        <v>0</v>
      </c>
      <c r="AA10" s="9" t="s">
        <v>28</v>
      </c>
    </row>
    <row r="11" spans="1:27" x14ac:dyDescent="0.25">
      <c r="A11">
        <v>100</v>
      </c>
      <c r="B11">
        <v>9</v>
      </c>
      <c r="C11">
        <f t="shared" si="0"/>
        <v>10009</v>
      </c>
      <c r="D11" s="3" t="s">
        <v>86</v>
      </c>
      <c r="E11" s="11">
        <v>5.05</v>
      </c>
      <c r="F11" s="11">
        <v>-1.0669999999999999</v>
      </c>
      <c r="G11" t="s">
        <v>11</v>
      </c>
      <c r="H11" s="12" t="s">
        <v>13</v>
      </c>
      <c r="I11" s="4">
        <v>41562</v>
      </c>
      <c r="J11" t="s">
        <v>1</v>
      </c>
      <c r="K11" s="2">
        <v>400</v>
      </c>
      <c r="L11" s="2"/>
      <c r="M11" s="5">
        <v>22.1</v>
      </c>
      <c r="N11" s="5">
        <v>33.6</v>
      </c>
      <c r="O11" s="8"/>
      <c r="P11" s="1">
        <v>5.4</v>
      </c>
      <c r="Q11" s="1">
        <v>22.2</v>
      </c>
      <c r="R11" s="1">
        <v>5.6</v>
      </c>
      <c r="S11" s="1">
        <v>2.1</v>
      </c>
      <c r="T11" s="1"/>
      <c r="U11" s="3" t="s">
        <v>14</v>
      </c>
      <c r="V11" s="1">
        <v>82</v>
      </c>
      <c r="W11" s="1">
        <v>8</v>
      </c>
      <c r="X11" s="1">
        <v>3.4</v>
      </c>
      <c r="Y11" s="1"/>
      <c r="Z11" t="s">
        <v>0</v>
      </c>
      <c r="AA11" s="9" t="s">
        <v>28</v>
      </c>
    </row>
    <row r="12" spans="1:27" x14ac:dyDescent="0.25">
      <c r="A12">
        <v>100</v>
      </c>
      <c r="B12">
        <v>10</v>
      </c>
      <c r="C12">
        <f t="shared" si="0"/>
        <v>10010</v>
      </c>
      <c r="D12" s="3" t="s">
        <v>86</v>
      </c>
      <c r="E12" s="11">
        <v>5.05</v>
      </c>
      <c r="F12" s="11">
        <v>-1.0669999999999999</v>
      </c>
      <c r="G12" t="s">
        <v>11</v>
      </c>
      <c r="H12" s="12" t="s">
        <v>13</v>
      </c>
      <c r="I12" s="4">
        <v>41744</v>
      </c>
      <c r="J12" t="s">
        <v>1</v>
      </c>
      <c r="K12" s="2">
        <v>450</v>
      </c>
      <c r="L12" s="2"/>
      <c r="M12" s="5">
        <v>19.7</v>
      </c>
      <c r="N12" s="5">
        <v>33.1</v>
      </c>
      <c r="O12" s="8"/>
      <c r="P12" s="1">
        <v>6</v>
      </c>
      <c r="Q12" s="1">
        <v>22.3</v>
      </c>
      <c r="R12" s="1">
        <v>6</v>
      </c>
      <c r="S12" s="1">
        <v>3.2</v>
      </c>
      <c r="T12" s="1"/>
      <c r="U12" s="1">
        <v>2.9</v>
      </c>
      <c r="V12" s="1">
        <v>135</v>
      </c>
      <c r="W12" s="1">
        <v>11.9</v>
      </c>
      <c r="X12" s="1">
        <v>2.1</v>
      </c>
      <c r="Y12" s="1"/>
      <c r="Z12" t="s">
        <v>0</v>
      </c>
      <c r="AA12" s="9" t="s">
        <v>29</v>
      </c>
    </row>
    <row r="13" spans="1:27" x14ac:dyDescent="0.25">
      <c r="A13">
        <v>100</v>
      </c>
      <c r="B13">
        <v>11</v>
      </c>
      <c r="C13">
        <f t="shared" si="0"/>
        <v>10011</v>
      </c>
      <c r="D13" s="3" t="s">
        <v>86</v>
      </c>
      <c r="E13" s="11">
        <v>5.05</v>
      </c>
      <c r="F13" s="11">
        <v>-1.0669999999999999</v>
      </c>
      <c r="G13" t="s">
        <v>11</v>
      </c>
      <c r="H13" s="12" t="s">
        <v>13</v>
      </c>
      <c r="I13" s="4">
        <v>41744</v>
      </c>
      <c r="J13" t="s">
        <v>1</v>
      </c>
      <c r="K13" s="2">
        <v>500</v>
      </c>
      <c r="L13" s="2"/>
      <c r="M13" s="5">
        <v>22.3</v>
      </c>
      <c r="N13" s="5">
        <v>35.5</v>
      </c>
      <c r="O13" s="8"/>
      <c r="P13" s="1">
        <v>6.4</v>
      </c>
      <c r="Q13" s="1">
        <v>23.9</v>
      </c>
      <c r="R13" s="1">
        <v>7</v>
      </c>
      <c r="S13" s="3" t="s">
        <v>14</v>
      </c>
      <c r="T13" s="3"/>
      <c r="U13" s="1">
        <v>2.7</v>
      </c>
      <c r="V13" s="1">
        <v>139</v>
      </c>
      <c r="W13" s="1">
        <v>12</v>
      </c>
      <c r="X13" s="1">
        <v>3</v>
      </c>
      <c r="Y13" s="1"/>
      <c r="Z13" t="s">
        <v>0</v>
      </c>
      <c r="AA13" s="9" t="s">
        <v>29</v>
      </c>
    </row>
    <row r="14" spans="1:27" x14ac:dyDescent="0.25">
      <c r="A14">
        <v>100</v>
      </c>
      <c r="B14">
        <v>12</v>
      </c>
      <c r="C14">
        <f t="shared" si="0"/>
        <v>10012</v>
      </c>
      <c r="D14" s="3" t="s">
        <v>86</v>
      </c>
      <c r="E14" s="11">
        <v>5.05</v>
      </c>
      <c r="F14" s="11">
        <v>-1.0669999999999999</v>
      </c>
      <c r="G14" t="s">
        <v>11</v>
      </c>
      <c r="H14" s="12" t="s">
        <v>13</v>
      </c>
      <c r="I14" s="4">
        <v>41744</v>
      </c>
      <c r="J14" t="s">
        <v>1</v>
      </c>
      <c r="K14" s="2">
        <v>550</v>
      </c>
      <c r="L14" s="2"/>
      <c r="M14" s="5">
        <v>19.600000000000001</v>
      </c>
      <c r="N14" s="5">
        <v>32.5</v>
      </c>
      <c r="O14" s="8"/>
      <c r="P14" s="1">
        <v>4.7</v>
      </c>
      <c r="Q14" s="1">
        <v>22.2</v>
      </c>
      <c r="R14" s="1">
        <v>4.7</v>
      </c>
      <c r="S14" s="1">
        <v>4.0999999999999996</v>
      </c>
      <c r="T14" s="1"/>
      <c r="U14" s="1">
        <v>3.8</v>
      </c>
      <c r="V14" s="1">
        <v>145</v>
      </c>
      <c r="W14" s="1">
        <v>15</v>
      </c>
      <c r="X14" s="1">
        <v>5.0999999999999996</v>
      </c>
      <c r="Y14" s="1"/>
      <c r="Z14" t="s">
        <v>0</v>
      </c>
      <c r="AA14" s="9" t="s">
        <v>29</v>
      </c>
    </row>
    <row r="15" spans="1:27" x14ac:dyDescent="0.25">
      <c r="A15">
        <v>100</v>
      </c>
      <c r="B15">
        <v>13</v>
      </c>
      <c r="C15">
        <f t="shared" si="0"/>
        <v>10013</v>
      </c>
      <c r="D15" s="3" t="s">
        <v>86</v>
      </c>
      <c r="E15" s="11">
        <v>5.05</v>
      </c>
      <c r="F15" s="11">
        <v>-1.0669999999999999</v>
      </c>
      <c r="G15" t="s">
        <v>11</v>
      </c>
      <c r="H15" s="12" t="s">
        <v>13</v>
      </c>
      <c r="I15" s="4">
        <v>41744</v>
      </c>
      <c r="J15" t="s">
        <v>1</v>
      </c>
      <c r="K15" s="2">
        <v>600</v>
      </c>
      <c r="L15" s="2"/>
      <c r="M15" s="5">
        <v>18.7</v>
      </c>
      <c r="N15" s="5">
        <v>31.6</v>
      </c>
      <c r="O15" s="8"/>
      <c r="P15" s="1">
        <v>5.7</v>
      </c>
      <c r="Q15" s="1">
        <v>22.5</v>
      </c>
      <c r="R15" s="1">
        <v>5.8</v>
      </c>
      <c r="S15" s="1">
        <v>2.5</v>
      </c>
      <c r="T15" s="1"/>
      <c r="U15" s="1">
        <v>2.7</v>
      </c>
      <c r="V15" s="1">
        <v>55</v>
      </c>
      <c r="W15" s="1">
        <v>7</v>
      </c>
      <c r="X15" s="1">
        <v>3.4</v>
      </c>
      <c r="Y15" s="1"/>
      <c r="Z15" t="s">
        <v>0</v>
      </c>
      <c r="AA15" s="9" t="s">
        <v>29</v>
      </c>
    </row>
    <row r="16" spans="1:27" x14ac:dyDescent="0.25">
      <c r="A16">
        <v>101</v>
      </c>
      <c r="B16">
        <v>1</v>
      </c>
      <c r="C16">
        <f t="shared" si="0"/>
        <v>10101</v>
      </c>
      <c r="D16" s="3" t="s">
        <v>86</v>
      </c>
      <c r="E16" s="11">
        <f>29+20/60+5/3600</f>
        <v>29.334722222222222</v>
      </c>
      <c r="F16" s="11">
        <f>-(92+44/3600)</f>
        <v>-92.012222222222221</v>
      </c>
      <c r="G16" t="s">
        <v>15</v>
      </c>
      <c r="H16" s="12" t="s">
        <v>17</v>
      </c>
      <c r="I16" s="4">
        <v>34151</v>
      </c>
      <c r="J16" t="s">
        <v>1</v>
      </c>
      <c r="K16" s="2">
        <v>0</v>
      </c>
      <c r="L16" s="2"/>
      <c r="M16" s="5">
        <f>91*37</f>
        <v>3367</v>
      </c>
      <c r="N16" s="5">
        <f>239*37</f>
        <v>8843</v>
      </c>
      <c r="O16" s="8">
        <f>12.3*37</f>
        <v>455.1</v>
      </c>
      <c r="P16" s="1">
        <f>81.7*37</f>
        <v>3022.9</v>
      </c>
      <c r="Q16" s="1"/>
      <c r="R16" s="1"/>
      <c r="S16" s="3"/>
      <c r="T16" s="3"/>
      <c r="U16" s="3"/>
      <c r="V16" s="3">
        <f>1.3*37</f>
        <v>48.1</v>
      </c>
      <c r="W16" s="3"/>
      <c r="X16" s="3"/>
      <c r="Y16" s="3"/>
      <c r="Z16" t="s">
        <v>359</v>
      </c>
      <c r="AA16" s="9" t="s">
        <v>30</v>
      </c>
    </row>
    <row r="17" spans="1:27" x14ac:dyDescent="0.25">
      <c r="A17">
        <v>101</v>
      </c>
      <c r="B17">
        <v>2</v>
      </c>
      <c r="C17">
        <f t="shared" si="0"/>
        <v>10102</v>
      </c>
      <c r="D17" s="3" t="s">
        <v>86</v>
      </c>
      <c r="E17" s="11">
        <f>28+41/60+50/3600</f>
        <v>28.697222222222223</v>
      </c>
      <c r="F17" s="11">
        <f>-(92+15/60+45/3600)</f>
        <v>-92.262500000000003</v>
      </c>
      <c r="G17" t="s">
        <v>15</v>
      </c>
      <c r="H17" s="12" t="s">
        <v>17</v>
      </c>
      <c r="I17" s="4">
        <v>34151</v>
      </c>
      <c r="J17" t="s">
        <v>1</v>
      </c>
      <c r="K17" s="2">
        <v>0</v>
      </c>
      <c r="L17" s="2"/>
      <c r="M17" s="5">
        <f>300*37</f>
        <v>11100</v>
      </c>
      <c r="N17" s="5">
        <f>228*37</f>
        <v>8436</v>
      </c>
      <c r="O17" s="8">
        <f>7.7*37</f>
        <v>284.90000000000003</v>
      </c>
      <c r="P17" s="1">
        <f>77.6*37</f>
        <v>2871.2</v>
      </c>
      <c r="Q17" s="1"/>
      <c r="R17" s="1"/>
      <c r="S17" s="3"/>
      <c r="T17" s="3"/>
      <c r="U17" s="3"/>
      <c r="V17" s="3">
        <f>1.3*37</f>
        <v>48.1</v>
      </c>
      <c r="W17" s="3"/>
      <c r="X17" s="3"/>
      <c r="Y17" s="3"/>
      <c r="Z17" t="s">
        <v>359</v>
      </c>
      <c r="AA17" s="9" t="s">
        <v>30</v>
      </c>
    </row>
    <row r="18" spans="1:27" x14ac:dyDescent="0.25">
      <c r="A18">
        <v>101</v>
      </c>
      <c r="B18">
        <v>3</v>
      </c>
      <c r="C18">
        <f t="shared" si="0"/>
        <v>10103</v>
      </c>
      <c r="D18" s="3" t="s">
        <v>86</v>
      </c>
      <c r="E18" s="11">
        <f>28+17/60+53/3600</f>
        <v>28.298055555555557</v>
      </c>
      <c r="F18" s="11">
        <f>-(92+43/3600)</f>
        <v>-92.011944444444438</v>
      </c>
      <c r="G18" t="s">
        <v>15</v>
      </c>
      <c r="H18" s="12" t="s">
        <v>17</v>
      </c>
      <c r="I18" s="4">
        <v>34151</v>
      </c>
      <c r="J18" t="s">
        <v>1</v>
      </c>
      <c r="K18" s="2">
        <v>0</v>
      </c>
      <c r="L18" s="2"/>
      <c r="M18" s="5">
        <f>362*37</f>
        <v>13394</v>
      </c>
      <c r="N18" s="5">
        <f>164*37</f>
        <v>6068</v>
      </c>
      <c r="O18" s="8">
        <f>5.6*37</f>
        <v>207.2</v>
      </c>
      <c r="P18" s="1">
        <f>43.1*37</f>
        <v>1594.7</v>
      </c>
      <c r="Q18" s="1"/>
      <c r="R18" s="1"/>
      <c r="S18" s="3"/>
      <c r="T18" s="3"/>
      <c r="U18" s="3"/>
      <c r="V18" s="3">
        <f>2*37</f>
        <v>74</v>
      </c>
      <c r="W18" s="3"/>
      <c r="X18" s="3"/>
      <c r="Y18" s="3"/>
      <c r="Z18" t="s">
        <v>359</v>
      </c>
      <c r="AA18" s="9" t="s">
        <v>30</v>
      </c>
    </row>
    <row r="19" spans="1:27" x14ac:dyDescent="0.25">
      <c r="A19">
        <v>101</v>
      </c>
      <c r="B19">
        <v>4</v>
      </c>
      <c r="C19">
        <f t="shared" si="0"/>
        <v>10104</v>
      </c>
      <c r="D19" s="3" t="s">
        <v>86</v>
      </c>
      <c r="E19" s="11">
        <f>27+52/60+5/3600</f>
        <v>27.868055555555557</v>
      </c>
      <c r="F19" s="11">
        <f>-(93+59/60+30/3600)</f>
        <v>-93.991666666666674</v>
      </c>
      <c r="G19" t="s">
        <v>15</v>
      </c>
      <c r="H19" s="12" t="s">
        <v>17</v>
      </c>
      <c r="I19" s="4">
        <v>34151</v>
      </c>
      <c r="J19" t="s">
        <v>1</v>
      </c>
      <c r="K19" s="2">
        <v>0</v>
      </c>
      <c r="L19" s="2"/>
      <c r="M19" s="5">
        <f>1494*37</f>
        <v>55278</v>
      </c>
      <c r="N19" s="5">
        <f>356*37</f>
        <v>13172</v>
      </c>
      <c r="O19" s="8">
        <f>12.5*37</f>
        <v>462.5</v>
      </c>
      <c r="P19" s="1">
        <f>79*37</f>
        <v>2923</v>
      </c>
      <c r="Q19" s="1"/>
      <c r="R19" s="1"/>
      <c r="S19" s="3"/>
      <c r="T19" s="3"/>
      <c r="U19" s="3"/>
      <c r="V19" s="3">
        <f>1*37</f>
        <v>37</v>
      </c>
      <c r="W19" s="3"/>
      <c r="X19" s="3"/>
      <c r="Y19" s="3"/>
      <c r="Z19" t="s">
        <v>359</v>
      </c>
      <c r="AA19" s="9" t="s">
        <v>30</v>
      </c>
    </row>
    <row r="20" spans="1:27" x14ac:dyDescent="0.25">
      <c r="A20">
        <v>101</v>
      </c>
      <c r="B20">
        <v>5</v>
      </c>
      <c r="C20">
        <f t="shared" si="0"/>
        <v>10105</v>
      </c>
      <c r="D20" s="3" t="s">
        <v>86</v>
      </c>
      <c r="E20" s="11">
        <f>27+53/60+44/3600</f>
        <v>27.895555555555553</v>
      </c>
      <c r="F20" s="11">
        <f>-(96+25/60+41/3600)</f>
        <v>-96.428055555555559</v>
      </c>
      <c r="G20" t="s">
        <v>15</v>
      </c>
      <c r="H20" s="12" t="s">
        <v>17</v>
      </c>
      <c r="I20" s="4">
        <v>34151</v>
      </c>
      <c r="J20" t="s">
        <v>1</v>
      </c>
      <c r="K20" s="2">
        <v>0</v>
      </c>
      <c r="L20" s="2"/>
      <c r="M20" s="5">
        <f>56*37</f>
        <v>2072</v>
      </c>
      <c r="N20" s="5">
        <f>69*37</f>
        <v>2553</v>
      </c>
      <c r="O20" s="8">
        <f>2.6*37</f>
        <v>96.2</v>
      </c>
      <c r="P20" s="1">
        <f>11.4*37</f>
        <v>421.8</v>
      </c>
      <c r="Q20" s="1"/>
      <c r="R20" s="1"/>
      <c r="S20" s="3"/>
      <c r="T20" s="3"/>
      <c r="U20" s="3"/>
      <c r="V20" s="3">
        <f>0.7*37</f>
        <v>25.9</v>
      </c>
      <c r="W20" s="3"/>
      <c r="X20" s="3"/>
      <c r="Y20" s="3"/>
      <c r="Z20" t="s">
        <v>359</v>
      </c>
      <c r="AA20" s="9" t="s">
        <v>30</v>
      </c>
    </row>
    <row r="21" spans="1:27" x14ac:dyDescent="0.25">
      <c r="A21">
        <v>101</v>
      </c>
      <c r="B21">
        <v>6</v>
      </c>
      <c r="C21">
        <f t="shared" si="0"/>
        <v>10106</v>
      </c>
      <c r="D21" s="3" t="s">
        <v>86</v>
      </c>
      <c r="E21" s="11">
        <f>28+10/60+3/3600</f>
        <v>28.1675</v>
      </c>
      <c r="F21" s="11">
        <f>-93-46/60-4/3600</f>
        <v>-93.767777777777781</v>
      </c>
      <c r="G21" t="s">
        <v>15</v>
      </c>
      <c r="H21" s="12" t="s">
        <v>17</v>
      </c>
      <c r="I21" s="4">
        <v>34151</v>
      </c>
      <c r="J21" t="s">
        <v>1</v>
      </c>
      <c r="K21" s="2">
        <v>0</v>
      </c>
      <c r="L21" s="2"/>
      <c r="M21" s="5">
        <f>112*37</f>
        <v>4144</v>
      </c>
      <c r="N21" s="5">
        <f>162*37</f>
        <v>5994</v>
      </c>
      <c r="O21" s="8">
        <f>5.2*37</f>
        <v>192.4</v>
      </c>
      <c r="P21" s="1">
        <f>29*37</f>
        <v>1073</v>
      </c>
      <c r="Q21" s="1"/>
      <c r="R21" s="1"/>
      <c r="S21" s="3"/>
      <c r="T21" s="3"/>
      <c r="U21" s="3"/>
      <c r="V21" s="3">
        <f>0.6*37</f>
        <v>22.2</v>
      </c>
      <c r="W21" s="3"/>
      <c r="X21" s="3"/>
      <c r="Y21" s="3"/>
      <c r="Z21" t="s">
        <v>359</v>
      </c>
      <c r="AA21" s="9" t="s">
        <v>30</v>
      </c>
    </row>
    <row r="22" spans="1:27" x14ac:dyDescent="0.25">
      <c r="A22">
        <v>101</v>
      </c>
      <c r="B22">
        <v>7</v>
      </c>
      <c r="C22">
        <f t="shared" si="0"/>
        <v>10107</v>
      </c>
      <c r="D22" s="3" t="s">
        <v>86</v>
      </c>
      <c r="E22" s="11">
        <f>28+15/60+27/3600</f>
        <v>28.2575</v>
      </c>
      <c r="F22" s="11">
        <f>-91-46/60-4/3600</f>
        <v>-91.767777777777781</v>
      </c>
      <c r="G22" t="s">
        <v>15</v>
      </c>
      <c r="H22" s="12" t="s">
        <v>17</v>
      </c>
      <c r="I22" s="4">
        <v>34151</v>
      </c>
      <c r="J22" t="s">
        <v>1</v>
      </c>
      <c r="K22" s="2">
        <v>0</v>
      </c>
      <c r="L22" s="2"/>
      <c r="M22" s="5">
        <f>270*37</f>
        <v>9990</v>
      </c>
      <c r="N22" s="5">
        <f>388*37</f>
        <v>14356</v>
      </c>
      <c r="O22" s="8">
        <f>13.8*37</f>
        <v>510.6</v>
      </c>
      <c r="P22" s="1">
        <f>62.6*37</f>
        <v>2316.2000000000003</v>
      </c>
      <c r="Q22" s="1"/>
      <c r="R22" s="1"/>
      <c r="S22" s="3"/>
      <c r="T22" s="3"/>
      <c r="U22" s="3"/>
      <c r="V22" s="3">
        <f>2.3*37</f>
        <v>85.1</v>
      </c>
      <c r="W22" s="3"/>
      <c r="X22" s="3"/>
      <c r="Y22" s="3"/>
      <c r="Z22" t="s">
        <v>359</v>
      </c>
      <c r="AA22" s="9" t="s">
        <v>30</v>
      </c>
    </row>
    <row r="23" spans="1:27" x14ac:dyDescent="0.25">
      <c r="A23">
        <v>101</v>
      </c>
      <c r="B23">
        <v>8</v>
      </c>
      <c r="C23">
        <f t="shared" si="0"/>
        <v>10108</v>
      </c>
      <c r="D23" s="3" t="s">
        <v>86</v>
      </c>
      <c r="E23" s="11">
        <f>27+54/60+48/3600</f>
        <v>27.91333333333333</v>
      </c>
      <c r="F23" s="11">
        <f>-93-56/60-6/3600</f>
        <v>-93.935000000000002</v>
      </c>
      <c r="G23" t="s">
        <v>15</v>
      </c>
      <c r="H23" s="12" t="s">
        <v>17</v>
      </c>
      <c r="I23" s="4">
        <v>34151</v>
      </c>
      <c r="J23" t="s">
        <v>1</v>
      </c>
      <c r="K23" s="2">
        <v>0</v>
      </c>
      <c r="L23" s="2"/>
      <c r="M23" s="5">
        <f>255*37</f>
        <v>9435</v>
      </c>
      <c r="N23" s="5">
        <f>600*37</f>
        <v>22200</v>
      </c>
      <c r="O23" s="8">
        <f>16.7*37</f>
        <v>617.9</v>
      </c>
      <c r="P23" s="1">
        <f>120.7*37</f>
        <v>4465.9000000000005</v>
      </c>
      <c r="Q23" s="1"/>
      <c r="R23" s="1"/>
      <c r="S23" s="3"/>
      <c r="T23" s="3"/>
      <c r="U23" s="3"/>
      <c r="V23" s="3">
        <f>1.9*37</f>
        <v>70.3</v>
      </c>
      <c r="W23" s="3"/>
      <c r="X23" s="3"/>
      <c r="Y23" s="3"/>
      <c r="Z23" t="s">
        <v>359</v>
      </c>
      <c r="AA23" s="9" t="s">
        <v>30</v>
      </c>
    </row>
    <row r="24" spans="1:27" x14ac:dyDescent="0.25">
      <c r="A24">
        <v>101</v>
      </c>
      <c r="B24">
        <v>9</v>
      </c>
      <c r="C24">
        <f t="shared" si="0"/>
        <v>10109</v>
      </c>
      <c r="D24" s="3" t="s">
        <v>86</v>
      </c>
      <c r="E24" s="11">
        <f>28+36/60+17/3600</f>
        <v>28.604722222222225</v>
      </c>
      <c r="F24" s="11">
        <f>-93-24/60-58/3600</f>
        <v>-93.416111111111121</v>
      </c>
      <c r="G24" t="s">
        <v>15</v>
      </c>
      <c r="H24" s="12" t="s">
        <v>17</v>
      </c>
      <c r="I24" s="4">
        <v>34151</v>
      </c>
      <c r="J24" t="s">
        <v>18</v>
      </c>
      <c r="K24" s="2">
        <v>0</v>
      </c>
      <c r="L24" s="2"/>
      <c r="M24" s="5">
        <f>0.3*37</f>
        <v>11.1</v>
      </c>
      <c r="N24" s="5">
        <f>0.15*37</f>
        <v>5.55</v>
      </c>
      <c r="O24" s="8">
        <f>0.37*37</f>
        <v>13.69</v>
      </c>
      <c r="P24" s="1"/>
      <c r="Q24" s="1"/>
      <c r="R24" s="1"/>
      <c r="S24" s="3"/>
      <c r="T24" s="3"/>
      <c r="U24" s="3"/>
      <c r="V24" s="3"/>
      <c r="W24" s="3"/>
      <c r="X24" s="3"/>
      <c r="Y24" s="3"/>
      <c r="Z24" t="s">
        <v>359</v>
      </c>
      <c r="AA24" s="9" t="s">
        <v>30</v>
      </c>
    </row>
    <row r="25" spans="1:27" x14ac:dyDescent="0.25">
      <c r="A25">
        <v>101</v>
      </c>
      <c r="B25">
        <v>10</v>
      </c>
      <c r="C25">
        <f t="shared" si="0"/>
        <v>10110</v>
      </c>
      <c r="D25" s="3" t="s">
        <v>86</v>
      </c>
      <c r="E25" s="11">
        <f>28+20/60+24/3600</f>
        <v>28.34</v>
      </c>
      <c r="F25" s="11">
        <f>-94-59/60</f>
        <v>-94.983333333333334</v>
      </c>
      <c r="G25" t="s">
        <v>15</v>
      </c>
      <c r="H25" s="12" t="s">
        <v>17</v>
      </c>
      <c r="I25" s="4">
        <v>34151</v>
      </c>
      <c r="J25" t="s">
        <v>18</v>
      </c>
      <c r="K25" s="2">
        <v>0</v>
      </c>
      <c r="L25" s="2"/>
      <c r="M25" s="5">
        <f>0.07*37</f>
        <v>2.5900000000000003</v>
      </c>
      <c r="N25" s="5">
        <f>0.7*37</f>
        <v>25.9</v>
      </c>
      <c r="O25" s="8">
        <f>0.23*37</f>
        <v>8.51</v>
      </c>
      <c r="P25" s="1"/>
      <c r="Q25" s="1"/>
      <c r="R25" s="1"/>
      <c r="S25" s="3"/>
      <c r="T25" s="3"/>
      <c r="U25" s="3"/>
      <c r="V25" s="3"/>
      <c r="W25" s="3"/>
      <c r="X25" s="3"/>
      <c r="Y25" s="3"/>
      <c r="Z25" t="s">
        <v>359</v>
      </c>
      <c r="AA25" s="9" t="s">
        <v>30</v>
      </c>
    </row>
    <row r="26" spans="1:27" x14ac:dyDescent="0.25">
      <c r="A26">
        <v>101</v>
      </c>
      <c r="B26">
        <v>11</v>
      </c>
      <c r="C26">
        <f t="shared" si="0"/>
        <v>10111</v>
      </c>
      <c r="D26" s="3" t="s">
        <v>86</v>
      </c>
      <c r="E26" s="11">
        <f>27+59/60+8/3600</f>
        <v>27.985555555555557</v>
      </c>
      <c r="F26" s="11">
        <f>-92-2/60-53/3600</f>
        <v>-92.04805555555555</v>
      </c>
      <c r="G26" t="s">
        <v>15</v>
      </c>
      <c r="H26" s="12" t="s">
        <v>17</v>
      </c>
      <c r="I26" s="4">
        <v>34151</v>
      </c>
      <c r="J26" t="s">
        <v>18</v>
      </c>
      <c r="K26" s="2">
        <v>0</v>
      </c>
      <c r="L26" s="2"/>
      <c r="M26" s="5">
        <f>0.13*37</f>
        <v>4.8100000000000005</v>
      </c>
      <c r="N26" s="5">
        <f>0.6*37</f>
        <v>22.2</v>
      </c>
      <c r="O26" s="8">
        <f>0.03*37</f>
        <v>1.1099999999999999</v>
      </c>
      <c r="P26" s="1"/>
      <c r="Q26" s="1"/>
      <c r="R26" s="1"/>
      <c r="S26" s="3"/>
      <c r="T26" s="3"/>
      <c r="U26" s="3"/>
      <c r="V26" s="3"/>
      <c r="W26" s="3"/>
      <c r="X26" s="3"/>
      <c r="Y26" s="3"/>
      <c r="Z26" t="s">
        <v>359</v>
      </c>
      <c r="AA26" s="9" t="s">
        <v>30</v>
      </c>
    </row>
    <row r="27" spans="1:27" x14ac:dyDescent="0.25">
      <c r="A27">
        <v>101</v>
      </c>
      <c r="B27">
        <v>12</v>
      </c>
      <c r="C27">
        <f t="shared" si="0"/>
        <v>10112</v>
      </c>
      <c r="D27" s="3" t="s">
        <v>86</v>
      </c>
      <c r="E27" s="11">
        <f>28+5/3600</f>
        <v>28.00138888888889</v>
      </c>
      <c r="F27" s="11">
        <f>-95-14/60-18/3600</f>
        <v>-95.23833333333333</v>
      </c>
      <c r="G27" t="s">
        <v>15</v>
      </c>
      <c r="H27" s="12" t="s">
        <v>17</v>
      </c>
      <c r="I27" s="4">
        <v>34151</v>
      </c>
      <c r="J27" t="s">
        <v>18</v>
      </c>
      <c r="K27" s="2">
        <v>0</v>
      </c>
      <c r="L27" s="2"/>
      <c r="M27" s="5">
        <f>0.13*37</f>
        <v>4.8100000000000005</v>
      </c>
      <c r="N27" s="5">
        <f>0.93*37</f>
        <v>34.410000000000004</v>
      </c>
      <c r="O27" s="8">
        <f>0.3*37</f>
        <v>11.1</v>
      </c>
      <c r="P27" s="1"/>
      <c r="Q27" s="1"/>
      <c r="R27" s="1"/>
      <c r="S27" s="3"/>
      <c r="T27" s="3"/>
      <c r="U27" s="3"/>
      <c r="V27" s="3"/>
      <c r="W27" s="3"/>
      <c r="X27" s="3"/>
      <c r="Y27" s="3"/>
      <c r="Z27" t="s">
        <v>359</v>
      </c>
      <c r="AA27" s="9" t="s">
        <v>30</v>
      </c>
    </row>
    <row r="28" spans="1:27" x14ac:dyDescent="0.25">
      <c r="A28">
        <v>101</v>
      </c>
      <c r="B28">
        <v>1</v>
      </c>
      <c r="C28">
        <f t="shared" si="0"/>
        <v>10101</v>
      </c>
      <c r="D28" s="3" t="s">
        <v>86</v>
      </c>
      <c r="E28" s="11">
        <f>29+20/60+5/3600</f>
        <v>29.334722222222222</v>
      </c>
      <c r="F28" s="11">
        <f>-(92+44/3600)</f>
        <v>-92.012222222222221</v>
      </c>
      <c r="G28" t="s">
        <v>15</v>
      </c>
      <c r="H28" s="12" t="s">
        <v>17</v>
      </c>
      <c r="I28" s="4">
        <v>34151</v>
      </c>
      <c r="J28" t="s">
        <v>1</v>
      </c>
      <c r="K28" s="2">
        <v>0</v>
      </c>
      <c r="L28" s="2"/>
      <c r="M28" s="5">
        <f>91*37</f>
        <v>3367</v>
      </c>
      <c r="N28" s="5">
        <f>239*37</f>
        <v>8843</v>
      </c>
      <c r="O28" s="8">
        <f>12*37</f>
        <v>444</v>
      </c>
      <c r="P28" s="1"/>
      <c r="Q28" s="1"/>
      <c r="R28" s="1"/>
      <c r="S28" s="3"/>
      <c r="T28" s="3"/>
      <c r="U28" s="3"/>
      <c r="V28" s="3"/>
      <c r="W28" s="3"/>
      <c r="X28" s="3"/>
      <c r="Y28" s="3"/>
      <c r="Z28" t="s">
        <v>359</v>
      </c>
      <c r="AA28" s="9" t="s">
        <v>31</v>
      </c>
    </row>
    <row r="29" spans="1:27" x14ac:dyDescent="0.25">
      <c r="A29">
        <v>101</v>
      </c>
      <c r="B29">
        <v>1</v>
      </c>
      <c r="C29">
        <f t="shared" si="0"/>
        <v>10101</v>
      </c>
      <c r="D29" s="3" t="s">
        <v>86</v>
      </c>
      <c r="E29" s="11">
        <f t="shared" ref="E29:E38" si="1">29+20/60+5/3600</f>
        <v>29.334722222222222</v>
      </c>
      <c r="F29" s="11">
        <f t="shared" ref="F29:F38" si="2">-(92+44/3600)</f>
        <v>-92.012222222222221</v>
      </c>
      <c r="G29" t="s">
        <v>15</v>
      </c>
      <c r="H29" s="12" t="s">
        <v>17</v>
      </c>
      <c r="I29" s="4">
        <v>34152</v>
      </c>
      <c r="J29" t="s">
        <v>1</v>
      </c>
      <c r="K29" s="2">
        <v>0</v>
      </c>
      <c r="L29" s="2"/>
      <c r="M29" s="5">
        <f>70*37</f>
        <v>2590</v>
      </c>
      <c r="N29" s="5">
        <f>138*37</f>
        <v>5106</v>
      </c>
      <c r="O29" s="8">
        <f>13*37</f>
        <v>481</v>
      </c>
      <c r="P29" s="1"/>
      <c r="Q29" s="1"/>
      <c r="R29" s="1"/>
      <c r="S29" s="3"/>
      <c r="T29" s="3"/>
      <c r="U29" s="3"/>
      <c r="V29" s="3"/>
      <c r="W29" s="3"/>
      <c r="X29" s="3"/>
      <c r="Y29" s="3"/>
      <c r="Z29" t="s">
        <v>359</v>
      </c>
      <c r="AA29" s="9" t="s">
        <v>31</v>
      </c>
    </row>
    <row r="30" spans="1:27" x14ac:dyDescent="0.25">
      <c r="A30">
        <v>101</v>
      </c>
      <c r="B30">
        <v>1</v>
      </c>
      <c r="C30">
        <f t="shared" si="0"/>
        <v>10101</v>
      </c>
      <c r="D30" s="3" t="s">
        <v>86</v>
      </c>
      <c r="E30" s="11">
        <f t="shared" si="1"/>
        <v>29.334722222222222</v>
      </c>
      <c r="F30" s="11">
        <f t="shared" si="2"/>
        <v>-92.012222222222221</v>
      </c>
      <c r="G30" t="s">
        <v>15</v>
      </c>
      <c r="H30" s="12" t="s">
        <v>17</v>
      </c>
      <c r="I30" s="4">
        <v>34153</v>
      </c>
      <c r="J30" t="s">
        <v>1</v>
      </c>
      <c r="K30" s="2">
        <v>0</v>
      </c>
      <c r="L30" s="2"/>
      <c r="M30" s="5">
        <f>66*37</f>
        <v>2442</v>
      </c>
      <c r="N30" s="5">
        <f>307*37</f>
        <v>11359</v>
      </c>
      <c r="O30" s="8">
        <f>16*37</f>
        <v>592</v>
      </c>
      <c r="P30" s="1"/>
      <c r="Q30" s="1"/>
      <c r="R30" s="1"/>
      <c r="S30" s="3"/>
      <c r="T30" s="3"/>
      <c r="U30" s="3"/>
      <c r="V30" s="3"/>
      <c r="W30" s="3"/>
      <c r="X30" s="3"/>
      <c r="Y30" s="3"/>
      <c r="Z30" t="s">
        <v>359</v>
      </c>
      <c r="AA30" s="9" t="s">
        <v>31</v>
      </c>
    </row>
    <row r="31" spans="1:27" x14ac:dyDescent="0.25">
      <c r="A31">
        <v>101</v>
      </c>
      <c r="B31">
        <v>1</v>
      </c>
      <c r="C31">
        <f t="shared" si="0"/>
        <v>10101</v>
      </c>
      <c r="D31" s="3" t="s">
        <v>86</v>
      </c>
      <c r="E31" s="11">
        <f t="shared" si="1"/>
        <v>29.334722222222222</v>
      </c>
      <c r="F31" s="11">
        <f t="shared" si="2"/>
        <v>-92.012222222222221</v>
      </c>
      <c r="G31" t="s">
        <v>15</v>
      </c>
      <c r="H31" s="12" t="s">
        <v>17</v>
      </c>
      <c r="I31" s="4">
        <v>34154</v>
      </c>
      <c r="J31" t="s">
        <v>1</v>
      </c>
      <c r="K31" s="2">
        <v>0</v>
      </c>
      <c r="L31" s="2"/>
      <c r="M31" s="5">
        <f>47*37</f>
        <v>1739</v>
      </c>
      <c r="N31" s="5">
        <f>126*37</f>
        <v>4662</v>
      </c>
      <c r="O31" s="8">
        <f>12*37</f>
        <v>444</v>
      </c>
      <c r="P31" s="1"/>
      <c r="Q31" s="1"/>
      <c r="R31" s="1"/>
      <c r="S31" s="3"/>
      <c r="T31" s="3"/>
      <c r="U31" s="3"/>
      <c r="V31" s="3"/>
      <c r="W31" s="3"/>
      <c r="X31" s="3"/>
      <c r="Y31" s="3"/>
      <c r="Z31" t="s">
        <v>359</v>
      </c>
      <c r="AA31" s="9" t="s">
        <v>31</v>
      </c>
    </row>
    <row r="32" spans="1:27" x14ac:dyDescent="0.25">
      <c r="A32">
        <v>101</v>
      </c>
      <c r="B32">
        <v>1</v>
      </c>
      <c r="C32">
        <f t="shared" si="0"/>
        <v>10101</v>
      </c>
      <c r="D32" s="3" t="s">
        <v>86</v>
      </c>
      <c r="E32" s="11">
        <f t="shared" si="1"/>
        <v>29.334722222222222</v>
      </c>
      <c r="F32" s="11">
        <f t="shared" si="2"/>
        <v>-92.012222222222221</v>
      </c>
      <c r="G32" t="s">
        <v>15</v>
      </c>
      <c r="H32" s="12" t="s">
        <v>17</v>
      </c>
      <c r="I32" s="4">
        <v>34155</v>
      </c>
      <c r="J32" t="s">
        <v>1</v>
      </c>
      <c r="K32" s="2">
        <v>0</v>
      </c>
      <c r="L32" s="2"/>
      <c r="M32" s="5">
        <f>175*37</f>
        <v>6475</v>
      </c>
      <c r="N32" s="5">
        <f>187*37</f>
        <v>6919</v>
      </c>
      <c r="O32" s="8">
        <f>16*37</f>
        <v>592</v>
      </c>
      <c r="P32" s="1"/>
      <c r="Q32" s="1"/>
      <c r="R32" s="1"/>
      <c r="S32" s="3"/>
      <c r="T32" s="3"/>
      <c r="U32" s="3"/>
      <c r="V32" s="3"/>
      <c r="W32" s="3"/>
      <c r="X32" s="3"/>
      <c r="Y32" s="3"/>
      <c r="Z32" t="s">
        <v>359</v>
      </c>
      <c r="AA32" s="9" t="s">
        <v>31</v>
      </c>
    </row>
    <row r="33" spans="1:27" x14ac:dyDescent="0.25">
      <c r="A33">
        <v>101</v>
      </c>
      <c r="B33">
        <v>1</v>
      </c>
      <c r="C33">
        <f t="shared" si="0"/>
        <v>10101</v>
      </c>
      <c r="D33" s="3" t="s">
        <v>86</v>
      </c>
      <c r="E33" s="11">
        <f t="shared" si="1"/>
        <v>29.334722222222222</v>
      </c>
      <c r="F33" s="11">
        <f t="shared" si="2"/>
        <v>-92.012222222222221</v>
      </c>
      <c r="G33" t="s">
        <v>15</v>
      </c>
      <c r="H33" s="12" t="s">
        <v>17</v>
      </c>
      <c r="I33" s="4">
        <v>34156</v>
      </c>
      <c r="J33" t="s">
        <v>1</v>
      </c>
      <c r="K33" s="2">
        <v>0</v>
      </c>
      <c r="L33" s="2"/>
      <c r="M33" s="5">
        <f>68*37</f>
        <v>2516</v>
      </c>
      <c r="N33" s="5">
        <f>166*37</f>
        <v>6142</v>
      </c>
      <c r="O33" s="8">
        <f>15*37</f>
        <v>555</v>
      </c>
      <c r="P33" s="1"/>
      <c r="Q33" s="1"/>
      <c r="R33" s="1"/>
      <c r="S33" s="3"/>
      <c r="T33" s="3"/>
      <c r="U33" s="3"/>
      <c r="V33" s="3"/>
      <c r="W33" s="3"/>
      <c r="X33" s="3"/>
      <c r="Y33" s="3"/>
      <c r="Z33" t="s">
        <v>359</v>
      </c>
      <c r="AA33" s="9" t="s">
        <v>31</v>
      </c>
    </row>
    <row r="34" spans="1:27" s="12" customFormat="1" x14ac:dyDescent="0.25">
      <c r="A34">
        <v>101</v>
      </c>
      <c r="B34">
        <v>1</v>
      </c>
      <c r="C34">
        <f t="shared" si="0"/>
        <v>10101</v>
      </c>
      <c r="D34" s="3" t="s">
        <v>86</v>
      </c>
      <c r="E34" s="11">
        <f t="shared" si="1"/>
        <v>29.334722222222222</v>
      </c>
      <c r="F34" s="11">
        <f t="shared" si="2"/>
        <v>-92.012222222222221</v>
      </c>
      <c r="G34" t="s">
        <v>15</v>
      </c>
      <c r="H34" s="12" t="s">
        <v>17</v>
      </c>
      <c r="I34" s="4">
        <v>34182</v>
      </c>
      <c r="J34" t="s">
        <v>1</v>
      </c>
      <c r="K34" s="2">
        <v>0</v>
      </c>
      <c r="L34" s="2"/>
      <c r="M34" s="5">
        <f>39*37</f>
        <v>1443</v>
      </c>
      <c r="N34" s="5">
        <f>119*37</f>
        <v>4403</v>
      </c>
      <c r="O34" s="8">
        <f>4*37</f>
        <v>148</v>
      </c>
      <c r="P34" s="1"/>
      <c r="Q34" s="1"/>
      <c r="R34" s="1"/>
      <c r="S34" s="3"/>
      <c r="T34" s="3"/>
      <c r="U34" s="3"/>
      <c r="V34" s="3"/>
      <c r="W34" s="3"/>
      <c r="X34" s="3"/>
      <c r="Y34" s="3"/>
      <c r="Z34" t="s">
        <v>359</v>
      </c>
      <c r="AA34" s="9" t="s">
        <v>31</v>
      </c>
    </row>
    <row r="35" spans="1:27" s="12" customFormat="1" x14ac:dyDescent="0.25">
      <c r="A35">
        <v>101</v>
      </c>
      <c r="B35">
        <v>1</v>
      </c>
      <c r="C35">
        <f t="shared" si="0"/>
        <v>10101</v>
      </c>
      <c r="D35" s="3" t="s">
        <v>86</v>
      </c>
      <c r="E35" s="11">
        <f t="shared" si="1"/>
        <v>29.334722222222222</v>
      </c>
      <c r="F35" s="11">
        <f t="shared" si="2"/>
        <v>-92.012222222222221</v>
      </c>
      <c r="G35" t="s">
        <v>15</v>
      </c>
      <c r="H35" s="12" t="s">
        <v>17</v>
      </c>
      <c r="I35" s="4">
        <v>34213</v>
      </c>
      <c r="J35" t="s">
        <v>1</v>
      </c>
      <c r="K35" s="2">
        <v>0</v>
      </c>
      <c r="L35" s="2"/>
      <c r="M35" s="5">
        <f>65*37</f>
        <v>2405</v>
      </c>
      <c r="N35" s="5">
        <f>277*37</f>
        <v>10249</v>
      </c>
      <c r="O35" s="8">
        <f>8*37</f>
        <v>296</v>
      </c>
      <c r="P35" s="1"/>
      <c r="Q35" s="1"/>
      <c r="R35" s="1"/>
      <c r="S35" s="3"/>
      <c r="T35" s="3"/>
      <c r="U35" s="3"/>
      <c r="V35" s="3"/>
      <c r="W35" s="3"/>
      <c r="X35" s="3"/>
      <c r="Y35" s="3"/>
      <c r="Z35" t="s">
        <v>359</v>
      </c>
      <c r="AA35" s="9" t="s">
        <v>31</v>
      </c>
    </row>
    <row r="36" spans="1:27" s="12" customFormat="1" x14ac:dyDescent="0.25">
      <c r="A36">
        <v>101</v>
      </c>
      <c r="B36">
        <v>1</v>
      </c>
      <c r="C36">
        <f t="shared" si="0"/>
        <v>10101</v>
      </c>
      <c r="D36" s="3" t="s">
        <v>86</v>
      </c>
      <c r="E36" s="11">
        <f t="shared" si="1"/>
        <v>29.334722222222222</v>
      </c>
      <c r="F36" s="11">
        <f t="shared" si="2"/>
        <v>-92.012222222222221</v>
      </c>
      <c r="G36" t="s">
        <v>15</v>
      </c>
      <c r="H36" s="12" t="s">
        <v>17</v>
      </c>
      <c r="I36" s="4">
        <v>34243</v>
      </c>
      <c r="J36" t="s">
        <v>1</v>
      </c>
      <c r="K36" s="2">
        <v>0</v>
      </c>
      <c r="L36" s="2"/>
      <c r="M36" s="5">
        <f>38*37</f>
        <v>1406</v>
      </c>
      <c r="N36" s="5">
        <f>126*37</f>
        <v>4662</v>
      </c>
      <c r="O36" s="8">
        <f>4*37</f>
        <v>148</v>
      </c>
      <c r="P36" s="1"/>
      <c r="Q36" s="1"/>
      <c r="R36" s="1"/>
      <c r="S36" s="3"/>
      <c r="T36" s="3"/>
      <c r="U36" s="3"/>
      <c r="V36" s="3"/>
      <c r="W36" s="3"/>
      <c r="X36" s="3"/>
      <c r="Y36" s="3"/>
      <c r="Z36" t="s">
        <v>359</v>
      </c>
      <c r="AA36" s="9" t="s">
        <v>31</v>
      </c>
    </row>
    <row r="37" spans="1:27" s="12" customFormat="1" x14ac:dyDescent="0.25">
      <c r="A37">
        <v>101</v>
      </c>
      <c r="B37">
        <v>1</v>
      </c>
      <c r="C37">
        <f t="shared" si="0"/>
        <v>10101</v>
      </c>
      <c r="D37" s="3" t="s">
        <v>86</v>
      </c>
      <c r="E37" s="11">
        <f t="shared" si="1"/>
        <v>29.334722222222222</v>
      </c>
      <c r="F37" s="11">
        <f t="shared" si="2"/>
        <v>-92.012222222222221</v>
      </c>
      <c r="G37" t="s">
        <v>15</v>
      </c>
      <c r="H37" s="12" t="s">
        <v>17</v>
      </c>
      <c r="I37" s="4">
        <v>34274</v>
      </c>
      <c r="J37" t="s">
        <v>1</v>
      </c>
      <c r="K37" s="2">
        <v>0</v>
      </c>
      <c r="L37" s="2"/>
      <c r="M37" s="5">
        <f>292*37</f>
        <v>10804</v>
      </c>
      <c r="N37" s="5">
        <f>274*37</f>
        <v>10138</v>
      </c>
      <c r="O37" s="8">
        <f>2*37</f>
        <v>74</v>
      </c>
      <c r="P37" s="1"/>
      <c r="Q37" s="1"/>
      <c r="R37" s="1"/>
      <c r="S37" s="3"/>
      <c r="T37" s="3"/>
      <c r="U37" s="3"/>
      <c r="V37" s="3"/>
      <c r="W37" s="3"/>
      <c r="X37" s="3"/>
      <c r="Y37" s="3"/>
      <c r="Z37" t="s">
        <v>359</v>
      </c>
      <c r="AA37" s="9" t="s">
        <v>31</v>
      </c>
    </row>
    <row r="38" spans="1:27" s="12" customFormat="1" x14ac:dyDescent="0.25">
      <c r="A38">
        <v>101</v>
      </c>
      <c r="B38">
        <v>1</v>
      </c>
      <c r="C38">
        <f t="shared" si="0"/>
        <v>10101</v>
      </c>
      <c r="D38" s="3" t="s">
        <v>86</v>
      </c>
      <c r="E38" s="11">
        <f t="shared" si="1"/>
        <v>29.334722222222222</v>
      </c>
      <c r="F38" s="11">
        <f t="shared" si="2"/>
        <v>-92.012222222222221</v>
      </c>
      <c r="G38" t="s">
        <v>15</v>
      </c>
      <c r="H38" s="12" t="s">
        <v>17</v>
      </c>
      <c r="I38" s="4">
        <v>34304</v>
      </c>
      <c r="J38" t="s">
        <v>1</v>
      </c>
      <c r="K38" s="2">
        <v>0</v>
      </c>
      <c r="L38" s="2"/>
      <c r="M38" s="5">
        <f>321*37</f>
        <v>11877</v>
      </c>
      <c r="N38" s="5">
        <f>306*37</f>
        <v>11322</v>
      </c>
      <c r="O38" s="8">
        <f>11*37</f>
        <v>407</v>
      </c>
      <c r="P38" s="1"/>
      <c r="Q38" s="1"/>
      <c r="R38" s="1"/>
      <c r="S38" s="3"/>
      <c r="T38" s="3"/>
      <c r="U38" s="3"/>
      <c r="V38" s="3"/>
      <c r="W38" s="3"/>
      <c r="X38" s="3"/>
      <c r="Y38" s="3"/>
      <c r="Z38" t="s">
        <v>359</v>
      </c>
      <c r="AA38" s="9" t="s">
        <v>31</v>
      </c>
    </row>
    <row r="39" spans="1:27" s="12" customFormat="1" x14ac:dyDescent="0.25">
      <c r="A39">
        <v>101</v>
      </c>
      <c r="B39">
        <v>2</v>
      </c>
      <c r="C39">
        <f t="shared" si="0"/>
        <v>10102</v>
      </c>
      <c r="D39" s="3" t="s">
        <v>86</v>
      </c>
      <c r="E39" s="11">
        <f t="shared" ref="E39:E48" si="3">28+41/60+50/3600</f>
        <v>28.697222222222223</v>
      </c>
      <c r="F39" s="11">
        <f t="shared" ref="F39:F48" si="4">-(92+15/60+45/3600)</f>
        <v>-92.262500000000003</v>
      </c>
      <c r="G39" t="s">
        <v>15</v>
      </c>
      <c r="H39" s="12" t="s">
        <v>17</v>
      </c>
      <c r="I39" s="4">
        <v>34151</v>
      </c>
      <c r="J39" t="s">
        <v>1</v>
      </c>
      <c r="K39" s="2">
        <v>0</v>
      </c>
      <c r="L39" s="2"/>
      <c r="M39" s="5">
        <f>300*37</f>
        <v>11100</v>
      </c>
      <c r="N39" s="5">
        <f>228*37</f>
        <v>8436</v>
      </c>
      <c r="O39" s="8">
        <f>8*37</f>
        <v>296</v>
      </c>
      <c r="P39" s="1"/>
      <c r="Q39" s="1"/>
      <c r="R39" s="1"/>
      <c r="S39" s="3"/>
      <c r="T39" s="3"/>
      <c r="U39" s="3"/>
      <c r="V39" s="3"/>
      <c r="W39" s="3"/>
      <c r="X39" s="3"/>
      <c r="Y39" s="3"/>
      <c r="Z39" t="s">
        <v>359</v>
      </c>
      <c r="AA39" s="9" t="s">
        <v>31</v>
      </c>
    </row>
    <row r="40" spans="1:27" s="12" customFormat="1" x14ac:dyDescent="0.25">
      <c r="A40">
        <v>101</v>
      </c>
      <c r="B40">
        <v>2</v>
      </c>
      <c r="C40">
        <f t="shared" si="0"/>
        <v>10102</v>
      </c>
      <c r="D40" s="3" t="s">
        <v>86</v>
      </c>
      <c r="E40" s="11">
        <f t="shared" si="3"/>
        <v>28.697222222222223</v>
      </c>
      <c r="F40" s="11">
        <f t="shared" si="4"/>
        <v>-92.262500000000003</v>
      </c>
      <c r="G40" t="s">
        <v>15</v>
      </c>
      <c r="H40" s="12" t="s">
        <v>17</v>
      </c>
      <c r="I40" s="4">
        <v>34152</v>
      </c>
      <c r="J40" t="s">
        <v>1</v>
      </c>
      <c r="K40" s="2">
        <v>0</v>
      </c>
      <c r="L40" s="2"/>
      <c r="M40" s="5">
        <f>400*37</f>
        <v>14800</v>
      </c>
      <c r="N40" s="5">
        <f>214*37</f>
        <v>7918</v>
      </c>
      <c r="O40" s="8">
        <f>8*37</f>
        <v>296</v>
      </c>
      <c r="P40" s="1"/>
      <c r="Q40" s="1"/>
      <c r="R40" s="1"/>
      <c r="S40" s="3"/>
      <c r="T40" s="3"/>
      <c r="U40" s="3"/>
      <c r="V40" s="3"/>
      <c r="W40" s="3"/>
      <c r="X40" s="3"/>
      <c r="Y40" s="3"/>
      <c r="Z40" t="s">
        <v>359</v>
      </c>
      <c r="AA40" s="9" t="s">
        <v>31</v>
      </c>
    </row>
    <row r="41" spans="1:27" s="12" customFormat="1" x14ac:dyDescent="0.25">
      <c r="A41">
        <v>101</v>
      </c>
      <c r="B41">
        <v>2</v>
      </c>
      <c r="C41">
        <f t="shared" si="0"/>
        <v>10102</v>
      </c>
      <c r="D41" s="3" t="s">
        <v>86</v>
      </c>
      <c r="E41" s="11">
        <f t="shared" si="3"/>
        <v>28.697222222222223</v>
      </c>
      <c r="F41" s="11">
        <f t="shared" si="4"/>
        <v>-92.262500000000003</v>
      </c>
      <c r="G41" t="s">
        <v>15</v>
      </c>
      <c r="H41" s="12" t="s">
        <v>17</v>
      </c>
      <c r="I41" s="4">
        <v>34153</v>
      </c>
      <c r="J41" t="s">
        <v>1</v>
      </c>
      <c r="K41" s="2">
        <v>0</v>
      </c>
      <c r="L41" s="2"/>
      <c r="M41" s="5">
        <f>347*37</f>
        <v>12839</v>
      </c>
      <c r="N41" s="5">
        <f>193*37</f>
        <v>7141</v>
      </c>
      <c r="O41" s="8">
        <f>5*37</f>
        <v>185</v>
      </c>
      <c r="P41" s="1"/>
      <c r="Q41" s="1"/>
      <c r="R41" s="1"/>
      <c r="S41" s="3"/>
      <c r="T41" s="3"/>
      <c r="U41" s="3"/>
      <c r="V41" s="3"/>
      <c r="W41" s="3"/>
      <c r="X41" s="3"/>
      <c r="Y41" s="3"/>
      <c r="Z41" t="s">
        <v>359</v>
      </c>
      <c r="AA41" s="9" t="s">
        <v>31</v>
      </c>
    </row>
    <row r="42" spans="1:27" s="12" customFormat="1" x14ac:dyDescent="0.25">
      <c r="A42">
        <v>101</v>
      </c>
      <c r="B42">
        <v>2</v>
      </c>
      <c r="C42">
        <f t="shared" si="0"/>
        <v>10102</v>
      </c>
      <c r="D42" s="3" t="s">
        <v>86</v>
      </c>
      <c r="E42" s="11">
        <f t="shared" si="3"/>
        <v>28.697222222222223</v>
      </c>
      <c r="F42" s="11">
        <f t="shared" si="4"/>
        <v>-92.262500000000003</v>
      </c>
      <c r="G42" t="s">
        <v>15</v>
      </c>
      <c r="H42" s="12" t="s">
        <v>17</v>
      </c>
      <c r="I42" s="4">
        <v>34154</v>
      </c>
      <c r="J42" t="s">
        <v>1</v>
      </c>
      <c r="K42" s="2">
        <v>0</v>
      </c>
      <c r="L42" s="2"/>
      <c r="M42" s="5">
        <f>441*37</f>
        <v>16317</v>
      </c>
      <c r="N42" s="5">
        <f>241*37</f>
        <v>8917</v>
      </c>
      <c r="O42" s="8">
        <f>7*37</f>
        <v>259</v>
      </c>
      <c r="P42" s="1"/>
      <c r="Q42" s="1"/>
      <c r="R42" s="1"/>
      <c r="S42" s="3"/>
      <c r="T42" s="3"/>
      <c r="U42" s="3"/>
      <c r="V42" s="3"/>
      <c r="W42" s="3"/>
      <c r="X42" s="3"/>
      <c r="Y42" s="3"/>
      <c r="Z42" t="s">
        <v>359</v>
      </c>
      <c r="AA42" s="9" t="s">
        <v>31</v>
      </c>
    </row>
    <row r="43" spans="1:27" s="12" customFormat="1" x14ac:dyDescent="0.25">
      <c r="A43">
        <v>101</v>
      </c>
      <c r="B43">
        <v>2</v>
      </c>
      <c r="C43">
        <f t="shared" si="0"/>
        <v>10102</v>
      </c>
      <c r="D43" s="3" t="s">
        <v>86</v>
      </c>
      <c r="E43" s="11">
        <f t="shared" si="3"/>
        <v>28.697222222222223</v>
      </c>
      <c r="F43" s="11">
        <f t="shared" si="4"/>
        <v>-92.262500000000003</v>
      </c>
      <c r="G43" t="s">
        <v>15</v>
      </c>
      <c r="H43" s="12" t="s">
        <v>17</v>
      </c>
      <c r="I43" s="4">
        <v>34155</v>
      </c>
      <c r="J43" t="s">
        <v>1</v>
      </c>
      <c r="K43" s="2">
        <v>0</v>
      </c>
      <c r="L43" s="2"/>
      <c r="M43" s="5">
        <f>373*37</f>
        <v>13801</v>
      </c>
      <c r="N43" s="5">
        <f>263*37</f>
        <v>9731</v>
      </c>
      <c r="O43" s="8">
        <f>11*37</f>
        <v>407</v>
      </c>
      <c r="P43" s="1"/>
      <c r="Q43" s="1"/>
      <c r="R43" s="1"/>
      <c r="S43" s="3"/>
      <c r="T43" s="3"/>
      <c r="U43" s="3"/>
      <c r="V43" s="3"/>
      <c r="W43" s="3"/>
      <c r="X43" s="3"/>
      <c r="Y43" s="3"/>
      <c r="Z43" t="s">
        <v>359</v>
      </c>
      <c r="AA43" s="9" t="s">
        <v>31</v>
      </c>
    </row>
    <row r="44" spans="1:27" s="12" customFormat="1" x14ac:dyDescent="0.25">
      <c r="A44">
        <v>101</v>
      </c>
      <c r="B44">
        <v>2</v>
      </c>
      <c r="C44">
        <f t="shared" si="0"/>
        <v>10102</v>
      </c>
      <c r="D44" s="3" t="s">
        <v>86</v>
      </c>
      <c r="E44" s="11">
        <f t="shared" si="3"/>
        <v>28.697222222222223</v>
      </c>
      <c r="F44" s="11">
        <f t="shared" si="4"/>
        <v>-92.262500000000003</v>
      </c>
      <c r="G44" t="s">
        <v>15</v>
      </c>
      <c r="H44" s="12" t="s">
        <v>17</v>
      </c>
      <c r="I44" s="4">
        <v>34156</v>
      </c>
      <c r="J44" t="s">
        <v>1</v>
      </c>
      <c r="K44" s="2">
        <v>0</v>
      </c>
      <c r="L44" s="2"/>
      <c r="M44" s="5">
        <f>344*37</f>
        <v>12728</v>
      </c>
      <c r="N44" s="5">
        <f>217*37</f>
        <v>8029</v>
      </c>
      <c r="O44" s="8">
        <f>14*37</f>
        <v>518</v>
      </c>
      <c r="P44" s="1"/>
      <c r="Q44" s="1"/>
      <c r="R44" s="1"/>
      <c r="S44" s="3"/>
      <c r="T44" s="3"/>
      <c r="U44" s="3"/>
      <c r="V44" s="3"/>
      <c r="W44" s="3"/>
      <c r="X44" s="3"/>
      <c r="Y44" s="3"/>
      <c r="Z44" t="s">
        <v>359</v>
      </c>
      <c r="AA44" s="9" t="s">
        <v>31</v>
      </c>
    </row>
    <row r="45" spans="1:27" s="12" customFormat="1" x14ac:dyDescent="0.25">
      <c r="A45">
        <v>101</v>
      </c>
      <c r="B45">
        <v>2</v>
      </c>
      <c r="C45">
        <f t="shared" si="0"/>
        <v>10102</v>
      </c>
      <c r="D45" s="3" t="s">
        <v>86</v>
      </c>
      <c r="E45" s="11">
        <f t="shared" si="3"/>
        <v>28.697222222222223</v>
      </c>
      <c r="F45" s="11">
        <f t="shared" si="4"/>
        <v>-92.262500000000003</v>
      </c>
      <c r="G45" t="s">
        <v>15</v>
      </c>
      <c r="H45" s="12" t="s">
        <v>17</v>
      </c>
      <c r="I45" s="4">
        <v>34182</v>
      </c>
      <c r="J45" t="s">
        <v>1</v>
      </c>
      <c r="K45" s="2">
        <v>0</v>
      </c>
      <c r="L45" s="2"/>
      <c r="M45" s="5">
        <f>60*37</f>
        <v>2220</v>
      </c>
      <c r="N45" s="5">
        <f>242*37</f>
        <v>8954</v>
      </c>
      <c r="O45" s="8">
        <f>6*37</f>
        <v>222</v>
      </c>
      <c r="P45" s="1"/>
      <c r="Q45" s="1"/>
      <c r="R45" s="1"/>
      <c r="S45" s="3"/>
      <c r="T45" s="3"/>
      <c r="U45" s="3"/>
      <c r="V45" s="3"/>
      <c r="W45" s="3"/>
      <c r="X45" s="3"/>
      <c r="Y45" s="3"/>
      <c r="Z45" t="s">
        <v>359</v>
      </c>
      <c r="AA45" s="9" t="s">
        <v>31</v>
      </c>
    </row>
    <row r="46" spans="1:27" s="12" customFormat="1" x14ac:dyDescent="0.25">
      <c r="A46">
        <v>101</v>
      </c>
      <c r="B46">
        <v>2</v>
      </c>
      <c r="C46">
        <f t="shared" si="0"/>
        <v>10102</v>
      </c>
      <c r="D46" s="3" t="s">
        <v>86</v>
      </c>
      <c r="E46" s="11">
        <f t="shared" si="3"/>
        <v>28.697222222222223</v>
      </c>
      <c r="F46" s="11">
        <f t="shared" si="4"/>
        <v>-92.262500000000003</v>
      </c>
      <c r="G46" t="s">
        <v>15</v>
      </c>
      <c r="H46" s="12" t="s">
        <v>17</v>
      </c>
      <c r="I46" s="4">
        <v>34213</v>
      </c>
      <c r="J46" t="s">
        <v>1</v>
      </c>
      <c r="K46" s="2">
        <v>0</v>
      </c>
      <c r="L46" s="2"/>
      <c r="M46" s="5">
        <f>77*37</f>
        <v>2849</v>
      </c>
      <c r="N46" s="5">
        <f>318*37</f>
        <v>11766</v>
      </c>
      <c r="O46" s="8">
        <f>7*37</f>
        <v>259</v>
      </c>
      <c r="P46" s="1"/>
      <c r="Q46" s="1"/>
      <c r="R46" s="1"/>
      <c r="S46" s="3"/>
      <c r="T46" s="3"/>
      <c r="U46" s="3"/>
      <c r="V46" s="3"/>
      <c r="W46" s="3"/>
      <c r="X46" s="3"/>
      <c r="Y46" s="3"/>
      <c r="Z46" t="s">
        <v>359</v>
      </c>
      <c r="AA46" s="9" t="s">
        <v>31</v>
      </c>
    </row>
    <row r="47" spans="1:27" s="12" customFormat="1" x14ac:dyDescent="0.25">
      <c r="A47">
        <v>101</v>
      </c>
      <c r="B47">
        <v>2</v>
      </c>
      <c r="C47">
        <f t="shared" si="0"/>
        <v>10102</v>
      </c>
      <c r="D47" s="3" t="s">
        <v>86</v>
      </c>
      <c r="E47" s="11">
        <f t="shared" si="3"/>
        <v>28.697222222222223</v>
      </c>
      <c r="F47" s="11">
        <f t="shared" si="4"/>
        <v>-92.262500000000003</v>
      </c>
      <c r="G47" t="s">
        <v>15</v>
      </c>
      <c r="H47" s="12" t="s">
        <v>17</v>
      </c>
      <c r="I47" s="4">
        <v>34243</v>
      </c>
      <c r="J47" t="s">
        <v>1</v>
      </c>
      <c r="K47" s="2">
        <v>0</v>
      </c>
      <c r="L47" s="2"/>
      <c r="M47" s="5">
        <f>90*37</f>
        <v>3330</v>
      </c>
      <c r="N47" s="5">
        <f>278*37</f>
        <v>10286</v>
      </c>
      <c r="O47" s="8">
        <f>6*37</f>
        <v>222</v>
      </c>
      <c r="P47" s="1"/>
      <c r="Q47" s="1"/>
      <c r="R47" s="1"/>
      <c r="S47" s="3"/>
      <c r="T47" s="3"/>
      <c r="U47" s="3"/>
      <c r="V47" s="3"/>
      <c r="W47" s="3"/>
      <c r="X47" s="3"/>
      <c r="Y47" s="3"/>
      <c r="Z47" t="s">
        <v>359</v>
      </c>
      <c r="AA47" s="9" t="s">
        <v>31</v>
      </c>
    </row>
    <row r="48" spans="1:27" s="12" customFormat="1" x14ac:dyDescent="0.25">
      <c r="A48">
        <v>101</v>
      </c>
      <c r="B48">
        <v>2</v>
      </c>
      <c r="C48">
        <f t="shared" si="0"/>
        <v>10102</v>
      </c>
      <c r="D48" s="3" t="s">
        <v>86</v>
      </c>
      <c r="E48" s="11">
        <f t="shared" si="3"/>
        <v>28.697222222222223</v>
      </c>
      <c r="F48" s="11">
        <f t="shared" si="4"/>
        <v>-92.262500000000003</v>
      </c>
      <c r="G48" t="s">
        <v>15</v>
      </c>
      <c r="H48" s="12" t="s">
        <v>17</v>
      </c>
      <c r="I48" s="4">
        <v>34274</v>
      </c>
      <c r="J48" t="s">
        <v>1</v>
      </c>
      <c r="K48" s="2">
        <v>0</v>
      </c>
      <c r="L48" s="2"/>
      <c r="M48" s="5">
        <f>238*37</f>
        <v>8806</v>
      </c>
      <c r="N48" s="5">
        <f>228*37</f>
        <v>8436</v>
      </c>
      <c r="O48" s="8">
        <f>4*37</f>
        <v>148</v>
      </c>
      <c r="P48" s="1"/>
      <c r="Q48" s="1"/>
      <c r="R48" s="1"/>
      <c r="S48" s="3"/>
      <c r="T48" s="3"/>
      <c r="U48" s="3"/>
      <c r="V48" s="3"/>
      <c r="W48" s="3"/>
      <c r="X48" s="3"/>
      <c r="Y48" s="3"/>
      <c r="Z48" t="s">
        <v>359</v>
      </c>
      <c r="AA48" s="9" t="s">
        <v>31</v>
      </c>
    </row>
    <row r="49" spans="1:27" s="12" customFormat="1" x14ac:dyDescent="0.25">
      <c r="A49">
        <v>101</v>
      </c>
      <c r="B49">
        <v>3</v>
      </c>
      <c r="C49">
        <f t="shared" si="0"/>
        <v>10103</v>
      </c>
      <c r="D49" s="3" t="s">
        <v>86</v>
      </c>
      <c r="E49" s="11">
        <f>28+17/60+53/3600</f>
        <v>28.298055555555557</v>
      </c>
      <c r="F49" s="11">
        <f>-(92+43/3600)</f>
        <v>-92.011944444444438</v>
      </c>
      <c r="G49" t="s">
        <v>15</v>
      </c>
      <c r="H49" s="12" t="s">
        <v>17</v>
      </c>
      <c r="I49" s="4">
        <v>34151</v>
      </c>
      <c r="J49" t="s">
        <v>1</v>
      </c>
      <c r="K49" s="2">
        <v>0</v>
      </c>
      <c r="L49" s="2"/>
      <c r="M49" s="5">
        <f>362*37</f>
        <v>13394</v>
      </c>
      <c r="N49" s="5">
        <f>164*37</f>
        <v>6068</v>
      </c>
      <c r="O49" s="8">
        <f>6*37</f>
        <v>222</v>
      </c>
      <c r="P49" s="1"/>
      <c r="Q49" s="1"/>
      <c r="R49" s="1"/>
      <c r="S49" s="3"/>
      <c r="T49" s="3"/>
      <c r="U49" s="3"/>
      <c r="V49" s="3"/>
      <c r="W49" s="3"/>
      <c r="X49" s="3"/>
      <c r="Y49" s="3"/>
      <c r="Z49" t="s">
        <v>359</v>
      </c>
      <c r="AA49" s="9" t="s">
        <v>31</v>
      </c>
    </row>
    <row r="50" spans="1:27" s="12" customFormat="1" x14ac:dyDescent="0.25">
      <c r="A50">
        <v>101</v>
      </c>
      <c r="B50">
        <v>3</v>
      </c>
      <c r="C50">
        <f t="shared" si="0"/>
        <v>10103</v>
      </c>
      <c r="D50" s="3" t="s">
        <v>86</v>
      </c>
      <c r="E50" s="11">
        <f t="shared" ref="E50:E59" si="5">28+17/60+53/3600</f>
        <v>28.298055555555557</v>
      </c>
      <c r="F50" s="11">
        <f t="shared" ref="F50:F59" si="6">-(92+43/3600)</f>
        <v>-92.011944444444438</v>
      </c>
      <c r="G50" t="s">
        <v>15</v>
      </c>
      <c r="H50" s="12" t="s">
        <v>17</v>
      </c>
      <c r="I50" s="4">
        <v>34152</v>
      </c>
      <c r="J50" t="s">
        <v>1</v>
      </c>
      <c r="K50" s="2">
        <v>0</v>
      </c>
      <c r="L50" s="2"/>
      <c r="M50" s="5">
        <f>261*37</f>
        <v>9657</v>
      </c>
      <c r="N50" s="5">
        <f>130*37</f>
        <v>4810</v>
      </c>
      <c r="O50" s="8">
        <f>13*37</f>
        <v>481</v>
      </c>
      <c r="P50" s="1"/>
      <c r="Q50" s="1"/>
      <c r="R50" s="1"/>
      <c r="S50" s="3"/>
      <c r="T50" s="3"/>
      <c r="U50" s="3"/>
      <c r="V50" s="3"/>
      <c r="W50" s="3"/>
      <c r="X50" s="3"/>
      <c r="Y50" s="3"/>
      <c r="Z50" t="s">
        <v>359</v>
      </c>
      <c r="AA50" s="9" t="s">
        <v>31</v>
      </c>
    </row>
    <row r="51" spans="1:27" s="12" customFormat="1" x14ac:dyDescent="0.25">
      <c r="A51">
        <v>101</v>
      </c>
      <c r="B51">
        <v>3</v>
      </c>
      <c r="C51">
        <f t="shared" si="0"/>
        <v>10103</v>
      </c>
      <c r="D51" s="3" t="s">
        <v>86</v>
      </c>
      <c r="E51" s="11">
        <f t="shared" si="5"/>
        <v>28.298055555555557</v>
      </c>
      <c r="F51" s="11">
        <f t="shared" si="6"/>
        <v>-92.011944444444438</v>
      </c>
      <c r="G51" t="s">
        <v>15</v>
      </c>
      <c r="H51" s="12" t="s">
        <v>17</v>
      </c>
      <c r="I51" s="4">
        <v>34153</v>
      </c>
      <c r="J51" t="s">
        <v>1</v>
      </c>
      <c r="K51" s="2">
        <v>0</v>
      </c>
      <c r="L51" s="2"/>
      <c r="M51" s="5">
        <f>317*37</f>
        <v>11729</v>
      </c>
      <c r="N51" s="5">
        <f>113*37</f>
        <v>4181</v>
      </c>
      <c r="O51" s="8">
        <f>4*37</f>
        <v>148</v>
      </c>
      <c r="P51" s="1"/>
      <c r="Q51" s="1"/>
      <c r="R51" s="1"/>
      <c r="S51" s="3"/>
      <c r="T51" s="3"/>
      <c r="U51" s="3"/>
      <c r="V51" s="3"/>
      <c r="W51" s="3"/>
      <c r="X51" s="3"/>
      <c r="Y51" s="3"/>
      <c r="Z51" t="s">
        <v>359</v>
      </c>
      <c r="AA51" s="9" t="s">
        <v>31</v>
      </c>
    </row>
    <row r="52" spans="1:27" s="12" customFormat="1" x14ac:dyDescent="0.25">
      <c r="A52">
        <v>101</v>
      </c>
      <c r="B52">
        <v>3</v>
      </c>
      <c r="C52">
        <f t="shared" si="0"/>
        <v>10103</v>
      </c>
      <c r="D52" s="3" t="s">
        <v>86</v>
      </c>
      <c r="E52" s="11">
        <f t="shared" si="5"/>
        <v>28.298055555555557</v>
      </c>
      <c r="F52" s="11">
        <f t="shared" si="6"/>
        <v>-92.011944444444438</v>
      </c>
      <c r="G52" t="s">
        <v>15</v>
      </c>
      <c r="H52" s="12" t="s">
        <v>17</v>
      </c>
      <c r="I52" s="4">
        <v>34154</v>
      </c>
      <c r="J52" t="s">
        <v>1</v>
      </c>
      <c r="K52" s="2">
        <v>0</v>
      </c>
      <c r="L52" s="2"/>
      <c r="M52" s="5">
        <f>110*37</f>
        <v>4070</v>
      </c>
      <c r="N52" s="5">
        <f>43*37</f>
        <v>1591</v>
      </c>
      <c r="O52" s="8">
        <f>2*37</f>
        <v>74</v>
      </c>
      <c r="P52" s="1"/>
      <c r="Q52" s="1"/>
      <c r="R52" s="1"/>
      <c r="S52" s="3"/>
      <c r="T52" s="3"/>
      <c r="U52" s="3"/>
      <c r="V52" s="3"/>
      <c r="W52" s="3"/>
      <c r="X52" s="3"/>
      <c r="Y52" s="3"/>
      <c r="Z52" t="s">
        <v>359</v>
      </c>
      <c r="AA52" s="9" t="s">
        <v>31</v>
      </c>
    </row>
    <row r="53" spans="1:27" s="12" customFormat="1" x14ac:dyDescent="0.25">
      <c r="A53">
        <v>101</v>
      </c>
      <c r="B53">
        <v>3</v>
      </c>
      <c r="C53">
        <f t="shared" si="0"/>
        <v>10103</v>
      </c>
      <c r="D53" s="3" t="s">
        <v>86</v>
      </c>
      <c r="E53" s="11">
        <f t="shared" si="5"/>
        <v>28.298055555555557</v>
      </c>
      <c r="F53" s="11">
        <f t="shared" si="6"/>
        <v>-92.011944444444438</v>
      </c>
      <c r="G53" t="s">
        <v>15</v>
      </c>
      <c r="H53" s="12" t="s">
        <v>17</v>
      </c>
      <c r="I53" s="4">
        <v>34155</v>
      </c>
      <c r="J53" t="s">
        <v>1</v>
      </c>
      <c r="K53" s="2">
        <v>0</v>
      </c>
      <c r="L53" s="2"/>
      <c r="M53" s="5">
        <f>373*37</f>
        <v>13801</v>
      </c>
      <c r="N53" s="5">
        <f>187*37</f>
        <v>6919</v>
      </c>
      <c r="O53" s="8">
        <f>5*37</f>
        <v>185</v>
      </c>
      <c r="P53" s="1"/>
      <c r="Q53" s="1"/>
      <c r="R53" s="1"/>
      <c r="S53" s="3"/>
      <c r="T53" s="3"/>
      <c r="U53" s="3"/>
      <c r="V53" s="3"/>
      <c r="W53" s="3"/>
      <c r="X53" s="3"/>
      <c r="Y53" s="3"/>
      <c r="Z53" t="s">
        <v>359</v>
      </c>
      <c r="AA53" s="9" t="s">
        <v>31</v>
      </c>
    </row>
    <row r="54" spans="1:27" s="12" customFormat="1" x14ac:dyDescent="0.25">
      <c r="A54">
        <v>101</v>
      </c>
      <c r="B54">
        <v>3</v>
      </c>
      <c r="C54">
        <f t="shared" si="0"/>
        <v>10103</v>
      </c>
      <c r="D54" s="3" t="s">
        <v>86</v>
      </c>
      <c r="E54" s="11">
        <f t="shared" si="5"/>
        <v>28.298055555555557</v>
      </c>
      <c r="F54" s="11">
        <f t="shared" si="6"/>
        <v>-92.011944444444438</v>
      </c>
      <c r="G54" t="s">
        <v>15</v>
      </c>
      <c r="H54" s="12" t="s">
        <v>17</v>
      </c>
      <c r="I54" s="4">
        <v>34156</v>
      </c>
      <c r="J54" t="s">
        <v>1</v>
      </c>
      <c r="K54" s="2">
        <v>0</v>
      </c>
      <c r="L54" s="2"/>
      <c r="M54" s="5">
        <f>229*37</f>
        <v>8473</v>
      </c>
      <c r="N54" s="5">
        <f>279*37</f>
        <v>10323</v>
      </c>
      <c r="O54" s="8">
        <f>11*37</f>
        <v>407</v>
      </c>
      <c r="P54" s="1"/>
      <c r="Q54" s="1"/>
      <c r="R54" s="1"/>
      <c r="S54" s="3"/>
      <c r="T54" s="3"/>
      <c r="U54" s="3"/>
      <c r="V54" s="3"/>
      <c r="W54" s="3"/>
      <c r="X54" s="3"/>
      <c r="Y54" s="3"/>
      <c r="Z54" t="s">
        <v>359</v>
      </c>
      <c r="AA54" s="9" t="s">
        <v>31</v>
      </c>
    </row>
    <row r="55" spans="1:27" s="12" customFormat="1" x14ac:dyDescent="0.25">
      <c r="A55">
        <v>101</v>
      </c>
      <c r="B55">
        <v>3</v>
      </c>
      <c r="C55">
        <f t="shared" si="0"/>
        <v>10103</v>
      </c>
      <c r="D55" s="3" t="s">
        <v>86</v>
      </c>
      <c r="E55" s="11">
        <f t="shared" si="5"/>
        <v>28.298055555555557</v>
      </c>
      <c r="F55" s="11">
        <f t="shared" si="6"/>
        <v>-92.011944444444438</v>
      </c>
      <c r="G55" t="s">
        <v>15</v>
      </c>
      <c r="H55" s="12" t="s">
        <v>17</v>
      </c>
      <c r="I55" s="4">
        <v>34182</v>
      </c>
      <c r="J55" t="s">
        <v>1</v>
      </c>
      <c r="K55" s="2">
        <v>0</v>
      </c>
      <c r="L55" s="2"/>
      <c r="M55" s="5">
        <f>196*37</f>
        <v>7252</v>
      </c>
      <c r="N55" s="5">
        <f>193*37</f>
        <v>7141</v>
      </c>
      <c r="O55" s="8">
        <f>5*37</f>
        <v>185</v>
      </c>
      <c r="P55" s="1"/>
      <c r="Q55" s="1"/>
      <c r="R55" s="1"/>
      <c r="S55" s="3"/>
      <c r="T55" s="3"/>
      <c r="U55" s="3"/>
      <c r="V55" s="3"/>
      <c r="W55" s="3"/>
      <c r="X55" s="3"/>
      <c r="Y55" s="3"/>
      <c r="Z55" t="s">
        <v>359</v>
      </c>
      <c r="AA55" s="9" t="s">
        <v>31</v>
      </c>
    </row>
    <row r="56" spans="1:27" s="12" customFormat="1" x14ac:dyDescent="0.25">
      <c r="A56">
        <v>101</v>
      </c>
      <c r="B56">
        <v>3</v>
      </c>
      <c r="C56">
        <f t="shared" si="0"/>
        <v>10103</v>
      </c>
      <c r="D56" s="3" t="s">
        <v>86</v>
      </c>
      <c r="E56" s="11">
        <f t="shared" si="5"/>
        <v>28.298055555555557</v>
      </c>
      <c r="F56" s="11">
        <f t="shared" si="6"/>
        <v>-92.011944444444438</v>
      </c>
      <c r="G56" t="s">
        <v>15</v>
      </c>
      <c r="H56" s="12" t="s">
        <v>17</v>
      </c>
      <c r="I56" s="4">
        <v>34213</v>
      </c>
      <c r="J56" t="s">
        <v>1</v>
      </c>
      <c r="K56" s="2">
        <v>0</v>
      </c>
      <c r="L56" s="2"/>
      <c r="M56" s="5">
        <f>315*37</f>
        <v>11655</v>
      </c>
      <c r="N56" s="5">
        <f>188*37</f>
        <v>6956</v>
      </c>
      <c r="O56" s="8">
        <f>7*37</f>
        <v>259</v>
      </c>
      <c r="P56" s="1"/>
      <c r="Q56" s="1"/>
      <c r="R56" s="1"/>
      <c r="S56" s="3"/>
      <c r="T56" s="3"/>
      <c r="U56" s="3"/>
      <c r="V56" s="3"/>
      <c r="W56" s="3"/>
      <c r="X56" s="3"/>
      <c r="Y56" s="3"/>
      <c r="Z56" t="s">
        <v>359</v>
      </c>
      <c r="AA56" s="9" t="s">
        <v>31</v>
      </c>
    </row>
    <row r="57" spans="1:27" s="12" customFormat="1" x14ac:dyDescent="0.25">
      <c r="A57">
        <v>101</v>
      </c>
      <c r="B57">
        <v>3</v>
      </c>
      <c r="C57">
        <f t="shared" si="0"/>
        <v>10103</v>
      </c>
      <c r="D57" s="3" t="s">
        <v>86</v>
      </c>
      <c r="E57" s="11">
        <f t="shared" si="5"/>
        <v>28.298055555555557</v>
      </c>
      <c r="F57" s="11">
        <f t="shared" si="6"/>
        <v>-92.011944444444438</v>
      </c>
      <c r="G57" t="s">
        <v>15</v>
      </c>
      <c r="H57" s="12" t="s">
        <v>17</v>
      </c>
      <c r="I57" s="4">
        <v>34243</v>
      </c>
      <c r="J57" t="s">
        <v>1</v>
      </c>
      <c r="K57" s="2">
        <v>0</v>
      </c>
      <c r="L57" s="2"/>
      <c r="M57" s="5">
        <f>265*37</f>
        <v>9805</v>
      </c>
      <c r="N57" s="5">
        <f>156*37</f>
        <v>5772</v>
      </c>
      <c r="O57" s="8">
        <f>5*37</f>
        <v>185</v>
      </c>
      <c r="P57" s="1"/>
      <c r="Q57" s="1"/>
      <c r="R57" s="1"/>
      <c r="S57" s="3"/>
      <c r="T57" s="3"/>
      <c r="U57" s="3"/>
      <c r="V57" s="3"/>
      <c r="W57" s="3"/>
      <c r="X57" s="3"/>
      <c r="Y57" s="3"/>
      <c r="Z57" t="s">
        <v>359</v>
      </c>
      <c r="AA57" s="9" t="s">
        <v>31</v>
      </c>
    </row>
    <row r="58" spans="1:27" s="12" customFormat="1" x14ac:dyDescent="0.25">
      <c r="A58">
        <v>101</v>
      </c>
      <c r="B58">
        <v>3</v>
      </c>
      <c r="C58">
        <f t="shared" si="0"/>
        <v>10103</v>
      </c>
      <c r="D58" s="3" t="s">
        <v>86</v>
      </c>
      <c r="E58" s="11">
        <f t="shared" si="5"/>
        <v>28.298055555555557</v>
      </c>
      <c r="F58" s="11">
        <f t="shared" si="6"/>
        <v>-92.011944444444438</v>
      </c>
      <c r="G58" t="s">
        <v>15</v>
      </c>
      <c r="H58" s="12" t="s">
        <v>17</v>
      </c>
      <c r="I58" s="4">
        <v>34274</v>
      </c>
      <c r="J58" t="s">
        <v>1</v>
      </c>
      <c r="K58" s="2">
        <v>0</v>
      </c>
      <c r="L58" s="2"/>
      <c r="M58" s="5">
        <f>287*37</f>
        <v>10619</v>
      </c>
      <c r="N58" s="5">
        <f>196*37</f>
        <v>7252</v>
      </c>
      <c r="O58" s="8" t="s">
        <v>14</v>
      </c>
      <c r="P58" s="1"/>
      <c r="Q58" s="1"/>
      <c r="R58" s="1"/>
      <c r="S58" s="3"/>
      <c r="T58" s="3"/>
      <c r="U58" s="3"/>
      <c r="V58" s="3"/>
      <c r="W58" s="3"/>
      <c r="X58" s="3"/>
      <c r="Y58" s="3"/>
      <c r="Z58" t="s">
        <v>359</v>
      </c>
      <c r="AA58" s="9" t="s">
        <v>31</v>
      </c>
    </row>
    <row r="59" spans="1:27" s="12" customFormat="1" x14ac:dyDescent="0.25">
      <c r="A59">
        <v>101</v>
      </c>
      <c r="B59">
        <v>3</v>
      </c>
      <c r="C59">
        <f t="shared" si="0"/>
        <v>10103</v>
      </c>
      <c r="D59" s="3" t="s">
        <v>86</v>
      </c>
      <c r="E59" s="11">
        <f t="shared" si="5"/>
        <v>28.298055555555557</v>
      </c>
      <c r="F59" s="11">
        <f t="shared" si="6"/>
        <v>-92.011944444444438</v>
      </c>
      <c r="G59" t="s">
        <v>15</v>
      </c>
      <c r="H59" s="12" t="s">
        <v>17</v>
      </c>
      <c r="I59" s="4">
        <v>34304</v>
      </c>
      <c r="J59" t="s">
        <v>1</v>
      </c>
      <c r="K59" s="2">
        <v>0</v>
      </c>
      <c r="L59" s="2"/>
      <c r="M59" s="5">
        <f>286*37</f>
        <v>10582</v>
      </c>
      <c r="N59" s="5">
        <f>196*37</f>
        <v>7252</v>
      </c>
      <c r="O59" s="8" t="s">
        <v>14</v>
      </c>
      <c r="P59" s="1"/>
      <c r="Q59" s="1"/>
      <c r="R59" s="1"/>
      <c r="S59" s="3"/>
      <c r="T59" s="3"/>
      <c r="U59" s="3"/>
      <c r="V59" s="3"/>
      <c r="W59" s="3"/>
      <c r="X59" s="3"/>
      <c r="Y59" s="3"/>
      <c r="Z59" t="s">
        <v>359</v>
      </c>
      <c r="AA59" s="9" t="s">
        <v>31</v>
      </c>
    </row>
    <row r="60" spans="1:27" s="12" customFormat="1" x14ac:dyDescent="0.25">
      <c r="A60">
        <v>101</v>
      </c>
      <c r="B60">
        <v>4</v>
      </c>
      <c r="C60">
        <f t="shared" si="0"/>
        <v>10104</v>
      </c>
      <c r="D60" s="3" t="s">
        <v>86</v>
      </c>
      <c r="E60" s="11">
        <f>27+52/60+5/3600</f>
        <v>27.868055555555557</v>
      </c>
      <c r="F60" s="11">
        <f>-(93+59/60+30/3600)</f>
        <v>-93.991666666666674</v>
      </c>
      <c r="G60" t="s">
        <v>15</v>
      </c>
      <c r="H60" s="12" t="s">
        <v>17</v>
      </c>
      <c r="I60" s="4">
        <v>34151</v>
      </c>
      <c r="J60" t="s">
        <v>1</v>
      </c>
      <c r="K60" s="2">
        <v>0</v>
      </c>
      <c r="L60" s="2"/>
      <c r="M60" s="5">
        <f>1494*37</f>
        <v>55278</v>
      </c>
      <c r="N60" s="5">
        <f>356*37</f>
        <v>13172</v>
      </c>
      <c r="O60" s="8">
        <f>13*37</f>
        <v>481</v>
      </c>
      <c r="P60" s="1"/>
      <c r="Q60" s="1"/>
      <c r="R60" s="1"/>
      <c r="S60" s="3"/>
      <c r="T60" s="3"/>
      <c r="U60" s="3"/>
      <c r="V60" s="3"/>
      <c r="W60" s="3"/>
      <c r="X60" s="3"/>
      <c r="Y60" s="3"/>
      <c r="Z60" t="s">
        <v>359</v>
      </c>
      <c r="AA60" s="9" t="s">
        <v>31</v>
      </c>
    </row>
    <row r="61" spans="1:27" s="12" customFormat="1" x14ac:dyDescent="0.25">
      <c r="A61">
        <v>101</v>
      </c>
      <c r="B61">
        <v>4</v>
      </c>
      <c r="C61">
        <f t="shared" si="0"/>
        <v>10104</v>
      </c>
      <c r="D61" s="3" t="s">
        <v>86</v>
      </c>
      <c r="E61" s="11">
        <f t="shared" ref="E61:E68" si="7">27+52/60+5/3600</f>
        <v>27.868055555555557</v>
      </c>
      <c r="F61" s="11">
        <f t="shared" ref="F61:F68" si="8">-(93+59/60+30/3600)</f>
        <v>-93.991666666666674</v>
      </c>
      <c r="G61" t="s">
        <v>15</v>
      </c>
      <c r="H61" s="12" t="s">
        <v>17</v>
      </c>
      <c r="I61" s="4">
        <v>34152</v>
      </c>
      <c r="J61" t="s">
        <v>1</v>
      </c>
      <c r="K61" s="2">
        <v>0</v>
      </c>
      <c r="L61" s="2"/>
      <c r="M61" s="5">
        <f>490*37</f>
        <v>18130</v>
      </c>
      <c r="N61" s="5">
        <f>409*37</f>
        <v>15133</v>
      </c>
      <c r="O61" s="8">
        <f>11*37</f>
        <v>407</v>
      </c>
      <c r="P61" s="1"/>
      <c r="Q61" s="1"/>
      <c r="R61" s="1"/>
      <c r="S61" s="3"/>
      <c r="T61" s="3"/>
      <c r="U61" s="3"/>
      <c r="V61" s="3"/>
      <c r="W61" s="3"/>
      <c r="X61" s="3"/>
      <c r="Y61" s="3"/>
      <c r="Z61" t="s">
        <v>359</v>
      </c>
      <c r="AA61" s="9" t="s">
        <v>31</v>
      </c>
    </row>
    <row r="62" spans="1:27" s="12" customFormat="1" x14ac:dyDescent="0.25">
      <c r="A62">
        <v>101</v>
      </c>
      <c r="B62">
        <v>4</v>
      </c>
      <c r="C62">
        <f t="shared" si="0"/>
        <v>10104</v>
      </c>
      <c r="D62" s="3" t="s">
        <v>86</v>
      </c>
      <c r="E62" s="11">
        <f t="shared" si="7"/>
        <v>27.868055555555557</v>
      </c>
      <c r="F62" s="11">
        <f t="shared" si="8"/>
        <v>-93.991666666666674</v>
      </c>
      <c r="G62" t="s">
        <v>15</v>
      </c>
      <c r="H62" s="12" t="s">
        <v>17</v>
      </c>
      <c r="I62" s="4">
        <v>34153</v>
      </c>
      <c r="J62" t="s">
        <v>1</v>
      </c>
      <c r="K62" s="2">
        <v>0</v>
      </c>
      <c r="L62" s="2"/>
      <c r="M62" s="5">
        <f>470*37</f>
        <v>17390</v>
      </c>
      <c r="N62" s="5">
        <f>362*37</f>
        <v>13394</v>
      </c>
      <c r="O62" s="8">
        <f>15*37</f>
        <v>555</v>
      </c>
      <c r="P62" s="1"/>
      <c r="Q62" s="1"/>
      <c r="R62" s="1"/>
      <c r="S62" s="3"/>
      <c r="T62" s="3"/>
      <c r="U62" s="3"/>
      <c r="V62" s="3"/>
      <c r="W62" s="3"/>
      <c r="X62" s="3"/>
      <c r="Y62" s="3"/>
      <c r="Z62" t="s">
        <v>359</v>
      </c>
      <c r="AA62" s="9" t="s">
        <v>31</v>
      </c>
    </row>
    <row r="63" spans="1:27" s="12" customFormat="1" x14ac:dyDescent="0.25">
      <c r="A63">
        <v>101</v>
      </c>
      <c r="B63">
        <v>4</v>
      </c>
      <c r="C63">
        <f t="shared" si="0"/>
        <v>10104</v>
      </c>
      <c r="D63" s="3" t="s">
        <v>86</v>
      </c>
      <c r="E63" s="11">
        <f t="shared" si="7"/>
        <v>27.868055555555557</v>
      </c>
      <c r="F63" s="11">
        <f t="shared" si="8"/>
        <v>-93.991666666666674</v>
      </c>
      <c r="G63" t="s">
        <v>15</v>
      </c>
      <c r="H63" s="12" t="s">
        <v>17</v>
      </c>
      <c r="I63" s="4">
        <v>34154</v>
      </c>
      <c r="J63" t="s">
        <v>1</v>
      </c>
      <c r="K63" s="2">
        <v>0</v>
      </c>
      <c r="L63" s="2"/>
      <c r="M63" s="5">
        <f>83*37</f>
        <v>3071</v>
      </c>
      <c r="N63" s="5">
        <f>291*37</f>
        <v>10767</v>
      </c>
      <c r="O63" s="8">
        <f>20*37</f>
        <v>740</v>
      </c>
      <c r="P63" s="1"/>
      <c r="Q63" s="1"/>
      <c r="R63" s="1"/>
      <c r="S63" s="3"/>
      <c r="T63" s="3"/>
      <c r="U63" s="3"/>
      <c r="V63" s="3"/>
      <c r="W63" s="3"/>
      <c r="X63" s="3"/>
      <c r="Y63" s="3"/>
      <c r="Z63" t="s">
        <v>359</v>
      </c>
      <c r="AA63" s="9" t="s">
        <v>31</v>
      </c>
    </row>
    <row r="64" spans="1:27" x14ac:dyDescent="0.25">
      <c r="A64">
        <v>101</v>
      </c>
      <c r="B64">
        <v>4</v>
      </c>
      <c r="C64">
        <f t="shared" si="0"/>
        <v>10104</v>
      </c>
      <c r="D64" s="3" t="s">
        <v>86</v>
      </c>
      <c r="E64" s="11">
        <f t="shared" si="7"/>
        <v>27.868055555555557</v>
      </c>
      <c r="F64" s="11">
        <f t="shared" si="8"/>
        <v>-93.991666666666674</v>
      </c>
      <c r="G64" t="s">
        <v>15</v>
      </c>
      <c r="H64" s="12" t="s">
        <v>17</v>
      </c>
      <c r="I64" s="4">
        <v>34155</v>
      </c>
      <c r="J64" t="s">
        <v>1</v>
      </c>
      <c r="K64" s="2">
        <v>0</v>
      </c>
      <c r="L64" s="2"/>
      <c r="M64" s="5">
        <f>944*37</f>
        <v>34928</v>
      </c>
      <c r="N64" s="5">
        <f>220*37</f>
        <v>8140</v>
      </c>
      <c r="O64" s="8">
        <f>23*37</f>
        <v>851</v>
      </c>
      <c r="P64" s="1"/>
      <c r="Q64" s="1"/>
      <c r="R64" s="1"/>
      <c r="S64" s="3"/>
      <c r="T64" s="3"/>
      <c r="U64" s="3"/>
      <c r="V64" s="3"/>
      <c r="W64" s="3"/>
      <c r="X64" s="3"/>
      <c r="Y64" s="3"/>
      <c r="Z64" t="s">
        <v>359</v>
      </c>
      <c r="AA64" s="9" t="s">
        <v>31</v>
      </c>
    </row>
    <row r="65" spans="1:27" x14ac:dyDescent="0.25">
      <c r="A65">
        <v>101</v>
      </c>
      <c r="B65">
        <v>4</v>
      </c>
      <c r="C65">
        <f t="shared" si="0"/>
        <v>10104</v>
      </c>
      <c r="D65" s="3" t="s">
        <v>86</v>
      </c>
      <c r="E65" s="11">
        <f t="shared" si="7"/>
        <v>27.868055555555557</v>
      </c>
      <c r="F65" s="11">
        <f t="shared" si="8"/>
        <v>-93.991666666666674</v>
      </c>
      <c r="G65" t="s">
        <v>15</v>
      </c>
      <c r="H65" s="12" t="s">
        <v>17</v>
      </c>
      <c r="I65" s="4">
        <v>34156</v>
      </c>
      <c r="J65" t="s">
        <v>1</v>
      </c>
      <c r="K65" s="2">
        <v>0</v>
      </c>
      <c r="L65" s="2"/>
      <c r="M65" s="5">
        <f>734*37</f>
        <v>27158</v>
      </c>
      <c r="N65" s="5">
        <f>257*37</f>
        <v>9509</v>
      </c>
      <c r="O65" s="8">
        <f>12*37</f>
        <v>444</v>
      </c>
      <c r="P65" s="1"/>
      <c r="Q65" s="1"/>
      <c r="R65" s="1"/>
      <c r="S65" s="3"/>
      <c r="T65" s="3"/>
      <c r="U65" s="3"/>
      <c r="V65" s="3"/>
      <c r="W65" s="3"/>
      <c r="X65" s="3"/>
      <c r="Y65" s="3"/>
      <c r="Z65" t="s">
        <v>359</v>
      </c>
      <c r="AA65" s="9" t="s">
        <v>31</v>
      </c>
    </row>
    <row r="66" spans="1:27" x14ac:dyDescent="0.25">
      <c r="A66">
        <v>101</v>
      </c>
      <c r="B66">
        <v>4</v>
      </c>
      <c r="C66">
        <f t="shared" si="0"/>
        <v>10104</v>
      </c>
      <c r="D66" s="3" t="s">
        <v>86</v>
      </c>
      <c r="E66" s="11">
        <f t="shared" si="7"/>
        <v>27.868055555555557</v>
      </c>
      <c r="F66" s="11">
        <f t="shared" si="8"/>
        <v>-93.991666666666674</v>
      </c>
      <c r="G66" t="s">
        <v>15</v>
      </c>
      <c r="H66" s="12" t="s">
        <v>17</v>
      </c>
      <c r="I66" s="4">
        <v>34213</v>
      </c>
      <c r="J66" t="s">
        <v>1</v>
      </c>
      <c r="K66" s="2">
        <v>0</v>
      </c>
      <c r="L66" s="2"/>
      <c r="M66" s="5">
        <f>101*37</f>
        <v>3737</v>
      </c>
      <c r="N66" s="5">
        <f>276*37</f>
        <v>10212</v>
      </c>
      <c r="O66" s="8">
        <f>4*37</f>
        <v>148</v>
      </c>
      <c r="P66" s="1"/>
      <c r="Q66" s="1"/>
      <c r="R66" s="1"/>
      <c r="S66" s="3"/>
      <c r="T66" s="3"/>
      <c r="U66" s="3"/>
      <c r="V66" s="3"/>
      <c r="W66" s="3"/>
      <c r="X66" s="3"/>
      <c r="Y66" s="3"/>
      <c r="Z66" t="s">
        <v>359</v>
      </c>
      <c r="AA66" s="9" t="s">
        <v>31</v>
      </c>
    </row>
    <row r="67" spans="1:27" x14ac:dyDescent="0.25">
      <c r="A67">
        <v>101</v>
      </c>
      <c r="B67">
        <v>4</v>
      </c>
      <c r="C67">
        <f t="shared" ref="C67:C130" si="9">A67*100+B67</f>
        <v>10104</v>
      </c>
      <c r="D67" s="3" t="s">
        <v>86</v>
      </c>
      <c r="E67" s="11">
        <f t="shared" si="7"/>
        <v>27.868055555555557</v>
      </c>
      <c r="F67" s="11">
        <f t="shared" si="8"/>
        <v>-93.991666666666674</v>
      </c>
      <c r="G67" t="s">
        <v>15</v>
      </c>
      <c r="H67" s="12" t="s">
        <v>17</v>
      </c>
      <c r="I67" s="4">
        <v>34243</v>
      </c>
      <c r="J67" t="s">
        <v>1</v>
      </c>
      <c r="K67" s="2">
        <v>0</v>
      </c>
      <c r="L67" s="2"/>
      <c r="M67" s="5">
        <f>165*37</f>
        <v>6105</v>
      </c>
      <c r="N67" s="5">
        <f>190*37</f>
        <v>7030</v>
      </c>
      <c r="O67" s="8">
        <f>8*37</f>
        <v>296</v>
      </c>
      <c r="P67" s="1"/>
      <c r="Q67" s="1"/>
      <c r="R67" s="1"/>
      <c r="S67" s="3"/>
      <c r="T67" s="3"/>
      <c r="U67" s="3"/>
      <c r="V67" s="3"/>
      <c r="W67" s="3"/>
      <c r="X67" s="3"/>
      <c r="Y67" s="3"/>
      <c r="Z67" t="s">
        <v>359</v>
      </c>
      <c r="AA67" s="9" t="s">
        <v>31</v>
      </c>
    </row>
    <row r="68" spans="1:27" x14ac:dyDescent="0.25">
      <c r="A68">
        <v>101</v>
      </c>
      <c r="B68">
        <v>4</v>
      </c>
      <c r="C68">
        <f t="shared" si="9"/>
        <v>10104</v>
      </c>
      <c r="D68" s="3" t="s">
        <v>86</v>
      </c>
      <c r="E68" s="11">
        <f t="shared" si="7"/>
        <v>27.868055555555557</v>
      </c>
      <c r="F68" s="11">
        <f t="shared" si="8"/>
        <v>-93.991666666666674</v>
      </c>
      <c r="G68" t="s">
        <v>15</v>
      </c>
      <c r="H68" s="12" t="s">
        <v>17</v>
      </c>
      <c r="I68" s="4">
        <v>34274</v>
      </c>
      <c r="J68" t="s">
        <v>1</v>
      </c>
      <c r="K68" s="2">
        <v>0</v>
      </c>
      <c r="L68" s="2"/>
      <c r="M68" s="5">
        <f>434*37</f>
        <v>16058</v>
      </c>
      <c r="N68" s="5">
        <f>470*37</f>
        <v>17390</v>
      </c>
      <c r="O68" s="8">
        <f>9*37</f>
        <v>333</v>
      </c>
      <c r="P68" s="1"/>
      <c r="Q68" s="1"/>
      <c r="R68" s="1"/>
      <c r="S68" s="3"/>
      <c r="T68" s="3"/>
      <c r="U68" s="3"/>
      <c r="V68" s="3"/>
      <c r="W68" s="3"/>
      <c r="X68" s="3"/>
      <c r="Y68" s="3"/>
      <c r="Z68" t="s">
        <v>359</v>
      </c>
      <c r="AA68" s="9" t="s">
        <v>31</v>
      </c>
    </row>
    <row r="69" spans="1:27" x14ac:dyDescent="0.25">
      <c r="A69">
        <v>101</v>
      </c>
      <c r="B69">
        <v>1</v>
      </c>
      <c r="C69">
        <f t="shared" si="9"/>
        <v>10101</v>
      </c>
      <c r="D69" s="3" t="s">
        <v>86</v>
      </c>
      <c r="E69" s="11">
        <f>29+20/60+5/3600</f>
        <v>29.334722222222222</v>
      </c>
      <c r="F69" s="11">
        <f>-(92+44/3600)</f>
        <v>-92.012222222222221</v>
      </c>
      <c r="G69" t="s">
        <v>15</v>
      </c>
      <c r="H69" s="12" t="s">
        <v>17</v>
      </c>
      <c r="I69" s="4">
        <v>34151</v>
      </c>
      <c r="J69" t="s">
        <v>1</v>
      </c>
      <c r="K69" s="2">
        <v>5</v>
      </c>
      <c r="L69" s="2"/>
      <c r="M69" s="5">
        <f>0.4*37</f>
        <v>14.8</v>
      </c>
      <c r="N69" s="5">
        <f>0.83*37</f>
        <v>30.709999999999997</v>
      </c>
      <c r="O69" s="8">
        <f>0.17*37</f>
        <v>6.29</v>
      </c>
      <c r="P69" s="1"/>
      <c r="Q69" s="1"/>
      <c r="R69" s="1"/>
      <c r="S69" s="3"/>
      <c r="T69" s="3"/>
      <c r="U69" s="3"/>
      <c r="V69" s="3"/>
      <c r="W69" s="3"/>
      <c r="X69" s="3"/>
      <c r="Y69" s="3"/>
      <c r="Z69" t="s">
        <v>359</v>
      </c>
      <c r="AA69" s="9" t="s">
        <v>32</v>
      </c>
    </row>
    <row r="70" spans="1:27" x14ac:dyDescent="0.25">
      <c r="A70">
        <v>101</v>
      </c>
      <c r="B70">
        <v>1</v>
      </c>
      <c r="C70">
        <f t="shared" si="9"/>
        <v>10101</v>
      </c>
      <c r="D70" s="3" t="s">
        <v>86</v>
      </c>
      <c r="E70" s="11">
        <f t="shared" ref="E70:E74" si="10">29+20/60+5/3600</f>
        <v>29.334722222222222</v>
      </c>
      <c r="F70" s="11">
        <f t="shared" ref="F70:F74" si="11">-(92+44/3600)</f>
        <v>-92.012222222222221</v>
      </c>
      <c r="G70" t="s">
        <v>15</v>
      </c>
      <c r="H70" s="12" t="s">
        <v>17</v>
      </c>
      <c r="I70" s="4">
        <v>34151</v>
      </c>
      <c r="J70" t="s">
        <v>1</v>
      </c>
      <c r="K70" s="2">
        <v>10</v>
      </c>
      <c r="L70" s="2"/>
      <c r="M70" s="5">
        <f>0.3*37</f>
        <v>11.1</v>
      </c>
      <c r="N70" s="5">
        <f>0.6*37</f>
        <v>22.2</v>
      </c>
      <c r="O70" s="8">
        <f>0.17*37</f>
        <v>6.29</v>
      </c>
      <c r="P70" s="1"/>
      <c r="Q70" s="1"/>
      <c r="R70" s="1"/>
      <c r="S70" s="3"/>
      <c r="T70" s="3"/>
      <c r="U70" s="3"/>
      <c r="V70" s="3"/>
      <c r="W70" s="3"/>
      <c r="X70" s="3"/>
      <c r="Y70" s="3"/>
      <c r="Z70" t="s">
        <v>359</v>
      </c>
      <c r="AA70" s="9" t="s">
        <v>32</v>
      </c>
    </row>
    <row r="71" spans="1:27" x14ac:dyDescent="0.25">
      <c r="A71">
        <v>101</v>
      </c>
      <c r="B71">
        <v>1</v>
      </c>
      <c r="C71">
        <f t="shared" si="9"/>
        <v>10101</v>
      </c>
      <c r="D71" s="3" t="s">
        <v>86</v>
      </c>
      <c r="E71" s="11">
        <f t="shared" si="10"/>
        <v>29.334722222222222</v>
      </c>
      <c r="F71" s="11">
        <f t="shared" si="11"/>
        <v>-92.012222222222221</v>
      </c>
      <c r="G71" t="s">
        <v>15</v>
      </c>
      <c r="H71" s="12" t="s">
        <v>17</v>
      </c>
      <c r="I71" s="4">
        <v>34151</v>
      </c>
      <c r="J71" t="s">
        <v>1</v>
      </c>
      <c r="K71" s="2">
        <v>30</v>
      </c>
      <c r="L71" s="2"/>
      <c r="M71" s="5">
        <f>0.53*37</f>
        <v>19.61</v>
      </c>
      <c r="N71" s="5">
        <f>1.07*37</f>
        <v>39.590000000000003</v>
      </c>
      <c r="O71" s="8">
        <f>0.03*37</f>
        <v>1.1099999999999999</v>
      </c>
      <c r="P71" s="1"/>
      <c r="Q71" s="1"/>
      <c r="R71" s="1"/>
      <c r="S71" s="3"/>
      <c r="T71" s="3"/>
      <c r="U71" s="3"/>
      <c r="V71" s="3"/>
      <c r="W71" s="3"/>
      <c r="X71" s="3"/>
      <c r="Y71" s="3"/>
      <c r="Z71" t="s">
        <v>359</v>
      </c>
      <c r="AA71" s="9" t="s">
        <v>32</v>
      </c>
    </row>
    <row r="72" spans="1:27" x14ac:dyDescent="0.25">
      <c r="A72">
        <v>101</v>
      </c>
      <c r="B72">
        <v>1</v>
      </c>
      <c r="C72">
        <f t="shared" si="9"/>
        <v>10101</v>
      </c>
      <c r="D72" s="3" t="s">
        <v>86</v>
      </c>
      <c r="E72" s="11">
        <f t="shared" si="10"/>
        <v>29.334722222222222</v>
      </c>
      <c r="F72" s="11">
        <f t="shared" si="11"/>
        <v>-92.012222222222221</v>
      </c>
      <c r="G72" t="s">
        <v>15</v>
      </c>
      <c r="H72" s="12" t="s">
        <v>17</v>
      </c>
      <c r="I72" s="4">
        <v>34151</v>
      </c>
      <c r="J72" t="s">
        <v>1</v>
      </c>
      <c r="K72" s="2">
        <v>50</v>
      </c>
      <c r="L72" s="2"/>
      <c r="M72" s="5">
        <f>0.5*37</f>
        <v>18.5</v>
      </c>
      <c r="N72" s="5">
        <f>3.6*37</f>
        <v>133.20000000000002</v>
      </c>
      <c r="O72" s="8">
        <f>0.13*37</f>
        <v>4.8100000000000005</v>
      </c>
      <c r="P72" s="1"/>
      <c r="Q72" s="1"/>
      <c r="R72" s="1"/>
      <c r="S72" s="3"/>
      <c r="T72" s="3"/>
      <c r="U72" s="3"/>
      <c r="V72" s="3"/>
      <c r="W72" s="3"/>
      <c r="X72" s="3"/>
      <c r="Y72" s="3"/>
      <c r="Z72" t="s">
        <v>359</v>
      </c>
      <c r="AA72" s="9" t="s">
        <v>32</v>
      </c>
    </row>
    <row r="73" spans="1:27" x14ac:dyDescent="0.25">
      <c r="A73">
        <v>101</v>
      </c>
      <c r="B73">
        <v>1</v>
      </c>
      <c r="C73">
        <f t="shared" si="9"/>
        <v>10101</v>
      </c>
      <c r="D73" s="3" t="s">
        <v>86</v>
      </c>
      <c r="E73" s="11">
        <f t="shared" si="10"/>
        <v>29.334722222222222</v>
      </c>
      <c r="F73" s="11">
        <f t="shared" si="11"/>
        <v>-92.012222222222221</v>
      </c>
      <c r="G73" t="s">
        <v>15</v>
      </c>
      <c r="H73" s="12" t="s">
        <v>17</v>
      </c>
      <c r="I73" s="4">
        <v>34151</v>
      </c>
      <c r="J73" t="s">
        <v>1</v>
      </c>
      <c r="K73" s="2">
        <v>100</v>
      </c>
      <c r="L73" s="2"/>
      <c r="M73" s="5">
        <f>0.57*37</f>
        <v>21.09</v>
      </c>
      <c r="N73" s="5">
        <f>3.87*37</f>
        <v>143.19</v>
      </c>
      <c r="O73" s="8" t="s">
        <v>14</v>
      </c>
      <c r="P73" s="1"/>
      <c r="Q73" s="1"/>
      <c r="R73" s="1"/>
      <c r="S73" s="3"/>
      <c r="T73" s="3"/>
      <c r="U73" s="3"/>
      <c r="V73" s="3"/>
      <c r="W73" s="3"/>
      <c r="X73" s="3"/>
      <c r="Y73" s="3"/>
      <c r="Z73" t="s">
        <v>359</v>
      </c>
      <c r="AA73" s="9" t="s">
        <v>32</v>
      </c>
    </row>
    <row r="74" spans="1:27" x14ac:dyDescent="0.25">
      <c r="A74">
        <v>101</v>
      </c>
      <c r="B74">
        <v>1</v>
      </c>
      <c r="C74">
        <f t="shared" si="9"/>
        <v>10101</v>
      </c>
      <c r="D74" s="3" t="s">
        <v>86</v>
      </c>
      <c r="E74" s="11">
        <f t="shared" si="10"/>
        <v>29.334722222222222</v>
      </c>
      <c r="F74" s="11">
        <f t="shared" si="11"/>
        <v>-92.012222222222221</v>
      </c>
      <c r="G74" t="s">
        <v>15</v>
      </c>
      <c r="H74" s="12" t="s">
        <v>17</v>
      </c>
      <c r="I74" s="4">
        <v>34151</v>
      </c>
      <c r="J74" t="s">
        <v>1</v>
      </c>
      <c r="K74" s="2">
        <v>2000</v>
      </c>
      <c r="L74" s="2"/>
      <c r="M74" s="5">
        <f>0.167*37</f>
        <v>6.1790000000000003</v>
      </c>
      <c r="N74" s="5">
        <f>1.633*37</f>
        <v>60.420999999999999</v>
      </c>
      <c r="O74" s="8">
        <f>0.2533*37</f>
        <v>9.3721000000000014</v>
      </c>
      <c r="P74" s="1"/>
      <c r="Q74" s="1"/>
      <c r="R74" s="1"/>
      <c r="S74" s="3"/>
      <c r="T74" s="3"/>
      <c r="U74" s="3"/>
      <c r="V74" s="3"/>
      <c r="W74" s="3"/>
      <c r="X74" s="3"/>
      <c r="Y74" s="3"/>
      <c r="Z74" t="s">
        <v>359</v>
      </c>
      <c r="AA74" s="9" t="s">
        <v>32</v>
      </c>
    </row>
    <row r="75" spans="1:27" x14ac:dyDescent="0.25">
      <c r="A75">
        <v>101</v>
      </c>
      <c r="B75">
        <v>2</v>
      </c>
      <c r="C75">
        <f t="shared" si="9"/>
        <v>10102</v>
      </c>
      <c r="D75" s="3" t="s">
        <v>86</v>
      </c>
      <c r="E75" s="11">
        <f t="shared" ref="E75:E80" si="12">28+41/60+50/3600</f>
        <v>28.697222222222223</v>
      </c>
      <c r="F75" s="11">
        <f t="shared" ref="F75:F80" si="13">-(92+15/60+45/3600)</f>
        <v>-92.262500000000003</v>
      </c>
      <c r="G75" t="s">
        <v>15</v>
      </c>
      <c r="H75" s="12" t="s">
        <v>17</v>
      </c>
      <c r="I75" s="4">
        <v>34151</v>
      </c>
      <c r="J75" t="s">
        <v>1</v>
      </c>
      <c r="K75" s="2">
        <v>5</v>
      </c>
      <c r="L75" s="2"/>
      <c r="M75" s="5">
        <f>0.18*37</f>
        <v>6.66</v>
      </c>
      <c r="N75" s="5">
        <f>0.3*37</f>
        <v>11.1</v>
      </c>
      <c r="O75" s="8">
        <f>0.1*37</f>
        <v>3.7</v>
      </c>
      <c r="P75" s="1"/>
      <c r="Q75" s="1"/>
      <c r="R75" s="1"/>
      <c r="S75" s="3"/>
      <c r="T75" s="3"/>
      <c r="U75" s="3"/>
      <c r="V75" s="3"/>
      <c r="W75" s="3"/>
      <c r="X75" s="3"/>
      <c r="Y75" s="3"/>
      <c r="Z75" t="s">
        <v>359</v>
      </c>
      <c r="AA75" s="9" t="s">
        <v>32</v>
      </c>
    </row>
    <row r="76" spans="1:27" x14ac:dyDescent="0.25">
      <c r="A76">
        <v>101</v>
      </c>
      <c r="B76">
        <v>2</v>
      </c>
      <c r="C76">
        <f t="shared" si="9"/>
        <v>10102</v>
      </c>
      <c r="D76" s="3" t="s">
        <v>86</v>
      </c>
      <c r="E76" s="11">
        <f t="shared" si="12"/>
        <v>28.697222222222223</v>
      </c>
      <c r="F76" s="11">
        <f t="shared" si="13"/>
        <v>-92.262500000000003</v>
      </c>
      <c r="G76" t="s">
        <v>15</v>
      </c>
      <c r="H76" s="12" t="s">
        <v>17</v>
      </c>
      <c r="I76" s="4">
        <v>34151</v>
      </c>
      <c r="J76" t="s">
        <v>1</v>
      </c>
      <c r="K76" s="2">
        <v>10</v>
      </c>
      <c r="L76" s="2"/>
      <c r="M76" s="5">
        <f>0.7*37</f>
        <v>25.9</v>
      </c>
      <c r="N76" s="5">
        <f>1.87*37</f>
        <v>69.19</v>
      </c>
      <c r="O76" s="8">
        <f>0.23*37</f>
        <v>8.51</v>
      </c>
      <c r="P76" s="1"/>
      <c r="Q76" s="1"/>
      <c r="R76" s="1"/>
      <c r="S76" s="3"/>
      <c r="T76" s="3"/>
      <c r="U76" s="3"/>
      <c r="V76" s="3"/>
      <c r="W76" s="3"/>
      <c r="X76" s="3"/>
      <c r="Y76" s="3"/>
      <c r="Z76" t="s">
        <v>359</v>
      </c>
      <c r="AA76" s="9" t="s">
        <v>32</v>
      </c>
    </row>
    <row r="77" spans="1:27" x14ac:dyDescent="0.25">
      <c r="A77">
        <v>101</v>
      </c>
      <c r="B77">
        <v>2</v>
      </c>
      <c r="C77">
        <f t="shared" si="9"/>
        <v>10102</v>
      </c>
      <c r="D77" s="3" t="s">
        <v>86</v>
      </c>
      <c r="E77" s="11">
        <f t="shared" si="12"/>
        <v>28.697222222222223</v>
      </c>
      <c r="F77" s="11">
        <f t="shared" si="13"/>
        <v>-92.262500000000003</v>
      </c>
      <c r="G77" t="s">
        <v>15</v>
      </c>
      <c r="H77" s="12" t="s">
        <v>17</v>
      </c>
      <c r="I77" s="4">
        <v>34151</v>
      </c>
      <c r="J77" t="s">
        <v>1</v>
      </c>
      <c r="K77" s="2">
        <v>30</v>
      </c>
      <c r="L77" s="2"/>
      <c r="M77" s="5">
        <f>0.45*37</f>
        <v>16.650000000000002</v>
      </c>
      <c r="N77" s="5">
        <f>0.93*37</f>
        <v>34.410000000000004</v>
      </c>
      <c r="O77" s="8">
        <f>0.1*37</f>
        <v>3.7</v>
      </c>
      <c r="P77" s="1"/>
      <c r="Q77" s="1"/>
      <c r="R77" s="1"/>
      <c r="S77" s="3"/>
      <c r="T77" s="3"/>
      <c r="U77" s="3"/>
      <c r="V77" s="3"/>
      <c r="W77" s="3"/>
      <c r="X77" s="3"/>
      <c r="Y77" s="3"/>
      <c r="Z77" t="s">
        <v>359</v>
      </c>
      <c r="AA77" s="9" t="s">
        <v>32</v>
      </c>
    </row>
    <row r="78" spans="1:27" x14ac:dyDescent="0.25">
      <c r="A78">
        <v>101</v>
      </c>
      <c r="B78">
        <v>2</v>
      </c>
      <c r="C78">
        <f t="shared" si="9"/>
        <v>10102</v>
      </c>
      <c r="D78" s="3" t="s">
        <v>86</v>
      </c>
      <c r="E78" s="11">
        <f t="shared" si="12"/>
        <v>28.697222222222223</v>
      </c>
      <c r="F78" s="11">
        <f t="shared" si="13"/>
        <v>-92.262500000000003</v>
      </c>
      <c r="G78" t="s">
        <v>15</v>
      </c>
      <c r="H78" s="12" t="s">
        <v>17</v>
      </c>
      <c r="I78" s="4">
        <v>34151</v>
      </c>
      <c r="J78" t="s">
        <v>1</v>
      </c>
      <c r="K78" s="2">
        <v>50</v>
      </c>
      <c r="L78" s="2"/>
      <c r="M78" s="5">
        <f>0.33*37</f>
        <v>12.21</v>
      </c>
      <c r="N78" s="5">
        <f>0.5*37</f>
        <v>18.5</v>
      </c>
      <c r="O78" s="8">
        <f>0.33*37</f>
        <v>12.21</v>
      </c>
      <c r="P78" s="1"/>
      <c r="Q78" s="1"/>
      <c r="R78" s="1"/>
      <c r="S78" s="3"/>
      <c r="T78" s="3"/>
      <c r="U78" s="3"/>
      <c r="V78" s="3"/>
      <c r="W78" s="3"/>
      <c r="X78" s="3"/>
      <c r="Y78" s="3"/>
      <c r="Z78" t="s">
        <v>359</v>
      </c>
      <c r="AA78" s="9" t="s">
        <v>32</v>
      </c>
    </row>
    <row r="79" spans="1:27" x14ac:dyDescent="0.25">
      <c r="A79">
        <v>101</v>
      </c>
      <c r="B79">
        <v>2</v>
      </c>
      <c r="C79">
        <f t="shared" si="9"/>
        <v>10102</v>
      </c>
      <c r="D79" s="3" t="s">
        <v>86</v>
      </c>
      <c r="E79" s="11">
        <f t="shared" si="12"/>
        <v>28.697222222222223</v>
      </c>
      <c r="F79" s="11">
        <f t="shared" si="13"/>
        <v>-92.262500000000003</v>
      </c>
      <c r="G79" t="s">
        <v>15</v>
      </c>
      <c r="H79" s="12" t="s">
        <v>17</v>
      </c>
      <c r="I79" s="4">
        <v>34151</v>
      </c>
      <c r="J79" t="s">
        <v>1</v>
      </c>
      <c r="K79" s="2">
        <v>100</v>
      </c>
      <c r="L79" s="2"/>
      <c r="M79" s="5">
        <f>0.33*37</f>
        <v>12.21</v>
      </c>
      <c r="N79" s="5">
        <f>1.6*37</f>
        <v>59.2</v>
      </c>
      <c r="O79" s="8">
        <f>0.8*37</f>
        <v>29.6</v>
      </c>
      <c r="P79" s="1"/>
      <c r="Q79" s="1"/>
      <c r="R79" s="1"/>
      <c r="S79" s="3"/>
      <c r="T79" s="3"/>
      <c r="U79" s="3"/>
      <c r="V79" s="3"/>
      <c r="W79" s="3"/>
      <c r="X79" s="3"/>
      <c r="Y79" s="3"/>
      <c r="Z79" t="s">
        <v>359</v>
      </c>
      <c r="AA79" s="9" t="s">
        <v>32</v>
      </c>
    </row>
    <row r="80" spans="1:27" x14ac:dyDescent="0.25">
      <c r="A80">
        <v>101</v>
      </c>
      <c r="B80">
        <v>2</v>
      </c>
      <c r="C80">
        <f t="shared" si="9"/>
        <v>10102</v>
      </c>
      <c r="D80" s="3" t="s">
        <v>86</v>
      </c>
      <c r="E80" s="11">
        <f t="shared" si="12"/>
        <v>28.697222222222223</v>
      </c>
      <c r="F80" s="11">
        <f t="shared" si="13"/>
        <v>-92.262500000000003</v>
      </c>
      <c r="G80" t="s">
        <v>15</v>
      </c>
      <c r="H80" s="12" t="s">
        <v>17</v>
      </c>
      <c r="I80" s="4">
        <v>34151</v>
      </c>
      <c r="J80" t="s">
        <v>1</v>
      </c>
      <c r="K80" s="2">
        <v>2000</v>
      </c>
      <c r="L80" s="2"/>
      <c r="M80" s="5">
        <f>0.08*37</f>
        <v>2.96</v>
      </c>
      <c r="N80" s="5">
        <f>0.6433*37</f>
        <v>23.802099999999999</v>
      </c>
      <c r="O80" s="8">
        <f>0.3867*37</f>
        <v>14.3079</v>
      </c>
      <c r="P80" s="1"/>
      <c r="Q80" s="1"/>
      <c r="R80" s="1"/>
      <c r="S80" s="3"/>
      <c r="T80" s="3"/>
      <c r="U80" s="3"/>
      <c r="V80" s="3"/>
      <c r="W80" s="3"/>
      <c r="X80" s="3"/>
      <c r="Y80" s="3"/>
      <c r="Z80" t="s">
        <v>359</v>
      </c>
      <c r="AA80" s="9" t="s">
        <v>32</v>
      </c>
    </row>
    <row r="81" spans="1:27" x14ac:dyDescent="0.25">
      <c r="A81">
        <v>101</v>
      </c>
      <c r="B81">
        <v>3</v>
      </c>
      <c r="C81">
        <f t="shared" si="9"/>
        <v>10103</v>
      </c>
      <c r="D81" s="3" t="s">
        <v>86</v>
      </c>
      <c r="E81" s="11">
        <f t="shared" ref="E81:E86" si="14">28+17/60+53/3600</f>
        <v>28.298055555555557</v>
      </c>
      <c r="F81" s="11">
        <f t="shared" ref="F81:F86" si="15">-(92+43/3600)</f>
        <v>-92.011944444444438</v>
      </c>
      <c r="G81" t="s">
        <v>15</v>
      </c>
      <c r="H81" s="12" t="s">
        <v>17</v>
      </c>
      <c r="I81" s="4">
        <v>34151</v>
      </c>
      <c r="J81" t="s">
        <v>1</v>
      </c>
      <c r="K81" s="2">
        <v>5</v>
      </c>
      <c r="L81" s="2"/>
      <c r="M81" s="5">
        <f>0.53*37</f>
        <v>19.61</v>
      </c>
      <c r="N81" s="5">
        <f>0.63*37</f>
        <v>23.31</v>
      </c>
      <c r="O81" s="8">
        <f>0.07*37</f>
        <v>2.5900000000000003</v>
      </c>
      <c r="P81" s="1"/>
      <c r="Q81" s="1"/>
      <c r="R81" s="1"/>
      <c r="S81" s="3"/>
      <c r="T81" s="3"/>
      <c r="U81" s="3"/>
      <c r="V81" s="3"/>
      <c r="W81" s="3"/>
      <c r="X81" s="3"/>
      <c r="Y81" s="3"/>
      <c r="Z81" t="s">
        <v>359</v>
      </c>
      <c r="AA81" s="9" t="s">
        <v>32</v>
      </c>
    </row>
    <row r="82" spans="1:27" x14ac:dyDescent="0.25">
      <c r="A82">
        <v>101</v>
      </c>
      <c r="B82">
        <v>3</v>
      </c>
      <c r="C82">
        <f t="shared" si="9"/>
        <v>10103</v>
      </c>
      <c r="D82" s="3" t="s">
        <v>86</v>
      </c>
      <c r="E82" s="11">
        <f t="shared" si="14"/>
        <v>28.298055555555557</v>
      </c>
      <c r="F82" s="11">
        <f t="shared" si="15"/>
        <v>-92.011944444444438</v>
      </c>
      <c r="G82" t="s">
        <v>15</v>
      </c>
      <c r="H82" s="12" t="s">
        <v>17</v>
      </c>
      <c r="I82" s="4">
        <v>34151</v>
      </c>
      <c r="J82" t="s">
        <v>1</v>
      </c>
      <c r="K82" s="2">
        <v>10</v>
      </c>
      <c r="L82" s="2"/>
      <c r="M82" s="5">
        <f>0.97*37</f>
        <v>35.89</v>
      </c>
      <c r="N82" s="5">
        <f>0.9*37</f>
        <v>33.300000000000004</v>
      </c>
      <c r="O82" s="8">
        <f>0.13*37</f>
        <v>4.8100000000000005</v>
      </c>
      <c r="P82" s="1"/>
      <c r="Q82" s="1"/>
      <c r="R82" s="1"/>
      <c r="S82" s="3"/>
      <c r="T82" s="3"/>
      <c r="U82" s="3"/>
      <c r="V82" s="3"/>
      <c r="W82" s="3"/>
      <c r="X82" s="3"/>
      <c r="Y82" s="3"/>
      <c r="Z82" t="s">
        <v>359</v>
      </c>
      <c r="AA82" s="9" t="s">
        <v>32</v>
      </c>
    </row>
    <row r="83" spans="1:27" x14ac:dyDescent="0.25">
      <c r="A83">
        <v>101</v>
      </c>
      <c r="B83">
        <v>3</v>
      </c>
      <c r="C83">
        <f t="shared" si="9"/>
        <v>10103</v>
      </c>
      <c r="D83" s="3" t="s">
        <v>86</v>
      </c>
      <c r="E83" s="11">
        <f t="shared" si="14"/>
        <v>28.298055555555557</v>
      </c>
      <c r="F83" s="11">
        <f t="shared" si="15"/>
        <v>-92.011944444444438</v>
      </c>
      <c r="G83" t="s">
        <v>15</v>
      </c>
      <c r="H83" s="12" t="s">
        <v>17</v>
      </c>
      <c r="I83" s="4">
        <v>34151</v>
      </c>
      <c r="J83" t="s">
        <v>1</v>
      </c>
      <c r="K83" s="2">
        <v>30</v>
      </c>
      <c r="L83" s="2"/>
      <c r="M83" s="5">
        <f>0.57*37</f>
        <v>21.09</v>
      </c>
      <c r="N83" s="5">
        <f>0.33*37</f>
        <v>12.21</v>
      </c>
      <c r="O83" s="8">
        <f>0.07*37</f>
        <v>2.5900000000000003</v>
      </c>
      <c r="P83" s="1"/>
      <c r="Q83" s="1"/>
      <c r="R83" s="1"/>
      <c r="S83" s="3"/>
      <c r="T83" s="3"/>
      <c r="U83" s="3"/>
      <c r="V83" s="3"/>
      <c r="W83" s="3"/>
      <c r="X83" s="3"/>
      <c r="Y83" s="3"/>
      <c r="Z83" t="s">
        <v>359</v>
      </c>
      <c r="AA83" s="9" t="s">
        <v>32</v>
      </c>
    </row>
    <row r="84" spans="1:27" x14ac:dyDescent="0.25">
      <c r="A84">
        <v>101</v>
      </c>
      <c r="B84">
        <v>3</v>
      </c>
      <c r="C84">
        <f t="shared" si="9"/>
        <v>10103</v>
      </c>
      <c r="D84" s="3" t="s">
        <v>86</v>
      </c>
      <c r="E84" s="11">
        <f t="shared" si="14"/>
        <v>28.298055555555557</v>
      </c>
      <c r="F84" s="11">
        <f t="shared" si="15"/>
        <v>-92.011944444444438</v>
      </c>
      <c r="G84" t="s">
        <v>15</v>
      </c>
      <c r="H84" s="12" t="s">
        <v>17</v>
      </c>
      <c r="I84" s="4">
        <v>34151</v>
      </c>
      <c r="J84" t="s">
        <v>1</v>
      </c>
      <c r="K84" s="2">
        <v>50</v>
      </c>
      <c r="L84" s="2"/>
      <c r="M84" s="5">
        <f>0.9*37</f>
        <v>33.300000000000004</v>
      </c>
      <c r="N84" s="5">
        <f>1.3*37</f>
        <v>48.1</v>
      </c>
      <c r="O84" s="8">
        <f>0.03*37</f>
        <v>1.1099999999999999</v>
      </c>
      <c r="P84" s="1"/>
      <c r="Q84" s="1"/>
      <c r="R84" s="1"/>
      <c r="S84" s="3"/>
      <c r="T84" s="3"/>
      <c r="U84" s="3"/>
      <c r="V84" s="3"/>
      <c r="W84" s="3"/>
      <c r="X84" s="3"/>
      <c r="Y84" s="3"/>
      <c r="Z84" t="s">
        <v>359</v>
      </c>
      <c r="AA84" s="9" t="s">
        <v>32</v>
      </c>
    </row>
    <row r="85" spans="1:27" x14ac:dyDescent="0.25">
      <c r="A85">
        <v>101</v>
      </c>
      <c r="B85">
        <v>3</v>
      </c>
      <c r="C85">
        <f t="shared" si="9"/>
        <v>10103</v>
      </c>
      <c r="D85" s="3" t="s">
        <v>86</v>
      </c>
      <c r="E85" s="11">
        <f t="shared" si="14"/>
        <v>28.298055555555557</v>
      </c>
      <c r="F85" s="11">
        <f t="shared" si="15"/>
        <v>-92.011944444444438</v>
      </c>
      <c r="G85" t="s">
        <v>15</v>
      </c>
      <c r="H85" s="12" t="s">
        <v>17</v>
      </c>
      <c r="I85" s="4">
        <v>34151</v>
      </c>
      <c r="J85" t="s">
        <v>1</v>
      </c>
      <c r="K85" s="2">
        <v>100</v>
      </c>
      <c r="L85" s="2"/>
      <c r="M85" s="5">
        <f>0.07*37</f>
        <v>2.5900000000000003</v>
      </c>
      <c r="N85" s="5">
        <f>1.23*37</f>
        <v>45.51</v>
      </c>
      <c r="O85" s="8">
        <f>0.13*37</f>
        <v>4.8100000000000005</v>
      </c>
      <c r="P85" s="1"/>
      <c r="Q85" s="1"/>
      <c r="R85" s="1"/>
      <c r="S85" s="3"/>
      <c r="T85" s="3"/>
      <c r="U85" s="3"/>
      <c r="V85" s="3"/>
      <c r="W85" s="3"/>
      <c r="X85" s="3"/>
      <c r="Y85" s="3"/>
      <c r="Z85" t="s">
        <v>359</v>
      </c>
      <c r="AA85" s="9" t="s">
        <v>32</v>
      </c>
    </row>
    <row r="86" spans="1:27" x14ac:dyDescent="0.25">
      <c r="A86">
        <v>101</v>
      </c>
      <c r="B86">
        <v>3</v>
      </c>
      <c r="C86">
        <f t="shared" si="9"/>
        <v>10103</v>
      </c>
      <c r="D86" s="3" t="s">
        <v>86</v>
      </c>
      <c r="E86" s="11">
        <f t="shared" si="14"/>
        <v>28.298055555555557</v>
      </c>
      <c r="F86" s="11">
        <f t="shared" si="15"/>
        <v>-92.011944444444438</v>
      </c>
      <c r="G86" t="s">
        <v>15</v>
      </c>
      <c r="H86" s="12" t="s">
        <v>17</v>
      </c>
      <c r="I86" s="4">
        <v>34151</v>
      </c>
      <c r="J86" t="s">
        <v>1</v>
      </c>
      <c r="K86" s="2">
        <v>2000</v>
      </c>
      <c r="L86" s="2"/>
      <c r="M86" s="5">
        <f>0.9*37</f>
        <v>33.300000000000004</v>
      </c>
      <c r="N86" s="5">
        <f>1.0233*37</f>
        <v>37.862100000000005</v>
      </c>
      <c r="O86" s="8">
        <f>0.0767*37</f>
        <v>2.8379000000000003</v>
      </c>
      <c r="P86" s="1"/>
      <c r="Q86" s="1"/>
      <c r="R86" s="1"/>
      <c r="S86" s="3"/>
      <c r="T86" s="3"/>
      <c r="U86" s="3"/>
      <c r="V86" s="3"/>
      <c r="W86" s="3"/>
      <c r="X86" s="3"/>
      <c r="Y86" s="3"/>
      <c r="Z86" t="s">
        <v>359</v>
      </c>
      <c r="AA86" s="9" t="s">
        <v>32</v>
      </c>
    </row>
    <row r="87" spans="1:27" x14ac:dyDescent="0.25">
      <c r="A87">
        <v>101</v>
      </c>
      <c r="B87">
        <v>4</v>
      </c>
      <c r="C87">
        <f t="shared" si="9"/>
        <v>10104</v>
      </c>
      <c r="D87" s="3" t="s">
        <v>86</v>
      </c>
      <c r="E87" s="11">
        <f t="shared" ref="E87:E92" si="16">27+52/60+5/3600</f>
        <v>27.868055555555557</v>
      </c>
      <c r="F87" s="11">
        <f t="shared" ref="F87:F92" si="17">-(93+59/60+30/3600)</f>
        <v>-93.991666666666674</v>
      </c>
      <c r="G87" t="s">
        <v>15</v>
      </c>
      <c r="H87" s="12" t="s">
        <v>17</v>
      </c>
      <c r="I87" s="4">
        <v>34151</v>
      </c>
      <c r="J87" t="s">
        <v>1</v>
      </c>
      <c r="K87" s="2">
        <v>5</v>
      </c>
      <c r="L87" s="2"/>
      <c r="M87" s="5">
        <f>0.93*37</f>
        <v>34.410000000000004</v>
      </c>
      <c r="N87" s="5">
        <f>2.2*37</f>
        <v>81.400000000000006</v>
      </c>
      <c r="O87" s="8">
        <f>0.53*37</f>
        <v>19.61</v>
      </c>
      <c r="P87" s="1"/>
      <c r="Q87" s="1"/>
      <c r="R87" s="1"/>
      <c r="S87" s="3"/>
      <c r="T87" s="3"/>
      <c r="U87" s="3"/>
      <c r="V87" s="3"/>
      <c r="W87" s="3"/>
      <c r="X87" s="3"/>
      <c r="Y87" s="3"/>
      <c r="Z87" t="s">
        <v>359</v>
      </c>
      <c r="AA87" s="9" t="s">
        <v>32</v>
      </c>
    </row>
    <row r="88" spans="1:27" x14ac:dyDescent="0.25">
      <c r="A88">
        <v>101</v>
      </c>
      <c r="B88">
        <v>4</v>
      </c>
      <c r="C88">
        <f t="shared" si="9"/>
        <v>10104</v>
      </c>
      <c r="D88" s="3" t="s">
        <v>86</v>
      </c>
      <c r="E88" s="11">
        <f t="shared" si="16"/>
        <v>27.868055555555557</v>
      </c>
      <c r="F88" s="11">
        <f t="shared" si="17"/>
        <v>-93.991666666666674</v>
      </c>
      <c r="G88" t="s">
        <v>15</v>
      </c>
      <c r="H88" s="12" t="s">
        <v>17</v>
      </c>
      <c r="I88" s="4">
        <v>34151</v>
      </c>
      <c r="J88" t="s">
        <v>1</v>
      </c>
      <c r="K88" s="2">
        <v>10</v>
      </c>
      <c r="L88" s="2"/>
      <c r="M88" s="5">
        <f>0.87*37</f>
        <v>32.19</v>
      </c>
      <c r="N88" s="5">
        <f>1.93*37</f>
        <v>71.41</v>
      </c>
      <c r="O88" s="8">
        <f>0.8*37</f>
        <v>29.6</v>
      </c>
      <c r="P88" s="1"/>
      <c r="Q88" s="1"/>
      <c r="R88" s="1"/>
      <c r="S88" s="3"/>
      <c r="T88" s="3"/>
      <c r="U88" s="3"/>
      <c r="V88" s="3"/>
      <c r="W88" s="3"/>
      <c r="X88" s="3"/>
      <c r="Y88" s="3"/>
      <c r="Z88" t="s">
        <v>359</v>
      </c>
      <c r="AA88" s="9" t="s">
        <v>32</v>
      </c>
    </row>
    <row r="89" spans="1:27" x14ac:dyDescent="0.25">
      <c r="A89">
        <v>101</v>
      </c>
      <c r="B89">
        <v>4</v>
      </c>
      <c r="C89">
        <f t="shared" si="9"/>
        <v>10104</v>
      </c>
      <c r="D89" s="3" t="s">
        <v>86</v>
      </c>
      <c r="E89" s="11">
        <f t="shared" si="16"/>
        <v>27.868055555555557</v>
      </c>
      <c r="F89" s="11">
        <f t="shared" si="17"/>
        <v>-93.991666666666674</v>
      </c>
      <c r="G89" t="s">
        <v>15</v>
      </c>
      <c r="H89" s="12" t="s">
        <v>17</v>
      </c>
      <c r="I89" s="4">
        <v>34151</v>
      </c>
      <c r="J89" t="s">
        <v>1</v>
      </c>
      <c r="K89" s="2">
        <v>30</v>
      </c>
      <c r="L89" s="2"/>
      <c r="M89" s="5">
        <f>0.47*37</f>
        <v>17.39</v>
      </c>
      <c r="N89" s="5">
        <f>2.03*37</f>
        <v>75.11</v>
      </c>
      <c r="O89" s="8">
        <f>0.7*37</f>
        <v>25.9</v>
      </c>
      <c r="P89" s="1"/>
      <c r="Q89" s="1"/>
      <c r="R89" s="1"/>
      <c r="S89" s="3"/>
      <c r="T89" s="3"/>
      <c r="U89" s="3"/>
      <c r="V89" s="3"/>
      <c r="W89" s="3"/>
      <c r="X89" s="3"/>
      <c r="Y89" s="3"/>
      <c r="Z89" t="s">
        <v>359</v>
      </c>
      <c r="AA89" s="9" t="s">
        <v>32</v>
      </c>
    </row>
    <row r="90" spans="1:27" x14ac:dyDescent="0.25">
      <c r="A90">
        <v>101</v>
      </c>
      <c r="B90">
        <v>4</v>
      </c>
      <c r="C90">
        <f t="shared" si="9"/>
        <v>10104</v>
      </c>
      <c r="D90" s="3" t="s">
        <v>86</v>
      </c>
      <c r="E90" s="11">
        <f t="shared" si="16"/>
        <v>27.868055555555557</v>
      </c>
      <c r="F90" s="11">
        <f t="shared" si="17"/>
        <v>-93.991666666666674</v>
      </c>
      <c r="G90" t="s">
        <v>15</v>
      </c>
      <c r="H90" s="12" t="s">
        <v>17</v>
      </c>
      <c r="I90" s="4">
        <v>34151</v>
      </c>
      <c r="J90" t="s">
        <v>1</v>
      </c>
      <c r="K90" s="2">
        <v>50</v>
      </c>
      <c r="L90" s="2"/>
      <c r="M90" s="5">
        <f>0.45*37</f>
        <v>16.650000000000002</v>
      </c>
      <c r="N90" s="5">
        <f>1.93*37</f>
        <v>71.41</v>
      </c>
      <c r="O90" s="8">
        <f>0.53*37</f>
        <v>19.61</v>
      </c>
      <c r="P90" s="1"/>
      <c r="Q90" s="1"/>
      <c r="R90" s="1"/>
      <c r="S90" s="3"/>
      <c r="T90" s="3"/>
      <c r="U90" s="3"/>
      <c r="V90" s="3"/>
      <c r="W90" s="3"/>
      <c r="X90" s="3"/>
      <c r="Y90" s="3"/>
      <c r="Z90" t="s">
        <v>359</v>
      </c>
      <c r="AA90" s="9" t="s">
        <v>32</v>
      </c>
    </row>
    <row r="91" spans="1:27" x14ac:dyDescent="0.25">
      <c r="A91">
        <v>101</v>
      </c>
      <c r="B91">
        <v>4</v>
      </c>
      <c r="C91">
        <f t="shared" si="9"/>
        <v>10104</v>
      </c>
      <c r="D91" s="3" t="s">
        <v>86</v>
      </c>
      <c r="E91" s="11">
        <f t="shared" si="16"/>
        <v>27.868055555555557</v>
      </c>
      <c r="F91" s="11">
        <f t="shared" si="17"/>
        <v>-93.991666666666674</v>
      </c>
      <c r="G91" t="s">
        <v>15</v>
      </c>
      <c r="H91" s="12" t="s">
        <v>17</v>
      </c>
      <c r="I91" s="4">
        <v>34151</v>
      </c>
      <c r="J91" t="s">
        <v>1</v>
      </c>
      <c r="K91" s="2">
        <v>100</v>
      </c>
      <c r="L91" s="2"/>
      <c r="M91" s="5">
        <f>0.23*37</f>
        <v>8.51</v>
      </c>
      <c r="N91" s="5">
        <f>1.07*37</f>
        <v>39.590000000000003</v>
      </c>
      <c r="O91" s="8">
        <f>0.17*37</f>
        <v>6.29</v>
      </c>
      <c r="P91" s="1"/>
      <c r="Q91" s="1"/>
      <c r="R91" s="1"/>
      <c r="S91" s="3"/>
      <c r="T91" s="3"/>
      <c r="U91" s="3"/>
      <c r="V91" s="3"/>
      <c r="W91" s="3"/>
      <c r="X91" s="3"/>
      <c r="Y91" s="3"/>
      <c r="Z91" t="s">
        <v>359</v>
      </c>
      <c r="AA91" s="9" t="s">
        <v>32</v>
      </c>
    </row>
    <row r="92" spans="1:27" x14ac:dyDescent="0.25">
      <c r="A92">
        <v>101</v>
      </c>
      <c r="B92">
        <v>4</v>
      </c>
      <c r="C92">
        <f t="shared" si="9"/>
        <v>10104</v>
      </c>
      <c r="D92" s="3" t="s">
        <v>86</v>
      </c>
      <c r="E92" s="11">
        <f t="shared" si="16"/>
        <v>27.868055555555557</v>
      </c>
      <c r="F92" s="11">
        <f t="shared" si="17"/>
        <v>-93.991666666666674</v>
      </c>
      <c r="G92" t="s">
        <v>15</v>
      </c>
      <c r="H92" s="12" t="s">
        <v>17</v>
      </c>
      <c r="I92" s="4">
        <v>34151</v>
      </c>
      <c r="J92" t="s">
        <v>1</v>
      </c>
      <c r="K92" s="2">
        <v>2000</v>
      </c>
      <c r="L92" s="2"/>
      <c r="M92" s="5">
        <f>0.03*37</f>
        <v>1.1099999999999999</v>
      </c>
      <c r="N92" s="5">
        <f>0.7867*37</f>
        <v>29.107899999999997</v>
      </c>
      <c r="O92" s="8" t="s">
        <v>14</v>
      </c>
      <c r="P92" s="1"/>
      <c r="Q92" s="1"/>
      <c r="R92" s="1"/>
      <c r="S92" s="3"/>
      <c r="T92" s="3"/>
      <c r="U92" s="3"/>
      <c r="V92" s="3"/>
      <c r="W92" s="3"/>
      <c r="X92" s="3"/>
      <c r="Y92" s="3"/>
      <c r="Z92" t="s">
        <v>359</v>
      </c>
      <c r="AA92" s="9" t="s">
        <v>32</v>
      </c>
    </row>
    <row r="93" spans="1:27" x14ac:dyDescent="0.25">
      <c r="A93">
        <v>101</v>
      </c>
      <c r="B93">
        <v>1</v>
      </c>
      <c r="C93">
        <f t="shared" si="9"/>
        <v>10101</v>
      </c>
      <c r="D93" s="3" t="s">
        <v>86</v>
      </c>
      <c r="E93" s="11">
        <f>29+20/60+5/3600</f>
        <v>29.334722222222222</v>
      </c>
      <c r="F93" s="11">
        <f>-(92+44/3600)</f>
        <v>-92.012222222222221</v>
      </c>
      <c r="G93" t="s">
        <v>15</v>
      </c>
      <c r="H93" s="12" t="s">
        <v>17</v>
      </c>
      <c r="I93" s="4">
        <v>34151</v>
      </c>
      <c r="J93" t="s">
        <v>19</v>
      </c>
      <c r="K93" s="2">
        <v>0</v>
      </c>
      <c r="L93" s="2"/>
      <c r="M93" s="5">
        <f>1.49*37*1000</f>
        <v>55130</v>
      </c>
      <c r="N93" s="5">
        <f>0.8*37*1000</f>
        <v>29600</v>
      </c>
      <c r="O93" s="8">
        <f>0.91*37*1000</f>
        <v>33670</v>
      </c>
      <c r="P93" s="1"/>
      <c r="Q93" s="1"/>
      <c r="R93" s="1"/>
      <c r="S93" s="3"/>
      <c r="T93" s="3"/>
      <c r="U93" s="3"/>
      <c r="V93" s="3"/>
      <c r="W93" s="3"/>
      <c r="X93" s="3"/>
      <c r="Y93" s="3"/>
      <c r="Z93" t="s">
        <v>359</v>
      </c>
      <c r="AA93" t="s">
        <v>33</v>
      </c>
    </row>
    <row r="94" spans="1:27" x14ac:dyDescent="0.25">
      <c r="A94">
        <v>101</v>
      </c>
      <c r="B94">
        <v>3</v>
      </c>
      <c r="C94">
        <f t="shared" si="9"/>
        <v>10103</v>
      </c>
      <c r="D94" s="3" t="s">
        <v>86</v>
      </c>
      <c r="E94" s="11">
        <f>28+17/60+53/3600</f>
        <v>28.298055555555557</v>
      </c>
      <c r="F94" s="11">
        <f>-(92+43/3600)</f>
        <v>-92.011944444444438</v>
      </c>
      <c r="G94" t="s">
        <v>15</v>
      </c>
      <c r="H94" s="12" t="s">
        <v>17</v>
      </c>
      <c r="I94" s="4">
        <v>34151</v>
      </c>
      <c r="J94" t="s">
        <v>19</v>
      </c>
      <c r="K94" s="2">
        <v>0</v>
      </c>
      <c r="L94" s="2"/>
      <c r="M94" s="5">
        <f>2.34*37*1000</f>
        <v>86580</v>
      </c>
      <c r="N94" s="5">
        <f>1.18*37*1000</f>
        <v>43660</v>
      </c>
      <c r="O94" s="8">
        <f>0.68*37*1000</f>
        <v>25160</v>
      </c>
      <c r="P94" s="1"/>
      <c r="Q94" s="1"/>
      <c r="R94" s="1"/>
      <c r="S94" s="3"/>
      <c r="T94" s="3"/>
      <c r="U94" s="3"/>
      <c r="V94" s="3"/>
      <c r="W94" s="3"/>
      <c r="X94" s="3"/>
      <c r="Y94" s="3"/>
      <c r="Z94" t="s">
        <v>359</v>
      </c>
      <c r="AA94" t="s">
        <v>33</v>
      </c>
    </row>
    <row r="95" spans="1:27" x14ac:dyDescent="0.25">
      <c r="A95">
        <v>101</v>
      </c>
      <c r="B95">
        <v>1</v>
      </c>
      <c r="C95">
        <f t="shared" si="9"/>
        <v>10101</v>
      </c>
      <c r="D95" s="3" t="s">
        <v>86</v>
      </c>
      <c r="E95" s="11">
        <f>29+20/60+5/3600</f>
        <v>29.334722222222222</v>
      </c>
      <c r="F95" s="11">
        <f>-(92+44/3600)</f>
        <v>-92.012222222222221</v>
      </c>
      <c r="G95" t="s">
        <v>15</v>
      </c>
      <c r="H95" s="12" t="s">
        <v>17</v>
      </c>
      <c r="I95" s="4">
        <v>34151</v>
      </c>
      <c r="J95" t="s">
        <v>20</v>
      </c>
      <c r="K95" s="2">
        <v>0</v>
      </c>
      <c r="L95" s="2"/>
      <c r="M95" s="5">
        <f>3.1*37*1000</f>
        <v>114700</v>
      </c>
      <c r="N95" s="5">
        <f>2.3*37*1000</f>
        <v>85100</v>
      </c>
      <c r="O95" s="8">
        <f>1.77*37*1000</f>
        <v>65489.999999999993</v>
      </c>
      <c r="P95" s="1"/>
      <c r="Q95" s="1"/>
      <c r="R95" s="1"/>
      <c r="S95" s="3"/>
      <c r="T95" s="3"/>
      <c r="U95" s="3"/>
      <c r="V95" s="3"/>
      <c r="W95" s="3"/>
      <c r="X95" s="3"/>
      <c r="Y95" s="3"/>
      <c r="Z95" t="s">
        <v>359</v>
      </c>
      <c r="AA95" s="9" t="s">
        <v>34</v>
      </c>
    </row>
    <row r="96" spans="1:27" x14ac:dyDescent="0.25">
      <c r="A96">
        <v>101</v>
      </c>
      <c r="B96">
        <v>1</v>
      </c>
      <c r="C96">
        <f t="shared" si="9"/>
        <v>10101</v>
      </c>
      <c r="D96" s="3" t="s">
        <v>86</v>
      </c>
      <c r="E96" s="11">
        <f t="shared" ref="E96:E101" si="18">29+20/60+5/3600</f>
        <v>29.334722222222222</v>
      </c>
      <c r="F96" s="11">
        <f t="shared" ref="F96:F101" si="19">-(92+44/3600)</f>
        <v>-92.012222222222221</v>
      </c>
      <c r="G96" t="s">
        <v>15</v>
      </c>
      <c r="H96" s="12" t="s">
        <v>17</v>
      </c>
      <c r="I96" s="4">
        <v>34151</v>
      </c>
      <c r="J96" t="s">
        <v>20</v>
      </c>
      <c r="K96" s="2">
        <v>20</v>
      </c>
      <c r="L96" s="2"/>
      <c r="M96" s="5" t="s">
        <v>14</v>
      </c>
      <c r="N96" s="5">
        <f>1.17*37*1000</f>
        <v>43290</v>
      </c>
      <c r="O96" s="8">
        <f>1.3*37*1000</f>
        <v>48100</v>
      </c>
      <c r="P96" s="1"/>
      <c r="Q96" s="1"/>
      <c r="R96" s="1"/>
      <c r="S96" s="3"/>
      <c r="T96" s="3"/>
      <c r="U96" s="3"/>
      <c r="V96" s="3"/>
      <c r="W96" s="3"/>
      <c r="X96" s="3"/>
      <c r="Y96" s="3"/>
      <c r="Z96" t="s">
        <v>359</v>
      </c>
      <c r="AA96" s="9" t="s">
        <v>34</v>
      </c>
    </row>
    <row r="97" spans="1:27" x14ac:dyDescent="0.25">
      <c r="A97">
        <v>101</v>
      </c>
      <c r="B97">
        <v>1</v>
      </c>
      <c r="C97">
        <f t="shared" si="9"/>
        <v>10101</v>
      </c>
      <c r="D97" s="3" t="s">
        <v>86</v>
      </c>
      <c r="E97" s="11">
        <f t="shared" si="18"/>
        <v>29.334722222222222</v>
      </c>
      <c r="F97" s="11">
        <f t="shared" si="19"/>
        <v>-92.012222222222221</v>
      </c>
      <c r="G97" t="s">
        <v>15</v>
      </c>
      <c r="H97" s="12" t="s">
        <v>17</v>
      </c>
      <c r="I97" s="4">
        <v>34151</v>
      </c>
      <c r="J97" t="s">
        <v>20</v>
      </c>
      <c r="K97" s="2">
        <v>50</v>
      </c>
      <c r="L97" s="2"/>
      <c r="M97" s="5" t="s">
        <v>14</v>
      </c>
      <c r="N97" s="5">
        <f>0.63*37*1000</f>
        <v>23310</v>
      </c>
      <c r="O97" s="8">
        <f>0.73*37*1000</f>
        <v>27009.999999999996</v>
      </c>
      <c r="P97" s="1"/>
      <c r="Q97" s="1"/>
      <c r="R97" s="1"/>
      <c r="S97" s="3"/>
      <c r="T97" s="3"/>
      <c r="U97" s="3"/>
      <c r="V97" s="3"/>
      <c r="W97" s="3"/>
      <c r="X97" s="3"/>
      <c r="Y97" s="3"/>
      <c r="Z97" t="s">
        <v>359</v>
      </c>
      <c r="AA97" s="9" t="s">
        <v>34</v>
      </c>
    </row>
    <row r="98" spans="1:27" x14ac:dyDescent="0.25">
      <c r="A98">
        <v>101</v>
      </c>
      <c r="B98">
        <v>1</v>
      </c>
      <c r="C98">
        <f t="shared" si="9"/>
        <v>10101</v>
      </c>
      <c r="D98" s="3" t="s">
        <v>86</v>
      </c>
      <c r="E98" s="11">
        <f t="shared" si="18"/>
        <v>29.334722222222222</v>
      </c>
      <c r="F98" s="11">
        <f t="shared" si="19"/>
        <v>-92.012222222222221</v>
      </c>
      <c r="G98" t="s">
        <v>15</v>
      </c>
      <c r="H98" s="12" t="s">
        <v>17</v>
      </c>
      <c r="I98" s="4">
        <v>34151</v>
      </c>
      <c r="J98" t="s">
        <v>20</v>
      </c>
      <c r="K98" s="2">
        <v>100</v>
      </c>
      <c r="L98" s="2"/>
      <c r="M98" s="5" t="s">
        <v>14</v>
      </c>
      <c r="N98" s="5">
        <f>0.43*37*1000</f>
        <v>15910</v>
      </c>
      <c r="O98" s="8">
        <f>0.5*37*1000</f>
        <v>18500</v>
      </c>
      <c r="P98" s="1"/>
      <c r="Q98" s="1"/>
      <c r="R98" s="1"/>
      <c r="S98" s="3"/>
      <c r="T98" s="3"/>
      <c r="U98" s="3"/>
      <c r="V98" s="3"/>
      <c r="W98" s="3"/>
      <c r="X98" s="3"/>
      <c r="Y98" s="3"/>
      <c r="Z98" t="s">
        <v>359</v>
      </c>
      <c r="AA98" s="9" t="s">
        <v>34</v>
      </c>
    </row>
    <row r="99" spans="1:27" x14ac:dyDescent="0.25">
      <c r="A99">
        <v>101</v>
      </c>
      <c r="B99">
        <v>1</v>
      </c>
      <c r="C99">
        <f t="shared" si="9"/>
        <v>10101</v>
      </c>
      <c r="D99" s="3" t="s">
        <v>86</v>
      </c>
      <c r="E99" s="11">
        <f t="shared" si="18"/>
        <v>29.334722222222222</v>
      </c>
      <c r="F99" s="11">
        <f t="shared" si="19"/>
        <v>-92.012222222222221</v>
      </c>
      <c r="G99" t="s">
        <v>15</v>
      </c>
      <c r="H99" s="12" t="s">
        <v>17</v>
      </c>
      <c r="I99" s="4">
        <v>34151</v>
      </c>
      <c r="J99" t="s">
        <v>20</v>
      </c>
      <c r="K99" s="2">
        <v>150</v>
      </c>
      <c r="L99" s="2"/>
      <c r="M99" s="5" t="s">
        <v>14</v>
      </c>
      <c r="N99" s="5" t="s">
        <v>14</v>
      </c>
      <c r="O99" s="8">
        <f>0.7*37*1000</f>
        <v>25900</v>
      </c>
      <c r="P99" s="1"/>
      <c r="Q99" s="1"/>
      <c r="R99" s="1"/>
      <c r="S99" s="3"/>
      <c r="T99" s="3"/>
      <c r="U99" s="3"/>
      <c r="V99" s="3"/>
      <c r="W99" s="3"/>
      <c r="X99" s="3"/>
      <c r="Y99" s="3"/>
      <c r="Z99" t="s">
        <v>359</v>
      </c>
      <c r="AA99" s="9" t="s">
        <v>34</v>
      </c>
    </row>
    <row r="100" spans="1:27" x14ac:dyDescent="0.25">
      <c r="A100">
        <v>101</v>
      </c>
      <c r="B100">
        <v>1</v>
      </c>
      <c r="C100">
        <f t="shared" si="9"/>
        <v>10101</v>
      </c>
      <c r="D100" s="3" t="s">
        <v>86</v>
      </c>
      <c r="E100" s="11">
        <f t="shared" si="18"/>
        <v>29.334722222222222</v>
      </c>
      <c r="F100" s="11">
        <f t="shared" si="19"/>
        <v>-92.012222222222221</v>
      </c>
      <c r="G100" t="s">
        <v>15</v>
      </c>
      <c r="H100" s="12" t="s">
        <v>17</v>
      </c>
      <c r="I100" s="4">
        <v>34151</v>
      </c>
      <c r="J100" t="s">
        <v>20</v>
      </c>
      <c r="K100" s="2">
        <v>300</v>
      </c>
      <c r="L100" s="2"/>
      <c r="M100" s="5">
        <f>0.5*37*1000</f>
        <v>18500</v>
      </c>
      <c r="N100" s="5" t="s">
        <v>14</v>
      </c>
      <c r="O100" s="8">
        <f>0.93*37*1000</f>
        <v>34410.000000000007</v>
      </c>
      <c r="P100" s="1"/>
      <c r="Q100" s="1"/>
      <c r="R100" s="1"/>
      <c r="S100" s="3"/>
      <c r="T100" s="3"/>
      <c r="U100" s="3"/>
      <c r="V100" s="3"/>
      <c r="W100" s="3"/>
      <c r="X100" s="3"/>
      <c r="Y100" s="3"/>
      <c r="Z100" t="s">
        <v>359</v>
      </c>
      <c r="AA100" s="9" t="s">
        <v>34</v>
      </c>
    </row>
    <row r="101" spans="1:27" x14ac:dyDescent="0.25">
      <c r="A101">
        <v>101</v>
      </c>
      <c r="B101">
        <v>1</v>
      </c>
      <c r="C101">
        <f t="shared" si="9"/>
        <v>10101</v>
      </c>
      <c r="D101" s="3" t="s">
        <v>86</v>
      </c>
      <c r="E101" s="11">
        <f t="shared" si="18"/>
        <v>29.334722222222222</v>
      </c>
      <c r="F101" s="11">
        <f t="shared" si="19"/>
        <v>-92.012222222222221</v>
      </c>
      <c r="G101" t="s">
        <v>15</v>
      </c>
      <c r="H101" s="12" t="s">
        <v>17</v>
      </c>
      <c r="I101" s="4">
        <v>34151</v>
      </c>
      <c r="J101" t="s">
        <v>20</v>
      </c>
      <c r="K101" s="2">
        <v>2000</v>
      </c>
      <c r="L101" s="2"/>
      <c r="M101" s="5" t="s">
        <v>14</v>
      </c>
      <c r="N101" s="5" t="s">
        <v>14</v>
      </c>
      <c r="O101" s="8">
        <f>1.53*37*1000</f>
        <v>56610</v>
      </c>
      <c r="P101" s="1"/>
      <c r="Q101" s="1"/>
      <c r="R101" s="1"/>
      <c r="S101" s="3"/>
      <c r="T101" s="3"/>
      <c r="U101" s="3"/>
      <c r="V101" s="3"/>
      <c r="W101" s="3"/>
      <c r="X101" s="3"/>
      <c r="Y101" s="3"/>
      <c r="Z101" t="s">
        <v>359</v>
      </c>
      <c r="AA101" s="9" t="s">
        <v>34</v>
      </c>
    </row>
    <row r="102" spans="1:27" x14ac:dyDescent="0.25">
      <c r="A102">
        <v>101</v>
      </c>
      <c r="B102">
        <v>2</v>
      </c>
      <c r="C102">
        <f t="shared" si="9"/>
        <v>10102</v>
      </c>
      <c r="D102" s="3" t="s">
        <v>86</v>
      </c>
      <c r="E102" s="11">
        <f t="shared" ref="E102:E107" si="20">28+41/60+50/3600</f>
        <v>28.697222222222223</v>
      </c>
      <c r="F102" s="11">
        <f t="shared" ref="F102:F107" si="21">-(92+15/60+45/3600)</f>
        <v>-92.262500000000003</v>
      </c>
      <c r="G102" t="s">
        <v>15</v>
      </c>
      <c r="H102" s="12" t="s">
        <v>17</v>
      </c>
      <c r="I102" s="4">
        <v>34151</v>
      </c>
      <c r="J102" t="s">
        <v>20</v>
      </c>
      <c r="K102" s="2">
        <v>20</v>
      </c>
      <c r="L102" s="2"/>
      <c r="M102" s="5" t="s">
        <v>14</v>
      </c>
      <c r="N102" s="5">
        <f>2.1*37*1000</f>
        <v>77700</v>
      </c>
      <c r="O102" s="8">
        <f>2.27*37*1000</f>
        <v>83990</v>
      </c>
      <c r="P102" s="1"/>
      <c r="Q102" s="1"/>
      <c r="R102" s="1"/>
      <c r="S102" s="3"/>
      <c r="T102" s="3"/>
      <c r="U102" s="3"/>
      <c r="V102" s="3"/>
      <c r="W102" s="3"/>
      <c r="X102" s="3"/>
      <c r="Y102" s="3"/>
      <c r="Z102" t="s">
        <v>359</v>
      </c>
      <c r="AA102" s="9" t="s">
        <v>34</v>
      </c>
    </row>
    <row r="103" spans="1:27" x14ac:dyDescent="0.25">
      <c r="A103">
        <v>101</v>
      </c>
      <c r="B103">
        <v>2</v>
      </c>
      <c r="C103">
        <f t="shared" si="9"/>
        <v>10102</v>
      </c>
      <c r="D103" s="3" t="s">
        <v>86</v>
      </c>
      <c r="E103" s="11">
        <f t="shared" si="20"/>
        <v>28.697222222222223</v>
      </c>
      <c r="F103" s="11">
        <f t="shared" si="21"/>
        <v>-92.262500000000003</v>
      </c>
      <c r="G103" t="s">
        <v>15</v>
      </c>
      <c r="H103" s="12" t="s">
        <v>17</v>
      </c>
      <c r="I103" s="4">
        <v>34151</v>
      </c>
      <c r="J103" t="s">
        <v>20</v>
      </c>
      <c r="K103" s="2">
        <v>50</v>
      </c>
      <c r="L103" s="2"/>
      <c r="M103" s="5" t="s">
        <v>14</v>
      </c>
      <c r="N103" s="5">
        <f>0.43*37*1000</f>
        <v>15910</v>
      </c>
      <c r="O103" s="8">
        <f>1.57*37*1000</f>
        <v>58090</v>
      </c>
      <c r="P103" s="1"/>
      <c r="Q103" s="1"/>
      <c r="R103" s="1"/>
      <c r="S103" s="3"/>
      <c r="T103" s="3"/>
      <c r="U103" s="3"/>
      <c r="V103" s="3"/>
      <c r="W103" s="3"/>
      <c r="X103" s="3"/>
      <c r="Y103" s="3"/>
      <c r="Z103" t="s">
        <v>359</v>
      </c>
      <c r="AA103" s="9" t="s">
        <v>34</v>
      </c>
    </row>
    <row r="104" spans="1:27" x14ac:dyDescent="0.25">
      <c r="A104">
        <v>101</v>
      </c>
      <c r="B104">
        <v>2</v>
      </c>
      <c r="C104">
        <f t="shared" si="9"/>
        <v>10102</v>
      </c>
      <c r="D104" s="3" t="s">
        <v>86</v>
      </c>
      <c r="E104" s="11">
        <f t="shared" si="20"/>
        <v>28.697222222222223</v>
      </c>
      <c r="F104" s="11">
        <f t="shared" si="21"/>
        <v>-92.262500000000003</v>
      </c>
      <c r="G104" t="s">
        <v>15</v>
      </c>
      <c r="H104" s="12" t="s">
        <v>17</v>
      </c>
      <c r="I104" s="4">
        <v>34151</v>
      </c>
      <c r="J104" t="s">
        <v>20</v>
      </c>
      <c r="K104" s="2">
        <v>100</v>
      </c>
      <c r="L104" s="2"/>
      <c r="M104" s="5">
        <f>1.9*37*1000</f>
        <v>70300</v>
      </c>
      <c r="N104" s="5">
        <f>0.6*37*1000</f>
        <v>22200</v>
      </c>
      <c r="O104" s="8">
        <f>2.17*37*1000</f>
        <v>80289.999999999985</v>
      </c>
      <c r="P104" s="1"/>
      <c r="Q104" s="1"/>
      <c r="R104" s="1"/>
      <c r="S104" s="3"/>
      <c r="T104" s="3"/>
      <c r="U104" s="3"/>
      <c r="V104" s="3"/>
      <c r="W104" s="3"/>
      <c r="X104" s="3"/>
      <c r="Y104" s="3"/>
      <c r="Z104" t="s">
        <v>359</v>
      </c>
      <c r="AA104" s="9" t="s">
        <v>34</v>
      </c>
    </row>
    <row r="105" spans="1:27" x14ac:dyDescent="0.25">
      <c r="A105">
        <v>101</v>
      </c>
      <c r="B105">
        <v>2</v>
      </c>
      <c r="C105">
        <f t="shared" si="9"/>
        <v>10102</v>
      </c>
      <c r="D105" s="3" t="s">
        <v>86</v>
      </c>
      <c r="E105" s="11">
        <f t="shared" si="20"/>
        <v>28.697222222222223</v>
      </c>
      <c r="F105" s="11">
        <f t="shared" si="21"/>
        <v>-92.262500000000003</v>
      </c>
      <c r="G105" t="s">
        <v>15</v>
      </c>
      <c r="H105" s="12" t="s">
        <v>17</v>
      </c>
      <c r="I105" s="4">
        <v>34151</v>
      </c>
      <c r="J105" t="s">
        <v>20</v>
      </c>
      <c r="K105" s="2">
        <v>150</v>
      </c>
      <c r="L105" s="2"/>
      <c r="M105" s="5" t="s">
        <v>14</v>
      </c>
      <c r="N105" s="5">
        <f>0.83*37*1000</f>
        <v>30709.999999999996</v>
      </c>
      <c r="O105" s="8">
        <f>2.57*37*1000</f>
        <v>95089.999999999985</v>
      </c>
      <c r="P105" s="1"/>
      <c r="Q105" s="1"/>
      <c r="R105" s="1"/>
      <c r="S105" s="3"/>
      <c r="T105" s="3"/>
      <c r="U105" s="3"/>
      <c r="V105" s="3"/>
      <c r="W105" s="3"/>
      <c r="X105" s="3"/>
      <c r="Y105" s="3"/>
      <c r="Z105" t="s">
        <v>359</v>
      </c>
      <c r="AA105" s="9" t="s">
        <v>34</v>
      </c>
    </row>
    <row r="106" spans="1:27" x14ac:dyDescent="0.25">
      <c r="A106">
        <v>101</v>
      </c>
      <c r="B106">
        <v>2</v>
      </c>
      <c r="C106">
        <f t="shared" si="9"/>
        <v>10102</v>
      </c>
      <c r="D106" s="3" t="s">
        <v>86</v>
      </c>
      <c r="E106" s="11">
        <f t="shared" si="20"/>
        <v>28.697222222222223</v>
      </c>
      <c r="F106" s="11">
        <f t="shared" si="21"/>
        <v>-92.262500000000003</v>
      </c>
      <c r="G106" t="s">
        <v>15</v>
      </c>
      <c r="H106" s="12" t="s">
        <v>17</v>
      </c>
      <c r="I106" s="4">
        <v>34151</v>
      </c>
      <c r="J106" t="s">
        <v>20</v>
      </c>
      <c r="K106" s="2">
        <v>300</v>
      </c>
      <c r="L106" s="2"/>
      <c r="M106" s="5">
        <f>1.86*37*1000</f>
        <v>68820.000000000015</v>
      </c>
      <c r="N106" s="5">
        <f>0.3*37*1000</f>
        <v>11100</v>
      </c>
      <c r="O106" s="8">
        <f>2.7*37*1000</f>
        <v>99900</v>
      </c>
      <c r="P106" s="1"/>
      <c r="Q106" s="1"/>
      <c r="R106" s="1"/>
      <c r="S106" s="3"/>
      <c r="T106" s="3"/>
      <c r="U106" s="3"/>
      <c r="V106" s="3"/>
      <c r="W106" s="3"/>
      <c r="X106" s="3"/>
      <c r="Y106" s="3"/>
      <c r="Z106" t="s">
        <v>359</v>
      </c>
      <c r="AA106" s="9" t="s">
        <v>34</v>
      </c>
    </row>
    <row r="107" spans="1:27" x14ac:dyDescent="0.25">
      <c r="A107">
        <v>101</v>
      </c>
      <c r="B107">
        <v>2</v>
      </c>
      <c r="C107">
        <f t="shared" si="9"/>
        <v>10102</v>
      </c>
      <c r="D107" s="3" t="s">
        <v>86</v>
      </c>
      <c r="E107" s="11">
        <f t="shared" si="20"/>
        <v>28.697222222222223</v>
      </c>
      <c r="F107" s="11">
        <f t="shared" si="21"/>
        <v>-92.262500000000003</v>
      </c>
      <c r="G107" t="s">
        <v>15</v>
      </c>
      <c r="H107" s="12" t="s">
        <v>17</v>
      </c>
      <c r="I107" s="4">
        <v>34151</v>
      </c>
      <c r="J107" t="s">
        <v>20</v>
      </c>
      <c r="K107" s="2">
        <v>2000</v>
      </c>
      <c r="L107" s="2"/>
      <c r="M107" s="5" t="s">
        <v>14</v>
      </c>
      <c r="N107" s="5">
        <f>0.37*37*1000</f>
        <v>13690</v>
      </c>
      <c r="O107" s="8">
        <f>3.23*37*1000</f>
        <v>119510</v>
      </c>
      <c r="P107" s="1"/>
      <c r="Q107" s="1"/>
      <c r="R107" s="1"/>
      <c r="S107" s="3"/>
      <c r="T107" s="3"/>
      <c r="U107" s="3"/>
      <c r="V107" s="3"/>
      <c r="W107" s="3"/>
      <c r="X107" s="3"/>
      <c r="Y107" s="3"/>
      <c r="Z107" t="s">
        <v>359</v>
      </c>
      <c r="AA107" s="9" t="s">
        <v>34</v>
      </c>
    </row>
    <row r="108" spans="1:27" x14ac:dyDescent="0.25">
      <c r="A108">
        <v>101</v>
      </c>
      <c r="B108">
        <v>3</v>
      </c>
      <c r="C108">
        <f t="shared" si="9"/>
        <v>10103</v>
      </c>
      <c r="D108" s="3" t="s">
        <v>86</v>
      </c>
      <c r="E108" s="11">
        <f t="shared" ref="E108:E113" si="22">28+17/60+53/3600</f>
        <v>28.298055555555557</v>
      </c>
      <c r="F108" s="11">
        <f t="shared" ref="F108:F113" si="23">-(92+43/3600)</f>
        <v>-92.011944444444438</v>
      </c>
      <c r="G108" t="s">
        <v>15</v>
      </c>
      <c r="H108" s="12" t="s">
        <v>17</v>
      </c>
      <c r="I108" s="4">
        <v>34151</v>
      </c>
      <c r="J108" t="s">
        <v>20</v>
      </c>
      <c r="K108" s="2">
        <v>20</v>
      </c>
      <c r="L108" s="2"/>
      <c r="M108" s="5">
        <f>0.9*37*1000</f>
        <v>33300.000000000007</v>
      </c>
      <c r="N108" s="5">
        <f>0.83*37*1000</f>
        <v>30709.999999999996</v>
      </c>
      <c r="O108" s="8">
        <f>1.23*37*1000</f>
        <v>45510</v>
      </c>
      <c r="P108" s="1"/>
      <c r="Q108" s="1"/>
      <c r="R108" s="1"/>
      <c r="S108" s="3"/>
      <c r="T108" s="3"/>
      <c r="U108" s="3"/>
      <c r="V108" s="3"/>
      <c r="W108" s="3"/>
      <c r="X108" s="3"/>
      <c r="Y108" s="3"/>
      <c r="Z108" t="s">
        <v>359</v>
      </c>
      <c r="AA108" s="9" t="s">
        <v>34</v>
      </c>
    </row>
    <row r="109" spans="1:27" x14ac:dyDescent="0.25">
      <c r="A109">
        <v>101</v>
      </c>
      <c r="B109">
        <v>3</v>
      </c>
      <c r="C109">
        <f t="shared" si="9"/>
        <v>10103</v>
      </c>
      <c r="D109" s="3" t="s">
        <v>86</v>
      </c>
      <c r="E109" s="11">
        <f t="shared" si="22"/>
        <v>28.298055555555557</v>
      </c>
      <c r="F109" s="11">
        <f t="shared" si="23"/>
        <v>-92.011944444444438</v>
      </c>
      <c r="G109" t="s">
        <v>15</v>
      </c>
      <c r="H109" s="12" t="s">
        <v>17</v>
      </c>
      <c r="I109" s="4">
        <v>34151</v>
      </c>
      <c r="J109" t="s">
        <v>20</v>
      </c>
      <c r="K109" s="2">
        <v>50</v>
      </c>
      <c r="L109" s="2"/>
      <c r="M109" s="5">
        <f>1.03*37*1000</f>
        <v>38110</v>
      </c>
      <c r="N109" s="5">
        <f>0.67*37*1000</f>
        <v>24790.000000000004</v>
      </c>
      <c r="O109" s="8">
        <f>1.4*37*1000</f>
        <v>51800</v>
      </c>
      <c r="P109" s="1"/>
      <c r="Q109" s="1"/>
      <c r="R109" s="1"/>
      <c r="S109" s="3"/>
      <c r="T109" s="3"/>
      <c r="U109" s="3"/>
      <c r="V109" s="3"/>
      <c r="W109" s="3"/>
      <c r="X109" s="3"/>
      <c r="Y109" s="3"/>
      <c r="Z109" t="s">
        <v>359</v>
      </c>
      <c r="AA109" s="9" t="s">
        <v>34</v>
      </c>
    </row>
    <row r="110" spans="1:27" x14ac:dyDescent="0.25">
      <c r="A110">
        <v>101</v>
      </c>
      <c r="B110">
        <v>3</v>
      </c>
      <c r="C110">
        <f t="shared" si="9"/>
        <v>10103</v>
      </c>
      <c r="D110" s="3" t="s">
        <v>86</v>
      </c>
      <c r="E110" s="11">
        <f t="shared" si="22"/>
        <v>28.298055555555557</v>
      </c>
      <c r="F110" s="11">
        <f t="shared" si="23"/>
        <v>-92.011944444444438</v>
      </c>
      <c r="G110" t="s">
        <v>15</v>
      </c>
      <c r="H110" s="12" t="s">
        <v>17</v>
      </c>
      <c r="I110" s="4">
        <v>34151</v>
      </c>
      <c r="J110" t="s">
        <v>20</v>
      </c>
      <c r="K110" s="2">
        <v>100</v>
      </c>
      <c r="L110" s="2"/>
      <c r="M110" s="5">
        <f>0.16*37*1000</f>
        <v>5920</v>
      </c>
      <c r="N110" s="5" t="s">
        <v>14</v>
      </c>
      <c r="O110" s="8">
        <f>1.61*37*1000</f>
        <v>59570</v>
      </c>
      <c r="P110" s="1"/>
      <c r="Q110" s="1"/>
      <c r="R110" s="1"/>
      <c r="S110" s="3"/>
      <c r="T110" s="3"/>
      <c r="U110" s="3"/>
      <c r="V110" s="3"/>
      <c r="W110" s="3"/>
      <c r="X110" s="3"/>
      <c r="Y110" s="3"/>
      <c r="Z110" t="s">
        <v>359</v>
      </c>
      <c r="AA110" s="9" t="s">
        <v>34</v>
      </c>
    </row>
    <row r="111" spans="1:27" x14ac:dyDescent="0.25">
      <c r="A111">
        <v>101</v>
      </c>
      <c r="B111">
        <v>3</v>
      </c>
      <c r="C111">
        <f t="shared" si="9"/>
        <v>10103</v>
      </c>
      <c r="D111" s="3" t="s">
        <v>86</v>
      </c>
      <c r="E111" s="11">
        <f t="shared" si="22"/>
        <v>28.298055555555557</v>
      </c>
      <c r="F111" s="11">
        <f t="shared" si="23"/>
        <v>-92.011944444444438</v>
      </c>
      <c r="G111" t="s">
        <v>15</v>
      </c>
      <c r="H111" s="12" t="s">
        <v>17</v>
      </c>
      <c r="I111" s="4">
        <v>34151</v>
      </c>
      <c r="J111" t="s">
        <v>20</v>
      </c>
      <c r="K111" s="2">
        <v>150</v>
      </c>
      <c r="L111" s="2"/>
      <c r="M111" s="5">
        <f>0.93*37*1000</f>
        <v>34410.000000000007</v>
      </c>
      <c r="N111" s="5">
        <f>0.37*37*1000</f>
        <v>13690</v>
      </c>
      <c r="O111" s="8">
        <f>1.37*37*1000</f>
        <v>50690.000000000007</v>
      </c>
      <c r="P111" s="1"/>
      <c r="Q111" s="1"/>
      <c r="R111" s="1"/>
      <c r="S111" s="3"/>
      <c r="T111" s="3"/>
      <c r="U111" s="3"/>
      <c r="V111" s="3"/>
      <c r="W111" s="3"/>
      <c r="X111" s="3"/>
      <c r="Y111" s="3"/>
      <c r="Z111" t="s">
        <v>359</v>
      </c>
      <c r="AA111" s="9" t="s">
        <v>34</v>
      </c>
    </row>
    <row r="112" spans="1:27" x14ac:dyDescent="0.25">
      <c r="A112">
        <v>101</v>
      </c>
      <c r="B112">
        <v>3</v>
      </c>
      <c r="C112">
        <f t="shared" si="9"/>
        <v>10103</v>
      </c>
      <c r="D112" s="3" t="s">
        <v>86</v>
      </c>
      <c r="E112" s="11">
        <f t="shared" si="22"/>
        <v>28.298055555555557</v>
      </c>
      <c r="F112" s="11">
        <f t="shared" si="23"/>
        <v>-92.011944444444438</v>
      </c>
      <c r="G112" t="s">
        <v>15</v>
      </c>
      <c r="H112" s="12" t="s">
        <v>17</v>
      </c>
      <c r="I112" s="4">
        <v>34151</v>
      </c>
      <c r="J112" t="s">
        <v>20</v>
      </c>
      <c r="K112" s="2">
        <v>300</v>
      </c>
      <c r="L112" s="2"/>
      <c r="M112" s="5" t="s">
        <v>14</v>
      </c>
      <c r="N112" s="5">
        <f>1.37*37*1000</f>
        <v>50690.000000000007</v>
      </c>
      <c r="O112" s="8">
        <f>3.67*37*1000</f>
        <v>135790</v>
      </c>
      <c r="P112" s="1"/>
      <c r="Q112" s="1"/>
      <c r="R112" s="1"/>
      <c r="S112" s="3"/>
      <c r="T112" s="3"/>
      <c r="U112" s="3"/>
      <c r="V112" s="3"/>
      <c r="W112" s="3"/>
      <c r="X112" s="3"/>
      <c r="Y112" s="3"/>
      <c r="Z112" t="s">
        <v>359</v>
      </c>
      <c r="AA112" s="9" t="s">
        <v>34</v>
      </c>
    </row>
    <row r="113" spans="1:27" x14ac:dyDescent="0.25">
      <c r="A113">
        <v>101</v>
      </c>
      <c r="B113">
        <v>3</v>
      </c>
      <c r="C113">
        <f t="shared" si="9"/>
        <v>10103</v>
      </c>
      <c r="D113" s="3" t="s">
        <v>86</v>
      </c>
      <c r="E113" s="11">
        <f t="shared" si="22"/>
        <v>28.298055555555557</v>
      </c>
      <c r="F113" s="11">
        <f t="shared" si="23"/>
        <v>-92.011944444444438</v>
      </c>
      <c r="G113" t="s">
        <v>15</v>
      </c>
      <c r="H113" s="12" t="s">
        <v>17</v>
      </c>
      <c r="I113" s="4">
        <v>34151</v>
      </c>
      <c r="J113" t="s">
        <v>20</v>
      </c>
      <c r="K113" s="2">
        <v>2000</v>
      </c>
      <c r="L113" s="2"/>
      <c r="M113" s="5">
        <f>1.32*37*1000</f>
        <v>48840</v>
      </c>
      <c r="N113" s="5">
        <f>1.4*37*1000</f>
        <v>51800</v>
      </c>
      <c r="O113" s="8">
        <f>3.78*37*1000</f>
        <v>139859.99999999997</v>
      </c>
      <c r="P113" s="1"/>
      <c r="Q113" s="1"/>
      <c r="R113" s="1"/>
      <c r="S113" s="3"/>
      <c r="T113" s="3"/>
      <c r="U113" s="3"/>
      <c r="V113" s="3"/>
      <c r="W113" s="3"/>
      <c r="X113" s="3"/>
      <c r="Y113" s="3"/>
      <c r="Z113" t="s">
        <v>359</v>
      </c>
      <c r="AA113" s="9" t="s">
        <v>34</v>
      </c>
    </row>
    <row r="114" spans="1:27" x14ac:dyDescent="0.25">
      <c r="A114">
        <v>101</v>
      </c>
      <c r="B114">
        <v>4</v>
      </c>
      <c r="C114">
        <f t="shared" si="9"/>
        <v>10104</v>
      </c>
      <c r="D114" s="3" t="s">
        <v>86</v>
      </c>
      <c r="E114" s="11">
        <f t="shared" ref="E114:E119" si="24">27+52/60+5/3600</f>
        <v>27.868055555555557</v>
      </c>
      <c r="F114" s="11">
        <f t="shared" ref="F114:F119" si="25">-(93+59/60+30/3600)</f>
        <v>-93.991666666666674</v>
      </c>
      <c r="G114" t="s">
        <v>15</v>
      </c>
      <c r="H114" s="12" t="s">
        <v>17</v>
      </c>
      <c r="I114" s="4">
        <v>34151</v>
      </c>
      <c r="J114" t="s">
        <v>20</v>
      </c>
      <c r="K114" s="2">
        <v>20</v>
      </c>
      <c r="L114" s="2"/>
      <c r="M114" s="5">
        <f>0.44*37*1000</f>
        <v>16280.000000000002</v>
      </c>
      <c r="N114" s="5">
        <f>0.14*37*1000</f>
        <v>5180.0000000000009</v>
      </c>
      <c r="O114" s="8">
        <f>1.49*37*1000</f>
        <v>55130</v>
      </c>
      <c r="P114" s="1"/>
      <c r="Q114" s="1"/>
      <c r="R114" s="1"/>
      <c r="S114" s="3"/>
      <c r="T114" s="3"/>
      <c r="U114" s="3"/>
      <c r="V114" s="3"/>
      <c r="W114" s="3"/>
      <c r="X114" s="3"/>
      <c r="Y114" s="3"/>
      <c r="Z114" t="s">
        <v>359</v>
      </c>
      <c r="AA114" s="9" t="s">
        <v>34</v>
      </c>
    </row>
    <row r="115" spans="1:27" x14ac:dyDescent="0.25">
      <c r="A115">
        <v>101</v>
      </c>
      <c r="B115">
        <v>4</v>
      </c>
      <c r="C115">
        <f t="shared" si="9"/>
        <v>10104</v>
      </c>
      <c r="D115" s="3" t="s">
        <v>86</v>
      </c>
      <c r="E115" s="11">
        <f t="shared" si="24"/>
        <v>27.868055555555557</v>
      </c>
      <c r="F115" s="11">
        <f t="shared" si="25"/>
        <v>-93.991666666666674</v>
      </c>
      <c r="G115" t="s">
        <v>15</v>
      </c>
      <c r="H115" s="12" t="s">
        <v>17</v>
      </c>
      <c r="I115" s="4">
        <v>34151</v>
      </c>
      <c r="J115" t="s">
        <v>20</v>
      </c>
      <c r="K115" s="2">
        <v>50</v>
      </c>
      <c r="L115" s="2"/>
      <c r="M115" s="5">
        <f>0.31*37*1000</f>
        <v>11470</v>
      </c>
      <c r="N115" s="5">
        <f>0.1*37*1000</f>
        <v>3700</v>
      </c>
      <c r="O115" s="8">
        <f>1.81*37*1000</f>
        <v>66970</v>
      </c>
      <c r="P115" s="1"/>
      <c r="Q115" s="1"/>
      <c r="R115" s="1"/>
      <c r="S115" s="3"/>
      <c r="T115" s="3"/>
      <c r="U115" s="3"/>
      <c r="V115" s="3"/>
      <c r="W115" s="3"/>
      <c r="X115" s="3"/>
      <c r="Y115" s="3"/>
      <c r="Z115" t="s">
        <v>359</v>
      </c>
      <c r="AA115" s="9" t="s">
        <v>34</v>
      </c>
    </row>
    <row r="116" spans="1:27" x14ac:dyDescent="0.25">
      <c r="A116">
        <v>101</v>
      </c>
      <c r="B116">
        <v>4</v>
      </c>
      <c r="C116">
        <f t="shared" si="9"/>
        <v>10104</v>
      </c>
      <c r="D116" s="3" t="s">
        <v>86</v>
      </c>
      <c r="E116" s="11">
        <f t="shared" si="24"/>
        <v>27.868055555555557</v>
      </c>
      <c r="F116" s="11">
        <f t="shared" si="25"/>
        <v>-93.991666666666674</v>
      </c>
      <c r="G116" t="s">
        <v>15</v>
      </c>
      <c r="H116" s="12" t="s">
        <v>17</v>
      </c>
      <c r="I116" s="4">
        <v>34151</v>
      </c>
      <c r="J116" t="s">
        <v>20</v>
      </c>
      <c r="K116" s="2">
        <v>100</v>
      </c>
      <c r="L116" s="2"/>
      <c r="M116" s="5" t="s">
        <v>14</v>
      </c>
      <c r="N116" s="5" t="s">
        <v>14</v>
      </c>
      <c r="O116" s="8">
        <f>1.87*37*1000</f>
        <v>69190</v>
      </c>
      <c r="P116" s="1"/>
      <c r="Q116" s="1"/>
      <c r="R116" s="1"/>
      <c r="S116" s="3"/>
      <c r="T116" s="3"/>
      <c r="U116" s="3"/>
      <c r="V116" s="3"/>
      <c r="W116" s="3"/>
      <c r="X116" s="3"/>
      <c r="Y116" s="3"/>
      <c r="Z116" t="s">
        <v>359</v>
      </c>
      <c r="AA116" s="9" t="s">
        <v>34</v>
      </c>
    </row>
    <row r="117" spans="1:27" x14ac:dyDescent="0.25">
      <c r="A117">
        <v>101</v>
      </c>
      <c r="B117">
        <v>4</v>
      </c>
      <c r="C117">
        <f t="shared" si="9"/>
        <v>10104</v>
      </c>
      <c r="D117" s="3" t="s">
        <v>86</v>
      </c>
      <c r="E117" s="11">
        <f t="shared" si="24"/>
        <v>27.868055555555557</v>
      </c>
      <c r="F117" s="11">
        <f t="shared" si="25"/>
        <v>-93.991666666666674</v>
      </c>
      <c r="G117" t="s">
        <v>15</v>
      </c>
      <c r="H117" s="12" t="s">
        <v>17</v>
      </c>
      <c r="I117" s="4">
        <v>34151</v>
      </c>
      <c r="J117" t="s">
        <v>20</v>
      </c>
      <c r="K117" s="2">
        <v>150</v>
      </c>
      <c r="L117" s="2"/>
      <c r="M117" s="5">
        <f>2.97*37*1000</f>
        <v>109890</v>
      </c>
      <c r="N117" s="5">
        <f>1.03*37*1000</f>
        <v>38110</v>
      </c>
      <c r="O117" s="8">
        <f>2.17*37*1000</f>
        <v>80289.999999999985</v>
      </c>
      <c r="P117" s="1"/>
      <c r="Q117" s="1"/>
      <c r="R117" s="1"/>
      <c r="S117" s="3"/>
      <c r="T117" s="3"/>
      <c r="U117" s="3"/>
      <c r="V117" s="3"/>
      <c r="W117" s="3"/>
      <c r="X117" s="3"/>
      <c r="Y117" s="3"/>
      <c r="Z117" t="s">
        <v>359</v>
      </c>
      <c r="AA117" s="9" t="s">
        <v>34</v>
      </c>
    </row>
    <row r="118" spans="1:27" x14ac:dyDescent="0.25">
      <c r="A118">
        <v>101</v>
      </c>
      <c r="B118">
        <v>4</v>
      </c>
      <c r="C118">
        <f t="shared" si="9"/>
        <v>10104</v>
      </c>
      <c r="D118" s="3" t="s">
        <v>86</v>
      </c>
      <c r="E118" s="11">
        <f t="shared" si="24"/>
        <v>27.868055555555557</v>
      </c>
      <c r="F118" s="11">
        <f t="shared" si="25"/>
        <v>-93.991666666666674</v>
      </c>
      <c r="G118" t="s">
        <v>15</v>
      </c>
      <c r="H118" s="12" t="s">
        <v>17</v>
      </c>
      <c r="I118" s="4">
        <v>34151</v>
      </c>
      <c r="J118" t="s">
        <v>20</v>
      </c>
      <c r="K118" s="2">
        <v>300</v>
      </c>
      <c r="L118" s="2"/>
      <c r="M118" s="5" t="s">
        <v>14</v>
      </c>
      <c r="N118" s="5" t="s">
        <v>14</v>
      </c>
      <c r="O118" s="8">
        <f>3.27*37*1000</f>
        <v>120990</v>
      </c>
      <c r="P118" s="1"/>
      <c r="Q118" s="1"/>
      <c r="R118" s="1"/>
      <c r="S118" s="3"/>
      <c r="T118" s="3"/>
      <c r="U118" s="3"/>
      <c r="V118" s="3"/>
      <c r="W118" s="3"/>
      <c r="X118" s="3"/>
      <c r="Y118" s="3"/>
      <c r="Z118" t="s">
        <v>359</v>
      </c>
      <c r="AA118" s="9" t="s">
        <v>34</v>
      </c>
    </row>
    <row r="119" spans="1:27" x14ac:dyDescent="0.25">
      <c r="A119">
        <v>101</v>
      </c>
      <c r="B119">
        <v>4</v>
      </c>
      <c r="C119">
        <f t="shared" si="9"/>
        <v>10104</v>
      </c>
      <c r="D119" s="3" t="s">
        <v>86</v>
      </c>
      <c r="E119" s="11">
        <f t="shared" si="24"/>
        <v>27.868055555555557</v>
      </c>
      <c r="F119" s="11">
        <f t="shared" si="25"/>
        <v>-93.991666666666674</v>
      </c>
      <c r="G119" t="s">
        <v>15</v>
      </c>
      <c r="H119" s="12" t="s">
        <v>17</v>
      </c>
      <c r="I119" s="4">
        <v>34151</v>
      </c>
      <c r="J119" t="s">
        <v>20</v>
      </c>
      <c r="K119" s="2">
        <v>2000</v>
      </c>
      <c r="L119" s="2"/>
      <c r="M119" s="5" t="s">
        <v>14</v>
      </c>
      <c r="N119" s="5">
        <f>1.43*37*1000</f>
        <v>52910</v>
      </c>
      <c r="O119" s="8">
        <f>3.97*37*1000</f>
        <v>146890.00000000003</v>
      </c>
      <c r="P119" s="1"/>
      <c r="Q119" s="1"/>
      <c r="R119" s="1"/>
      <c r="S119" s="3"/>
      <c r="T119" s="3"/>
      <c r="U119" s="3"/>
      <c r="V119" s="3"/>
      <c r="W119" s="3"/>
      <c r="X119" s="3"/>
      <c r="Y119" s="3"/>
      <c r="Z119" t="s">
        <v>359</v>
      </c>
      <c r="AA119" s="9" t="s">
        <v>34</v>
      </c>
    </row>
    <row r="120" spans="1:27" x14ac:dyDescent="0.25">
      <c r="A120">
        <v>101</v>
      </c>
      <c r="B120">
        <v>9</v>
      </c>
      <c r="C120">
        <f t="shared" si="9"/>
        <v>10109</v>
      </c>
      <c r="D120" s="3" t="s">
        <v>86</v>
      </c>
      <c r="E120" s="11">
        <f>28+36/60+17/3600</f>
        <v>28.604722222222225</v>
      </c>
      <c r="F120" s="11">
        <f>-93-24/60-58/3600</f>
        <v>-93.416111111111121</v>
      </c>
      <c r="G120" t="s">
        <v>15</v>
      </c>
      <c r="H120" s="12" t="s">
        <v>17</v>
      </c>
      <c r="I120" s="4">
        <v>34151</v>
      </c>
      <c r="J120" t="s">
        <v>20</v>
      </c>
      <c r="K120" s="2">
        <v>0</v>
      </c>
      <c r="L120" s="2"/>
      <c r="M120" s="5" t="s">
        <v>14</v>
      </c>
      <c r="N120" s="5">
        <f>0.77*37*1000</f>
        <v>28490.000000000004</v>
      </c>
      <c r="O120" s="8">
        <f>2.27*37*1000</f>
        <v>83990</v>
      </c>
      <c r="P120" s="1"/>
      <c r="Q120" s="1"/>
      <c r="R120" s="1"/>
      <c r="S120" s="3"/>
      <c r="T120" s="3"/>
      <c r="U120" s="3"/>
      <c r="V120" s="3"/>
      <c r="W120" s="3"/>
      <c r="X120" s="3"/>
      <c r="Y120" s="3"/>
      <c r="Z120" t="s">
        <v>359</v>
      </c>
      <c r="AA120" s="9" t="s">
        <v>34</v>
      </c>
    </row>
    <row r="121" spans="1:27" x14ac:dyDescent="0.25">
      <c r="A121">
        <v>101</v>
      </c>
      <c r="B121">
        <v>11</v>
      </c>
      <c r="C121">
        <f t="shared" si="9"/>
        <v>10111</v>
      </c>
      <c r="D121" s="3" t="s">
        <v>86</v>
      </c>
      <c r="E121" s="11">
        <f>27+59/60+8/3600</f>
        <v>27.985555555555557</v>
      </c>
      <c r="F121" s="11">
        <f>-92-2/60-53/3600</f>
        <v>-92.04805555555555</v>
      </c>
      <c r="G121" t="s">
        <v>15</v>
      </c>
      <c r="H121" s="12" t="s">
        <v>17</v>
      </c>
      <c r="I121" s="4">
        <v>34151</v>
      </c>
      <c r="J121" t="s">
        <v>20</v>
      </c>
      <c r="K121" s="2">
        <v>0</v>
      </c>
      <c r="L121" s="2"/>
      <c r="M121" s="5" t="s">
        <v>14</v>
      </c>
      <c r="N121" s="5">
        <f>1*37*1000</f>
        <v>37000</v>
      </c>
      <c r="O121" s="8">
        <f>3.15*37*1000</f>
        <v>116550</v>
      </c>
      <c r="P121" s="1"/>
      <c r="Q121" s="1"/>
      <c r="R121" s="1"/>
      <c r="S121" s="3"/>
      <c r="T121" s="3"/>
      <c r="U121" s="3"/>
      <c r="V121" s="3"/>
      <c r="W121" s="3"/>
      <c r="X121" s="3"/>
      <c r="Y121" s="3"/>
      <c r="Z121" t="s">
        <v>359</v>
      </c>
      <c r="AA121" s="9" t="s">
        <v>34</v>
      </c>
    </row>
    <row r="122" spans="1:27" x14ac:dyDescent="0.25">
      <c r="A122">
        <v>101</v>
      </c>
      <c r="B122">
        <v>12</v>
      </c>
      <c r="C122">
        <f t="shared" si="9"/>
        <v>10112</v>
      </c>
      <c r="D122" s="3" t="s">
        <v>86</v>
      </c>
      <c r="E122" s="11">
        <f>28+5/3600</f>
        <v>28.00138888888889</v>
      </c>
      <c r="F122" s="11">
        <f>-95-14/60-18/3600</f>
        <v>-95.23833333333333</v>
      </c>
      <c r="G122" t="s">
        <v>15</v>
      </c>
      <c r="H122" s="12" t="s">
        <v>17</v>
      </c>
      <c r="I122" s="4">
        <v>34151</v>
      </c>
      <c r="J122" t="s">
        <v>20</v>
      </c>
      <c r="K122" s="2">
        <v>0</v>
      </c>
      <c r="L122" s="2"/>
      <c r="M122" s="5" t="s">
        <v>14</v>
      </c>
      <c r="N122" s="5">
        <f>0.93*37*1000</f>
        <v>34410.000000000007</v>
      </c>
      <c r="O122" s="8">
        <f>2.4*37*1000</f>
        <v>88800</v>
      </c>
      <c r="P122" s="1"/>
      <c r="Q122" s="1"/>
      <c r="R122" s="1"/>
      <c r="S122" s="3"/>
      <c r="T122" s="3"/>
      <c r="U122" s="3"/>
      <c r="V122" s="3"/>
      <c r="W122" s="3"/>
      <c r="X122" s="3"/>
      <c r="Y122" s="3"/>
      <c r="Z122" t="s">
        <v>359</v>
      </c>
      <c r="AA122" s="9" t="s">
        <v>34</v>
      </c>
    </row>
    <row r="123" spans="1:27" x14ac:dyDescent="0.25">
      <c r="A123">
        <v>101</v>
      </c>
      <c r="B123">
        <v>10</v>
      </c>
      <c r="C123">
        <f t="shared" si="9"/>
        <v>10110</v>
      </c>
      <c r="D123" s="3" t="s">
        <v>86</v>
      </c>
      <c r="E123" s="11">
        <f>28+20/60+24/3600</f>
        <v>28.34</v>
      </c>
      <c r="F123" s="11">
        <f>-94-59/60</f>
        <v>-94.983333333333334</v>
      </c>
      <c r="G123" t="s">
        <v>15</v>
      </c>
      <c r="H123" s="12" t="s">
        <v>17</v>
      </c>
      <c r="I123" s="4">
        <v>34151</v>
      </c>
      <c r="J123" t="s">
        <v>20</v>
      </c>
      <c r="K123" s="2">
        <v>0</v>
      </c>
      <c r="L123" s="2"/>
      <c r="M123" s="5" t="s">
        <v>14</v>
      </c>
      <c r="N123" s="5" t="s">
        <v>14</v>
      </c>
      <c r="O123" s="8">
        <f>4.53*37*1000</f>
        <v>167610</v>
      </c>
      <c r="P123" s="1"/>
      <c r="Q123" s="1"/>
      <c r="R123" s="1"/>
      <c r="S123" s="3"/>
      <c r="T123" s="3"/>
      <c r="U123" s="3"/>
      <c r="V123" s="3"/>
      <c r="W123" s="3"/>
      <c r="X123" s="3"/>
      <c r="Y123" s="3"/>
      <c r="Z123" t="s">
        <v>359</v>
      </c>
      <c r="AA123" s="9" t="s">
        <v>34</v>
      </c>
    </row>
    <row r="124" spans="1:27" x14ac:dyDescent="0.25">
      <c r="A124">
        <v>101</v>
      </c>
      <c r="B124">
        <v>1</v>
      </c>
      <c r="C124">
        <f t="shared" si="9"/>
        <v>10101</v>
      </c>
      <c r="D124" s="3" t="s">
        <v>86</v>
      </c>
      <c r="E124" s="11">
        <f>29+20/60+5/3600</f>
        <v>29.334722222222222</v>
      </c>
      <c r="F124" s="11">
        <f>-(92+44/3600)</f>
        <v>-92.012222222222221</v>
      </c>
      <c r="G124" t="s">
        <v>15</v>
      </c>
      <c r="H124" s="12" t="s">
        <v>17</v>
      </c>
      <c r="I124" s="4">
        <v>34151</v>
      </c>
      <c r="J124" t="s">
        <v>23</v>
      </c>
      <c r="K124" s="2">
        <v>0</v>
      </c>
      <c r="L124" s="2"/>
      <c r="M124" s="5">
        <f>(0+0+1.7+2.1+0)/5*37</f>
        <v>28.12</v>
      </c>
      <c r="N124" s="5" t="s">
        <v>14</v>
      </c>
      <c r="O124" s="8">
        <f>(0+0+4.1+4.6+0)/5*37</f>
        <v>64.38</v>
      </c>
      <c r="P124" s="1"/>
      <c r="Q124" s="1"/>
      <c r="R124" s="1"/>
      <c r="S124" s="3"/>
      <c r="T124" s="3"/>
      <c r="U124" s="3"/>
      <c r="V124" s="3"/>
      <c r="W124" s="3"/>
      <c r="X124" s="3"/>
      <c r="Y124" s="3"/>
      <c r="Z124" t="s">
        <v>359</v>
      </c>
      <c r="AA124" t="s">
        <v>35</v>
      </c>
    </row>
    <row r="125" spans="1:27" x14ac:dyDescent="0.25">
      <c r="A125">
        <v>101</v>
      </c>
      <c r="B125">
        <v>1</v>
      </c>
      <c r="C125">
        <f t="shared" si="9"/>
        <v>10101</v>
      </c>
      <c r="D125" s="3" t="s">
        <v>86</v>
      </c>
      <c r="E125" s="11">
        <f t="shared" ref="E125:E126" si="26">29+20/60+5/3600</f>
        <v>29.334722222222222</v>
      </c>
      <c r="F125" s="11">
        <f t="shared" ref="F125:F126" si="27">-(92+44/3600)</f>
        <v>-92.012222222222221</v>
      </c>
      <c r="G125" t="s">
        <v>15</v>
      </c>
      <c r="H125" s="12" t="s">
        <v>17</v>
      </c>
      <c r="I125" s="4">
        <v>34151</v>
      </c>
      <c r="J125" t="s">
        <v>23</v>
      </c>
      <c r="K125" s="2">
        <v>20</v>
      </c>
      <c r="L125" s="2"/>
      <c r="M125" s="5">
        <f>(0+2.2+1.5+1.9+3.3)/5*37</f>
        <v>65.86</v>
      </c>
      <c r="N125" s="5">
        <f>(7+0+17.5+0+7.4)/5*37</f>
        <v>236.06</v>
      </c>
      <c r="O125" s="8">
        <f>(0+9.7+0+4.4+0)/5*37</f>
        <v>104.33999999999999</v>
      </c>
      <c r="P125" s="1"/>
      <c r="Q125" s="1"/>
      <c r="R125" s="1"/>
      <c r="S125" s="3"/>
      <c r="T125" s="3"/>
      <c r="U125" s="3"/>
      <c r="V125" s="3"/>
      <c r="W125" s="3"/>
      <c r="X125" s="3"/>
      <c r="Y125" s="3"/>
      <c r="Z125" t="s">
        <v>359</v>
      </c>
      <c r="AA125" t="s">
        <v>35</v>
      </c>
    </row>
    <row r="126" spans="1:27" x14ac:dyDescent="0.25">
      <c r="A126">
        <v>101</v>
      </c>
      <c r="B126">
        <v>1</v>
      </c>
      <c r="C126">
        <f t="shared" si="9"/>
        <v>10101</v>
      </c>
      <c r="D126" s="3" t="s">
        <v>86</v>
      </c>
      <c r="E126" s="11">
        <f t="shared" si="26"/>
        <v>29.334722222222222</v>
      </c>
      <c r="F126" s="11">
        <f t="shared" si="27"/>
        <v>-92.012222222222221</v>
      </c>
      <c r="G126" t="s">
        <v>15</v>
      </c>
      <c r="H126" s="12" t="s">
        <v>17</v>
      </c>
      <c r="I126" s="4">
        <v>34151</v>
      </c>
      <c r="J126" t="s">
        <v>23</v>
      </c>
      <c r="K126" s="2">
        <v>2000</v>
      </c>
      <c r="L126" s="2"/>
      <c r="M126" s="5" t="s">
        <v>14</v>
      </c>
      <c r="N126" s="5">
        <f>(6.1+0+7)/3*37</f>
        <v>161.56666666666666</v>
      </c>
      <c r="O126" s="8" t="s">
        <v>14</v>
      </c>
      <c r="P126" s="1"/>
      <c r="Q126" s="1"/>
      <c r="R126" s="1"/>
      <c r="S126" s="3"/>
      <c r="T126" s="3"/>
      <c r="U126" s="3"/>
      <c r="V126" s="3"/>
      <c r="W126" s="3"/>
      <c r="X126" s="3"/>
      <c r="Y126" s="3"/>
      <c r="Z126" t="s">
        <v>359</v>
      </c>
      <c r="AA126" t="s">
        <v>35</v>
      </c>
    </row>
    <row r="127" spans="1:27" x14ac:dyDescent="0.25">
      <c r="A127">
        <v>101</v>
      </c>
      <c r="B127">
        <v>2</v>
      </c>
      <c r="C127">
        <f t="shared" si="9"/>
        <v>10102</v>
      </c>
      <c r="D127" s="3" t="s">
        <v>86</v>
      </c>
      <c r="E127" s="11">
        <f t="shared" ref="E127:E128" si="28">28+41/60+50/3600</f>
        <v>28.697222222222223</v>
      </c>
      <c r="F127" s="11">
        <f t="shared" ref="F127:F128" si="29">-(92+15/60+45/3600)</f>
        <v>-92.262500000000003</v>
      </c>
      <c r="G127" t="s">
        <v>15</v>
      </c>
      <c r="H127" s="12" t="s">
        <v>17</v>
      </c>
      <c r="I127" s="4">
        <v>34151</v>
      </c>
      <c r="J127" t="s">
        <v>23</v>
      </c>
      <c r="K127" s="2">
        <v>20</v>
      </c>
      <c r="L127" s="2"/>
      <c r="M127" s="5">
        <f>(1.7+0+2.4)/3*37</f>
        <v>50.566666666666663</v>
      </c>
      <c r="N127" s="5">
        <f>(13.5+15+11.2)/3*37</f>
        <v>489.63333333333338</v>
      </c>
      <c r="O127" s="8" t="s">
        <v>14</v>
      </c>
      <c r="P127" s="1"/>
      <c r="Q127" s="1"/>
      <c r="R127" s="1"/>
      <c r="S127" s="3"/>
      <c r="T127" s="3"/>
      <c r="U127" s="3"/>
      <c r="V127" s="3"/>
      <c r="W127" s="3"/>
      <c r="X127" s="3"/>
      <c r="Y127" s="3"/>
      <c r="Z127" t="s">
        <v>359</v>
      </c>
      <c r="AA127" t="s">
        <v>35</v>
      </c>
    </row>
    <row r="128" spans="1:27" x14ac:dyDescent="0.25">
      <c r="A128">
        <v>101</v>
      </c>
      <c r="B128">
        <v>2</v>
      </c>
      <c r="C128">
        <f t="shared" si="9"/>
        <v>10102</v>
      </c>
      <c r="D128" s="3" t="s">
        <v>86</v>
      </c>
      <c r="E128" s="11">
        <f t="shared" si="28"/>
        <v>28.697222222222223</v>
      </c>
      <c r="F128" s="11">
        <f t="shared" si="29"/>
        <v>-92.262500000000003</v>
      </c>
      <c r="G128" t="s">
        <v>15</v>
      </c>
      <c r="H128" s="12" t="s">
        <v>17</v>
      </c>
      <c r="I128" s="4">
        <v>34151</v>
      </c>
      <c r="J128" t="s">
        <v>23</v>
      </c>
      <c r="K128" s="2">
        <v>2000</v>
      </c>
      <c r="L128" s="2"/>
      <c r="M128" s="5" t="s">
        <v>14</v>
      </c>
      <c r="N128" s="5">
        <f>(0+6.1+0)/3*37</f>
        <v>75.233333333333334</v>
      </c>
      <c r="O128" s="8" t="s">
        <v>14</v>
      </c>
      <c r="P128" s="1"/>
      <c r="Q128" s="1"/>
      <c r="R128" s="1"/>
      <c r="S128" s="3"/>
      <c r="T128" s="3"/>
      <c r="U128" s="3"/>
      <c r="V128" s="3"/>
      <c r="W128" s="3"/>
      <c r="X128" s="3"/>
      <c r="Y128" s="3"/>
      <c r="Z128" t="s">
        <v>359</v>
      </c>
      <c r="AA128" t="s">
        <v>35</v>
      </c>
    </row>
    <row r="129" spans="1:27" x14ac:dyDescent="0.25">
      <c r="A129">
        <v>101</v>
      </c>
      <c r="B129">
        <v>3</v>
      </c>
      <c r="C129">
        <f t="shared" si="9"/>
        <v>10103</v>
      </c>
      <c r="D129" s="3" t="s">
        <v>86</v>
      </c>
      <c r="E129" s="11">
        <f t="shared" ref="E129:E130" si="30">28+17/60+53/3600</f>
        <v>28.298055555555557</v>
      </c>
      <c r="F129" s="11">
        <f t="shared" ref="F129:F130" si="31">-(92+43/3600)</f>
        <v>-92.011944444444438</v>
      </c>
      <c r="G129" t="s">
        <v>15</v>
      </c>
      <c r="H129" s="12" t="s">
        <v>17</v>
      </c>
      <c r="I129" s="4">
        <v>34151</v>
      </c>
      <c r="J129" t="s">
        <v>23</v>
      </c>
      <c r="K129" s="2">
        <v>50</v>
      </c>
      <c r="L129" s="2"/>
      <c r="M129" s="5">
        <f>(0+1.4+1.4+1.2+2.7+1.3)/6*37</f>
        <v>49.333333333333329</v>
      </c>
      <c r="N129" s="5" t="s">
        <v>14</v>
      </c>
      <c r="O129" s="8">
        <f>(6.8+13.4+6.1+9.5+12.3+9.6)/6*37</f>
        <v>355.81666666666661</v>
      </c>
      <c r="P129" s="1"/>
      <c r="Q129" s="1"/>
      <c r="R129" s="1"/>
      <c r="S129" s="3"/>
      <c r="T129" s="3"/>
      <c r="U129" s="3"/>
      <c r="V129" s="3"/>
      <c r="W129" s="3"/>
      <c r="X129" s="3"/>
      <c r="Y129" s="3"/>
      <c r="Z129" t="s">
        <v>359</v>
      </c>
      <c r="AA129" t="s">
        <v>35</v>
      </c>
    </row>
    <row r="130" spans="1:27" x14ac:dyDescent="0.25">
      <c r="A130">
        <v>101</v>
      </c>
      <c r="B130">
        <v>3</v>
      </c>
      <c r="C130">
        <f t="shared" si="9"/>
        <v>10103</v>
      </c>
      <c r="D130" s="3" t="s">
        <v>86</v>
      </c>
      <c r="E130" s="11">
        <f t="shared" si="30"/>
        <v>28.298055555555557</v>
      </c>
      <c r="F130" s="11">
        <f t="shared" si="31"/>
        <v>-92.011944444444438</v>
      </c>
      <c r="G130" t="s">
        <v>15</v>
      </c>
      <c r="H130" s="12" t="s">
        <v>17</v>
      </c>
      <c r="I130" s="4">
        <v>34151</v>
      </c>
      <c r="J130" t="s">
        <v>23</v>
      </c>
      <c r="K130" s="2">
        <v>2000</v>
      </c>
      <c r="L130" s="2"/>
      <c r="M130" s="5">
        <f>(1.8+1.5+1.1+0.9+0+0.8)/6*37</f>
        <v>37.616666666666674</v>
      </c>
      <c r="N130" s="5">
        <f>(12.3+12.2+0+0+0+0)/6*37</f>
        <v>151.08333333333331</v>
      </c>
      <c r="O130" s="8">
        <f>(7.3+8.3+4.9+4.7+6.4+4.5)/6*37</f>
        <v>222.61666666666667</v>
      </c>
      <c r="P130" s="1"/>
      <c r="Q130" s="1"/>
      <c r="R130" s="1"/>
      <c r="S130" s="3"/>
      <c r="T130" s="3"/>
      <c r="U130" s="3"/>
      <c r="V130" s="3"/>
      <c r="W130" s="3"/>
      <c r="X130" s="3"/>
      <c r="Y130" s="3"/>
      <c r="Z130" t="s">
        <v>359</v>
      </c>
      <c r="AA130" t="s">
        <v>35</v>
      </c>
    </row>
    <row r="131" spans="1:27" x14ac:dyDescent="0.25">
      <c r="A131">
        <v>101</v>
      </c>
      <c r="B131">
        <v>4</v>
      </c>
      <c r="C131">
        <f t="shared" ref="C131:C194" si="32">A131*100+B131</f>
        <v>10104</v>
      </c>
      <c r="D131" s="3" t="s">
        <v>86</v>
      </c>
      <c r="E131" s="11">
        <f t="shared" ref="E131:E132" si="33">27+52/60+5/3600</f>
        <v>27.868055555555557</v>
      </c>
      <c r="F131" s="11">
        <f t="shared" ref="F131:F132" si="34">-(93+59/60+30/3600)</f>
        <v>-93.991666666666674</v>
      </c>
      <c r="G131" t="s">
        <v>15</v>
      </c>
      <c r="H131" s="12" t="s">
        <v>17</v>
      </c>
      <c r="I131" s="4">
        <v>34151</v>
      </c>
      <c r="J131" t="s">
        <v>23</v>
      </c>
      <c r="K131" s="2">
        <v>60</v>
      </c>
      <c r="L131" s="2"/>
      <c r="M131" s="5" t="s">
        <v>14</v>
      </c>
      <c r="N131" s="5" t="s">
        <v>14</v>
      </c>
      <c r="O131" s="8" t="s">
        <v>14</v>
      </c>
      <c r="P131" s="1"/>
      <c r="Q131" s="1"/>
      <c r="R131" s="1"/>
      <c r="S131" s="3"/>
      <c r="T131" s="3"/>
      <c r="U131" s="3"/>
      <c r="V131" s="3"/>
      <c r="W131" s="3"/>
      <c r="X131" s="3"/>
      <c r="Y131" s="3"/>
      <c r="Z131" t="s">
        <v>359</v>
      </c>
      <c r="AA131" t="s">
        <v>35</v>
      </c>
    </row>
    <row r="132" spans="1:27" x14ac:dyDescent="0.25">
      <c r="A132">
        <v>101</v>
      </c>
      <c r="B132">
        <v>4</v>
      </c>
      <c r="C132">
        <f t="shared" si="32"/>
        <v>10104</v>
      </c>
      <c r="D132" s="3" t="s">
        <v>86</v>
      </c>
      <c r="E132" s="11">
        <f t="shared" si="33"/>
        <v>27.868055555555557</v>
      </c>
      <c r="F132" s="11">
        <f t="shared" si="34"/>
        <v>-93.991666666666674</v>
      </c>
      <c r="G132" t="s">
        <v>15</v>
      </c>
      <c r="H132" s="12" t="s">
        <v>17</v>
      </c>
      <c r="I132" s="4">
        <v>34151</v>
      </c>
      <c r="J132" t="s">
        <v>23</v>
      </c>
      <c r="K132" s="2">
        <v>2000</v>
      </c>
      <c r="L132" s="2"/>
      <c r="M132" s="5">
        <f>(0+0.7+2.3)/3*37</f>
        <v>37</v>
      </c>
      <c r="N132" s="5" t="s">
        <v>14</v>
      </c>
      <c r="O132" s="8">
        <f>(10.3+6.2+0)/3*37</f>
        <v>203.5</v>
      </c>
      <c r="P132" s="1"/>
      <c r="Q132" s="1"/>
      <c r="R132" s="1"/>
      <c r="S132" s="3"/>
      <c r="T132" s="3"/>
      <c r="U132" s="3"/>
      <c r="V132" s="3"/>
      <c r="W132" s="3"/>
      <c r="X132" s="3"/>
      <c r="Y132" s="3"/>
      <c r="Z132" t="s">
        <v>359</v>
      </c>
      <c r="AA132" t="s">
        <v>35</v>
      </c>
    </row>
    <row r="133" spans="1:27" x14ac:dyDescent="0.25">
      <c r="A133">
        <v>101</v>
      </c>
      <c r="B133">
        <v>13</v>
      </c>
      <c r="C133">
        <f t="shared" si="32"/>
        <v>10113</v>
      </c>
      <c r="D133" s="3" t="s">
        <v>86</v>
      </c>
      <c r="E133" s="11">
        <f>29+20/60+55/3600</f>
        <v>29.348611111111111</v>
      </c>
      <c r="F133" s="11">
        <f>-(91+59/60+19/3600)</f>
        <v>-91.988611111111112</v>
      </c>
      <c r="G133" t="s">
        <v>15</v>
      </c>
      <c r="H133" s="12" t="s">
        <v>17</v>
      </c>
      <c r="I133" s="4">
        <v>34151</v>
      </c>
      <c r="J133" t="s">
        <v>24</v>
      </c>
      <c r="K133" s="2">
        <v>0</v>
      </c>
      <c r="L133" s="2"/>
      <c r="M133" s="5">
        <f>0.0308*37*1000</f>
        <v>1139.5999999999999</v>
      </c>
      <c r="N133" s="5">
        <f>0.0367*37*1000</f>
        <v>1357.9</v>
      </c>
      <c r="O133" s="8">
        <f>(0.035+0.035+0+0.017+0+0.033)/6</f>
        <v>0.02</v>
      </c>
      <c r="P133" s="1"/>
      <c r="Q133" s="1"/>
      <c r="R133" s="1"/>
      <c r="S133" s="3"/>
      <c r="T133" s="3"/>
      <c r="U133" s="3"/>
      <c r="V133" s="3"/>
      <c r="W133" s="3"/>
      <c r="X133" s="3"/>
      <c r="Y133" s="3"/>
      <c r="Z133" t="s">
        <v>359</v>
      </c>
      <c r="AA133" t="s">
        <v>36</v>
      </c>
    </row>
    <row r="134" spans="1:27" x14ac:dyDescent="0.25">
      <c r="A134">
        <v>101</v>
      </c>
      <c r="B134">
        <v>1</v>
      </c>
      <c r="C134">
        <f t="shared" si="32"/>
        <v>10101</v>
      </c>
      <c r="D134" s="3" t="s">
        <v>86</v>
      </c>
      <c r="E134" s="11">
        <f t="shared" ref="E134" si="35">29+20/60+5/3600</f>
        <v>29.334722222222222</v>
      </c>
      <c r="F134" s="11">
        <f t="shared" ref="F134" si="36">-(92+44/3600)</f>
        <v>-92.012222222222221</v>
      </c>
      <c r="G134" t="s">
        <v>15</v>
      </c>
      <c r="H134" s="12" t="s">
        <v>17</v>
      </c>
      <c r="I134" s="4">
        <v>34151</v>
      </c>
      <c r="J134" t="s">
        <v>24</v>
      </c>
      <c r="K134" s="2">
        <v>0</v>
      </c>
      <c r="L134" s="2"/>
      <c r="M134" s="5">
        <f>0.0115*37*1000</f>
        <v>425.5</v>
      </c>
      <c r="N134" s="5">
        <f>0.0163*37*1000</f>
        <v>603.1</v>
      </c>
      <c r="O134" s="8">
        <f>(0.024+0.024+0+0.022+0+0.014+0+0.01)/8</f>
        <v>1.175E-2</v>
      </c>
      <c r="P134" s="1"/>
      <c r="Q134" s="1"/>
      <c r="R134" s="3"/>
      <c r="S134" s="3"/>
      <c r="T134" s="3"/>
      <c r="U134" s="3"/>
      <c r="V134" s="3"/>
      <c r="W134" s="3"/>
      <c r="X134" s="3"/>
      <c r="Y134" s="3"/>
      <c r="Z134" t="s">
        <v>359</v>
      </c>
      <c r="AA134" t="s">
        <v>36</v>
      </c>
    </row>
    <row r="135" spans="1:27" x14ac:dyDescent="0.25">
      <c r="A135">
        <v>101</v>
      </c>
      <c r="B135">
        <v>15</v>
      </c>
      <c r="C135">
        <f t="shared" si="32"/>
        <v>10115</v>
      </c>
      <c r="D135" s="3" t="s">
        <v>86</v>
      </c>
      <c r="E135" s="11">
        <v>28.540400000000002</v>
      </c>
      <c r="F135" s="11">
        <v>-93.851399999999998</v>
      </c>
      <c r="G135" t="s">
        <v>15</v>
      </c>
      <c r="H135" s="12" t="s">
        <v>17</v>
      </c>
      <c r="I135" s="4">
        <v>34151</v>
      </c>
      <c r="J135" t="s">
        <v>24</v>
      </c>
      <c r="K135" s="2">
        <v>0</v>
      </c>
      <c r="L135" s="2"/>
      <c r="M135" s="5">
        <f>0.365*37*1000</f>
        <v>13504.999999999998</v>
      </c>
      <c r="N135" s="5" t="s">
        <v>14</v>
      </c>
      <c r="O135" s="8">
        <v>0.21099999999999999</v>
      </c>
      <c r="P135" s="1"/>
      <c r="Q135" s="1"/>
      <c r="R135" s="1"/>
      <c r="S135" s="3"/>
      <c r="T135" s="3"/>
      <c r="U135" s="3"/>
      <c r="V135" s="3"/>
      <c r="W135" s="3"/>
      <c r="X135" s="3"/>
      <c r="Y135" s="3"/>
      <c r="Z135" t="s">
        <v>359</v>
      </c>
      <c r="AA135" t="s">
        <v>37</v>
      </c>
    </row>
    <row r="136" spans="1:27" x14ac:dyDescent="0.25">
      <c r="A136">
        <v>101</v>
      </c>
      <c r="B136">
        <v>14</v>
      </c>
      <c r="C136">
        <f t="shared" si="32"/>
        <v>10114</v>
      </c>
      <c r="D136" s="3" t="s">
        <v>86</v>
      </c>
      <c r="E136" s="11">
        <f>28+19/60+51/3600</f>
        <v>28.330833333333334</v>
      </c>
      <c r="F136" s="11">
        <f>-(97+27/60+42/3600)</f>
        <v>-97.461666666666673</v>
      </c>
      <c r="G136" t="s">
        <v>15</v>
      </c>
      <c r="H136" s="12" t="s">
        <v>17</v>
      </c>
      <c r="I136" s="4">
        <v>34151</v>
      </c>
      <c r="J136" t="s">
        <v>24</v>
      </c>
      <c r="K136" s="2">
        <v>0</v>
      </c>
      <c r="L136" s="2"/>
      <c r="M136" s="5">
        <f>0.024*37*1000</f>
        <v>888</v>
      </c>
      <c r="N136" s="5">
        <f>0.0435*37*1000</f>
        <v>1609.5</v>
      </c>
      <c r="O136" s="8">
        <f>(0.008+0.048+0+0.034+0.041+0.104)/6</f>
        <v>3.9166666666666662E-2</v>
      </c>
      <c r="P136" s="1"/>
      <c r="Q136" s="1"/>
      <c r="R136" s="1"/>
      <c r="S136" s="3"/>
      <c r="T136" s="3"/>
      <c r="U136" s="3"/>
      <c r="V136" s="3"/>
      <c r="W136" s="3"/>
      <c r="X136" s="3"/>
      <c r="Y136" s="3"/>
      <c r="Z136" t="s">
        <v>359</v>
      </c>
      <c r="AA136" t="s">
        <v>36</v>
      </c>
    </row>
    <row r="137" spans="1:27" x14ac:dyDescent="0.25">
      <c r="A137">
        <v>101</v>
      </c>
      <c r="B137">
        <v>2</v>
      </c>
      <c r="C137">
        <f t="shared" si="32"/>
        <v>10102</v>
      </c>
      <c r="D137" s="3" t="s">
        <v>86</v>
      </c>
      <c r="E137" s="11">
        <f>28+41/60+50/3600</f>
        <v>28.697222222222223</v>
      </c>
      <c r="F137" s="11">
        <f>-(92+15/60+45/3600)</f>
        <v>-92.262500000000003</v>
      </c>
      <c r="G137" t="s">
        <v>15</v>
      </c>
      <c r="H137" s="12" t="s">
        <v>17</v>
      </c>
      <c r="I137" s="4">
        <v>34151</v>
      </c>
      <c r="J137" t="s">
        <v>24</v>
      </c>
      <c r="K137" s="2">
        <v>0</v>
      </c>
      <c r="L137" s="2"/>
      <c r="M137" s="5">
        <f>0.0268*37*1000</f>
        <v>991.6</v>
      </c>
      <c r="N137" s="5">
        <f>0.0317*37*1000</f>
        <v>1172.9000000000001</v>
      </c>
      <c r="O137" s="8">
        <f>(0.075+0.075+0+0.035+0+0.075)/6</f>
        <v>4.3333333333333335E-2</v>
      </c>
      <c r="P137" s="1"/>
      <c r="Q137" s="1"/>
      <c r="R137" s="1"/>
      <c r="S137" s="3"/>
      <c r="T137" s="3"/>
      <c r="U137" s="3"/>
      <c r="V137" s="3"/>
      <c r="W137" s="3"/>
      <c r="X137" s="3"/>
      <c r="Y137" s="3"/>
      <c r="Z137" t="s">
        <v>359</v>
      </c>
      <c r="AA137" t="s">
        <v>36</v>
      </c>
    </row>
    <row r="138" spans="1:27" x14ac:dyDescent="0.25">
      <c r="A138">
        <v>101</v>
      </c>
      <c r="B138">
        <v>3</v>
      </c>
      <c r="C138">
        <f t="shared" si="32"/>
        <v>10103</v>
      </c>
      <c r="D138" s="3" t="s">
        <v>86</v>
      </c>
      <c r="E138" s="11">
        <f>28+17/60+53/3600</f>
        <v>28.298055555555557</v>
      </c>
      <c r="F138" s="11">
        <f>-(92+43/3600)</f>
        <v>-92.011944444444438</v>
      </c>
      <c r="G138" t="s">
        <v>15</v>
      </c>
      <c r="H138" s="12" t="s">
        <v>17</v>
      </c>
      <c r="I138" s="4">
        <v>34151</v>
      </c>
      <c r="J138" t="s">
        <v>24</v>
      </c>
      <c r="K138" s="2">
        <v>0</v>
      </c>
      <c r="L138" s="2"/>
      <c r="M138" s="5">
        <f>0.0195*37*1000</f>
        <v>721.5</v>
      </c>
      <c r="N138" s="5">
        <f>0.02675*37*1000</f>
        <v>989.75</v>
      </c>
      <c r="O138" s="8">
        <f>(0.281+0.281+0+0.055+0+0.053+0+0)/8</f>
        <v>8.3750000000000019E-2</v>
      </c>
      <c r="P138" s="1"/>
      <c r="Q138" s="1"/>
      <c r="R138" s="1"/>
      <c r="S138" s="3"/>
      <c r="T138" s="3"/>
      <c r="U138" s="3"/>
      <c r="V138" s="3"/>
      <c r="W138" s="3"/>
      <c r="X138" s="3"/>
      <c r="Y138" s="3"/>
      <c r="Z138" t="s">
        <v>359</v>
      </c>
      <c r="AA138" t="s">
        <v>36</v>
      </c>
    </row>
    <row r="139" spans="1:27" x14ac:dyDescent="0.25">
      <c r="A139">
        <v>101</v>
      </c>
      <c r="B139">
        <v>4</v>
      </c>
      <c r="C139">
        <f t="shared" si="32"/>
        <v>10104</v>
      </c>
      <c r="D139" s="3" t="s">
        <v>86</v>
      </c>
      <c r="E139" s="11">
        <f>27+52/60+5/3600</f>
        <v>27.868055555555557</v>
      </c>
      <c r="F139" s="11">
        <f>-(93+59/60+30/3600)</f>
        <v>-93.991666666666674</v>
      </c>
      <c r="G139" t="s">
        <v>15</v>
      </c>
      <c r="H139" s="12" t="s">
        <v>17</v>
      </c>
      <c r="I139" s="4">
        <v>34151</v>
      </c>
      <c r="J139" t="s">
        <v>24</v>
      </c>
      <c r="K139" s="2">
        <v>0</v>
      </c>
      <c r="L139" s="2"/>
      <c r="M139" s="5">
        <f>0.118*37*1000</f>
        <v>4366</v>
      </c>
      <c r="N139" s="5">
        <f>0.061*37*1000</f>
        <v>2257</v>
      </c>
      <c r="O139" s="8">
        <v>0.41599999999999998</v>
      </c>
      <c r="P139" s="1"/>
      <c r="Q139" s="1"/>
      <c r="R139" s="1"/>
      <c r="S139" s="3"/>
      <c r="T139" s="3"/>
      <c r="U139" s="3"/>
      <c r="V139" s="3"/>
      <c r="W139" s="3"/>
      <c r="X139" s="3"/>
      <c r="Y139" s="3"/>
      <c r="Z139" t="s">
        <v>359</v>
      </c>
      <c r="AA139" t="s">
        <v>36</v>
      </c>
    </row>
    <row r="140" spans="1:27" x14ac:dyDescent="0.25">
      <c r="A140">
        <v>101</v>
      </c>
      <c r="B140">
        <v>5</v>
      </c>
      <c r="C140">
        <f t="shared" si="32"/>
        <v>10105</v>
      </c>
      <c r="D140" s="3" t="s">
        <v>86</v>
      </c>
      <c r="E140" s="11">
        <f>27+53/60+44/3600</f>
        <v>27.895555555555553</v>
      </c>
      <c r="F140" s="11">
        <f>-(96+25/60+41/3600)</f>
        <v>-96.428055555555559</v>
      </c>
      <c r="G140" t="s">
        <v>15</v>
      </c>
      <c r="H140" s="12" t="s">
        <v>17</v>
      </c>
      <c r="I140" s="4">
        <v>34151</v>
      </c>
      <c r="J140" t="s">
        <v>24</v>
      </c>
      <c r="K140" s="2">
        <v>0</v>
      </c>
      <c r="L140" s="2"/>
      <c r="M140" s="5">
        <f>0.0202*37*1000</f>
        <v>747.4</v>
      </c>
      <c r="N140" s="5">
        <f>0.0423*37*1000</f>
        <v>1565.1</v>
      </c>
      <c r="O140" s="8">
        <f>(0.043+0.043+0.01+0.058+0+0)/6</f>
        <v>2.5666666666666667E-2</v>
      </c>
      <c r="P140" s="1"/>
      <c r="Q140" s="1"/>
      <c r="R140" s="1"/>
      <c r="S140" s="3"/>
      <c r="T140" s="3"/>
      <c r="U140" s="3"/>
      <c r="V140" s="3"/>
      <c r="W140" s="3"/>
      <c r="X140" s="3"/>
      <c r="Y140" s="3"/>
      <c r="Z140" t="s">
        <v>359</v>
      </c>
      <c r="AA140" t="s">
        <v>36</v>
      </c>
    </row>
    <row r="141" spans="1:27" x14ac:dyDescent="0.25">
      <c r="A141">
        <v>101</v>
      </c>
      <c r="B141">
        <v>6</v>
      </c>
      <c r="C141">
        <f t="shared" si="32"/>
        <v>10106</v>
      </c>
      <c r="D141" s="3" t="s">
        <v>86</v>
      </c>
      <c r="E141" s="11">
        <f>28+10/60+3/3600</f>
        <v>28.1675</v>
      </c>
      <c r="F141" s="11">
        <f>-93-46/60-4/3600</f>
        <v>-93.767777777777781</v>
      </c>
      <c r="G141" t="s">
        <v>15</v>
      </c>
      <c r="H141" s="12" t="s">
        <v>17</v>
      </c>
      <c r="I141" s="4">
        <v>34151</v>
      </c>
      <c r="J141" t="s">
        <v>24</v>
      </c>
      <c r="K141" s="2">
        <v>0</v>
      </c>
      <c r="L141" s="2"/>
      <c r="M141" s="5">
        <f>0.0403*37*1000</f>
        <v>1491.1000000000001</v>
      </c>
      <c r="N141" s="5">
        <f>0.043*37*1000</f>
        <v>1591</v>
      </c>
      <c r="O141" s="8">
        <f>(0.188+0.188+0.029+0.041+0+0.059)/6</f>
        <v>8.4166666666666667E-2</v>
      </c>
      <c r="P141" s="1"/>
      <c r="Q141" s="1"/>
      <c r="R141" s="1"/>
      <c r="S141" s="3"/>
      <c r="T141" s="3"/>
      <c r="U141" s="3"/>
      <c r="V141" s="3"/>
      <c r="W141" s="3"/>
      <c r="X141" s="3"/>
      <c r="Y141" s="3"/>
      <c r="Z141" t="s">
        <v>359</v>
      </c>
      <c r="AA141" t="s">
        <v>36</v>
      </c>
    </row>
    <row r="142" spans="1:27" x14ac:dyDescent="0.25">
      <c r="A142">
        <v>101</v>
      </c>
      <c r="B142">
        <v>7</v>
      </c>
      <c r="C142">
        <f t="shared" si="32"/>
        <v>10107</v>
      </c>
      <c r="D142" s="3" t="s">
        <v>86</v>
      </c>
      <c r="E142" s="11">
        <f>28+15/60+27/3600</f>
        <v>28.2575</v>
      </c>
      <c r="F142" s="11">
        <f>-91-46/60-4/3600</f>
        <v>-91.767777777777781</v>
      </c>
      <c r="G142" t="s">
        <v>15</v>
      </c>
      <c r="H142" s="12" t="s">
        <v>17</v>
      </c>
      <c r="I142" s="4">
        <v>34151</v>
      </c>
      <c r="J142" t="s">
        <v>24</v>
      </c>
      <c r="K142" s="2">
        <v>0</v>
      </c>
      <c r="L142" s="2"/>
      <c r="M142" s="5">
        <f>0.0457*37*1000</f>
        <v>1690.8999999999999</v>
      </c>
      <c r="N142" s="5">
        <f>0.03575*37*1000</f>
        <v>1322.7499999999998</v>
      </c>
      <c r="O142" s="8">
        <f>(0.308+0.308+0.015+0.015+0.015+0.048+0+0.058)/8</f>
        <v>9.5875000000000016E-2</v>
      </c>
      <c r="P142" s="1"/>
      <c r="Q142" s="1"/>
      <c r="R142" s="1"/>
      <c r="S142" s="3"/>
      <c r="T142" s="3"/>
      <c r="U142" s="3"/>
      <c r="V142" s="3"/>
      <c r="W142" s="3"/>
      <c r="X142" s="3"/>
      <c r="Y142" s="3"/>
      <c r="Z142" t="s">
        <v>359</v>
      </c>
      <c r="AA142" t="s">
        <v>36</v>
      </c>
    </row>
    <row r="143" spans="1:27" x14ac:dyDescent="0.25">
      <c r="A143">
        <v>101</v>
      </c>
      <c r="B143">
        <v>8</v>
      </c>
      <c r="C143">
        <f t="shared" si="32"/>
        <v>10108</v>
      </c>
      <c r="D143" s="3" t="s">
        <v>86</v>
      </c>
      <c r="E143" s="11">
        <f>27+54/60+48/3600</f>
        <v>27.91333333333333</v>
      </c>
      <c r="F143" s="11">
        <f>-93-56/60-6/3600</f>
        <v>-93.935000000000002</v>
      </c>
      <c r="G143" t="s">
        <v>15</v>
      </c>
      <c r="H143" s="12" t="s">
        <v>17</v>
      </c>
      <c r="I143" s="4">
        <v>34151</v>
      </c>
      <c r="J143" t="s">
        <v>24</v>
      </c>
      <c r="K143" s="2">
        <v>0</v>
      </c>
      <c r="L143" s="2"/>
      <c r="M143" s="5">
        <f>0.0677*37*1000</f>
        <v>2504.8999999999996</v>
      </c>
      <c r="N143" s="5">
        <f>0.067*37*1000</f>
        <v>2479</v>
      </c>
      <c r="O143" s="8">
        <f>(0.454+0.454+0.018+0.046+0+0.057)/6</f>
        <v>0.17150000000000001</v>
      </c>
      <c r="P143" s="1"/>
      <c r="Q143" s="1"/>
      <c r="R143" s="1"/>
      <c r="S143" s="3"/>
      <c r="T143" s="3"/>
      <c r="U143" s="3"/>
      <c r="V143" s="3"/>
      <c r="W143" s="3"/>
      <c r="X143" s="3"/>
      <c r="Y143" s="3"/>
      <c r="Z143" t="s">
        <v>359</v>
      </c>
      <c r="AA143" t="s">
        <v>36</v>
      </c>
    </row>
    <row r="144" spans="1:27" x14ac:dyDescent="0.25">
      <c r="A144">
        <v>101</v>
      </c>
      <c r="B144">
        <v>14</v>
      </c>
      <c r="C144">
        <f t="shared" si="32"/>
        <v>10114</v>
      </c>
      <c r="D144" s="3" t="s">
        <v>86</v>
      </c>
      <c r="E144" s="11">
        <f>28+19/60+51/3600</f>
        <v>28.330833333333334</v>
      </c>
      <c r="F144" s="11">
        <f>-(97+27/60+42/3600)</f>
        <v>-97.461666666666673</v>
      </c>
      <c r="G144" t="s">
        <v>15</v>
      </c>
      <c r="H144" s="12" t="s">
        <v>17</v>
      </c>
      <c r="I144" s="4">
        <v>34151</v>
      </c>
      <c r="J144" t="s">
        <v>25</v>
      </c>
      <c r="K144" s="2">
        <v>0</v>
      </c>
      <c r="L144" s="2"/>
      <c r="M144" s="5">
        <f>(0+0.021+0+0.08+0+0.012+0.023+0.046+0+0.005+0+0.017+0.004+0.004+0.005+0.02)/16*37*1000</f>
        <v>548.0625</v>
      </c>
      <c r="N144" s="5">
        <f>(0+0.017+0+0.154+0+0+0+0.08+0+0.068+0+0+0+0+0.017+0.029)/16*37*1000</f>
        <v>844.06250000000011</v>
      </c>
      <c r="O144" s="8">
        <f>(0+0.03+0+0.109+0+0.019+0.029+0.126+0+0.042+0+0.028+0+0+0.01+0.042)/16*37*1000</f>
        <v>1005.9374999999999</v>
      </c>
      <c r="P144" s="1"/>
      <c r="Q144" s="1"/>
      <c r="R144" s="1"/>
      <c r="S144" s="3"/>
      <c r="T144" s="3"/>
      <c r="U144" s="3"/>
      <c r="V144" s="3"/>
      <c r="W144" s="3"/>
      <c r="X144" s="3"/>
      <c r="Y144" s="3"/>
      <c r="Z144" t="s">
        <v>359</v>
      </c>
      <c r="AA144" t="s">
        <v>38</v>
      </c>
    </row>
    <row r="145" spans="1:27" x14ac:dyDescent="0.25">
      <c r="A145">
        <v>101</v>
      </c>
      <c r="B145">
        <v>13</v>
      </c>
      <c r="C145">
        <f t="shared" si="32"/>
        <v>10113</v>
      </c>
      <c r="D145" s="3" t="s">
        <v>86</v>
      </c>
      <c r="E145" s="11">
        <f>29+20/60+55/3600</f>
        <v>29.348611111111111</v>
      </c>
      <c r="F145" s="11">
        <f>-(91+59/60+19/3600)</f>
        <v>-91.988611111111112</v>
      </c>
      <c r="G145" t="s">
        <v>15</v>
      </c>
      <c r="H145" s="12" t="s">
        <v>17</v>
      </c>
      <c r="I145" s="4">
        <v>34151</v>
      </c>
      <c r="J145" t="s">
        <v>25</v>
      </c>
      <c r="K145" s="2">
        <v>0</v>
      </c>
      <c r="L145" s="2"/>
      <c r="M145" s="5">
        <f>(0.013+0.026+0+0.016+0+0+0.019+0+0.011)/10*37*1000</f>
        <v>314.49999999999994</v>
      </c>
      <c r="N145" s="5">
        <f>(0+0.036+0+0.013+0.017+0.017+0.03+0.09+0+0.507+0+0+0+0.011+0+0.023)/16*37*1000</f>
        <v>1720.5</v>
      </c>
      <c r="O145" s="8">
        <f>(0+0.018+0+0+0+0+0+0+0+0)/10*37*1000</f>
        <v>66.599999999999994</v>
      </c>
      <c r="P145" s="1"/>
      <c r="Q145" s="1"/>
      <c r="R145" s="1"/>
      <c r="S145" s="3"/>
      <c r="T145" s="3"/>
      <c r="U145" s="3"/>
      <c r="V145" s="3"/>
      <c r="W145" s="3"/>
      <c r="X145" s="3"/>
      <c r="Y145" s="3"/>
      <c r="Z145" t="s">
        <v>359</v>
      </c>
      <c r="AA145" t="s">
        <v>38</v>
      </c>
    </row>
    <row r="146" spans="1:27" x14ac:dyDescent="0.25">
      <c r="A146">
        <v>101</v>
      </c>
      <c r="B146">
        <v>1</v>
      </c>
      <c r="C146">
        <f t="shared" si="32"/>
        <v>10101</v>
      </c>
      <c r="D146" s="3" t="s">
        <v>86</v>
      </c>
      <c r="E146" s="11">
        <f t="shared" ref="E146" si="37">29+20/60+5/3600</f>
        <v>29.334722222222222</v>
      </c>
      <c r="F146" s="11">
        <f t="shared" ref="F146" si="38">-(92+44/3600)</f>
        <v>-92.012222222222221</v>
      </c>
      <c r="G146" t="s">
        <v>15</v>
      </c>
      <c r="H146" s="12" t="s">
        <v>17</v>
      </c>
      <c r="I146" s="4">
        <v>34151</v>
      </c>
      <c r="J146" t="s">
        <v>25</v>
      </c>
      <c r="K146" s="2">
        <v>0</v>
      </c>
      <c r="L146" s="2"/>
      <c r="M146" s="5">
        <f>(0+0.011+0+0.011+0+0.07+0+0.005+0+0.013+0+0)/12*37*1000</f>
        <v>339.16666666666669</v>
      </c>
      <c r="N146" s="5">
        <f>(0+0.039+0.016+0.092+0+0.035+0+0.017+0+0.014+0+0.006)/12*37*1000</f>
        <v>675.25000000000011</v>
      </c>
      <c r="O146" s="8">
        <f>(0+0.015+0+0.036+0+0.023+0+0+0.011+0.012+0+0.016)/12*37*1000</f>
        <v>348.41666666666657</v>
      </c>
      <c r="P146" s="1"/>
      <c r="Q146" s="1"/>
      <c r="R146" s="1"/>
      <c r="S146" s="3"/>
      <c r="T146" s="3"/>
      <c r="U146" s="3"/>
      <c r="V146" s="3"/>
      <c r="W146" s="3"/>
      <c r="X146" s="3"/>
      <c r="Y146" s="3"/>
      <c r="Z146" t="s">
        <v>359</v>
      </c>
      <c r="AA146" t="s">
        <v>38</v>
      </c>
    </row>
    <row r="147" spans="1:27" x14ac:dyDescent="0.25">
      <c r="A147">
        <v>101</v>
      </c>
      <c r="B147">
        <v>2</v>
      </c>
      <c r="C147">
        <f t="shared" si="32"/>
        <v>10102</v>
      </c>
      <c r="D147" s="3" t="s">
        <v>86</v>
      </c>
      <c r="E147" s="11">
        <f>28+41/60+50/3600</f>
        <v>28.697222222222223</v>
      </c>
      <c r="F147" s="11">
        <f>-(92+15/60+45/3600)</f>
        <v>-92.262500000000003</v>
      </c>
      <c r="G147" t="s">
        <v>15</v>
      </c>
      <c r="H147" s="12" t="s">
        <v>17</v>
      </c>
      <c r="I147" s="4">
        <v>34151</v>
      </c>
      <c r="J147" t="s">
        <v>25</v>
      </c>
      <c r="K147" s="2">
        <v>0</v>
      </c>
      <c r="L147" s="2"/>
      <c r="M147" s="5">
        <f>(0+0.024+0+0.007+0.002+0.012+0+0.015+0.015+0.015+0+0+0+0.014+0+0)/16*37*1000</f>
        <v>240.5</v>
      </c>
      <c r="N147" s="5">
        <f>(0.009+0.055+0+0.039+0+0.119+0+0.048+0.036+0.036+0+0+0+0.041+0.03+0.03)/16*37*1000</f>
        <v>1024.4375</v>
      </c>
      <c r="O147" s="8">
        <f>(0+0.112+0+0.016+0.011+0.035+0+0.036+0.024+0.024+0+0+0+0.027+0.04+0.04)/16*37*1000</f>
        <v>844.06249999999989</v>
      </c>
      <c r="P147" s="1"/>
      <c r="Q147" s="1"/>
      <c r="R147" s="1"/>
      <c r="S147" s="3"/>
      <c r="T147" s="3"/>
      <c r="U147" s="3"/>
      <c r="V147" s="3"/>
      <c r="W147" s="3"/>
      <c r="X147" s="3"/>
      <c r="Y147" s="3"/>
      <c r="Z147" t="s">
        <v>359</v>
      </c>
      <c r="AA147" t="s">
        <v>38</v>
      </c>
    </row>
    <row r="148" spans="1:27" x14ac:dyDescent="0.25">
      <c r="A148">
        <v>101</v>
      </c>
      <c r="B148">
        <v>3</v>
      </c>
      <c r="C148">
        <f t="shared" si="32"/>
        <v>10103</v>
      </c>
      <c r="D148" s="3" t="s">
        <v>86</v>
      </c>
      <c r="E148" s="11">
        <f>28+17/60+53/3600</f>
        <v>28.298055555555557</v>
      </c>
      <c r="F148" s="11">
        <f>-(92+43/3600)</f>
        <v>-92.011944444444438</v>
      </c>
      <c r="G148" t="s">
        <v>15</v>
      </c>
      <c r="H148" s="12" t="s">
        <v>17</v>
      </c>
      <c r="I148" s="4">
        <v>34151</v>
      </c>
      <c r="J148" t="s">
        <v>25</v>
      </c>
      <c r="K148" s="2">
        <v>0</v>
      </c>
      <c r="L148" s="2"/>
      <c r="M148" s="5">
        <f>(0+0.08+0+0.008+0.016+0.021+0+0.008+0+0.01+0+0.01+0.005+0.02)/14*37*1000</f>
        <v>470.4285714285715</v>
      </c>
      <c r="N148" s="5">
        <f>(0+0.082+0+0.124+0+0.14+0.037+0.045+0+0.14+0+0.076+0+0.067)/14*37*1000</f>
        <v>1879.0714285714287</v>
      </c>
      <c r="O148" s="8">
        <f>(0.009+0.14+0+0.022+0.096+0.16+0+0.025+0+0.008+0+0.011+0.016+0.048)/14*37*1000</f>
        <v>1413.9285714285716</v>
      </c>
      <c r="P148" s="1"/>
      <c r="Q148" s="1"/>
      <c r="R148" s="1"/>
      <c r="S148" s="3"/>
      <c r="T148" s="3"/>
      <c r="U148" s="3"/>
      <c r="V148" s="3"/>
      <c r="W148" s="3"/>
      <c r="X148" s="3"/>
      <c r="Y148" s="3"/>
      <c r="Z148" t="s">
        <v>359</v>
      </c>
      <c r="AA148" t="s">
        <v>38</v>
      </c>
    </row>
    <row r="149" spans="1:27" x14ac:dyDescent="0.25">
      <c r="A149">
        <v>101</v>
      </c>
      <c r="B149">
        <v>4</v>
      </c>
      <c r="C149">
        <f t="shared" si="32"/>
        <v>10104</v>
      </c>
      <c r="D149" s="3" t="s">
        <v>86</v>
      </c>
      <c r="E149" s="11">
        <f>27+52/60+5/3600</f>
        <v>27.868055555555557</v>
      </c>
      <c r="F149" s="11">
        <f>-(93+59/60+30/3600)</f>
        <v>-93.991666666666674</v>
      </c>
      <c r="G149" t="s">
        <v>15</v>
      </c>
      <c r="H149" s="12" t="s">
        <v>17</v>
      </c>
      <c r="I149" s="4">
        <v>34151</v>
      </c>
      <c r="J149" t="s">
        <v>25</v>
      </c>
      <c r="K149" s="2">
        <v>0</v>
      </c>
      <c r="L149" s="2"/>
      <c r="M149" s="5">
        <f>(0+0.123+0.027+0.042+0+0.009+0+0+0+0.02+0+0.016+0+0)/14*37*1000</f>
        <v>626.35714285714289</v>
      </c>
      <c r="N149" s="5">
        <f>(0+0.058+0.025+0.089+0.039+0.039+0.015+0.017+0+0.171+0.022+0.051)/12*37*1000</f>
        <v>1621.8333333333337</v>
      </c>
      <c r="O149" s="8">
        <f>(0+0.089+0.122+0.162+0+0.017+0+0+0+0.066+0+0+0.02+0.045)/14*37*1000</f>
        <v>1376.9285714285716</v>
      </c>
      <c r="P149" s="1"/>
      <c r="Q149" s="1"/>
      <c r="R149" s="1"/>
      <c r="S149" s="3"/>
      <c r="T149" s="3"/>
      <c r="U149" s="3"/>
      <c r="V149" s="3"/>
      <c r="W149" s="3"/>
      <c r="X149" s="3"/>
      <c r="Y149" s="3"/>
      <c r="Z149" t="s">
        <v>359</v>
      </c>
      <c r="AA149" t="s">
        <v>38</v>
      </c>
    </row>
    <row r="150" spans="1:27" x14ac:dyDescent="0.25">
      <c r="A150">
        <v>101</v>
      </c>
      <c r="B150">
        <v>5</v>
      </c>
      <c r="C150">
        <f t="shared" si="32"/>
        <v>10105</v>
      </c>
      <c r="D150" s="3" t="s">
        <v>86</v>
      </c>
      <c r="E150" s="11">
        <f>27+53/60+44/3600</f>
        <v>27.895555555555553</v>
      </c>
      <c r="F150" s="11">
        <f>-(96+25/60+41/3600)</f>
        <v>-96.428055555555559</v>
      </c>
      <c r="G150" t="s">
        <v>15</v>
      </c>
      <c r="H150" s="12" t="s">
        <v>17</v>
      </c>
      <c r="I150" s="4">
        <v>34151</v>
      </c>
      <c r="J150" t="s">
        <v>25</v>
      </c>
      <c r="K150" s="2">
        <v>0</v>
      </c>
      <c r="L150" s="2"/>
      <c r="M150" s="5">
        <f>(0+0.032+0.005+0.008+0+0.009+0+0.016)/8*37*1000</f>
        <v>323.75000000000006</v>
      </c>
      <c r="N150" s="5">
        <f>(0+0+0.045+0.137+0+0.02+0+0.022+0+0.173)/10*37*1000</f>
        <v>1468.8999999999999</v>
      </c>
      <c r="O150" s="8">
        <f>(0+0+0+0.025+0+0.008+0+0+0+0.03)/10*37*1000</f>
        <v>233.1</v>
      </c>
      <c r="P150" s="1"/>
      <c r="Q150" s="1"/>
      <c r="R150" s="1"/>
      <c r="S150" s="3"/>
      <c r="T150" s="3"/>
      <c r="U150" s="3"/>
      <c r="V150" s="3"/>
      <c r="W150" s="3"/>
      <c r="X150" s="3"/>
      <c r="Y150" s="3"/>
      <c r="Z150" t="s">
        <v>359</v>
      </c>
      <c r="AA150" t="s">
        <v>38</v>
      </c>
    </row>
    <row r="151" spans="1:27" x14ac:dyDescent="0.25">
      <c r="A151">
        <v>101</v>
      </c>
      <c r="B151">
        <v>6</v>
      </c>
      <c r="C151">
        <f t="shared" si="32"/>
        <v>10106</v>
      </c>
      <c r="D151" s="3" t="s">
        <v>86</v>
      </c>
      <c r="E151" s="11">
        <f>28+10/60+3/3600</f>
        <v>28.1675</v>
      </c>
      <c r="F151" s="11">
        <f>-93-46/60-4/3600</f>
        <v>-93.767777777777781</v>
      </c>
      <c r="G151" t="s">
        <v>15</v>
      </c>
      <c r="H151" s="12" t="s">
        <v>17</v>
      </c>
      <c r="I151" s="4">
        <v>34151</v>
      </c>
      <c r="J151" t="s">
        <v>25</v>
      </c>
      <c r="K151" s="2">
        <v>0</v>
      </c>
      <c r="L151" s="2"/>
      <c r="M151" s="5">
        <f>(0.006+0.129+0+0.004+0+0.003+0+0.004+0+0+0+0.033+0+0)/14*37*1000</f>
        <v>473.07142857142867</v>
      </c>
      <c r="N151" s="5">
        <f>(0+0.096+0+0.04+0+0.044+0.01+0.085+0+0+0+0.146+0+0.061+0+0.107)/16*37*1000</f>
        <v>1362.0625000000002</v>
      </c>
      <c r="O151" s="8">
        <f>(0+0.033+0+0.036+0+0.02+0.195+0.303+0+0+0+0.03+0+0.032+0+0.04)/16*37*1000</f>
        <v>1593.3125000000002</v>
      </c>
      <c r="P151" s="1"/>
      <c r="Q151" s="1"/>
      <c r="R151" s="1"/>
      <c r="S151" s="3"/>
      <c r="T151" s="3"/>
      <c r="U151" s="3"/>
      <c r="V151" s="3"/>
      <c r="W151" s="3"/>
      <c r="X151" s="3"/>
      <c r="Y151" s="3"/>
      <c r="Z151" t="s">
        <v>359</v>
      </c>
      <c r="AA151" t="s">
        <v>38</v>
      </c>
    </row>
    <row r="152" spans="1:27" x14ac:dyDescent="0.25">
      <c r="A152">
        <v>101</v>
      </c>
      <c r="B152">
        <v>7</v>
      </c>
      <c r="C152">
        <f t="shared" si="32"/>
        <v>10107</v>
      </c>
      <c r="D152" s="3" t="s">
        <v>86</v>
      </c>
      <c r="E152" s="11">
        <f>28+15/60+27/3600</f>
        <v>28.2575</v>
      </c>
      <c r="F152" s="11">
        <f>-91-46/60-4/3600</f>
        <v>-91.767777777777781</v>
      </c>
      <c r="G152" t="s">
        <v>15</v>
      </c>
      <c r="H152" s="12" t="s">
        <v>17</v>
      </c>
      <c r="I152" s="4">
        <v>34151</v>
      </c>
      <c r="J152" t="s">
        <v>25</v>
      </c>
      <c r="K152" s="2">
        <v>0</v>
      </c>
      <c r="L152" s="2"/>
      <c r="M152" s="5">
        <f>(0+0.088+0.012+0.067+0+0+0+0.012+0+0.013)/10*37*1000</f>
        <v>710.4</v>
      </c>
      <c r="N152" s="5">
        <f>(0+0.087+0+0.058+0.017+0.094+0+0.047+0+0.054)/10*37*1000</f>
        <v>1320.8999999999996</v>
      </c>
      <c r="O152" s="8">
        <f>(0+0.115+0.016+0.134+0+0.01+0.01+0.05+0+0.027)/10*37*1000</f>
        <v>1339.4</v>
      </c>
      <c r="P152" s="1"/>
      <c r="Q152" s="1"/>
      <c r="R152" s="1"/>
      <c r="S152" s="3"/>
      <c r="T152" s="3"/>
      <c r="U152" s="3"/>
      <c r="V152" s="3"/>
      <c r="W152" s="3"/>
      <c r="X152" s="3"/>
      <c r="Y152" s="3"/>
      <c r="Z152" t="s">
        <v>359</v>
      </c>
      <c r="AA152" t="s">
        <v>38</v>
      </c>
    </row>
    <row r="153" spans="1:27" x14ac:dyDescent="0.25">
      <c r="A153">
        <v>101</v>
      </c>
      <c r="B153">
        <v>8</v>
      </c>
      <c r="C153">
        <f t="shared" si="32"/>
        <v>10108</v>
      </c>
      <c r="D153" s="3" t="s">
        <v>86</v>
      </c>
      <c r="E153" s="11">
        <f>27+54/60+48/3600</f>
        <v>27.91333333333333</v>
      </c>
      <c r="F153" s="11">
        <f>-93-56/60-6/3600</f>
        <v>-93.935000000000002</v>
      </c>
      <c r="G153" t="s">
        <v>15</v>
      </c>
      <c r="H153" s="12" t="s">
        <v>17</v>
      </c>
      <c r="I153" s="4">
        <v>34151</v>
      </c>
      <c r="J153" t="s">
        <v>25</v>
      </c>
      <c r="K153" s="2">
        <v>0</v>
      </c>
      <c r="L153" s="2"/>
      <c r="M153" s="5">
        <f>(0+0.1+0+0+0+0.035+0+0.028+0+0+0+0.017+0.006+0.009)/14*37*1000</f>
        <v>515.35714285714289</v>
      </c>
      <c r="N153" s="5">
        <f>(0.049+0.084+0+0.021+0+0.121+0+0.163+0+0.068+0+0.116+0+0.046)/14*37*1000</f>
        <v>1765.4285714285716</v>
      </c>
      <c r="O153" s="8">
        <f>(0+0+0+0.021+0+0.026+0.129+0.261+0+0.018+0+0.021+0+0.018)/14*37*1000</f>
        <v>1305.5714285714287</v>
      </c>
      <c r="P153" s="1"/>
      <c r="Q153" s="1"/>
      <c r="R153" s="1"/>
      <c r="S153" s="3"/>
      <c r="T153" s="3"/>
      <c r="U153" s="3"/>
      <c r="V153" s="3"/>
      <c r="W153" s="3"/>
      <c r="X153" s="3"/>
      <c r="Y153" s="3"/>
      <c r="Z153" t="s">
        <v>359</v>
      </c>
      <c r="AA153" t="s">
        <v>38</v>
      </c>
    </row>
    <row r="154" spans="1:27" x14ac:dyDescent="0.25">
      <c r="A154">
        <v>102</v>
      </c>
      <c r="B154">
        <v>1</v>
      </c>
      <c r="C154">
        <f t="shared" si="32"/>
        <v>10201</v>
      </c>
      <c r="D154" s="3" t="s">
        <v>86</v>
      </c>
      <c r="E154" s="11">
        <f>-(22+15/60+16/3600)</f>
        <v>-22.254444444444445</v>
      </c>
      <c r="F154" s="11">
        <f>-(40+19/60+51/3600)</f>
        <v>-40.330833333333338</v>
      </c>
      <c r="G154" s="12" t="s">
        <v>95</v>
      </c>
      <c r="H154" s="12" t="s">
        <v>13</v>
      </c>
      <c r="I154" s="4">
        <v>35674</v>
      </c>
      <c r="J154" t="s">
        <v>1</v>
      </c>
      <c r="K154" s="2">
        <v>0</v>
      </c>
      <c r="L154" s="2"/>
      <c r="M154" s="5">
        <v>6</v>
      </c>
      <c r="N154" s="5">
        <v>8.1999999999999993</v>
      </c>
      <c r="O154" s="8"/>
      <c r="P154" s="1"/>
      <c r="Q154" s="1"/>
      <c r="R154" s="1"/>
      <c r="S154" s="3"/>
      <c r="T154" s="3"/>
      <c r="U154" s="3"/>
      <c r="V154" s="3"/>
      <c r="W154" s="3"/>
      <c r="X154" s="3"/>
      <c r="Y154" s="3"/>
      <c r="Z154" t="s">
        <v>108</v>
      </c>
      <c r="AA154" t="s">
        <v>96</v>
      </c>
    </row>
    <row r="155" spans="1:27" x14ac:dyDescent="0.25">
      <c r="A155">
        <v>102</v>
      </c>
      <c r="B155">
        <v>2</v>
      </c>
      <c r="C155">
        <f t="shared" si="32"/>
        <v>10202</v>
      </c>
      <c r="D155" s="3" t="s">
        <v>86</v>
      </c>
      <c r="E155" s="11">
        <f>-(22+45/60+48/3600)</f>
        <v>-22.763333333333332</v>
      </c>
      <c r="F155" s="11">
        <f>-(40+45/60+14/3600)</f>
        <v>-40.753888888888888</v>
      </c>
      <c r="G155" s="12" t="s">
        <v>95</v>
      </c>
      <c r="H155" s="12" t="s">
        <v>13</v>
      </c>
      <c r="I155" s="4">
        <v>35855</v>
      </c>
      <c r="J155" t="s">
        <v>1</v>
      </c>
      <c r="K155" s="2">
        <v>0</v>
      </c>
      <c r="L155" s="2"/>
      <c r="M155" s="5">
        <v>2</v>
      </c>
      <c r="N155" s="5">
        <v>0.73</v>
      </c>
      <c r="O155" s="8"/>
      <c r="P155" s="1"/>
      <c r="Q155" s="1"/>
      <c r="R155" s="1"/>
      <c r="S155" s="3"/>
      <c r="T155" s="3"/>
      <c r="U155" s="3"/>
      <c r="V155" s="3"/>
      <c r="W155" s="3"/>
      <c r="X155" s="3"/>
      <c r="Y155" s="3"/>
      <c r="Z155" t="s">
        <v>108</v>
      </c>
      <c r="AA155" t="s">
        <v>97</v>
      </c>
    </row>
    <row r="156" spans="1:27" x14ac:dyDescent="0.25">
      <c r="A156">
        <v>102</v>
      </c>
      <c r="B156">
        <v>1</v>
      </c>
      <c r="C156">
        <f t="shared" si="32"/>
        <v>10201</v>
      </c>
      <c r="D156" s="3" t="s">
        <v>86</v>
      </c>
      <c r="E156" s="11">
        <f t="shared" ref="E156:E158" si="39">-(22+15/60+16/3600)</f>
        <v>-22.254444444444445</v>
      </c>
      <c r="F156" s="11">
        <f t="shared" ref="F156:F158" si="40">-(40+19/60+51/3600)</f>
        <v>-40.330833333333338</v>
      </c>
      <c r="G156" s="12" t="s">
        <v>95</v>
      </c>
      <c r="H156" s="12" t="s">
        <v>13</v>
      </c>
      <c r="I156" s="4">
        <v>35855</v>
      </c>
      <c r="J156" t="s">
        <v>1</v>
      </c>
      <c r="K156" s="2">
        <v>0</v>
      </c>
      <c r="L156" s="2"/>
      <c r="M156" s="5">
        <v>2.5</v>
      </c>
      <c r="N156" s="5">
        <v>4.3</v>
      </c>
      <c r="O156" s="8"/>
      <c r="P156" s="1"/>
      <c r="Q156" s="1"/>
      <c r="R156" s="1"/>
      <c r="S156" s="3"/>
      <c r="T156" s="3"/>
      <c r="U156" s="3"/>
      <c r="V156" s="3"/>
      <c r="W156" s="3"/>
      <c r="X156" s="3"/>
      <c r="Y156" s="3"/>
      <c r="Z156" t="s">
        <v>108</v>
      </c>
      <c r="AA156" t="s">
        <v>96</v>
      </c>
    </row>
    <row r="157" spans="1:27" x14ac:dyDescent="0.25">
      <c r="A157">
        <v>102</v>
      </c>
      <c r="B157">
        <v>1</v>
      </c>
      <c r="C157">
        <f t="shared" si="32"/>
        <v>10201</v>
      </c>
      <c r="D157" s="3" t="s">
        <v>86</v>
      </c>
      <c r="E157" s="11">
        <f t="shared" si="39"/>
        <v>-22.254444444444445</v>
      </c>
      <c r="F157" s="11">
        <f t="shared" si="40"/>
        <v>-40.330833333333338</v>
      </c>
      <c r="G157" s="12" t="s">
        <v>95</v>
      </c>
      <c r="H157" s="12" t="s">
        <v>13</v>
      </c>
      <c r="I157" s="4">
        <v>35886</v>
      </c>
      <c r="J157" t="s">
        <v>1</v>
      </c>
      <c r="K157" s="2">
        <v>0</v>
      </c>
      <c r="L157" s="2"/>
      <c r="M157" s="5">
        <v>4.8</v>
      </c>
      <c r="N157" s="5">
        <v>4.7</v>
      </c>
      <c r="O157" s="8"/>
      <c r="P157" s="1"/>
      <c r="Q157" s="1"/>
      <c r="R157" s="1"/>
      <c r="S157" s="3"/>
      <c r="T157" s="3"/>
      <c r="U157" s="3"/>
      <c r="V157" s="3"/>
      <c r="W157" s="3"/>
      <c r="X157" s="3"/>
      <c r="Y157" s="3"/>
      <c r="Z157" t="s">
        <v>108</v>
      </c>
      <c r="AA157" t="s">
        <v>96</v>
      </c>
    </row>
    <row r="158" spans="1:27" x14ac:dyDescent="0.25">
      <c r="A158">
        <v>102</v>
      </c>
      <c r="B158">
        <v>1</v>
      </c>
      <c r="C158">
        <f t="shared" si="32"/>
        <v>10201</v>
      </c>
      <c r="D158" s="3" t="s">
        <v>86</v>
      </c>
      <c r="E158" s="11">
        <f t="shared" si="39"/>
        <v>-22.254444444444445</v>
      </c>
      <c r="F158" s="11">
        <f t="shared" si="40"/>
        <v>-40.330833333333338</v>
      </c>
      <c r="G158" s="12" t="s">
        <v>95</v>
      </c>
      <c r="H158" s="12" t="s">
        <v>13</v>
      </c>
      <c r="I158" s="4">
        <v>35947</v>
      </c>
      <c r="J158" t="s">
        <v>1</v>
      </c>
      <c r="K158" s="2">
        <v>0</v>
      </c>
      <c r="L158" s="2"/>
      <c r="M158" s="5">
        <v>3.9</v>
      </c>
      <c r="N158" s="5">
        <v>3.8</v>
      </c>
      <c r="O158" s="8"/>
      <c r="P158" s="1"/>
      <c r="Q158" s="1"/>
      <c r="R158" s="1"/>
      <c r="S158" s="3"/>
      <c r="T158" s="3"/>
      <c r="U158" s="3"/>
      <c r="V158" s="3"/>
      <c r="W158" s="3"/>
      <c r="X158" s="3"/>
      <c r="Y158" s="3"/>
      <c r="Z158" t="s">
        <v>108</v>
      </c>
      <c r="AA158" t="s">
        <v>96</v>
      </c>
    </row>
    <row r="159" spans="1:27" x14ac:dyDescent="0.25">
      <c r="A159">
        <v>102</v>
      </c>
      <c r="B159">
        <v>2</v>
      </c>
      <c r="C159">
        <f t="shared" si="32"/>
        <v>10202</v>
      </c>
      <c r="D159" s="3" t="s">
        <v>86</v>
      </c>
      <c r="E159" s="11">
        <f t="shared" ref="E159:E160" si="41">-(22+45/60+48/3600)</f>
        <v>-22.763333333333332</v>
      </c>
      <c r="F159" s="11">
        <f t="shared" ref="F159:F160" si="42">-(40+45/60+14/3600)</f>
        <v>-40.753888888888888</v>
      </c>
      <c r="G159" s="12" t="s">
        <v>95</v>
      </c>
      <c r="H159" s="12" t="s">
        <v>13</v>
      </c>
      <c r="I159" s="4">
        <v>35947</v>
      </c>
      <c r="J159" t="s">
        <v>1</v>
      </c>
      <c r="K159" s="2">
        <v>0</v>
      </c>
      <c r="L159" s="2"/>
      <c r="M159" s="5">
        <v>0.82</v>
      </c>
      <c r="N159" s="5">
        <v>1.8</v>
      </c>
      <c r="O159" s="8"/>
      <c r="P159" s="1"/>
      <c r="Q159" s="1"/>
      <c r="R159" s="1"/>
      <c r="S159" s="3"/>
      <c r="T159" s="3"/>
      <c r="U159" s="3"/>
      <c r="V159" s="3"/>
      <c r="W159" s="3"/>
      <c r="X159" s="3"/>
      <c r="Y159" s="3"/>
      <c r="Z159" t="s">
        <v>108</v>
      </c>
      <c r="AA159" t="s">
        <v>97</v>
      </c>
    </row>
    <row r="160" spans="1:27" x14ac:dyDescent="0.25">
      <c r="A160">
        <v>102</v>
      </c>
      <c r="B160">
        <v>2</v>
      </c>
      <c r="C160">
        <f t="shared" si="32"/>
        <v>10202</v>
      </c>
      <c r="D160" s="3" t="s">
        <v>86</v>
      </c>
      <c r="E160" s="11">
        <f t="shared" si="41"/>
        <v>-22.763333333333332</v>
      </c>
      <c r="F160" s="11">
        <f t="shared" si="42"/>
        <v>-40.753888888888888</v>
      </c>
      <c r="G160" s="12" t="s">
        <v>95</v>
      </c>
      <c r="H160" s="12" t="s">
        <v>13</v>
      </c>
      <c r="I160" s="4">
        <v>36008</v>
      </c>
      <c r="J160" t="s">
        <v>1</v>
      </c>
      <c r="K160" s="2">
        <v>0</v>
      </c>
      <c r="L160" s="2"/>
      <c r="M160" s="5">
        <v>1.9</v>
      </c>
      <c r="N160" s="5">
        <v>2.2999999999999998</v>
      </c>
      <c r="O160" s="8"/>
      <c r="P160" s="1"/>
      <c r="Q160" s="1"/>
      <c r="R160" s="1"/>
      <c r="S160" s="3"/>
      <c r="T160" s="3"/>
      <c r="U160" s="3"/>
      <c r="V160" s="3"/>
      <c r="W160" s="3"/>
      <c r="X160" s="3"/>
      <c r="Y160" s="3"/>
      <c r="Z160" t="s">
        <v>108</v>
      </c>
      <c r="AA160" t="s">
        <v>97</v>
      </c>
    </row>
    <row r="161" spans="1:27" x14ac:dyDescent="0.25">
      <c r="A161">
        <v>102</v>
      </c>
      <c r="B161">
        <v>1</v>
      </c>
      <c r="C161">
        <f t="shared" si="32"/>
        <v>10201</v>
      </c>
      <c r="D161" s="3" t="s">
        <v>86</v>
      </c>
      <c r="E161" s="11">
        <f t="shared" ref="E161:E172" si="43">-(22+15/60+16/3600)</f>
        <v>-22.254444444444445</v>
      </c>
      <c r="F161" s="11">
        <f t="shared" ref="F161:F172" si="44">-(40+19/60+51/3600)</f>
        <v>-40.330833333333338</v>
      </c>
      <c r="G161" s="12" t="s">
        <v>95</v>
      </c>
      <c r="H161" s="12" t="s">
        <v>13</v>
      </c>
      <c r="I161" s="4">
        <v>36008</v>
      </c>
      <c r="J161" t="s">
        <v>1</v>
      </c>
      <c r="K161" s="2">
        <v>0</v>
      </c>
      <c r="L161" s="2"/>
      <c r="M161" s="5">
        <v>1.6</v>
      </c>
      <c r="N161" s="5">
        <v>2.2999999999999998</v>
      </c>
      <c r="O161" s="8"/>
      <c r="P161" s="1"/>
      <c r="Q161" s="1"/>
      <c r="R161" s="1"/>
      <c r="S161" s="3"/>
      <c r="T161" s="3"/>
      <c r="U161" s="3"/>
      <c r="V161" s="3"/>
      <c r="W161" s="3"/>
      <c r="X161" s="3"/>
      <c r="Y161" s="3"/>
      <c r="Z161" t="s">
        <v>108</v>
      </c>
      <c r="AA161" t="s">
        <v>96</v>
      </c>
    </row>
    <row r="162" spans="1:27" x14ac:dyDescent="0.25">
      <c r="A162">
        <v>102</v>
      </c>
      <c r="B162">
        <v>1</v>
      </c>
      <c r="C162">
        <f t="shared" si="32"/>
        <v>10201</v>
      </c>
      <c r="D162" s="3" t="s">
        <v>86</v>
      </c>
      <c r="E162" s="11">
        <f t="shared" si="43"/>
        <v>-22.254444444444445</v>
      </c>
      <c r="F162" s="11">
        <f t="shared" si="44"/>
        <v>-40.330833333333338</v>
      </c>
      <c r="G162" s="12" t="s">
        <v>95</v>
      </c>
      <c r="H162" s="12" t="s">
        <v>13</v>
      </c>
      <c r="I162" s="4">
        <v>36008</v>
      </c>
      <c r="J162" t="s">
        <v>20</v>
      </c>
      <c r="K162" s="2">
        <v>250</v>
      </c>
      <c r="L162" s="2"/>
      <c r="M162" s="5">
        <v>28.4</v>
      </c>
      <c r="N162" s="5">
        <v>42</v>
      </c>
      <c r="O162" s="8"/>
      <c r="P162" s="1"/>
      <c r="Q162" s="1"/>
      <c r="R162" s="1"/>
      <c r="S162" s="3"/>
      <c r="T162" s="3"/>
      <c r="U162" s="3"/>
      <c r="V162" s="3"/>
      <c r="W162" s="3"/>
      <c r="X162" s="3"/>
      <c r="Y162" s="3"/>
      <c r="Z162" t="s">
        <v>108</v>
      </c>
      <c r="AA162" t="s">
        <v>109</v>
      </c>
    </row>
    <row r="163" spans="1:27" x14ac:dyDescent="0.25">
      <c r="A163">
        <v>102</v>
      </c>
      <c r="B163">
        <v>1</v>
      </c>
      <c r="C163">
        <f t="shared" si="32"/>
        <v>10201</v>
      </c>
      <c r="D163" s="3" t="s">
        <v>86</v>
      </c>
      <c r="E163" s="11">
        <f t="shared" si="43"/>
        <v>-22.254444444444445</v>
      </c>
      <c r="F163" s="11">
        <f t="shared" si="44"/>
        <v>-40.330833333333338</v>
      </c>
      <c r="G163" s="12" t="s">
        <v>95</v>
      </c>
      <c r="H163" s="12" t="s">
        <v>13</v>
      </c>
      <c r="I163" s="4">
        <v>36008</v>
      </c>
      <c r="J163" t="s">
        <v>20</v>
      </c>
      <c r="K163" s="2">
        <v>250</v>
      </c>
      <c r="L163" s="2"/>
      <c r="M163" s="5">
        <v>25.8</v>
      </c>
      <c r="N163" s="5">
        <v>30</v>
      </c>
      <c r="O163" s="8"/>
      <c r="P163" s="1"/>
      <c r="Q163" s="1"/>
      <c r="R163" s="1"/>
      <c r="S163" s="3"/>
      <c r="T163" s="3"/>
      <c r="U163" s="3"/>
      <c r="V163" s="3"/>
      <c r="W163" s="3"/>
      <c r="X163" s="3"/>
      <c r="Y163" s="3"/>
      <c r="Z163" t="s">
        <v>108</v>
      </c>
      <c r="AA163" t="s">
        <v>109</v>
      </c>
    </row>
    <row r="164" spans="1:27" x14ac:dyDescent="0.25">
      <c r="A164">
        <v>102</v>
      </c>
      <c r="B164">
        <v>1</v>
      </c>
      <c r="C164">
        <f t="shared" si="32"/>
        <v>10201</v>
      </c>
      <c r="D164" s="3" t="s">
        <v>86</v>
      </c>
      <c r="E164" s="11">
        <f t="shared" si="43"/>
        <v>-22.254444444444445</v>
      </c>
      <c r="F164" s="11">
        <f t="shared" si="44"/>
        <v>-40.330833333333338</v>
      </c>
      <c r="G164" s="12" t="s">
        <v>95</v>
      </c>
      <c r="H164" s="12" t="s">
        <v>13</v>
      </c>
      <c r="I164" s="4">
        <v>36008</v>
      </c>
      <c r="J164" t="s">
        <v>20</v>
      </c>
      <c r="K164" s="2">
        <v>250</v>
      </c>
      <c r="L164" s="2"/>
      <c r="M164" s="5">
        <v>20.100000000000001</v>
      </c>
      <c r="N164" s="5">
        <v>55</v>
      </c>
      <c r="O164" s="8"/>
      <c r="P164" s="1"/>
      <c r="Q164" s="1"/>
      <c r="R164" s="1"/>
      <c r="S164" s="3"/>
      <c r="T164" s="3"/>
      <c r="U164" s="3"/>
      <c r="V164" s="3"/>
      <c r="W164" s="3"/>
      <c r="X164" s="3"/>
      <c r="Y164" s="3"/>
      <c r="Z164" t="s">
        <v>108</v>
      </c>
      <c r="AA164" t="s">
        <v>109</v>
      </c>
    </row>
    <row r="165" spans="1:27" x14ac:dyDescent="0.25">
      <c r="A165">
        <v>102</v>
      </c>
      <c r="B165">
        <v>1</v>
      </c>
      <c r="C165">
        <f t="shared" si="32"/>
        <v>10201</v>
      </c>
      <c r="D165" s="3" t="s">
        <v>86</v>
      </c>
      <c r="E165" s="11">
        <f t="shared" si="43"/>
        <v>-22.254444444444445</v>
      </c>
      <c r="F165" s="11">
        <f t="shared" si="44"/>
        <v>-40.330833333333338</v>
      </c>
      <c r="G165" s="12" t="s">
        <v>95</v>
      </c>
      <c r="H165" s="12" t="s">
        <v>13</v>
      </c>
      <c r="I165" s="4">
        <v>36008</v>
      </c>
      <c r="J165" t="s">
        <v>20</v>
      </c>
      <c r="K165" s="2">
        <v>250</v>
      </c>
      <c r="L165" s="2"/>
      <c r="M165" s="5">
        <v>28.2</v>
      </c>
      <c r="N165" s="5">
        <v>41</v>
      </c>
      <c r="O165" s="8"/>
      <c r="P165" s="1"/>
      <c r="Q165" s="1"/>
      <c r="R165" s="1"/>
      <c r="S165" s="3"/>
      <c r="T165" s="3"/>
      <c r="U165" s="3"/>
      <c r="V165" s="3"/>
      <c r="W165" s="3"/>
      <c r="X165" s="3"/>
      <c r="Y165" s="3"/>
      <c r="Z165" t="s">
        <v>108</v>
      </c>
      <c r="AA165" t="s">
        <v>109</v>
      </c>
    </row>
    <row r="166" spans="1:27" x14ac:dyDescent="0.25">
      <c r="A166">
        <v>102</v>
      </c>
      <c r="B166">
        <v>1</v>
      </c>
      <c r="C166">
        <f t="shared" si="32"/>
        <v>10201</v>
      </c>
      <c r="D166" s="3" t="s">
        <v>86</v>
      </c>
      <c r="E166" s="11">
        <f t="shared" si="43"/>
        <v>-22.254444444444445</v>
      </c>
      <c r="F166" s="11">
        <f t="shared" si="44"/>
        <v>-40.330833333333338</v>
      </c>
      <c r="G166" s="12" t="s">
        <v>95</v>
      </c>
      <c r="H166" s="12" t="s">
        <v>13</v>
      </c>
      <c r="I166" s="4">
        <v>36008</v>
      </c>
      <c r="J166" t="s">
        <v>20</v>
      </c>
      <c r="K166" s="2">
        <v>500</v>
      </c>
      <c r="L166" s="2"/>
      <c r="M166" s="5">
        <v>25.7</v>
      </c>
      <c r="N166" s="5">
        <v>47</v>
      </c>
      <c r="O166" s="8"/>
      <c r="P166" s="1"/>
      <c r="Q166" s="1"/>
      <c r="R166" s="1"/>
      <c r="S166" s="3"/>
      <c r="T166" s="3"/>
      <c r="U166" s="3"/>
      <c r="V166" s="3"/>
      <c r="W166" s="3"/>
      <c r="X166" s="3"/>
      <c r="Y166" s="3"/>
      <c r="Z166" t="s">
        <v>108</v>
      </c>
      <c r="AA166" t="s">
        <v>109</v>
      </c>
    </row>
    <row r="167" spans="1:27" x14ac:dyDescent="0.25">
      <c r="A167">
        <v>102</v>
      </c>
      <c r="B167">
        <v>1</v>
      </c>
      <c r="C167">
        <f t="shared" si="32"/>
        <v>10201</v>
      </c>
      <c r="D167" s="3" t="s">
        <v>86</v>
      </c>
      <c r="E167" s="11">
        <f t="shared" si="43"/>
        <v>-22.254444444444445</v>
      </c>
      <c r="F167" s="11">
        <f t="shared" si="44"/>
        <v>-40.330833333333338</v>
      </c>
      <c r="G167" s="12" t="s">
        <v>95</v>
      </c>
      <c r="H167" s="12" t="s">
        <v>13</v>
      </c>
      <c r="I167" s="4">
        <v>36008</v>
      </c>
      <c r="J167" t="s">
        <v>20</v>
      </c>
      <c r="K167" s="2">
        <v>500</v>
      </c>
      <c r="L167" s="2"/>
      <c r="M167" s="5">
        <v>16.8</v>
      </c>
      <c r="N167" s="5">
        <v>22</v>
      </c>
      <c r="O167" s="8"/>
      <c r="P167" s="1"/>
      <c r="Q167" s="1"/>
      <c r="R167" s="1"/>
      <c r="S167" s="3"/>
      <c r="T167" s="3"/>
      <c r="U167" s="3"/>
      <c r="V167" s="3"/>
      <c r="W167" s="3"/>
      <c r="X167" s="3"/>
      <c r="Y167" s="3"/>
      <c r="Z167" t="s">
        <v>108</v>
      </c>
      <c r="AA167" t="s">
        <v>109</v>
      </c>
    </row>
    <row r="168" spans="1:27" x14ac:dyDescent="0.25">
      <c r="A168">
        <v>102</v>
      </c>
      <c r="B168">
        <v>1</v>
      </c>
      <c r="C168">
        <f t="shared" si="32"/>
        <v>10201</v>
      </c>
      <c r="D168" s="3" t="s">
        <v>86</v>
      </c>
      <c r="E168" s="11">
        <f t="shared" si="43"/>
        <v>-22.254444444444445</v>
      </c>
      <c r="F168" s="11">
        <f t="shared" si="44"/>
        <v>-40.330833333333338</v>
      </c>
      <c r="G168" s="12" t="s">
        <v>95</v>
      </c>
      <c r="H168" s="12" t="s">
        <v>13</v>
      </c>
      <c r="I168" s="4">
        <v>36008</v>
      </c>
      <c r="J168" t="s">
        <v>20</v>
      </c>
      <c r="K168" s="2">
        <v>500</v>
      </c>
      <c r="L168" s="2"/>
      <c r="M168" s="5">
        <v>19.3</v>
      </c>
      <c r="N168" s="5">
        <v>17</v>
      </c>
      <c r="O168" s="8"/>
      <c r="P168" s="1"/>
      <c r="Q168" s="1"/>
      <c r="R168" s="1"/>
      <c r="S168" s="3"/>
      <c r="T168" s="3"/>
      <c r="U168" s="3"/>
      <c r="V168" s="3"/>
      <c r="W168" s="3"/>
      <c r="X168" s="3"/>
      <c r="Y168" s="3"/>
      <c r="Z168" t="s">
        <v>108</v>
      </c>
      <c r="AA168" t="s">
        <v>109</v>
      </c>
    </row>
    <row r="169" spans="1:27" x14ac:dyDescent="0.25">
      <c r="A169">
        <v>102</v>
      </c>
      <c r="B169">
        <v>1</v>
      </c>
      <c r="C169">
        <f t="shared" si="32"/>
        <v>10201</v>
      </c>
      <c r="D169" s="3" t="s">
        <v>86</v>
      </c>
      <c r="E169" s="11">
        <f t="shared" si="43"/>
        <v>-22.254444444444445</v>
      </c>
      <c r="F169" s="11">
        <f t="shared" si="44"/>
        <v>-40.330833333333338</v>
      </c>
      <c r="G169" s="12" t="s">
        <v>95</v>
      </c>
      <c r="H169" s="12" t="s">
        <v>13</v>
      </c>
      <c r="I169" s="4">
        <v>36008</v>
      </c>
      <c r="J169" t="s">
        <v>20</v>
      </c>
      <c r="K169" s="2">
        <v>500</v>
      </c>
      <c r="L169" s="2"/>
      <c r="M169" s="5">
        <v>22.1</v>
      </c>
      <c r="N169" s="5">
        <v>40</v>
      </c>
      <c r="O169" s="8"/>
      <c r="P169" s="1"/>
      <c r="Q169" s="1"/>
      <c r="R169" s="1"/>
      <c r="S169" s="3"/>
      <c r="T169" s="3"/>
      <c r="U169" s="3"/>
      <c r="V169" s="3"/>
      <c r="W169" s="3"/>
      <c r="X169" s="3"/>
      <c r="Y169" s="3"/>
      <c r="Z169" t="s">
        <v>108</v>
      </c>
      <c r="AA169" t="s">
        <v>109</v>
      </c>
    </row>
    <row r="170" spans="1:27" x14ac:dyDescent="0.25">
      <c r="A170">
        <v>102</v>
      </c>
      <c r="B170">
        <v>1</v>
      </c>
      <c r="C170">
        <f t="shared" si="32"/>
        <v>10201</v>
      </c>
      <c r="D170" s="3" t="s">
        <v>86</v>
      </c>
      <c r="E170" s="11">
        <f t="shared" si="43"/>
        <v>-22.254444444444445</v>
      </c>
      <c r="F170" s="11">
        <f t="shared" si="44"/>
        <v>-40.330833333333338</v>
      </c>
      <c r="G170" s="12" t="s">
        <v>95</v>
      </c>
      <c r="H170" s="12" t="s">
        <v>13</v>
      </c>
      <c r="I170" s="4">
        <v>36008</v>
      </c>
      <c r="J170" t="s">
        <v>20</v>
      </c>
      <c r="K170" s="2">
        <v>1000</v>
      </c>
      <c r="L170" s="2"/>
      <c r="M170" s="5"/>
      <c r="N170" s="5"/>
      <c r="O170" s="8"/>
      <c r="P170" s="1"/>
      <c r="Q170" s="1"/>
      <c r="R170" s="1"/>
      <c r="S170" s="3"/>
      <c r="T170" s="3"/>
      <c r="U170" s="3"/>
      <c r="V170" s="3"/>
      <c r="W170" s="3"/>
      <c r="X170" s="3"/>
      <c r="Y170" s="3"/>
      <c r="Z170" t="s">
        <v>108</v>
      </c>
      <c r="AA170" t="s">
        <v>109</v>
      </c>
    </row>
    <row r="171" spans="1:27" x14ac:dyDescent="0.25">
      <c r="A171">
        <v>102</v>
      </c>
      <c r="B171">
        <v>1</v>
      </c>
      <c r="C171">
        <f t="shared" si="32"/>
        <v>10201</v>
      </c>
      <c r="D171" s="3" t="s">
        <v>86</v>
      </c>
      <c r="E171" s="11">
        <f t="shared" si="43"/>
        <v>-22.254444444444445</v>
      </c>
      <c r="F171" s="11">
        <f t="shared" si="44"/>
        <v>-40.330833333333338</v>
      </c>
      <c r="G171" s="12" t="s">
        <v>95</v>
      </c>
      <c r="H171" s="12" t="s">
        <v>13</v>
      </c>
      <c r="I171" s="4">
        <v>36008</v>
      </c>
      <c r="J171" t="s">
        <v>20</v>
      </c>
      <c r="K171" s="2">
        <v>1000</v>
      </c>
      <c r="L171" s="2"/>
      <c r="M171" s="5">
        <v>22.5</v>
      </c>
      <c r="N171" s="5">
        <v>28</v>
      </c>
      <c r="O171" s="8"/>
      <c r="P171" s="1"/>
      <c r="Q171" s="1"/>
      <c r="R171" s="1"/>
      <c r="S171" s="3"/>
      <c r="T171" s="3"/>
      <c r="U171" s="3"/>
      <c r="V171" s="3"/>
      <c r="W171" s="3"/>
      <c r="X171" s="3"/>
      <c r="Y171" s="3"/>
      <c r="Z171" t="s">
        <v>108</v>
      </c>
      <c r="AA171" t="s">
        <v>109</v>
      </c>
    </row>
    <row r="172" spans="1:27" x14ac:dyDescent="0.25">
      <c r="A172">
        <v>102</v>
      </c>
      <c r="B172">
        <v>1</v>
      </c>
      <c r="C172">
        <f t="shared" si="32"/>
        <v>10201</v>
      </c>
      <c r="D172" s="3" t="s">
        <v>86</v>
      </c>
      <c r="E172" s="11">
        <f t="shared" si="43"/>
        <v>-22.254444444444445</v>
      </c>
      <c r="F172" s="11">
        <f t="shared" si="44"/>
        <v>-40.330833333333338</v>
      </c>
      <c r="G172" s="12" t="s">
        <v>95</v>
      </c>
      <c r="H172" s="12" t="s">
        <v>13</v>
      </c>
      <c r="I172" s="4">
        <v>36008</v>
      </c>
      <c r="J172" t="s">
        <v>20</v>
      </c>
      <c r="K172" s="2">
        <v>3000</v>
      </c>
      <c r="L172" s="2"/>
      <c r="M172" s="5">
        <v>12.1</v>
      </c>
      <c r="N172" s="5">
        <v>16</v>
      </c>
      <c r="O172" s="8"/>
      <c r="P172" s="1"/>
      <c r="Q172" s="1"/>
      <c r="R172" s="1"/>
      <c r="S172" s="3"/>
      <c r="T172" s="3"/>
      <c r="U172" s="3"/>
      <c r="V172" s="3"/>
      <c r="W172" s="3"/>
      <c r="X172" s="3"/>
      <c r="Y172" s="3"/>
      <c r="Z172" t="s">
        <v>108</v>
      </c>
      <c r="AA172" t="s">
        <v>109</v>
      </c>
    </row>
    <row r="173" spans="1:27" x14ac:dyDescent="0.25">
      <c r="A173">
        <v>102</v>
      </c>
      <c r="B173">
        <v>2</v>
      </c>
      <c r="C173">
        <f t="shared" si="32"/>
        <v>10202</v>
      </c>
      <c r="D173" s="3" t="s">
        <v>86</v>
      </c>
      <c r="E173" s="11">
        <f t="shared" ref="E173:E182" si="45">-(22+45/60+48/3600)</f>
        <v>-22.763333333333332</v>
      </c>
      <c r="F173" s="11">
        <f t="shared" ref="F173:F182" si="46">-(40+45/60+14/3600)</f>
        <v>-40.753888888888888</v>
      </c>
      <c r="G173" s="12" t="s">
        <v>95</v>
      </c>
      <c r="H173" s="12" t="s">
        <v>13</v>
      </c>
      <c r="I173" s="4">
        <v>36008</v>
      </c>
      <c r="J173" t="s">
        <v>20</v>
      </c>
      <c r="K173" s="2">
        <v>250</v>
      </c>
      <c r="L173" s="2"/>
      <c r="M173" s="5" t="s">
        <v>14</v>
      </c>
      <c r="N173" s="5">
        <v>33</v>
      </c>
      <c r="O173" s="8"/>
      <c r="P173" s="1"/>
      <c r="Q173" s="1"/>
      <c r="R173" s="1"/>
      <c r="S173" s="3"/>
      <c r="T173" s="3"/>
      <c r="U173" s="3"/>
      <c r="V173" s="3"/>
      <c r="W173" s="3"/>
      <c r="X173" s="3"/>
      <c r="Y173" s="3"/>
      <c r="Z173" t="s">
        <v>108</v>
      </c>
      <c r="AA173" t="s">
        <v>109</v>
      </c>
    </row>
    <row r="174" spans="1:27" x14ac:dyDescent="0.25">
      <c r="A174">
        <v>102</v>
      </c>
      <c r="B174">
        <v>2</v>
      </c>
      <c r="C174">
        <f t="shared" si="32"/>
        <v>10202</v>
      </c>
      <c r="D174" s="3" t="s">
        <v>86</v>
      </c>
      <c r="E174" s="11">
        <f t="shared" si="45"/>
        <v>-22.763333333333332</v>
      </c>
      <c r="F174" s="11">
        <f t="shared" si="46"/>
        <v>-40.753888888888888</v>
      </c>
      <c r="G174" s="12" t="s">
        <v>95</v>
      </c>
      <c r="H174" s="12" t="s">
        <v>13</v>
      </c>
      <c r="I174" s="4">
        <v>36008</v>
      </c>
      <c r="J174" t="s">
        <v>20</v>
      </c>
      <c r="K174" s="2">
        <v>500</v>
      </c>
      <c r="L174" s="2"/>
      <c r="M174" s="5" t="s">
        <v>14</v>
      </c>
      <c r="N174" s="5">
        <v>23</v>
      </c>
      <c r="O174" s="8"/>
      <c r="P174" s="1"/>
      <c r="Q174" s="1"/>
      <c r="R174" s="1"/>
      <c r="S174" s="3"/>
      <c r="T174" s="3"/>
      <c r="U174" s="3"/>
      <c r="V174" s="3"/>
      <c r="W174" s="3"/>
      <c r="X174" s="3"/>
      <c r="Y174" s="3"/>
      <c r="Z174" t="s">
        <v>108</v>
      </c>
      <c r="AA174" t="s">
        <v>109</v>
      </c>
    </row>
    <row r="175" spans="1:27" s="12" customFormat="1" x14ac:dyDescent="0.25">
      <c r="A175">
        <v>102</v>
      </c>
      <c r="B175">
        <v>2</v>
      </c>
      <c r="C175">
        <f t="shared" si="32"/>
        <v>10202</v>
      </c>
      <c r="D175" s="3" t="s">
        <v>86</v>
      </c>
      <c r="E175" s="11">
        <f t="shared" si="45"/>
        <v>-22.763333333333332</v>
      </c>
      <c r="F175" s="11">
        <f t="shared" si="46"/>
        <v>-40.753888888888888</v>
      </c>
      <c r="G175" s="12" t="s">
        <v>95</v>
      </c>
      <c r="H175" s="12" t="s">
        <v>13</v>
      </c>
      <c r="I175" s="4">
        <v>36008</v>
      </c>
      <c r="J175" t="s">
        <v>20</v>
      </c>
      <c r="K175" s="2">
        <v>500</v>
      </c>
      <c r="L175" s="2"/>
      <c r="M175" s="5" t="s">
        <v>14</v>
      </c>
      <c r="N175" s="5">
        <v>27</v>
      </c>
      <c r="O175" s="8"/>
      <c r="P175" s="1"/>
      <c r="Q175" s="1"/>
      <c r="R175" s="1"/>
      <c r="S175" s="3"/>
      <c r="T175" s="3"/>
      <c r="U175" s="3"/>
      <c r="V175" s="3"/>
      <c r="W175" s="3"/>
      <c r="X175" s="3"/>
      <c r="Y175" s="3"/>
      <c r="Z175" t="s">
        <v>108</v>
      </c>
      <c r="AA175" t="s">
        <v>109</v>
      </c>
    </row>
    <row r="176" spans="1:27" s="12" customFormat="1" x14ac:dyDescent="0.25">
      <c r="A176">
        <v>102</v>
      </c>
      <c r="B176">
        <v>2</v>
      </c>
      <c r="C176">
        <f t="shared" si="32"/>
        <v>10202</v>
      </c>
      <c r="D176" s="3" t="s">
        <v>86</v>
      </c>
      <c r="E176" s="11">
        <f t="shared" si="45"/>
        <v>-22.763333333333332</v>
      </c>
      <c r="F176" s="11">
        <f t="shared" si="46"/>
        <v>-40.753888888888888</v>
      </c>
      <c r="G176" s="12" t="s">
        <v>95</v>
      </c>
      <c r="H176" s="12" t="s">
        <v>13</v>
      </c>
      <c r="I176" s="4">
        <v>36008</v>
      </c>
      <c r="J176" t="s">
        <v>20</v>
      </c>
      <c r="K176" s="2">
        <v>700</v>
      </c>
      <c r="L176" s="2"/>
      <c r="M176" s="5" t="s">
        <v>14</v>
      </c>
      <c r="N176" s="5">
        <v>30</v>
      </c>
      <c r="O176" s="8"/>
      <c r="P176" s="1"/>
      <c r="Q176" s="1"/>
      <c r="R176" s="1"/>
      <c r="S176" s="3"/>
      <c r="T176" s="3"/>
      <c r="U176" s="3"/>
      <c r="V176" s="3"/>
      <c r="W176" s="3"/>
      <c r="X176" s="3"/>
      <c r="Y176" s="3"/>
      <c r="Z176" t="s">
        <v>108</v>
      </c>
      <c r="AA176" t="s">
        <v>109</v>
      </c>
    </row>
    <row r="177" spans="1:27" s="12" customFormat="1" x14ac:dyDescent="0.25">
      <c r="A177">
        <v>102</v>
      </c>
      <c r="B177">
        <v>2</v>
      </c>
      <c r="C177">
        <f t="shared" si="32"/>
        <v>10202</v>
      </c>
      <c r="D177" s="3" t="s">
        <v>86</v>
      </c>
      <c r="E177" s="11">
        <f t="shared" si="45"/>
        <v>-22.763333333333332</v>
      </c>
      <c r="F177" s="11">
        <f t="shared" si="46"/>
        <v>-40.753888888888888</v>
      </c>
      <c r="G177" s="12" t="s">
        <v>95</v>
      </c>
      <c r="H177" s="12" t="s">
        <v>13</v>
      </c>
      <c r="I177" s="4">
        <v>36008</v>
      </c>
      <c r="J177" t="s">
        <v>20</v>
      </c>
      <c r="K177" s="2">
        <v>700</v>
      </c>
      <c r="L177" s="2"/>
      <c r="M177" s="5" t="s">
        <v>14</v>
      </c>
      <c r="N177" s="5">
        <v>31</v>
      </c>
      <c r="O177" s="8"/>
      <c r="P177" s="1"/>
      <c r="Q177" s="1"/>
      <c r="R177" s="1"/>
      <c r="S177" s="3"/>
      <c r="T177" s="3"/>
      <c r="U177" s="3"/>
      <c r="V177" s="3"/>
      <c r="W177" s="3"/>
      <c r="X177" s="3"/>
      <c r="Y177" s="3"/>
      <c r="Z177" t="s">
        <v>108</v>
      </c>
      <c r="AA177" t="s">
        <v>109</v>
      </c>
    </row>
    <row r="178" spans="1:27" s="12" customFormat="1" x14ac:dyDescent="0.25">
      <c r="A178">
        <v>102</v>
      </c>
      <c r="B178">
        <v>2</v>
      </c>
      <c r="C178">
        <f t="shared" si="32"/>
        <v>10202</v>
      </c>
      <c r="D178" s="3" t="s">
        <v>86</v>
      </c>
      <c r="E178" s="11">
        <f t="shared" si="45"/>
        <v>-22.763333333333332</v>
      </c>
      <c r="F178" s="11">
        <f t="shared" si="46"/>
        <v>-40.753888888888888</v>
      </c>
      <c r="G178" s="12" t="s">
        <v>95</v>
      </c>
      <c r="H178" s="12" t="s">
        <v>13</v>
      </c>
      <c r="I178" s="4">
        <v>36008</v>
      </c>
      <c r="J178" t="s">
        <v>20</v>
      </c>
      <c r="K178" s="2">
        <v>500</v>
      </c>
      <c r="L178" s="2"/>
      <c r="M178" s="5" t="s">
        <v>14</v>
      </c>
      <c r="N178" s="5">
        <v>21</v>
      </c>
      <c r="O178" s="8"/>
      <c r="P178" s="1"/>
      <c r="Q178" s="1"/>
      <c r="R178" s="1"/>
      <c r="S178" s="3"/>
      <c r="T178" s="3"/>
      <c r="U178" s="3"/>
      <c r="V178" s="3"/>
      <c r="W178" s="3"/>
      <c r="X178" s="3"/>
      <c r="Y178" s="3"/>
      <c r="Z178" t="s">
        <v>108</v>
      </c>
      <c r="AA178" t="s">
        <v>109</v>
      </c>
    </row>
    <row r="179" spans="1:27" s="12" customFormat="1" x14ac:dyDescent="0.25">
      <c r="A179">
        <v>102</v>
      </c>
      <c r="B179">
        <v>2</v>
      </c>
      <c r="C179">
        <f t="shared" si="32"/>
        <v>10202</v>
      </c>
      <c r="D179" s="3" t="s">
        <v>86</v>
      </c>
      <c r="E179" s="11">
        <f t="shared" si="45"/>
        <v>-22.763333333333332</v>
      </c>
      <c r="F179" s="11">
        <f t="shared" si="46"/>
        <v>-40.753888888888888</v>
      </c>
      <c r="G179" s="12" t="s">
        <v>95</v>
      </c>
      <c r="H179" s="12" t="s">
        <v>13</v>
      </c>
      <c r="I179" s="4">
        <v>36008</v>
      </c>
      <c r="J179" t="s">
        <v>20</v>
      </c>
      <c r="K179" s="2">
        <v>1000</v>
      </c>
      <c r="L179" s="2"/>
      <c r="M179" s="5">
        <v>11.9</v>
      </c>
      <c r="N179" s="5">
        <v>18</v>
      </c>
      <c r="O179" s="8"/>
      <c r="P179" s="1"/>
      <c r="Q179" s="1"/>
      <c r="R179" s="1"/>
      <c r="S179" s="3"/>
      <c r="T179" s="3"/>
      <c r="U179" s="3"/>
      <c r="V179" s="3"/>
      <c r="W179" s="3"/>
      <c r="X179" s="3"/>
      <c r="Y179" s="3"/>
      <c r="Z179" t="s">
        <v>108</v>
      </c>
      <c r="AA179" t="s">
        <v>109</v>
      </c>
    </row>
    <row r="180" spans="1:27" s="12" customFormat="1" x14ac:dyDescent="0.25">
      <c r="A180">
        <v>102</v>
      </c>
      <c r="B180">
        <v>2</v>
      </c>
      <c r="C180">
        <f t="shared" si="32"/>
        <v>10202</v>
      </c>
      <c r="D180" s="3" t="s">
        <v>86</v>
      </c>
      <c r="E180" s="11">
        <f t="shared" si="45"/>
        <v>-22.763333333333332</v>
      </c>
      <c r="F180" s="11">
        <f t="shared" si="46"/>
        <v>-40.753888888888888</v>
      </c>
      <c r="G180" s="12" t="s">
        <v>95</v>
      </c>
      <c r="H180" s="12" t="s">
        <v>13</v>
      </c>
      <c r="I180" s="4">
        <v>36008</v>
      </c>
      <c r="J180" t="s">
        <v>20</v>
      </c>
      <c r="K180" s="2">
        <v>1000</v>
      </c>
      <c r="L180" s="2"/>
      <c r="M180" s="5" t="s">
        <v>14</v>
      </c>
      <c r="N180" s="5" t="s">
        <v>14</v>
      </c>
      <c r="O180" s="8"/>
      <c r="P180" s="1"/>
      <c r="Q180" s="1"/>
      <c r="R180" s="1"/>
      <c r="S180" s="3"/>
      <c r="T180" s="3"/>
      <c r="U180" s="3"/>
      <c r="V180" s="3"/>
      <c r="W180" s="3"/>
      <c r="X180" s="3"/>
      <c r="Y180" s="3"/>
      <c r="Z180" t="s">
        <v>108</v>
      </c>
      <c r="AA180" t="s">
        <v>109</v>
      </c>
    </row>
    <row r="181" spans="1:27" s="12" customFormat="1" x14ac:dyDescent="0.25">
      <c r="A181">
        <v>102</v>
      </c>
      <c r="B181">
        <v>2</v>
      </c>
      <c r="C181">
        <f t="shared" si="32"/>
        <v>10202</v>
      </c>
      <c r="D181" s="3" t="s">
        <v>86</v>
      </c>
      <c r="E181" s="11">
        <f t="shared" si="45"/>
        <v>-22.763333333333332</v>
      </c>
      <c r="F181" s="11">
        <f t="shared" si="46"/>
        <v>-40.753888888888888</v>
      </c>
      <c r="G181" s="12" t="s">
        <v>95</v>
      </c>
      <c r="H181" s="12" t="s">
        <v>13</v>
      </c>
      <c r="I181" s="4">
        <v>36008</v>
      </c>
      <c r="J181" t="s">
        <v>20</v>
      </c>
      <c r="K181" s="2">
        <v>1000</v>
      </c>
      <c r="L181" s="2"/>
      <c r="M181" s="5">
        <v>15.6</v>
      </c>
      <c r="N181" s="5" t="s">
        <v>14</v>
      </c>
      <c r="O181" s="8"/>
      <c r="P181" s="1"/>
      <c r="Q181" s="1"/>
      <c r="R181" s="1"/>
      <c r="S181" s="3"/>
      <c r="T181" s="3"/>
      <c r="U181" s="3"/>
      <c r="V181" s="3"/>
      <c r="W181" s="3"/>
      <c r="X181" s="3"/>
      <c r="Y181" s="3"/>
      <c r="Z181" t="s">
        <v>108</v>
      </c>
      <c r="AA181" t="s">
        <v>109</v>
      </c>
    </row>
    <row r="182" spans="1:27" s="12" customFormat="1" x14ac:dyDescent="0.25">
      <c r="A182">
        <v>102</v>
      </c>
      <c r="B182">
        <v>2</v>
      </c>
      <c r="C182">
        <f t="shared" si="32"/>
        <v>10202</v>
      </c>
      <c r="D182" s="3" t="s">
        <v>86</v>
      </c>
      <c r="E182" s="11">
        <f t="shared" si="45"/>
        <v>-22.763333333333332</v>
      </c>
      <c r="F182" s="11">
        <f t="shared" si="46"/>
        <v>-40.753888888888888</v>
      </c>
      <c r="G182" s="12" t="s">
        <v>95</v>
      </c>
      <c r="H182" s="12" t="s">
        <v>13</v>
      </c>
      <c r="I182" s="4">
        <v>36008</v>
      </c>
      <c r="J182" t="s">
        <v>20</v>
      </c>
      <c r="K182" s="2">
        <v>3000</v>
      </c>
      <c r="L182" s="2"/>
      <c r="M182" s="5" t="s">
        <v>14</v>
      </c>
      <c r="N182" s="5" t="s">
        <v>14</v>
      </c>
      <c r="O182" s="8"/>
      <c r="P182" s="1"/>
      <c r="Q182" s="1"/>
      <c r="R182" s="1"/>
      <c r="S182" s="3"/>
      <c r="T182" s="3"/>
      <c r="U182" s="3"/>
      <c r="V182" s="3"/>
      <c r="W182" s="3"/>
      <c r="X182" s="3"/>
      <c r="Y182" s="3"/>
      <c r="Z182" t="s">
        <v>108</v>
      </c>
      <c r="AA182" t="s">
        <v>109</v>
      </c>
    </row>
    <row r="183" spans="1:27" x14ac:dyDescent="0.25">
      <c r="A183">
        <v>103</v>
      </c>
      <c r="B183">
        <v>1</v>
      </c>
      <c r="C183">
        <f t="shared" si="32"/>
        <v>10301</v>
      </c>
      <c r="D183" s="3" t="s">
        <v>86</v>
      </c>
      <c r="E183" s="11">
        <f>5+18/60</f>
        <v>5.3</v>
      </c>
      <c r="F183" s="11">
        <f>5+33/60</f>
        <v>5.55</v>
      </c>
      <c r="G183" t="s">
        <v>98</v>
      </c>
      <c r="H183" s="12" t="s">
        <v>13</v>
      </c>
      <c r="I183" s="4">
        <v>40179</v>
      </c>
      <c r="J183" t="s">
        <v>1</v>
      </c>
      <c r="K183" s="2">
        <v>0</v>
      </c>
      <c r="L183" s="2"/>
      <c r="M183" s="5">
        <v>3.11</v>
      </c>
      <c r="N183" s="5">
        <v>2.4</v>
      </c>
      <c r="O183" s="8"/>
      <c r="P183" s="1"/>
      <c r="Q183" s="1">
        <v>16.36</v>
      </c>
      <c r="R183" s="1"/>
      <c r="S183" s="3"/>
      <c r="T183" s="3"/>
      <c r="U183" s="3"/>
      <c r="V183" s="3"/>
      <c r="W183" s="3"/>
      <c r="X183" s="3"/>
      <c r="Y183" s="3"/>
      <c r="Z183" t="s">
        <v>358</v>
      </c>
      <c r="AA183" t="s">
        <v>99</v>
      </c>
    </row>
    <row r="184" spans="1:27" x14ac:dyDescent="0.25">
      <c r="A184">
        <v>103</v>
      </c>
      <c r="B184">
        <v>2</v>
      </c>
      <c r="C184">
        <f t="shared" si="32"/>
        <v>10302</v>
      </c>
      <c r="D184" s="3" t="s">
        <v>86</v>
      </c>
      <c r="E184" s="11">
        <f>5+20.4/60</f>
        <v>5.34</v>
      </c>
      <c r="F184" s="11">
        <f t="shared" ref="F184:F203" si="47">F183+0.05</f>
        <v>5.6</v>
      </c>
      <c r="G184" t="s">
        <v>98</v>
      </c>
      <c r="H184" s="12" t="s">
        <v>13</v>
      </c>
      <c r="I184" s="4">
        <v>40179</v>
      </c>
      <c r="J184" t="s">
        <v>1</v>
      </c>
      <c r="K184" s="2">
        <v>0</v>
      </c>
      <c r="L184" s="2"/>
      <c r="M184" s="5">
        <v>2.0099999999999998</v>
      </c>
      <c r="N184" s="5">
        <v>1.1499999999999999</v>
      </c>
      <c r="O184" s="8"/>
      <c r="P184" s="1"/>
      <c r="Q184" s="1">
        <v>9.08</v>
      </c>
      <c r="R184" s="1"/>
      <c r="S184" s="3"/>
      <c r="T184" s="3"/>
      <c r="U184" s="3"/>
      <c r="V184" s="3"/>
      <c r="W184" s="3"/>
      <c r="X184" s="3"/>
      <c r="Y184" s="3"/>
      <c r="Z184" t="s">
        <v>358</v>
      </c>
      <c r="AA184" t="s">
        <v>99</v>
      </c>
    </row>
    <row r="185" spans="1:27" x14ac:dyDescent="0.25">
      <c r="A185">
        <v>103</v>
      </c>
      <c r="B185">
        <v>3</v>
      </c>
      <c r="C185">
        <f t="shared" si="32"/>
        <v>10303</v>
      </c>
      <c r="D185" s="3" t="s">
        <v>86</v>
      </c>
      <c r="E185" s="11">
        <f>5+22.8/60</f>
        <v>5.38</v>
      </c>
      <c r="F185" s="11">
        <f t="shared" si="47"/>
        <v>5.6499999999999995</v>
      </c>
      <c r="G185" t="s">
        <v>98</v>
      </c>
      <c r="H185" s="12" t="s">
        <v>13</v>
      </c>
      <c r="I185" s="4">
        <v>40179</v>
      </c>
      <c r="J185" t="s">
        <v>1</v>
      </c>
      <c r="K185" s="2">
        <v>0</v>
      </c>
      <c r="L185" s="2"/>
      <c r="M185" s="5">
        <v>6.48</v>
      </c>
      <c r="N185" s="5">
        <v>8.42</v>
      </c>
      <c r="O185" s="8"/>
      <c r="P185" s="1"/>
      <c r="Q185" s="1">
        <v>17.239999999999998</v>
      </c>
      <c r="R185" s="1"/>
      <c r="S185" s="3"/>
      <c r="T185" s="3"/>
      <c r="U185" s="3"/>
      <c r="V185" s="3"/>
      <c r="W185" s="3"/>
      <c r="X185" s="3"/>
      <c r="Y185" s="3"/>
      <c r="Z185" t="s">
        <v>358</v>
      </c>
      <c r="AA185" t="s">
        <v>99</v>
      </c>
    </row>
    <row r="186" spans="1:27" x14ac:dyDescent="0.25">
      <c r="A186">
        <v>103</v>
      </c>
      <c r="B186">
        <v>4</v>
      </c>
      <c r="C186">
        <f t="shared" si="32"/>
        <v>10304</v>
      </c>
      <c r="D186" s="3" t="s">
        <v>86</v>
      </c>
      <c r="E186" s="11">
        <f t="shared" ref="E186:E203" si="48">E185+0.04</f>
        <v>5.42</v>
      </c>
      <c r="F186" s="11">
        <f t="shared" si="47"/>
        <v>5.6999999999999993</v>
      </c>
      <c r="G186" t="s">
        <v>98</v>
      </c>
      <c r="H186" s="12" t="s">
        <v>13</v>
      </c>
      <c r="I186" s="4">
        <v>40179</v>
      </c>
      <c r="J186" t="s">
        <v>1</v>
      </c>
      <c r="K186" s="2">
        <v>0</v>
      </c>
      <c r="L186" s="2"/>
      <c r="M186" s="5">
        <v>4.7699999999999996</v>
      </c>
      <c r="N186" s="5" t="s">
        <v>14</v>
      </c>
      <c r="O186" s="8"/>
      <c r="P186" s="1"/>
      <c r="Q186" s="1">
        <v>25.53</v>
      </c>
      <c r="R186" s="1"/>
      <c r="S186" s="3"/>
      <c r="T186" s="3"/>
      <c r="U186" s="3"/>
      <c r="V186" s="3"/>
      <c r="W186" s="3"/>
      <c r="X186" s="3"/>
      <c r="Y186" s="3"/>
      <c r="Z186" t="s">
        <v>358</v>
      </c>
      <c r="AA186" t="s">
        <v>99</v>
      </c>
    </row>
    <row r="187" spans="1:27" x14ac:dyDescent="0.25">
      <c r="A187">
        <v>103</v>
      </c>
      <c r="B187">
        <v>5</v>
      </c>
      <c r="C187">
        <f t="shared" si="32"/>
        <v>10305</v>
      </c>
      <c r="D187" s="3" t="s">
        <v>86</v>
      </c>
      <c r="E187" s="11">
        <f t="shared" si="48"/>
        <v>5.46</v>
      </c>
      <c r="F187" s="11">
        <f t="shared" si="47"/>
        <v>5.7499999999999991</v>
      </c>
      <c r="G187" t="s">
        <v>98</v>
      </c>
      <c r="H187" s="12" t="s">
        <v>13</v>
      </c>
      <c r="I187" s="4">
        <v>40179</v>
      </c>
      <c r="J187" t="s">
        <v>1</v>
      </c>
      <c r="K187" s="2">
        <v>0</v>
      </c>
      <c r="L187" s="2"/>
      <c r="M187" s="5">
        <v>4.2</v>
      </c>
      <c r="N187" s="5">
        <v>12.3</v>
      </c>
      <c r="O187" s="8"/>
      <c r="P187" s="1"/>
      <c r="Q187" s="1">
        <v>19.68</v>
      </c>
      <c r="R187" s="1"/>
      <c r="S187" s="3"/>
      <c r="T187" s="3"/>
      <c r="U187" s="3"/>
      <c r="V187" s="3"/>
      <c r="W187" s="3"/>
      <c r="X187" s="3"/>
      <c r="Y187" s="3"/>
      <c r="Z187" t="s">
        <v>358</v>
      </c>
      <c r="AA187" t="s">
        <v>99</v>
      </c>
    </row>
    <row r="188" spans="1:27" x14ac:dyDescent="0.25">
      <c r="A188">
        <v>103</v>
      </c>
      <c r="B188">
        <v>6</v>
      </c>
      <c r="C188">
        <f t="shared" si="32"/>
        <v>10306</v>
      </c>
      <c r="D188" s="3" t="s">
        <v>86</v>
      </c>
      <c r="E188" s="11">
        <f t="shared" si="48"/>
        <v>5.5</v>
      </c>
      <c r="F188" s="11">
        <f t="shared" si="47"/>
        <v>5.7999999999999989</v>
      </c>
      <c r="G188" t="s">
        <v>98</v>
      </c>
      <c r="H188" s="12" t="s">
        <v>13</v>
      </c>
      <c r="I188" s="4">
        <v>40179</v>
      </c>
      <c r="J188" t="s">
        <v>1</v>
      </c>
      <c r="K188" s="2">
        <v>0</v>
      </c>
      <c r="L188" s="2"/>
      <c r="M188" s="5">
        <v>7.77</v>
      </c>
      <c r="N188" s="5">
        <v>6.31</v>
      </c>
      <c r="O188" s="8"/>
      <c r="P188" s="1"/>
      <c r="Q188" s="1">
        <v>57.22</v>
      </c>
      <c r="R188" s="1"/>
      <c r="S188" s="3"/>
      <c r="T188" s="3"/>
      <c r="U188" s="3"/>
      <c r="V188" s="3"/>
      <c r="W188" s="3"/>
      <c r="X188" s="3"/>
      <c r="Y188" s="3"/>
      <c r="Z188" t="s">
        <v>358</v>
      </c>
      <c r="AA188" t="s">
        <v>99</v>
      </c>
    </row>
    <row r="189" spans="1:27" x14ac:dyDescent="0.25">
      <c r="A189">
        <v>103</v>
      </c>
      <c r="B189">
        <v>7</v>
      </c>
      <c r="C189">
        <f t="shared" si="32"/>
        <v>10307</v>
      </c>
      <c r="D189" s="3" t="s">
        <v>86</v>
      </c>
      <c r="E189" s="11">
        <f t="shared" si="48"/>
        <v>5.54</v>
      </c>
      <c r="F189" s="11">
        <f t="shared" si="47"/>
        <v>5.8499999999999988</v>
      </c>
      <c r="G189" t="s">
        <v>98</v>
      </c>
      <c r="H189" s="12" t="s">
        <v>13</v>
      </c>
      <c r="I189" s="4">
        <v>40179</v>
      </c>
      <c r="J189" t="s">
        <v>1</v>
      </c>
      <c r="K189" s="2">
        <v>0</v>
      </c>
      <c r="L189" s="2"/>
      <c r="M189" s="5" t="s">
        <v>14</v>
      </c>
      <c r="N189" s="5">
        <v>7.24</v>
      </c>
      <c r="O189" s="8"/>
      <c r="P189" s="1"/>
      <c r="Q189" s="1">
        <v>84.84</v>
      </c>
      <c r="R189" s="1"/>
      <c r="S189" s="3"/>
      <c r="T189" s="3"/>
      <c r="U189" s="3"/>
      <c r="V189" s="3"/>
      <c r="W189" s="3"/>
      <c r="X189" s="3"/>
      <c r="Y189" s="3"/>
      <c r="Z189" t="s">
        <v>358</v>
      </c>
      <c r="AA189" t="s">
        <v>99</v>
      </c>
    </row>
    <row r="190" spans="1:27" x14ac:dyDescent="0.25">
      <c r="A190">
        <v>103</v>
      </c>
      <c r="B190">
        <v>8</v>
      </c>
      <c r="C190">
        <f t="shared" si="32"/>
        <v>10308</v>
      </c>
      <c r="D190" s="3" t="s">
        <v>86</v>
      </c>
      <c r="E190" s="11">
        <f t="shared" si="48"/>
        <v>5.58</v>
      </c>
      <c r="F190" s="11">
        <f t="shared" si="47"/>
        <v>5.8999999999999986</v>
      </c>
      <c r="G190" t="s">
        <v>98</v>
      </c>
      <c r="H190" s="12" t="s">
        <v>13</v>
      </c>
      <c r="I190" s="4">
        <v>40179</v>
      </c>
      <c r="J190" t="s">
        <v>1</v>
      </c>
      <c r="K190" s="2">
        <v>0</v>
      </c>
      <c r="L190" s="2"/>
      <c r="M190" s="5" t="s">
        <v>14</v>
      </c>
      <c r="N190" s="5">
        <v>2.31</v>
      </c>
      <c r="O190" s="8"/>
      <c r="P190" s="1"/>
      <c r="Q190" s="1" t="s">
        <v>14</v>
      </c>
      <c r="R190" s="1"/>
      <c r="S190" s="3"/>
      <c r="T190" s="3"/>
      <c r="U190" s="3"/>
      <c r="V190" s="3"/>
      <c r="W190" s="3"/>
      <c r="X190" s="3"/>
      <c r="Y190" s="3"/>
      <c r="Z190" t="s">
        <v>358</v>
      </c>
      <c r="AA190" t="s">
        <v>99</v>
      </c>
    </row>
    <row r="191" spans="1:27" x14ac:dyDescent="0.25">
      <c r="A191">
        <v>103</v>
      </c>
      <c r="B191">
        <v>9</v>
      </c>
      <c r="C191">
        <f t="shared" si="32"/>
        <v>10309</v>
      </c>
      <c r="D191" s="3" t="s">
        <v>86</v>
      </c>
      <c r="E191" s="11">
        <f t="shared" si="48"/>
        <v>5.62</v>
      </c>
      <c r="F191" s="11">
        <f t="shared" si="47"/>
        <v>5.9499999999999984</v>
      </c>
      <c r="G191" t="s">
        <v>98</v>
      </c>
      <c r="H191" s="12" t="s">
        <v>13</v>
      </c>
      <c r="I191" s="4">
        <v>40179</v>
      </c>
      <c r="J191" t="s">
        <v>1</v>
      </c>
      <c r="K191" s="2">
        <v>0</v>
      </c>
      <c r="L191" s="2"/>
      <c r="M191" s="5">
        <v>3.5</v>
      </c>
      <c r="N191" s="5">
        <v>6.69</v>
      </c>
      <c r="O191" s="8"/>
      <c r="P191" s="1"/>
      <c r="Q191" s="1" t="s">
        <v>14</v>
      </c>
      <c r="R191" s="1"/>
      <c r="S191" s="3"/>
      <c r="T191" s="3"/>
      <c r="U191" s="3"/>
      <c r="V191" s="3"/>
      <c r="W191" s="3"/>
      <c r="X191" s="3"/>
      <c r="Y191" s="3"/>
      <c r="Z191" t="s">
        <v>358</v>
      </c>
      <c r="AA191" t="s">
        <v>99</v>
      </c>
    </row>
    <row r="192" spans="1:27" x14ac:dyDescent="0.25">
      <c r="A192">
        <v>103</v>
      </c>
      <c r="B192">
        <v>10</v>
      </c>
      <c r="C192">
        <f t="shared" si="32"/>
        <v>10310</v>
      </c>
      <c r="D192" s="3" t="s">
        <v>86</v>
      </c>
      <c r="E192" s="11">
        <f t="shared" si="48"/>
        <v>5.66</v>
      </c>
      <c r="F192" s="11">
        <f t="shared" si="47"/>
        <v>5.9999999999999982</v>
      </c>
      <c r="G192" t="s">
        <v>98</v>
      </c>
      <c r="H192" s="12" t="s">
        <v>13</v>
      </c>
      <c r="I192" s="4">
        <v>40179</v>
      </c>
      <c r="J192" t="s">
        <v>1</v>
      </c>
      <c r="K192" s="2">
        <v>0</v>
      </c>
      <c r="L192" s="2"/>
      <c r="M192" s="5">
        <v>7.32</v>
      </c>
      <c r="N192" s="5">
        <v>2.17</v>
      </c>
      <c r="O192" s="8"/>
      <c r="P192" s="1"/>
      <c r="Q192" s="1">
        <v>63.85</v>
      </c>
      <c r="R192" s="1"/>
      <c r="S192" s="3"/>
      <c r="T192" s="3"/>
      <c r="U192" s="3"/>
      <c r="V192" s="3"/>
      <c r="W192" s="3"/>
      <c r="X192" s="3"/>
      <c r="Y192" s="3"/>
      <c r="Z192" t="s">
        <v>358</v>
      </c>
      <c r="AA192" t="s">
        <v>99</v>
      </c>
    </row>
    <row r="193" spans="1:27" x14ac:dyDescent="0.25">
      <c r="A193">
        <v>103</v>
      </c>
      <c r="B193">
        <v>11</v>
      </c>
      <c r="C193">
        <f t="shared" si="32"/>
        <v>10311</v>
      </c>
      <c r="D193" s="3" t="s">
        <v>86</v>
      </c>
      <c r="E193" s="11">
        <f t="shared" si="48"/>
        <v>5.7</v>
      </c>
      <c r="F193" s="11">
        <f t="shared" si="47"/>
        <v>6.049999999999998</v>
      </c>
      <c r="G193" t="s">
        <v>98</v>
      </c>
      <c r="H193" s="12" t="s">
        <v>13</v>
      </c>
      <c r="I193" s="4">
        <v>40179</v>
      </c>
      <c r="J193" t="s">
        <v>1</v>
      </c>
      <c r="K193" s="2">
        <v>0</v>
      </c>
      <c r="L193" s="2"/>
      <c r="M193" s="5">
        <v>5.1100000000000003</v>
      </c>
      <c r="N193" s="5">
        <v>5.98</v>
      </c>
      <c r="O193" s="8"/>
      <c r="P193" s="1"/>
      <c r="Q193" s="1">
        <v>27.21</v>
      </c>
      <c r="R193" s="1"/>
      <c r="S193" s="3"/>
      <c r="T193" s="3"/>
      <c r="U193" s="3"/>
      <c r="V193" s="3"/>
      <c r="W193" s="3"/>
      <c r="X193" s="3"/>
      <c r="Y193" s="3"/>
      <c r="Z193" t="s">
        <v>358</v>
      </c>
      <c r="AA193" t="s">
        <v>99</v>
      </c>
    </row>
    <row r="194" spans="1:27" x14ac:dyDescent="0.25">
      <c r="A194">
        <v>103</v>
      </c>
      <c r="B194">
        <v>12</v>
      </c>
      <c r="C194">
        <f t="shared" si="32"/>
        <v>10312</v>
      </c>
      <c r="D194" s="3" t="s">
        <v>86</v>
      </c>
      <c r="E194" s="11">
        <f t="shared" si="48"/>
        <v>5.74</v>
      </c>
      <c r="F194" s="11">
        <f t="shared" si="47"/>
        <v>6.0999999999999979</v>
      </c>
      <c r="G194" t="s">
        <v>98</v>
      </c>
      <c r="H194" s="12" t="s">
        <v>13</v>
      </c>
      <c r="I194" s="4">
        <v>40179</v>
      </c>
      <c r="J194" t="s">
        <v>1</v>
      </c>
      <c r="K194" s="2">
        <v>0</v>
      </c>
      <c r="L194" s="2"/>
      <c r="M194" s="5">
        <v>12.17</v>
      </c>
      <c r="N194" s="5">
        <v>7.52</v>
      </c>
      <c r="O194" s="8"/>
      <c r="P194" s="1"/>
      <c r="Q194" s="1">
        <v>36.69</v>
      </c>
      <c r="R194" s="1"/>
      <c r="S194" s="3"/>
      <c r="T194" s="3"/>
      <c r="U194" s="3"/>
      <c r="V194" s="3"/>
      <c r="W194" s="3"/>
      <c r="X194" s="3"/>
      <c r="Y194" s="3"/>
      <c r="Z194" t="s">
        <v>358</v>
      </c>
      <c r="AA194" t="s">
        <v>99</v>
      </c>
    </row>
    <row r="195" spans="1:27" x14ac:dyDescent="0.25">
      <c r="A195">
        <v>103</v>
      </c>
      <c r="B195">
        <v>13</v>
      </c>
      <c r="C195">
        <f t="shared" ref="C195:C258" si="49">A195*100+B195</f>
        <v>10313</v>
      </c>
      <c r="D195" s="3" t="s">
        <v>86</v>
      </c>
      <c r="E195" s="11">
        <f t="shared" si="48"/>
        <v>5.78</v>
      </c>
      <c r="F195" s="11">
        <f t="shared" si="47"/>
        <v>6.1499999999999977</v>
      </c>
      <c r="G195" t="s">
        <v>98</v>
      </c>
      <c r="H195" s="12" t="s">
        <v>13</v>
      </c>
      <c r="I195" s="4">
        <v>40179</v>
      </c>
      <c r="J195" t="s">
        <v>1</v>
      </c>
      <c r="K195" s="2">
        <v>0</v>
      </c>
      <c r="L195" s="2"/>
      <c r="M195" s="5">
        <v>13.19</v>
      </c>
      <c r="N195" s="5">
        <v>4.5599999999999996</v>
      </c>
      <c r="O195" s="8"/>
      <c r="P195" s="1"/>
      <c r="Q195" s="1">
        <v>155.22</v>
      </c>
      <c r="R195" s="1"/>
      <c r="S195" s="3"/>
      <c r="T195" s="3"/>
      <c r="U195" s="3"/>
      <c r="V195" s="3"/>
      <c r="W195" s="3"/>
      <c r="X195" s="3"/>
      <c r="Y195" s="3"/>
      <c r="Z195" t="s">
        <v>358</v>
      </c>
      <c r="AA195" t="s">
        <v>99</v>
      </c>
    </row>
    <row r="196" spans="1:27" x14ac:dyDescent="0.25">
      <c r="A196">
        <v>103</v>
      </c>
      <c r="B196">
        <v>14</v>
      </c>
      <c r="C196">
        <f t="shared" si="49"/>
        <v>10314</v>
      </c>
      <c r="D196" s="3" t="s">
        <v>86</v>
      </c>
      <c r="E196" s="11">
        <f t="shared" si="48"/>
        <v>5.82</v>
      </c>
      <c r="F196" s="11">
        <f t="shared" si="47"/>
        <v>6.1999999999999975</v>
      </c>
      <c r="G196" t="s">
        <v>98</v>
      </c>
      <c r="H196" s="12" t="s">
        <v>13</v>
      </c>
      <c r="I196" s="4">
        <v>40179</v>
      </c>
      <c r="J196" t="s">
        <v>1</v>
      </c>
      <c r="K196" s="2">
        <v>0</v>
      </c>
      <c r="L196" s="2"/>
      <c r="M196" s="5">
        <v>8.43</v>
      </c>
      <c r="N196" s="5">
        <v>6.12</v>
      </c>
      <c r="O196" s="8"/>
      <c r="P196" s="1"/>
      <c r="Q196" s="1">
        <v>53.01</v>
      </c>
      <c r="R196" s="1"/>
      <c r="S196" s="3"/>
      <c r="T196" s="3"/>
      <c r="U196" s="3"/>
      <c r="V196" s="3"/>
      <c r="W196" s="3"/>
      <c r="X196" s="3"/>
      <c r="Y196" s="3"/>
      <c r="Z196" t="s">
        <v>358</v>
      </c>
      <c r="AA196" t="s">
        <v>99</v>
      </c>
    </row>
    <row r="197" spans="1:27" x14ac:dyDescent="0.25">
      <c r="A197">
        <v>103</v>
      </c>
      <c r="B197">
        <v>15</v>
      </c>
      <c r="C197">
        <f t="shared" si="49"/>
        <v>10315</v>
      </c>
      <c r="D197" s="3" t="s">
        <v>86</v>
      </c>
      <c r="E197" s="11">
        <f t="shared" si="48"/>
        <v>5.86</v>
      </c>
      <c r="F197" s="11">
        <f t="shared" si="47"/>
        <v>6.2499999999999973</v>
      </c>
      <c r="G197" t="s">
        <v>98</v>
      </c>
      <c r="H197" s="12" t="s">
        <v>13</v>
      </c>
      <c r="I197" s="4">
        <v>40179</v>
      </c>
      <c r="J197" t="s">
        <v>1</v>
      </c>
      <c r="K197" s="2">
        <v>0</v>
      </c>
      <c r="L197" s="2"/>
      <c r="M197" s="5" t="s">
        <v>14</v>
      </c>
      <c r="N197" s="5">
        <v>5.42</v>
      </c>
      <c r="O197" s="8"/>
      <c r="P197" s="1"/>
      <c r="Q197" s="1">
        <v>38.19</v>
      </c>
      <c r="R197" s="1"/>
      <c r="S197" s="3"/>
      <c r="T197" s="3"/>
      <c r="U197" s="3"/>
      <c r="V197" s="3"/>
      <c r="W197" s="3"/>
      <c r="X197" s="3"/>
      <c r="Y197" s="3"/>
      <c r="Z197" t="s">
        <v>358</v>
      </c>
      <c r="AA197" t="s">
        <v>99</v>
      </c>
    </row>
    <row r="198" spans="1:27" x14ac:dyDescent="0.25">
      <c r="A198">
        <v>103</v>
      </c>
      <c r="B198">
        <v>16</v>
      </c>
      <c r="C198">
        <f t="shared" si="49"/>
        <v>10316</v>
      </c>
      <c r="D198" s="3" t="s">
        <v>86</v>
      </c>
      <c r="E198" s="11">
        <f t="shared" si="48"/>
        <v>5.9</v>
      </c>
      <c r="F198" s="11">
        <f t="shared" si="47"/>
        <v>6.2999999999999972</v>
      </c>
      <c r="G198" t="s">
        <v>98</v>
      </c>
      <c r="H198" s="12" t="s">
        <v>13</v>
      </c>
      <c r="I198" s="4">
        <v>40179</v>
      </c>
      <c r="J198" t="s">
        <v>1</v>
      </c>
      <c r="K198" s="2">
        <v>0</v>
      </c>
      <c r="L198" s="2"/>
      <c r="M198" s="5">
        <v>7.13</v>
      </c>
      <c r="N198" s="5">
        <v>7.42</v>
      </c>
      <c r="O198" s="8"/>
      <c r="P198" s="1"/>
      <c r="Q198" s="1" t="s">
        <v>14</v>
      </c>
      <c r="R198" s="1"/>
      <c r="S198" s="3"/>
      <c r="T198" s="3"/>
      <c r="U198" s="3"/>
      <c r="V198" s="3"/>
      <c r="W198" s="3"/>
      <c r="X198" s="3"/>
      <c r="Y198" s="3"/>
      <c r="Z198" t="s">
        <v>358</v>
      </c>
      <c r="AA198" t="s">
        <v>99</v>
      </c>
    </row>
    <row r="199" spans="1:27" x14ac:dyDescent="0.25">
      <c r="A199">
        <v>103</v>
      </c>
      <c r="B199">
        <v>17</v>
      </c>
      <c r="C199">
        <f t="shared" si="49"/>
        <v>10317</v>
      </c>
      <c r="D199" s="3" t="s">
        <v>86</v>
      </c>
      <c r="E199" s="11">
        <f t="shared" si="48"/>
        <v>5.94</v>
      </c>
      <c r="F199" s="11">
        <f t="shared" si="47"/>
        <v>6.349999999999997</v>
      </c>
      <c r="G199" t="s">
        <v>98</v>
      </c>
      <c r="H199" s="12" t="s">
        <v>13</v>
      </c>
      <c r="I199" s="4">
        <v>40179</v>
      </c>
      <c r="J199" t="s">
        <v>1</v>
      </c>
      <c r="K199" s="2">
        <v>0</v>
      </c>
      <c r="L199" s="2"/>
      <c r="M199" s="5">
        <v>3.45</v>
      </c>
      <c r="N199" s="5">
        <v>3.39</v>
      </c>
      <c r="O199" s="8"/>
      <c r="P199" s="1"/>
      <c r="Q199" s="1">
        <v>80.430000000000007</v>
      </c>
      <c r="R199" s="1"/>
      <c r="S199" s="3"/>
      <c r="T199" s="3"/>
      <c r="U199" s="3"/>
      <c r="V199" s="3"/>
      <c r="W199" s="3"/>
      <c r="X199" s="3"/>
      <c r="Y199" s="3"/>
      <c r="Z199" t="s">
        <v>358</v>
      </c>
      <c r="AA199" t="s">
        <v>99</v>
      </c>
    </row>
    <row r="200" spans="1:27" x14ac:dyDescent="0.25">
      <c r="A200">
        <v>103</v>
      </c>
      <c r="B200">
        <v>18</v>
      </c>
      <c r="C200">
        <f t="shared" si="49"/>
        <v>10318</v>
      </c>
      <c r="D200" s="3" t="s">
        <v>86</v>
      </c>
      <c r="E200" s="11">
        <f t="shared" si="48"/>
        <v>5.98</v>
      </c>
      <c r="F200" s="11">
        <f t="shared" si="47"/>
        <v>6.3999999999999968</v>
      </c>
      <c r="G200" t="s">
        <v>98</v>
      </c>
      <c r="H200" s="12" t="s">
        <v>13</v>
      </c>
      <c r="I200" s="4">
        <v>40179</v>
      </c>
      <c r="J200" t="s">
        <v>1</v>
      </c>
      <c r="K200" s="2">
        <v>0</v>
      </c>
      <c r="L200" s="2"/>
      <c r="M200" s="5" t="s">
        <v>14</v>
      </c>
      <c r="N200" s="5">
        <v>0.75</v>
      </c>
      <c r="O200" s="8"/>
      <c r="P200" s="1"/>
      <c r="Q200" s="1">
        <v>25.45</v>
      </c>
      <c r="R200" s="1"/>
      <c r="S200" s="3"/>
      <c r="T200" s="3"/>
      <c r="U200" s="3"/>
      <c r="V200" s="3"/>
      <c r="W200" s="3"/>
      <c r="X200" s="3"/>
      <c r="Y200" s="3"/>
      <c r="Z200" t="s">
        <v>358</v>
      </c>
      <c r="AA200" t="s">
        <v>99</v>
      </c>
    </row>
    <row r="201" spans="1:27" x14ac:dyDescent="0.25">
      <c r="A201">
        <v>103</v>
      </c>
      <c r="B201">
        <v>19</v>
      </c>
      <c r="C201">
        <f t="shared" si="49"/>
        <v>10319</v>
      </c>
      <c r="D201" s="3" t="s">
        <v>86</v>
      </c>
      <c r="E201" s="11">
        <f t="shared" si="48"/>
        <v>6.0200000000000005</v>
      </c>
      <c r="F201" s="11">
        <f t="shared" si="47"/>
        <v>6.4499999999999966</v>
      </c>
      <c r="G201" t="s">
        <v>98</v>
      </c>
      <c r="H201" s="12" t="s">
        <v>13</v>
      </c>
      <c r="I201" s="4">
        <v>40179</v>
      </c>
      <c r="J201" t="s">
        <v>1</v>
      </c>
      <c r="K201" s="2">
        <v>0</v>
      </c>
      <c r="L201" s="2"/>
      <c r="M201" s="5">
        <v>5.83</v>
      </c>
      <c r="N201" s="5" t="s">
        <v>14</v>
      </c>
      <c r="O201" s="8"/>
      <c r="P201" s="1"/>
      <c r="Q201" s="1">
        <v>32.090000000000003</v>
      </c>
      <c r="R201" s="1"/>
      <c r="S201" s="3"/>
      <c r="T201" s="3"/>
      <c r="U201" s="3"/>
      <c r="V201" s="3"/>
      <c r="W201" s="3"/>
      <c r="X201" s="3"/>
      <c r="Y201" s="3"/>
      <c r="Z201" t="s">
        <v>358</v>
      </c>
      <c r="AA201" t="s">
        <v>99</v>
      </c>
    </row>
    <row r="202" spans="1:27" x14ac:dyDescent="0.25">
      <c r="A202">
        <v>103</v>
      </c>
      <c r="B202">
        <v>20</v>
      </c>
      <c r="C202">
        <f t="shared" si="49"/>
        <v>10320</v>
      </c>
      <c r="D202" s="3" t="s">
        <v>86</v>
      </c>
      <c r="E202" s="11">
        <f t="shared" si="48"/>
        <v>6.0600000000000005</v>
      </c>
      <c r="F202" s="11">
        <f t="shared" si="47"/>
        <v>6.4999999999999964</v>
      </c>
      <c r="G202" t="s">
        <v>98</v>
      </c>
      <c r="H202" s="12" t="s">
        <v>13</v>
      </c>
      <c r="I202" s="4">
        <v>40179</v>
      </c>
      <c r="J202" t="s">
        <v>1</v>
      </c>
      <c r="K202" s="2">
        <v>0</v>
      </c>
      <c r="L202" s="2"/>
      <c r="M202" s="5">
        <v>6.84</v>
      </c>
      <c r="N202" s="5">
        <v>2.34</v>
      </c>
      <c r="O202" s="8"/>
      <c r="P202" s="1"/>
      <c r="Q202" s="1">
        <v>29.05</v>
      </c>
      <c r="R202" s="1"/>
      <c r="S202" s="3"/>
      <c r="T202" s="3"/>
      <c r="U202" s="3"/>
      <c r="V202" s="3"/>
      <c r="W202" s="3"/>
      <c r="X202" s="3"/>
      <c r="Y202" s="3"/>
      <c r="Z202" t="s">
        <v>358</v>
      </c>
      <c r="AA202" t="s">
        <v>99</v>
      </c>
    </row>
    <row r="203" spans="1:27" x14ac:dyDescent="0.25">
      <c r="A203">
        <v>103</v>
      </c>
      <c r="B203">
        <v>21</v>
      </c>
      <c r="C203">
        <f t="shared" si="49"/>
        <v>10321</v>
      </c>
      <c r="D203" s="3" t="s">
        <v>86</v>
      </c>
      <c r="E203" s="11">
        <f t="shared" si="48"/>
        <v>6.1000000000000005</v>
      </c>
      <c r="F203" s="11">
        <f t="shared" si="47"/>
        <v>6.5499999999999963</v>
      </c>
      <c r="G203" t="s">
        <v>98</v>
      </c>
      <c r="H203" s="12" t="s">
        <v>13</v>
      </c>
      <c r="I203" s="4">
        <v>40179</v>
      </c>
      <c r="J203" t="s">
        <v>1</v>
      </c>
      <c r="K203" s="2">
        <v>0</v>
      </c>
      <c r="L203" s="2"/>
      <c r="M203" s="5">
        <v>2.36</v>
      </c>
      <c r="N203" s="5">
        <v>4.45</v>
      </c>
      <c r="O203" s="8"/>
      <c r="P203" s="1"/>
      <c r="Q203" s="1" t="s">
        <v>14</v>
      </c>
      <c r="R203" s="1"/>
      <c r="S203" s="3"/>
      <c r="T203" s="3"/>
      <c r="U203" s="3"/>
      <c r="V203" s="3"/>
      <c r="W203" s="3"/>
      <c r="X203" s="3"/>
      <c r="Y203" s="3"/>
      <c r="Z203" t="s">
        <v>358</v>
      </c>
      <c r="AA203" t="s">
        <v>99</v>
      </c>
    </row>
    <row r="204" spans="1:27" x14ac:dyDescent="0.25">
      <c r="A204">
        <v>104</v>
      </c>
      <c r="B204">
        <v>1</v>
      </c>
      <c r="C204">
        <f t="shared" si="49"/>
        <v>10401</v>
      </c>
      <c r="D204" s="3" t="s">
        <v>87</v>
      </c>
      <c r="E204" s="11">
        <f t="shared" ref="E204:F213" si="50">(E172+E173)/2</f>
        <v>-22.50888888888889</v>
      </c>
      <c r="F204" s="11">
        <f t="shared" si="50"/>
        <v>-40.542361111111113</v>
      </c>
      <c r="G204" s="12" t="s">
        <v>95</v>
      </c>
      <c r="H204" s="12" t="s">
        <v>13</v>
      </c>
      <c r="I204" s="4">
        <v>35551</v>
      </c>
      <c r="J204" t="s">
        <v>1</v>
      </c>
      <c r="K204" s="2">
        <v>0</v>
      </c>
      <c r="L204" s="2"/>
      <c r="M204" s="5">
        <v>1.6E-2</v>
      </c>
      <c r="N204" s="5" t="s">
        <v>14</v>
      </c>
      <c r="O204" s="8"/>
      <c r="P204" s="1"/>
      <c r="Q204" s="1"/>
      <c r="R204" s="1"/>
      <c r="S204" s="3"/>
      <c r="T204" s="3"/>
      <c r="U204" s="3"/>
      <c r="V204" s="3"/>
      <c r="W204" s="3"/>
      <c r="X204" s="3"/>
      <c r="Y204" s="3"/>
      <c r="Z204" t="s">
        <v>112</v>
      </c>
      <c r="AA204" t="s">
        <v>110</v>
      </c>
    </row>
    <row r="205" spans="1:27" x14ac:dyDescent="0.25">
      <c r="A205">
        <v>104</v>
      </c>
      <c r="B205">
        <v>1</v>
      </c>
      <c r="C205">
        <f t="shared" si="49"/>
        <v>10401</v>
      </c>
      <c r="D205" s="3" t="s">
        <v>87</v>
      </c>
      <c r="E205" s="11">
        <f t="shared" si="50"/>
        <v>-22.763333333333332</v>
      </c>
      <c r="F205" s="11">
        <f t="shared" si="50"/>
        <v>-40.753888888888888</v>
      </c>
      <c r="G205" s="12" t="s">
        <v>95</v>
      </c>
      <c r="H205" s="12" t="s">
        <v>13</v>
      </c>
      <c r="I205" s="4">
        <v>35582</v>
      </c>
      <c r="J205" t="s">
        <v>1</v>
      </c>
      <c r="K205" s="2">
        <v>0</v>
      </c>
      <c r="L205" s="2"/>
      <c r="M205" s="5">
        <v>2.2799999999999998</v>
      </c>
      <c r="N205" s="5">
        <v>1.6</v>
      </c>
      <c r="O205" s="8"/>
      <c r="P205" s="1"/>
      <c r="Q205" s="1"/>
      <c r="R205" s="1"/>
      <c r="S205" s="3"/>
      <c r="T205" s="3"/>
      <c r="U205" s="3"/>
      <c r="V205" s="3"/>
      <c r="W205" s="3"/>
      <c r="X205" s="3"/>
      <c r="Y205" s="3"/>
      <c r="Z205" t="s">
        <v>112</v>
      </c>
      <c r="AA205" t="s">
        <v>110</v>
      </c>
    </row>
    <row r="206" spans="1:27" x14ac:dyDescent="0.25">
      <c r="A206">
        <v>104</v>
      </c>
      <c r="B206">
        <v>1</v>
      </c>
      <c r="C206">
        <f t="shared" si="49"/>
        <v>10401</v>
      </c>
      <c r="D206" s="3" t="s">
        <v>87</v>
      </c>
      <c r="E206" s="11">
        <f t="shared" si="50"/>
        <v>-22.763333333333332</v>
      </c>
      <c r="F206" s="11">
        <f t="shared" si="50"/>
        <v>-40.753888888888888</v>
      </c>
      <c r="G206" s="12" t="s">
        <v>95</v>
      </c>
      <c r="H206" s="12" t="s">
        <v>13</v>
      </c>
      <c r="I206" s="4">
        <v>35582</v>
      </c>
      <c r="J206" t="s">
        <v>1</v>
      </c>
      <c r="K206" s="2">
        <v>0</v>
      </c>
      <c r="L206" s="2"/>
      <c r="M206" s="5">
        <v>2.52</v>
      </c>
      <c r="N206" s="5">
        <v>12</v>
      </c>
      <c r="O206" s="8"/>
      <c r="P206" s="1"/>
      <c r="Q206" s="1"/>
      <c r="R206" s="1"/>
      <c r="S206" s="3"/>
      <c r="T206" s="3"/>
      <c r="U206" s="3"/>
      <c r="V206" s="3"/>
      <c r="W206" s="3"/>
      <c r="X206" s="3"/>
      <c r="Y206" s="3"/>
      <c r="Z206" t="s">
        <v>112</v>
      </c>
      <c r="AA206" t="s">
        <v>110</v>
      </c>
    </row>
    <row r="207" spans="1:27" x14ac:dyDescent="0.25">
      <c r="A207">
        <v>104</v>
      </c>
      <c r="B207">
        <v>1</v>
      </c>
      <c r="C207">
        <f t="shared" si="49"/>
        <v>10401</v>
      </c>
      <c r="D207" s="3" t="s">
        <v>87</v>
      </c>
      <c r="E207" s="11">
        <f t="shared" si="50"/>
        <v>-22.763333333333332</v>
      </c>
      <c r="F207" s="11">
        <f t="shared" si="50"/>
        <v>-40.753888888888888</v>
      </c>
      <c r="G207" s="12" t="s">
        <v>95</v>
      </c>
      <c r="H207" s="12" t="s">
        <v>13</v>
      </c>
      <c r="I207" s="4">
        <v>35704</v>
      </c>
      <c r="J207" t="s">
        <v>1</v>
      </c>
      <c r="K207" s="2">
        <v>0</v>
      </c>
      <c r="L207" s="2"/>
      <c r="M207" s="5">
        <v>5.8999999999999997E-2</v>
      </c>
      <c r="N207" s="5">
        <v>0.19</v>
      </c>
      <c r="O207" s="8"/>
      <c r="P207" s="1"/>
      <c r="Q207" s="1"/>
      <c r="R207" s="1"/>
      <c r="S207" s="3"/>
      <c r="T207" s="3"/>
      <c r="U207" s="3"/>
      <c r="V207" s="3"/>
      <c r="W207" s="3"/>
      <c r="X207" s="3"/>
      <c r="Y207" s="3"/>
      <c r="Z207" t="s">
        <v>112</v>
      </c>
      <c r="AA207" t="s">
        <v>110</v>
      </c>
    </row>
    <row r="208" spans="1:27" x14ac:dyDescent="0.25">
      <c r="A208">
        <v>104</v>
      </c>
      <c r="B208">
        <v>1</v>
      </c>
      <c r="C208">
        <f t="shared" si="49"/>
        <v>10401</v>
      </c>
      <c r="D208" s="3" t="s">
        <v>87</v>
      </c>
      <c r="E208" s="11">
        <f t="shared" si="50"/>
        <v>-22.763333333333332</v>
      </c>
      <c r="F208" s="11">
        <f t="shared" si="50"/>
        <v>-40.753888888888888</v>
      </c>
      <c r="G208" s="12" t="s">
        <v>95</v>
      </c>
      <c r="H208" s="12" t="s">
        <v>13</v>
      </c>
      <c r="I208" s="4">
        <v>35704</v>
      </c>
      <c r="J208" t="s">
        <v>1</v>
      </c>
      <c r="K208" s="2">
        <v>0</v>
      </c>
      <c r="L208" s="2"/>
      <c r="M208" s="5">
        <v>7.5999999999999998E-2</v>
      </c>
      <c r="N208" s="5">
        <v>0.1</v>
      </c>
      <c r="O208" s="8"/>
      <c r="P208" s="1"/>
      <c r="Q208" s="1"/>
      <c r="R208" s="1"/>
      <c r="S208" s="3"/>
      <c r="T208" s="3"/>
      <c r="U208" s="3"/>
      <c r="V208" s="3"/>
      <c r="W208" s="3"/>
      <c r="X208" s="3"/>
      <c r="Y208" s="3"/>
      <c r="Z208" t="s">
        <v>112</v>
      </c>
      <c r="AA208" t="s">
        <v>110</v>
      </c>
    </row>
    <row r="209" spans="1:27" x14ac:dyDescent="0.25">
      <c r="A209">
        <v>104</v>
      </c>
      <c r="B209">
        <v>1</v>
      </c>
      <c r="C209">
        <f t="shared" si="49"/>
        <v>10401</v>
      </c>
      <c r="D209" s="3" t="s">
        <v>87</v>
      </c>
      <c r="E209" s="11">
        <f t="shared" si="50"/>
        <v>-22.763333333333332</v>
      </c>
      <c r="F209" s="11">
        <f t="shared" si="50"/>
        <v>-40.753888888888888</v>
      </c>
      <c r="G209" s="12" t="s">
        <v>95</v>
      </c>
      <c r="H209" s="12" t="s">
        <v>13</v>
      </c>
      <c r="I209" s="4">
        <v>35704</v>
      </c>
      <c r="J209" t="s">
        <v>1</v>
      </c>
      <c r="K209" s="2">
        <v>0</v>
      </c>
      <c r="L209" s="2"/>
      <c r="M209" s="5">
        <v>3.71</v>
      </c>
      <c r="N209" s="5">
        <v>8.11</v>
      </c>
      <c r="O209" s="8"/>
      <c r="P209" s="1"/>
      <c r="Q209" s="1"/>
      <c r="R209" s="1"/>
      <c r="S209" s="3"/>
      <c r="T209" s="3"/>
      <c r="U209" s="3"/>
      <c r="V209" s="3"/>
      <c r="W209" s="3"/>
      <c r="X209" s="3"/>
      <c r="Y209" s="3"/>
      <c r="Z209" t="s">
        <v>112</v>
      </c>
      <c r="AA209" t="s">
        <v>110</v>
      </c>
    </row>
    <row r="210" spans="1:27" x14ac:dyDescent="0.25">
      <c r="A210">
        <v>104</v>
      </c>
      <c r="B210">
        <v>1</v>
      </c>
      <c r="C210">
        <f t="shared" si="49"/>
        <v>10401</v>
      </c>
      <c r="D210" s="3" t="s">
        <v>87</v>
      </c>
      <c r="E210" s="11">
        <f t="shared" si="50"/>
        <v>-22.763333333333332</v>
      </c>
      <c r="F210" s="11">
        <f t="shared" si="50"/>
        <v>-40.753888888888888</v>
      </c>
      <c r="G210" s="12" t="s">
        <v>95</v>
      </c>
      <c r="H210" s="12" t="s">
        <v>13</v>
      </c>
      <c r="I210" s="4">
        <v>35704</v>
      </c>
      <c r="J210" t="s">
        <v>1</v>
      </c>
      <c r="K210" s="2">
        <v>0</v>
      </c>
      <c r="L210" s="2"/>
      <c r="M210" s="5">
        <v>2.74</v>
      </c>
      <c r="N210" s="5">
        <v>1.24</v>
      </c>
      <c r="O210" s="8"/>
      <c r="P210" s="1"/>
      <c r="Q210" s="1"/>
      <c r="R210" s="1"/>
      <c r="S210" s="3"/>
      <c r="T210" s="3"/>
      <c r="U210" s="3"/>
      <c r="V210" s="3"/>
      <c r="W210" s="3"/>
      <c r="X210" s="3"/>
      <c r="Y210" s="3"/>
      <c r="Z210" t="s">
        <v>112</v>
      </c>
      <c r="AA210" t="s">
        <v>110</v>
      </c>
    </row>
    <row r="211" spans="1:27" x14ac:dyDescent="0.25">
      <c r="A211">
        <v>104</v>
      </c>
      <c r="B211">
        <v>1</v>
      </c>
      <c r="C211">
        <f t="shared" si="49"/>
        <v>10401</v>
      </c>
      <c r="D211" s="3" t="s">
        <v>87</v>
      </c>
      <c r="E211" s="11">
        <f t="shared" si="50"/>
        <v>-22.763333333333332</v>
      </c>
      <c r="F211" s="11">
        <f t="shared" si="50"/>
        <v>-40.753888888888888</v>
      </c>
      <c r="G211" s="12" t="s">
        <v>95</v>
      </c>
      <c r="H211" s="12" t="s">
        <v>13</v>
      </c>
      <c r="I211" s="4">
        <v>35704</v>
      </c>
      <c r="J211" t="s">
        <v>1</v>
      </c>
      <c r="K211" s="2">
        <v>0</v>
      </c>
      <c r="L211" s="2"/>
      <c r="M211" s="5">
        <v>8.7999999999999995E-2</v>
      </c>
      <c r="N211" s="5">
        <v>0.35</v>
      </c>
      <c r="O211" s="8"/>
      <c r="P211" s="1"/>
      <c r="Q211" s="1"/>
      <c r="R211" s="1"/>
      <c r="S211" s="3"/>
      <c r="T211" s="3"/>
      <c r="U211" s="3"/>
      <c r="V211" s="3"/>
      <c r="W211" s="3"/>
      <c r="X211" s="3"/>
      <c r="Y211" s="3"/>
      <c r="Z211" t="s">
        <v>112</v>
      </c>
      <c r="AA211" t="s">
        <v>110</v>
      </c>
    </row>
    <row r="212" spans="1:27" x14ac:dyDescent="0.25">
      <c r="A212">
        <v>104</v>
      </c>
      <c r="B212">
        <v>1</v>
      </c>
      <c r="C212">
        <f t="shared" si="49"/>
        <v>10401</v>
      </c>
      <c r="D212" s="3" t="s">
        <v>87</v>
      </c>
      <c r="E212" s="11">
        <f t="shared" si="50"/>
        <v>-22.763333333333332</v>
      </c>
      <c r="F212" s="11">
        <f t="shared" si="50"/>
        <v>-40.753888888888888</v>
      </c>
      <c r="G212" s="12" t="s">
        <v>95</v>
      </c>
      <c r="H212" s="12" t="s">
        <v>13</v>
      </c>
      <c r="I212" s="4">
        <v>36008</v>
      </c>
      <c r="J212" t="s">
        <v>1</v>
      </c>
      <c r="K212" s="2">
        <v>0</v>
      </c>
      <c r="L212" s="2"/>
      <c r="M212" s="5" t="s">
        <v>14</v>
      </c>
      <c r="N212" s="5" t="s">
        <v>14</v>
      </c>
      <c r="O212" s="8"/>
      <c r="P212" s="1"/>
      <c r="Q212" s="1"/>
      <c r="R212" s="1"/>
      <c r="S212" s="3"/>
      <c r="T212" s="3"/>
      <c r="U212" s="3"/>
      <c r="V212" s="3"/>
      <c r="W212" s="3"/>
      <c r="X212" s="3"/>
      <c r="Y212" s="3"/>
      <c r="Z212" t="s">
        <v>112</v>
      </c>
      <c r="AA212" t="s">
        <v>110</v>
      </c>
    </row>
    <row r="213" spans="1:27" x14ac:dyDescent="0.25">
      <c r="A213">
        <v>104</v>
      </c>
      <c r="B213">
        <v>1</v>
      </c>
      <c r="C213">
        <f t="shared" si="49"/>
        <v>10401</v>
      </c>
      <c r="D213" s="3" t="s">
        <v>87</v>
      </c>
      <c r="E213" s="11">
        <f t="shared" si="50"/>
        <v>-22.763333333333332</v>
      </c>
      <c r="F213" s="11">
        <f t="shared" si="50"/>
        <v>-40.753888888888888</v>
      </c>
      <c r="G213" s="12" t="s">
        <v>95</v>
      </c>
      <c r="H213" s="12" t="s">
        <v>13</v>
      </c>
      <c r="I213" s="4">
        <v>36008</v>
      </c>
      <c r="J213" t="s">
        <v>1</v>
      </c>
      <c r="K213" s="2">
        <v>0</v>
      </c>
      <c r="L213" s="2"/>
      <c r="M213" s="5">
        <v>0.183</v>
      </c>
      <c r="N213" s="5" t="s">
        <v>14</v>
      </c>
      <c r="O213" s="8"/>
      <c r="P213" s="1"/>
      <c r="Q213" s="1"/>
      <c r="R213" s="1"/>
      <c r="S213" s="3"/>
      <c r="T213" s="3"/>
      <c r="U213" s="3"/>
      <c r="V213" s="3"/>
      <c r="W213" s="3"/>
      <c r="X213" s="3"/>
      <c r="Y213" s="3"/>
      <c r="Z213" t="s">
        <v>112</v>
      </c>
      <c r="AA213" t="s">
        <v>110</v>
      </c>
    </row>
    <row r="214" spans="1:27" x14ac:dyDescent="0.25">
      <c r="A214">
        <v>105</v>
      </c>
      <c r="B214">
        <v>1</v>
      </c>
      <c r="C214">
        <f t="shared" si="49"/>
        <v>10501</v>
      </c>
      <c r="D214" s="3" t="s">
        <v>86</v>
      </c>
      <c r="E214" s="11">
        <v>58.216999999999999</v>
      </c>
      <c r="F214" s="11">
        <v>9.9269999999999996</v>
      </c>
      <c r="G214" s="12" t="s">
        <v>144</v>
      </c>
      <c r="H214" s="12" t="s">
        <v>113</v>
      </c>
      <c r="I214" t="s">
        <v>114</v>
      </c>
      <c r="J214" t="s">
        <v>20</v>
      </c>
      <c r="K214" s="2">
        <v>0</v>
      </c>
      <c r="L214" s="2"/>
      <c r="M214" s="5">
        <v>22.1</v>
      </c>
      <c r="N214" s="5">
        <v>38.5</v>
      </c>
      <c r="O214" s="8"/>
      <c r="P214" s="1"/>
      <c r="Q214" s="1">
        <v>663.1</v>
      </c>
      <c r="R214" s="1"/>
      <c r="S214" s="3"/>
      <c r="T214" s="3"/>
      <c r="U214" s="3"/>
      <c r="V214" s="3"/>
      <c r="W214" s="3"/>
      <c r="X214" s="3"/>
      <c r="Y214" s="3"/>
      <c r="Z214" s="28" t="s">
        <v>115</v>
      </c>
      <c r="AA214" t="s">
        <v>116</v>
      </c>
    </row>
    <row r="215" spans="1:27" x14ac:dyDescent="0.25">
      <c r="A215">
        <v>105</v>
      </c>
      <c r="B215">
        <v>2</v>
      </c>
      <c r="C215">
        <f t="shared" si="49"/>
        <v>10502</v>
      </c>
      <c r="D215" s="3" t="s">
        <v>86</v>
      </c>
      <c r="E215" s="11">
        <v>58.414999999999999</v>
      </c>
      <c r="F215" s="11">
        <v>9.5060000000000002</v>
      </c>
      <c r="G215" s="12" t="s">
        <v>144</v>
      </c>
      <c r="H215" s="12" t="s">
        <v>113</v>
      </c>
      <c r="I215" t="s">
        <v>114</v>
      </c>
      <c r="J215" t="s">
        <v>20</v>
      </c>
      <c r="K215" s="14">
        <v>0</v>
      </c>
      <c r="L215" s="14"/>
      <c r="M215" s="5">
        <v>29.3</v>
      </c>
      <c r="N215" s="5">
        <v>40.4</v>
      </c>
      <c r="O215" s="8"/>
      <c r="P215" s="1"/>
      <c r="Q215" s="1">
        <v>682.2</v>
      </c>
      <c r="R215" s="1"/>
      <c r="S215" s="3"/>
      <c r="T215" s="3"/>
      <c r="U215" s="3"/>
      <c r="V215" s="3"/>
      <c r="W215" s="3"/>
      <c r="X215" s="3"/>
      <c r="Y215" s="3"/>
      <c r="Z215" s="28" t="s">
        <v>115</v>
      </c>
      <c r="AA215" t="s">
        <v>117</v>
      </c>
    </row>
    <row r="216" spans="1:27" x14ac:dyDescent="0.25">
      <c r="A216">
        <v>105</v>
      </c>
      <c r="B216">
        <v>3</v>
      </c>
      <c r="C216">
        <f t="shared" si="49"/>
        <v>10503</v>
      </c>
      <c r="D216" s="3" t="s">
        <v>86</v>
      </c>
      <c r="E216" s="11">
        <v>58.354999999999997</v>
      </c>
      <c r="F216" s="11">
        <v>9.625</v>
      </c>
      <c r="G216" s="12" t="s">
        <v>144</v>
      </c>
      <c r="H216" s="12" t="s">
        <v>113</v>
      </c>
      <c r="I216" t="s">
        <v>114</v>
      </c>
      <c r="J216" t="s">
        <v>20</v>
      </c>
      <c r="K216" s="14">
        <v>0</v>
      </c>
      <c r="L216" s="14"/>
      <c r="M216" s="5">
        <v>35.200000000000003</v>
      </c>
      <c r="N216" s="5">
        <v>38.1</v>
      </c>
      <c r="O216" s="8"/>
      <c r="P216" s="1"/>
      <c r="Q216" s="1">
        <v>683.5</v>
      </c>
      <c r="R216" s="1"/>
      <c r="S216" s="3"/>
      <c r="T216" s="3"/>
      <c r="U216" s="3"/>
      <c r="V216" s="3"/>
      <c r="W216" s="3"/>
      <c r="X216" s="3"/>
      <c r="Y216" s="3"/>
      <c r="Z216" s="28" t="s">
        <v>115</v>
      </c>
      <c r="AA216" t="s">
        <v>118</v>
      </c>
    </row>
    <row r="217" spans="1:27" x14ac:dyDescent="0.25">
      <c r="A217">
        <v>105</v>
      </c>
      <c r="B217">
        <v>4</v>
      </c>
      <c r="C217">
        <f t="shared" si="49"/>
        <v>10504</v>
      </c>
      <c r="D217" s="3" t="s">
        <v>86</v>
      </c>
      <c r="E217" s="11">
        <v>58.164999999999999</v>
      </c>
      <c r="F217" s="11">
        <v>9.5180000000000007</v>
      </c>
      <c r="G217" s="12" t="s">
        <v>144</v>
      </c>
      <c r="H217" s="12" t="s">
        <v>113</v>
      </c>
      <c r="I217" t="s">
        <v>114</v>
      </c>
      <c r="J217" t="s">
        <v>20</v>
      </c>
      <c r="K217" s="14">
        <v>0</v>
      </c>
      <c r="L217" s="14"/>
      <c r="M217" s="5">
        <v>27.8</v>
      </c>
      <c r="N217" s="5">
        <v>37.9</v>
      </c>
      <c r="O217" s="8"/>
      <c r="P217" s="1"/>
      <c r="Q217" s="1">
        <v>687.8</v>
      </c>
      <c r="R217" s="1"/>
      <c r="S217" s="3"/>
      <c r="T217" s="3"/>
      <c r="U217" s="3"/>
      <c r="V217" s="3"/>
      <c r="W217" s="3"/>
      <c r="X217" s="3"/>
      <c r="Y217" s="3"/>
      <c r="Z217" s="28" t="s">
        <v>115</v>
      </c>
      <c r="AA217" t="s">
        <v>119</v>
      </c>
    </row>
    <row r="218" spans="1:27" x14ac:dyDescent="0.25">
      <c r="A218">
        <v>105</v>
      </c>
      <c r="B218">
        <v>5</v>
      </c>
      <c r="C218">
        <f t="shared" si="49"/>
        <v>10505</v>
      </c>
      <c r="D218" s="3" t="s">
        <v>86</v>
      </c>
      <c r="E218" s="11">
        <v>58.161299999999997</v>
      </c>
      <c r="F218" s="11">
        <v>5.9177999999999997</v>
      </c>
      <c r="G218" s="12" t="s">
        <v>144</v>
      </c>
      <c r="H218" s="12" t="s">
        <v>113</v>
      </c>
      <c r="I218" t="s">
        <v>114</v>
      </c>
      <c r="J218" t="s">
        <v>20</v>
      </c>
      <c r="K218" s="14">
        <v>0</v>
      </c>
      <c r="L218" s="14"/>
      <c r="M218" s="5">
        <v>25.7</v>
      </c>
      <c r="N218" s="5">
        <v>40.5</v>
      </c>
      <c r="O218" s="8"/>
      <c r="P218" s="1"/>
      <c r="Q218" s="1">
        <v>730.7</v>
      </c>
      <c r="R218" s="1"/>
      <c r="S218" s="3"/>
      <c r="T218" s="3"/>
      <c r="U218" s="3"/>
      <c r="V218" s="3"/>
      <c r="W218" s="3"/>
      <c r="X218" s="3"/>
      <c r="Y218" s="3"/>
      <c r="Z218" s="28" t="s">
        <v>115</v>
      </c>
      <c r="AA218" t="s">
        <v>120</v>
      </c>
    </row>
    <row r="219" spans="1:27" x14ac:dyDescent="0.25">
      <c r="A219">
        <v>105</v>
      </c>
      <c r="B219">
        <v>6</v>
      </c>
      <c r="C219">
        <f t="shared" si="49"/>
        <v>10506</v>
      </c>
      <c r="D219" s="3" t="s">
        <v>86</v>
      </c>
      <c r="E219" s="11">
        <v>58.264000000000003</v>
      </c>
      <c r="F219" s="11">
        <v>6.0797999999999996</v>
      </c>
      <c r="G219" s="12" t="s">
        <v>144</v>
      </c>
      <c r="H219" s="12" t="s">
        <v>113</v>
      </c>
      <c r="I219" t="s">
        <v>114</v>
      </c>
      <c r="J219" t="s">
        <v>20</v>
      </c>
      <c r="K219" s="14">
        <v>0</v>
      </c>
      <c r="L219" s="14"/>
      <c r="M219" s="5">
        <v>19.899999999999999</v>
      </c>
      <c r="N219" s="5">
        <v>33.4</v>
      </c>
      <c r="O219" s="8"/>
      <c r="P219" s="1"/>
      <c r="Q219" s="1">
        <v>654.5</v>
      </c>
      <c r="R219" s="1"/>
      <c r="S219" s="3"/>
      <c r="T219" s="3"/>
      <c r="U219" s="3"/>
      <c r="V219" s="3"/>
      <c r="W219" s="3"/>
      <c r="X219" s="3"/>
      <c r="Y219" s="3"/>
      <c r="Z219" s="28" t="s">
        <v>115</v>
      </c>
      <c r="AA219" t="s">
        <v>121</v>
      </c>
    </row>
    <row r="220" spans="1:27" x14ac:dyDescent="0.25">
      <c r="A220">
        <v>105</v>
      </c>
      <c r="B220">
        <v>7</v>
      </c>
      <c r="C220">
        <f t="shared" si="49"/>
        <v>10507</v>
      </c>
      <c r="D220" s="3" t="s">
        <v>86</v>
      </c>
      <c r="E220" s="11">
        <v>58.124099999999999</v>
      </c>
      <c r="F220" s="11">
        <v>5.6367000000000003</v>
      </c>
      <c r="G220" s="12" t="s">
        <v>144</v>
      </c>
      <c r="H220" s="12" t="s">
        <v>113</v>
      </c>
      <c r="I220" t="s">
        <v>114</v>
      </c>
      <c r="J220" t="s">
        <v>20</v>
      </c>
      <c r="K220" s="14">
        <v>0</v>
      </c>
      <c r="L220" s="14"/>
      <c r="M220" s="5">
        <v>23.8</v>
      </c>
      <c r="N220" s="5">
        <v>37.1</v>
      </c>
      <c r="O220" s="8"/>
      <c r="P220" s="1"/>
      <c r="Q220" s="1">
        <v>641</v>
      </c>
      <c r="R220" s="1"/>
      <c r="S220" s="3"/>
      <c r="T220" s="3"/>
      <c r="U220" s="3"/>
      <c r="V220" s="3"/>
      <c r="W220" s="3"/>
      <c r="X220" s="3"/>
      <c r="Y220" s="3"/>
      <c r="Z220" s="28" t="s">
        <v>115</v>
      </c>
      <c r="AA220" t="s">
        <v>122</v>
      </c>
    </row>
    <row r="221" spans="1:27" x14ac:dyDescent="0.25">
      <c r="A221">
        <v>105</v>
      </c>
      <c r="B221">
        <v>8</v>
      </c>
      <c r="C221">
        <f t="shared" si="49"/>
        <v>10508</v>
      </c>
      <c r="D221" s="3" t="s">
        <v>86</v>
      </c>
      <c r="E221" s="11">
        <v>58.273200000000003</v>
      </c>
      <c r="F221" s="11">
        <v>5.6558999999999999</v>
      </c>
      <c r="G221" s="12" t="s">
        <v>144</v>
      </c>
      <c r="H221" s="12" t="s">
        <v>113</v>
      </c>
      <c r="I221" t="s">
        <v>114</v>
      </c>
      <c r="J221" t="s">
        <v>20</v>
      </c>
      <c r="K221" s="14">
        <v>0</v>
      </c>
      <c r="L221" s="14"/>
      <c r="M221" s="5">
        <v>21.1</v>
      </c>
      <c r="N221" s="5">
        <v>36.200000000000003</v>
      </c>
      <c r="O221" s="8"/>
      <c r="P221" s="1"/>
      <c r="Q221" s="1">
        <v>644.9</v>
      </c>
      <c r="R221" s="1"/>
      <c r="S221" s="3"/>
      <c r="T221" s="3"/>
      <c r="U221" s="3"/>
      <c r="V221" s="3"/>
      <c r="W221" s="3"/>
      <c r="X221" s="3"/>
      <c r="Y221" s="3"/>
      <c r="Z221" s="28" t="s">
        <v>115</v>
      </c>
      <c r="AA221" t="s">
        <v>123</v>
      </c>
    </row>
    <row r="222" spans="1:27" x14ac:dyDescent="0.25">
      <c r="A222">
        <v>106</v>
      </c>
      <c r="B222">
        <v>1</v>
      </c>
      <c r="C222">
        <f t="shared" si="49"/>
        <v>10601</v>
      </c>
      <c r="D222" s="3" t="s">
        <v>87</v>
      </c>
      <c r="E222" s="11">
        <f>2+53/60+32.91/3600</f>
        <v>2.8924750000000001</v>
      </c>
      <c r="F222" s="11">
        <f>4+42/60+7.06/3600</f>
        <v>4.7019611111111113</v>
      </c>
      <c r="G222" s="12" t="s">
        <v>98</v>
      </c>
      <c r="H222" s="12" t="s">
        <v>13</v>
      </c>
      <c r="I222" s="4">
        <v>32690</v>
      </c>
      <c r="J222" t="s">
        <v>125</v>
      </c>
      <c r="K222" s="2">
        <v>0</v>
      </c>
      <c r="L222" s="2"/>
      <c r="M222" s="5">
        <v>780</v>
      </c>
      <c r="N222" s="5"/>
      <c r="O222" s="8"/>
      <c r="P222" s="1"/>
      <c r="Q222" s="1"/>
      <c r="R222" s="1"/>
      <c r="S222" s="3"/>
      <c r="T222" s="3"/>
      <c r="U222" s="3" t="s">
        <v>14</v>
      </c>
      <c r="V222" s="3"/>
      <c r="W222" s="3"/>
      <c r="X222" s="3" t="s">
        <v>14</v>
      </c>
      <c r="Y222" s="3"/>
      <c r="Z222" s="28" t="s">
        <v>124</v>
      </c>
      <c r="AA222" t="s">
        <v>126</v>
      </c>
    </row>
    <row r="223" spans="1:27" x14ac:dyDescent="0.25">
      <c r="A223">
        <v>106</v>
      </c>
      <c r="B223">
        <v>2</v>
      </c>
      <c r="C223">
        <f t="shared" si="49"/>
        <v>10602</v>
      </c>
      <c r="D223" s="3" t="s">
        <v>87</v>
      </c>
      <c r="E223" s="11">
        <v>41.8</v>
      </c>
      <c r="F223" s="11">
        <v>17.3</v>
      </c>
      <c r="G223" s="12" t="s">
        <v>127</v>
      </c>
      <c r="H223" s="12" t="s">
        <v>128</v>
      </c>
      <c r="I223" s="4">
        <v>32690</v>
      </c>
      <c r="J223" t="s">
        <v>130</v>
      </c>
      <c r="K223" s="2">
        <v>0</v>
      </c>
      <c r="L223" s="2"/>
      <c r="M223" s="5">
        <v>0.06</v>
      </c>
      <c r="N223" s="5"/>
      <c r="O223" s="8"/>
      <c r="P223" s="1"/>
      <c r="Q223" s="1"/>
      <c r="R223" s="1"/>
      <c r="S223" s="3"/>
      <c r="T223" s="3"/>
      <c r="U223" s="3" t="s">
        <v>14</v>
      </c>
      <c r="V223" s="3"/>
      <c r="W223" s="3"/>
      <c r="X223" s="3">
        <v>7.3000000000000001E-3</v>
      </c>
      <c r="Y223" s="3"/>
      <c r="Z223" s="28" t="s">
        <v>124</v>
      </c>
      <c r="AA223" t="s">
        <v>131</v>
      </c>
    </row>
    <row r="224" spans="1:27" x14ac:dyDescent="0.25">
      <c r="A224">
        <v>106</v>
      </c>
      <c r="B224">
        <v>3</v>
      </c>
      <c r="C224">
        <f t="shared" si="49"/>
        <v>10603</v>
      </c>
      <c r="D224" s="3" t="s">
        <v>87</v>
      </c>
      <c r="E224" s="11">
        <v>5.01</v>
      </c>
      <c r="F224" s="11">
        <v>5.89</v>
      </c>
      <c r="G224" s="12" t="s">
        <v>129</v>
      </c>
      <c r="H224" s="12" t="s">
        <v>13</v>
      </c>
      <c r="I224" s="4">
        <v>32690</v>
      </c>
      <c r="J224" t="s">
        <v>130</v>
      </c>
      <c r="K224" s="2">
        <v>0</v>
      </c>
      <c r="L224" s="2"/>
      <c r="M224" s="5">
        <v>5</v>
      </c>
      <c r="N224" s="5"/>
      <c r="O224" s="8"/>
      <c r="P224" s="1"/>
      <c r="Q224" s="1"/>
      <c r="R224" s="1"/>
      <c r="S224" s="3"/>
      <c r="T224" s="3"/>
      <c r="U224" s="3" t="s">
        <v>14</v>
      </c>
      <c r="V224" s="3"/>
      <c r="W224" s="3"/>
      <c r="X224" s="3" t="s">
        <v>14</v>
      </c>
      <c r="Y224" s="3"/>
      <c r="Z224" s="28" t="s">
        <v>124</v>
      </c>
      <c r="AA224" t="s">
        <v>131</v>
      </c>
    </row>
    <row r="225" spans="1:27" x14ac:dyDescent="0.25">
      <c r="A225">
        <v>107</v>
      </c>
      <c r="B225">
        <v>1</v>
      </c>
      <c r="C225">
        <f t="shared" si="49"/>
        <v>10701</v>
      </c>
      <c r="D225" s="3" t="s">
        <v>87</v>
      </c>
      <c r="E225" s="11">
        <v>4.1100000000000003</v>
      </c>
      <c r="F225" s="11">
        <v>25.12</v>
      </c>
      <c r="G225" s="12" t="s">
        <v>134</v>
      </c>
      <c r="H225" s="12" t="s">
        <v>13</v>
      </c>
      <c r="I225" s="4">
        <v>33239</v>
      </c>
      <c r="J225" t="s">
        <v>1</v>
      </c>
      <c r="K225" s="2">
        <v>0</v>
      </c>
      <c r="L225" s="2"/>
      <c r="M225" s="5">
        <v>0.06</v>
      </c>
      <c r="N225" s="5"/>
      <c r="O225" s="8"/>
      <c r="P225" s="1"/>
      <c r="Q225" s="1"/>
      <c r="R225" s="1"/>
      <c r="S225" s="3"/>
      <c r="T225" s="3"/>
      <c r="U225" s="3">
        <v>7.0000000000000001E-3</v>
      </c>
      <c r="V225" s="3"/>
      <c r="W225" s="3"/>
      <c r="X225" s="3" t="s">
        <v>14</v>
      </c>
      <c r="Y225" s="3"/>
      <c r="Z225" s="28" t="s">
        <v>132</v>
      </c>
      <c r="AA225" t="s">
        <v>133</v>
      </c>
    </row>
    <row r="226" spans="1:27" x14ac:dyDescent="0.25">
      <c r="A226">
        <v>108</v>
      </c>
      <c r="B226">
        <v>1</v>
      </c>
      <c r="C226">
        <f t="shared" si="49"/>
        <v>10801</v>
      </c>
      <c r="D226" s="3" t="s">
        <v>87</v>
      </c>
      <c r="E226" s="11">
        <v>26.18</v>
      </c>
      <c r="F226" s="11">
        <v>-97.08</v>
      </c>
      <c r="G226" s="12" t="s">
        <v>15</v>
      </c>
      <c r="H226" s="12" t="s">
        <v>17</v>
      </c>
      <c r="I226" s="4">
        <v>33786</v>
      </c>
      <c r="J226" t="s">
        <v>1</v>
      </c>
      <c r="K226" s="2">
        <v>0</v>
      </c>
      <c r="L226" s="2"/>
      <c r="M226" s="5">
        <v>9.7058570568504074E-2</v>
      </c>
      <c r="N226" s="5"/>
      <c r="O226" s="8"/>
      <c r="P226" s="1"/>
      <c r="Q226" s="1"/>
      <c r="R226" s="1"/>
      <c r="S226" s="3"/>
      <c r="T226" s="3"/>
      <c r="U226" s="3"/>
      <c r="V226" s="3"/>
      <c r="W226" s="3"/>
      <c r="X226" s="3"/>
      <c r="Y226" s="3"/>
      <c r="Z226" s="28" t="s">
        <v>136</v>
      </c>
      <c r="AA226" t="s">
        <v>135</v>
      </c>
    </row>
    <row r="227" spans="1:27" x14ac:dyDescent="0.25">
      <c r="A227">
        <v>108</v>
      </c>
      <c r="B227">
        <v>2</v>
      </c>
      <c r="C227">
        <f t="shared" si="49"/>
        <v>10802</v>
      </c>
      <c r="D227" s="3" t="s">
        <v>87</v>
      </c>
      <c r="E227" s="11">
        <v>26.81</v>
      </c>
      <c r="F227" s="11">
        <v>-97.215400000000002</v>
      </c>
      <c r="G227" s="12" t="s">
        <v>15</v>
      </c>
      <c r="H227" s="12" t="s">
        <v>17</v>
      </c>
      <c r="I227" s="4">
        <v>33786</v>
      </c>
      <c r="J227" t="s">
        <v>1</v>
      </c>
      <c r="K227" s="2">
        <v>0</v>
      </c>
      <c r="L227" s="2"/>
      <c r="M227" s="5">
        <v>0.77646856454803226</v>
      </c>
      <c r="N227" s="5"/>
      <c r="O227" s="8"/>
      <c r="P227" s="1"/>
      <c r="Q227" s="1"/>
      <c r="R227" s="1"/>
      <c r="S227" s="3"/>
      <c r="T227" s="3"/>
      <c r="U227" s="3"/>
      <c r="V227" s="3"/>
      <c r="W227" s="3"/>
      <c r="X227" s="3"/>
      <c r="Y227" s="3"/>
      <c r="Z227" s="28" t="s">
        <v>136</v>
      </c>
      <c r="AA227" t="s">
        <v>135</v>
      </c>
    </row>
    <row r="228" spans="1:27" x14ac:dyDescent="0.25">
      <c r="A228">
        <v>108</v>
      </c>
      <c r="B228">
        <v>3</v>
      </c>
      <c r="C228">
        <f t="shared" si="49"/>
        <v>10803</v>
      </c>
      <c r="D228" s="3" t="s">
        <v>87</v>
      </c>
      <c r="E228" s="11">
        <v>26.92</v>
      </c>
      <c r="F228" s="11">
        <f>F227+0.1</f>
        <v>-97.115400000000008</v>
      </c>
      <c r="G228" s="12" t="s">
        <v>15</v>
      </c>
      <c r="H228" s="12" t="s">
        <v>17</v>
      </c>
      <c r="I228" s="4">
        <v>33786</v>
      </c>
      <c r="J228" t="s">
        <v>1</v>
      </c>
      <c r="K228" s="2">
        <v>0</v>
      </c>
      <c r="L228" s="2"/>
      <c r="M228" s="5">
        <v>0.97082437430119495</v>
      </c>
      <c r="N228" s="5"/>
      <c r="O228" s="8"/>
      <c r="P228" s="1"/>
      <c r="Q228" s="1"/>
      <c r="R228" s="1"/>
      <c r="S228" s="3"/>
      <c r="T228" s="3"/>
      <c r="U228" s="3"/>
      <c r="V228" s="3"/>
      <c r="W228" s="3"/>
      <c r="X228" s="3"/>
      <c r="Y228" s="3"/>
      <c r="Z228" s="28" t="s">
        <v>136</v>
      </c>
      <c r="AA228" t="s">
        <v>135</v>
      </c>
    </row>
    <row r="229" spans="1:27" x14ac:dyDescent="0.25">
      <c r="A229">
        <v>108</v>
      </c>
      <c r="B229">
        <v>4</v>
      </c>
      <c r="C229">
        <f t="shared" si="49"/>
        <v>10804</v>
      </c>
      <c r="D229" s="3" t="s">
        <v>87</v>
      </c>
      <c r="E229" s="11">
        <v>27.1</v>
      </c>
      <c r="F229" s="11">
        <f>F228+0.1</f>
        <v>-97.015400000000014</v>
      </c>
      <c r="G229" s="12" t="s">
        <v>15</v>
      </c>
      <c r="H229" s="12" t="s">
        <v>17</v>
      </c>
      <c r="I229" s="4">
        <v>33786</v>
      </c>
      <c r="J229" t="s">
        <v>1</v>
      </c>
      <c r="K229" s="2">
        <v>0</v>
      </c>
      <c r="L229" s="2"/>
      <c r="M229" s="5">
        <v>2.9610024081878357</v>
      </c>
      <c r="N229" s="5"/>
      <c r="O229" s="8"/>
      <c r="P229" s="1"/>
      <c r="Q229" s="1"/>
      <c r="R229" s="1"/>
      <c r="S229" s="3"/>
      <c r="T229" s="3"/>
      <c r="U229" s="3"/>
      <c r="V229" s="3"/>
      <c r="W229" s="3"/>
      <c r="X229" s="3"/>
      <c r="Y229" s="3"/>
      <c r="Z229" s="28" t="s">
        <v>136</v>
      </c>
      <c r="AA229" t="s">
        <v>135</v>
      </c>
    </row>
    <row r="230" spans="1:27" x14ac:dyDescent="0.25">
      <c r="A230">
        <v>108</v>
      </c>
      <c r="B230">
        <v>5</v>
      </c>
      <c r="C230">
        <f t="shared" si="49"/>
        <v>10805</v>
      </c>
      <c r="D230" s="3" t="s">
        <v>87</v>
      </c>
      <c r="E230" s="11">
        <v>27.21</v>
      </c>
      <c r="F230" s="11">
        <v>-96.2</v>
      </c>
      <c r="G230" s="12" t="s">
        <v>15</v>
      </c>
      <c r="H230" s="12" t="s">
        <v>17</v>
      </c>
      <c r="I230" s="4">
        <v>33786</v>
      </c>
      <c r="J230" t="s">
        <v>1</v>
      </c>
      <c r="K230" s="2">
        <v>0</v>
      </c>
      <c r="L230" s="2"/>
      <c r="M230" s="5">
        <v>3.4696052292078772</v>
      </c>
      <c r="N230" s="5"/>
      <c r="O230" s="8"/>
      <c r="P230" s="1"/>
      <c r="Q230" s="1"/>
      <c r="R230" s="1"/>
      <c r="S230" s="3"/>
      <c r="T230" s="3"/>
      <c r="U230" s="3"/>
      <c r="V230" s="3"/>
      <c r="W230" s="3"/>
      <c r="X230" s="3"/>
      <c r="Y230" s="3"/>
      <c r="Z230" s="28" t="s">
        <v>136</v>
      </c>
      <c r="AA230" t="s">
        <v>135</v>
      </c>
    </row>
    <row r="231" spans="1:27" x14ac:dyDescent="0.25">
      <c r="A231">
        <v>108</v>
      </c>
      <c r="B231">
        <v>6</v>
      </c>
      <c r="C231">
        <f t="shared" si="49"/>
        <v>10806</v>
      </c>
      <c r="D231" s="3" t="s">
        <v>87</v>
      </c>
      <c r="E231" s="11">
        <v>27.32</v>
      </c>
      <c r="F231" s="11">
        <f>F230+0.1035</f>
        <v>-96.096500000000006</v>
      </c>
      <c r="G231" s="12" t="s">
        <v>15</v>
      </c>
      <c r="H231" s="12" t="s">
        <v>17</v>
      </c>
      <c r="I231" s="4">
        <v>33786</v>
      </c>
      <c r="J231" t="s">
        <v>1</v>
      </c>
      <c r="K231" s="2">
        <v>0</v>
      </c>
      <c r="L231" s="2"/>
      <c r="M231" s="5">
        <v>5.8355272211232316</v>
      </c>
      <c r="N231" s="5"/>
      <c r="O231" s="8"/>
      <c r="P231" s="1"/>
      <c r="Q231" s="1"/>
      <c r="R231" s="1"/>
      <c r="S231" s="3"/>
      <c r="T231" s="3"/>
      <c r="U231" s="3"/>
      <c r="V231" s="3"/>
      <c r="W231" s="3"/>
      <c r="X231" s="3"/>
      <c r="Y231" s="3"/>
      <c r="Z231" s="28" t="s">
        <v>136</v>
      </c>
      <c r="AA231" t="s">
        <v>135</v>
      </c>
    </row>
    <row r="232" spans="1:27" x14ac:dyDescent="0.25">
      <c r="A232">
        <v>108</v>
      </c>
      <c r="B232">
        <v>7</v>
      </c>
      <c r="C232">
        <f t="shared" si="49"/>
        <v>10807</v>
      </c>
      <c r="D232" s="3" t="s">
        <v>87</v>
      </c>
      <c r="E232" s="11">
        <v>27.43</v>
      </c>
      <c r="F232" s="11">
        <f>F231+0.1</f>
        <v>-95.996500000000012</v>
      </c>
      <c r="G232" s="12" t="s">
        <v>15</v>
      </c>
      <c r="H232" s="12" t="s">
        <v>17</v>
      </c>
      <c r="I232" s="4">
        <v>33786</v>
      </c>
      <c r="J232" t="s">
        <v>1</v>
      </c>
      <c r="K232" s="2">
        <v>0</v>
      </c>
      <c r="L232" s="2"/>
      <c r="M232" s="5">
        <v>7.0120043863420998</v>
      </c>
      <c r="N232" s="5"/>
      <c r="O232" s="8"/>
      <c r="P232" s="1"/>
      <c r="Q232" s="1"/>
      <c r="R232" s="1"/>
      <c r="S232" s="3"/>
      <c r="T232" s="3"/>
      <c r="U232" s="3"/>
      <c r="V232" s="3"/>
      <c r="W232" s="3"/>
      <c r="X232" s="3"/>
      <c r="Y232" s="3"/>
      <c r="Z232" s="28" t="s">
        <v>136</v>
      </c>
      <c r="AA232" t="s">
        <v>135</v>
      </c>
    </row>
    <row r="233" spans="1:27" x14ac:dyDescent="0.25">
      <c r="A233">
        <v>108</v>
      </c>
      <c r="B233">
        <v>8</v>
      </c>
      <c r="C233">
        <f t="shared" si="49"/>
        <v>10808</v>
      </c>
      <c r="D233" s="3" t="s">
        <v>87</v>
      </c>
      <c r="E233" s="11">
        <v>27.55</v>
      </c>
      <c r="F233" s="11">
        <f>F232+0.1</f>
        <v>-95.896500000000017</v>
      </c>
      <c r="G233" s="12" t="s">
        <v>15</v>
      </c>
      <c r="H233" s="12" t="s">
        <v>17</v>
      </c>
      <c r="I233" s="4">
        <v>33786</v>
      </c>
      <c r="J233" t="s">
        <v>1</v>
      </c>
      <c r="K233" s="2">
        <v>0</v>
      </c>
      <c r="L233" s="2"/>
      <c r="M233" s="5">
        <v>8.57671583383501</v>
      </c>
      <c r="N233" s="5"/>
      <c r="O233" s="8"/>
      <c r="P233" s="1"/>
      <c r="Q233" s="1"/>
      <c r="R233" s="1"/>
      <c r="S233" s="3"/>
      <c r="T233" s="3"/>
      <c r="U233" s="3"/>
      <c r="V233" s="3"/>
      <c r="W233" s="3"/>
      <c r="X233" s="3"/>
      <c r="Y233" s="3"/>
      <c r="Z233" s="28" t="s">
        <v>136</v>
      </c>
      <c r="AA233" t="s">
        <v>135</v>
      </c>
    </row>
    <row r="234" spans="1:27" x14ac:dyDescent="0.25">
      <c r="A234">
        <v>108</v>
      </c>
      <c r="B234">
        <v>9</v>
      </c>
      <c r="C234">
        <f t="shared" si="49"/>
        <v>10809</v>
      </c>
      <c r="D234" s="3" t="s">
        <v>87</v>
      </c>
      <c r="E234" s="11">
        <v>27.67</v>
      </c>
      <c r="F234" s="11">
        <v>-95.2</v>
      </c>
      <c r="G234" s="12" t="s">
        <v>15</v>
      </c>
      <c r="H234" s="12" t="s">
        <v>17</v>
      </c>
      <c r="I234" s="4">
        <v>33786</v>
      </c>
      <c r="J234" t="s">
        <v>1</v>
      </c>
      <c r="K234" s="2">
        <v>0</v>
      </c>
      <c r="L234" s="2"/>
      <c r="M234" s="5">
        <v>9.1835705685043294</v>
      </c>
      <c r="N234" s="5"/>
      <c r="O234" s="8"/>
      <c r="P234" s="1"/>
      <c r="Q234" s="1"/>
      <c r="R234" s="1"/>
      <c r="S234" s="3"/>
      <c r="T234" s="3"/>
      <c r="U234" s="3"/>
      <c r="V234" s="3"/>
      <c r="W234" s="3"/>
      <c r="X234" s="3"/>
      <c r="Y234" s="3"/>
      <c r="Z234" s="28" t="s">
        <v>136</v>
      </c>
      <c r="AA234" t="s">
        <v>135</v>
      </c>
    </row>
    <row r="235" spans="1:27" x14ac:dyDescent="0.25">
      <c r="A235">
        <v>108</v>
      </c>
      <c r="B235">
        <v>10</v>
      </c>
      <c r="C235">
        <f t="shared" si="49"/>
        <v>10810</v>
      </c>
      <c r="D235" s="3" t="s">
        <v>87</v>
      </c>
      <c r="E235" s="11">
        <v>27.87</v>
      </c>
      <c r="F235" s="11">
        <f>F234+0.1035</f>
        <v>-95.096500000000006</v>
      </c>
      <c r="G235" s="12" t="s">
        <v>15</v>
      </c>
      <c r="H235" s="12" t="s">
        <v>17</v>
      </c>
      <c r="I235" s="4">
        <v>33786</v>
      </c>
      <c r="J235" t="s">
        <v>1</v>
      </c>
      <c r="K235" s="2">
        <v>0</v>
      </c>
      <c r="L235" s="2"/>
      <c r="M235" s="5">
        <v>14.229900232218091</v>
      </c>
      <c r="N235" s="5"/>
      <c r="O235" s="8"/>
      <c r="P235" s="1"/>
      <c r="Q235" s="1"/>
      <c r="R235" s="1"/>
      <c r="S235" s="3"/>
      <c r="T235" s="3"/>
      <c r="U235" s="3"/>
      <c r="V235" s="3"/>
      <c r="W235" s="3"/>
      <c r="X235" s="3"/>
      <c r="Y235" s="3"/>
      <c r="Z235" s="28" t="s">
        <v>136</v>
      </c>
      <c r="AA235" t="s">
        <v>135</v>
      </c>
    </row>
    <row r="236" spans="1:27" x14ac:dyDescent="0.25">
      <c r="A236">
        <v>108</v>
      </c>
      <c r="B236">
        <v>11</v>
      </c>
      <c r="C236">
        <f t="shared" si="49"/>
        <v>10811</v>
      </c>
      <c r="D236" s="3" t="s">
        <v>87</v>
      </c>
      <c r="E236" s="11">
        <v>27.95</v>
      </c>
      <c r="F236" s="11">
        <f>F235+0.1</f>
        <v>-94.996500000000012</v>
      </c>
      <c r="G236" s="12" t="s">
        <v>15</v>
      </c>
      <c r="H236" s="12" t="s">
        <v>17</v>
      </c>
      <c r="I236" s="4">
        <v>33786</v>
      </c>
      <c r="J236" t="s">
        <v>1</v>
      </c>
      <c r="K236" s="2">
        <v>0</v>
      </c>
      <c r="L236" s="2"/>
      <c r="M236" s="5">
        <v>0.30179766609795988</v>
      </c>
      <c r="N236" s="5"/>
      <c r="O236" s="8"/>
      <c r="P236" s="1"/>
      <c r="Q236" s="1"/>
      <c r="R236" s="1"/>
      <c r="S236" s="3"/>
      <c r="T236" s="3"/>
      <c r="U236" s="3"/>
      <c r="V236" s="3"/>
      <c r="W236" s="3"/>
      <c r="X236" s="3"/>
      <c r="Y236" s="3"/>
      <c r="Z236" s="28" t="s">
        <v>136</v>
      </c>
      <c r="AA236" t="s">
        <v>135</v>
      </c>
    </row>
    <row r="237" spans="1:27" x14ac:dyDescent="0.25">
      <c r="A237">
        <v>108</v>
      </c>
      <c r="B237">
        <v>12</v>
      </c>
      <c r="C237">
        <f t="shared" si="49"/>
        <v>10812</v>
      </c>
      <c r="D237" s="3" t="s">
        <v>87</v>
      </c>
      <c r="E237" s="11">
        <v>28.12</v>
      </c>
      <c r="F237" s="11">
        <f>F236+0.1</f>
        <v>-94.896500000000017</v>
      </c>
      <c r="G237" s="12" t="s">
        <v>15</v>
      </c>
      <c r="H237" s="12" t="s">
        <v>17</v>
      </c>
      <c r="I237" s="4">
        <v>33786</v>
      </c>
      <c r="J237" t="s">
        <v>1</v>
      </c>
      <c r="K237" s="2">
        <v>0</v>
      </c>
      <c r="L237" s="2"/>
      <c r="M237" s="5">
        <v>0.24143813288206781</v>
      </c>
      <c r="N237" s="5"/>
      <c r="O237" s="8"/>
      <c r="P237" s="1"/>
      <c r="Q237" s="1"/>
      <c r="R237" s="1"/>
      <c r="S237" s="3"/>
      <c r="T237" s="3"/>
      <c r="U237" s="3"/>
      <c r="V237" s="3"/>
      <c r="W237" s="3"/>
      <c r="X237" s="3"/>
      <c r="Y237" s="3"/>
      <c r="Z237" s="28" t="s">
        <v>136</v>
      </c>
      <c r="AA237" t="s">
        <v>135</v>
      </c>
    </row>
    <row r="238" spans="1:27" x14ac:dyDescent="0.25">
      <c r="A238">
        <v>108</v>
      </c>
      <c r="B238">
        <v>13</v>
      </c>
      <c r="C238">
        <f t="shared" si="49"/>
        <v>10813</v>
      </c>
      <c r="D238" s="3" t="s">
        <v>87</v>
      </c>
      <c r="E238" s="11">
        <v>28.24</v>
      </c>
      <c r="F238" s="11">
        <v>-94.2</v>
      </c>
      <c r="G238" s="12" t="s">
        <v>15</v>
      </c>
      <c r="H238" s="12" t="s">
        <v>17</v>
      </c>
      <c r="I238" s="4">
        <v>33786</v>
      </c>
      <c r="J238" t="s">
        <v>1</v>
      </c>
      <c r="K238" s="2">
        <v>0</v>
      </c>
      <c r="L238" s="2"/>
      <c r="M238" s="5">
        <v>0.33187896690795987</v>
      </c>
      <c r="N238" s="5"/>
      <c r="O238" s="8"/>
      <c r="P238" s="1"/>
      <c r="Q238" s="1"/>
      <c r="R238" s="1"/>
      <c r="S238" s="3"/>
      <c r="T238" s="3"/>
      <c r="U238" s="3"/>
      <c r="V238" s="3"/>
      <c r="W238" s="3"/>
      <c r="X238" s="3"/>
      <c r="Y238" s="3"/>
      <c r="Z238" s="28" t="s">
        <v>136</v>
      </c>
      <c r="AA238" t="s">
        <v>135</v>
      </c>
    </row>
    <row r="239" spans="1:27" x14ac:dyDescent="0.25">
      <c r="A239">
        <v>108</v>
      </c>
      <c r="B239">
        <v>14</v>
      </c>
      <c r="C239">
        <f t="shared" si="49"/>
        <v>10814</v>
      </c>
      <c r="D239" s="3" t="s">
        <v>87</v>
      </c>
      <c r="E239" s="11">
        <v>28.31</v>
      </c>
      <c r="F239" s="11">
        <f>F238+0.1035</f>
        <v>-94.096500000000006</v>
      </c>
      <c r="G239" s="12" t="s">
        <v>15</v>
      </c>
      <c r="H239" s="12" t="s">
        <v>17</v>
      </c>
      <c r="I239" s="4">
        <v>33786</v>
      </c>
      <c r="J239" t="s">
        <v>1</v>
      </c>
      <c r="K239" s="2">
        <v>0</v>
      </c>
      <c r="L239" s="2"/>
      <c r="M239" s="5">
        <v>0.60320146896713456</v>
      </c>
      <c r="N239" s="5"/>
      <c r="O239" s="8"/>
      <c r="P239" s="1"/>
      <c r="Q239" s="1"/>
      <c r="R239" s="1"/>
      <c r="S239" s="3"/>
      <c r="T239" s="3"/>
      <c r="U239" s="3"/>
      <c r="V239" s="3"/>
      <c r="W239" s="3"/>
      <c r="X239" s="3"/>
      <c r="Y239" s="3"/>
      <c r="Z239" s="28" t="s">
        <v>136</v>
      </c>
      <c r="AA239" t="s">
        <v>135</v>
      </c>
    </row>
    <row r="240" spans="1:27" x14ac:dyDescent="0.25">
      <c r="A240">
        <v>108</v>
      </c>
      <c r="B240">
        <v>15</v>
      </c>
      <c r="C240">
        <f t="shared" si="49"/>
        <v>10815</v>
      </c>
      <c r="D240" s="3" t="s">
        <v>87</v>
      </c>
      <c r="E240" s="11">
        <v>28.5</v>
      </c>
      <c r="F240" s="11">
        <f>F239+0.1</f>
        <v>-93.996500000000012</v>
      </c>
      <c r="G240" s="12" t="s">
        <v>15</v>
      </c>
      <c r="H240" s="12" t="s">
        <v>17</v>
      </c>
      <c r="I240" s="4">
        <v>33786</v>
      </c>
      <c r="J240" t="s">
        <v>1</v>
      </c>
      <c r="K240" s="2">
        <v>0</v>
      </c>
      <c r="L240" s="2"/>
      <c r="M240" s="5">
        <v>1.056390297076055</v>
      </c>
      <c r="N240" s="5"/>
      <c r="O240" s="8"/>
      <c r="P240" s="1"/>
      <c r="Q240" s="1"/>
      <c r="R240" s="1"/>
      <c r="S240" s="3"/>
      <c r="T240" s="3"/>
      <c r="U240" s="3"/>
      <c r="V240" s="3"/>
      <c r="W240" s="3"/>
      <c r="X240" s="3"/>
      <c r="Y240" s="3"/>
      <c r="Z240" s="28" t="s">
        <v>136</v>
      </c>
      <c r="AA240" t="s">
        <v>135</v>
      </c>
    </row>
    <row r="241" spans="1:27" x14ac:dyDescent="0.25">
      <c r="A241">
        <v>108</v>
      </c>
      <c r="B241">
        <v>16</v>
      </c>
      <c r="C241">
        <f t="shared" si="49"/>
        <v>10816</v>
      </c>
      <c r="D241" s="3" t="s">
        <v>87</v>
      </c>
      <c r="E241" s="11">
        <v>28.61</v>
      </c>
      <c r="F241" s="11">
        <f>F240+0.1</f>
        <v>-93.896500000000017</v>
      </c>
      <c r="G241" s="12" t="s">
        <v>15</v>
      </c>
      <c r="H241" s="12" t="s">
        <v>17</v>
      </c>
      <c r="I241" s="4">
        <v>33786</v>
      </c>
      <c r="J241" t="s">
        <v>1</v>
      </c>
      <c r="K241" s="2">
        <v>0</v>
      </c>
      <c r="L241" s="2"/>
      <c r="M241" s="5">
        <v>1.6601825608308658</v>
      </c>
      <c r="N241" s="5"/>
      <c r="O241" s="8"/>
      <c r="P241" s="1"/>
      <c r="Q241" s="1"/>
      <c r="R241" s="1"/>
      <c r="S241" s="3"/>
      <c r="T241" s="3"/>
      <c r="U241" s="3"/>
      <c r="V241" s="3"/>
      <c r="W241" s="3"/>
      <c r="X241" s="3"/>
      <c r="Y241" s="3"/>
      <c r="Z241" s="28" t="s">
        <v>136</v>
      </c>
      <c r="AA241" t="s">
        <v>135</v>
      </c>
    </row>
    <row r="242" spans="1:27" x14ac:dyDescent="0.25">
      <c r="A242">
        <v>108</v>
      </c>
      <c r="B242">
        <v>17</v>
      </c>
      <c r="C242">
        <f t="shared" si="49"/>
        <v>10817</v>
      </c>
      <c r="D242" s="3" t="s">
        <v>87</v>
      </c>
      <c r="E242" s="11">
        <v>28.72</v>
      </c>
      <c r="F242" s="11">
        <v>-93.2</v>
      </c>
      <c r="G242" s="12" t="s">
        <v>15</v>
      </c>
      <c r="H242" s="12" t="s">
        <v>17</v>
      </c>
      <c r="I242" s="4">
        <v>33786</v>
      </c>
      <c r="J242" t="s">
        <v>1</v>
      </c>
      <c r="K242" s="2">
        <v>0</v>
      </c>
      <c r="L242" s="2"/>
      <c r="M242" s="5">
        <v>4.1178396072013035</v>
      </c>
      <c r="N242" s="5"/>
      <c r="O242" s="8"/>
      <c r="P242" s="1"/>
      <c r="Q242" s="1"/>
      <c r="R242" s="1"/>
      <c r="S242" s="3"/>
      <c r="T242" s="3"/>
      <c r="U242" s="3"/>
      <c r="V242" s="3"/>
      <c r="W242" s="3"/>
      <c r="X242" s="3"/>
      <c r="Y242" s="3"/>
      <c r="Z242" s="28" t="s">
        <v>136</v>
      </c>
      <c r="AA242" t="s">
        <v>135</v>
      </c>
    </row>
    <row r="243" spans="1:27" x14ac:dyDescent="0.25">
      <c r="A243">
        <v>108</v>
      </c>
      <c r="B243">
        <v>18</v>
      </c>
      <c r="C243">
        <f t="shared" si="49"/>
        <v>10818</v>
      </c>
      <c r="D243" s="3" t="s">
        <v>87</v>
      </c>
      <c r="E243" s="11">
        <v>28.8</v>
      </c>
      <c r="F243" s="11">
        <f>F242+0.1035</f>
        <v>-93.096500000000006</v>
      </c>
      <c r="G243" s="12" t="s">
        <v>15</v>
      </c>
      <c r="H243" s="12" t="s">
        <v>17</v>
      </c>
      <c r="I243" s="4">
        <v>33786</v>
      </c>
      <c r="J243" t="s">
        <v>1</v>
      </c>
      <c r="K243" s="2">
        <v>0</v>
      </c>
      <c r="L243" s="2"/>
      <c r="M243" s="5">
        <v>4.4064428559859898</v>
      </c>
      <c r="N243" s="5"/>
      <c r="O243" s="8"/>
      <c r="P243" s="1"/>
      <c r="Q243" s="1"/>
      <c r="R243" s="1"/>
      <c r="S243" s="3"/>
      <c r="T243" s="3"/>
      <c r="U243" s="3"/>
      <c r="V243" s="3"/>
      <c r="W243" s="3"/>
      <c r="X243" s="3"/>
      <c r="Y243" s="3"/>
      <c r="Z243" s="28" t="s">
        <v>136</v>
      </c>
      <c r="AA243" t="s">
        <v>135</v>
      </c>
    </row>
    <row r="244" spans="1:27" x14ac:dyDescent="0.25">
      <c r="A244">
        <v>108</v>
      </c>
      <c r="B244">
        <v>19</v>
      </c>
      <c r="C244">
        <f t="shared" si="49"/>
        <v>10819</v>
      </c>
      <c r="D244" s="3" t="s">
        <v>87</v>
      </c>
      <c r="E244" s="11">
        <v>28.91</v>
      </c>
      <c r="F244" s="11">
        <f>F243+0.1</f>
        <v>-92.996500000000012</v>
      </c>
      <c r="G244" s="12" t="s">
        <v>15</v>
      </c>
      <c r="H244" s="12" t="s">
        <v>17</v>
      </c>
      <c r="I244" s="4">
        <v>33786</v>
      </c>
      <c r="J244" t="s">
        <v>1</v>
      </c>
      <c r="K244" s="2">
        <v>0</v>
      </c>
      <c r="L244" s="2"/>
      <c r="M244" s="5">
        <v>7.451152980830428</v>
      </c>
      <c r="N244" s="5"/>
      <c r="O244" s="8"/>
      <c r="P244" s="1"/>
      <c r="Q244" s="1"/>
      <c r="R244" s="1"/>
      <c r="S244" s="3"/>
      <c r="T244" s="3"/>
      <c r="U244" s="3"/>
      <c r="V244" s="3"/>
      <c r="W244" s="3"/>
      <c r="X244" s="3"/>
      <c r="Y244" s="3"/>
      <c r="Z244" s="28" t="s">
        <v>136</v>
      </c>
      <c r="AA244" t="s">
        <v>135</v>
      </c>
    </row>
    <row r="245" spans="1:27" x14ac:dyDescent="0.25">
      <c r="A245">
        <v>108</v>
      </c>
      <c r="B245">
        <v>20</v>
      </c>
      <c r="C245">
        <f t="shared" si="49"/>
        <v>10820</v>
      </c>
      <c r="D245" s="3" t="s">
        <v>87</v>
      </c>
      <c r="E245" s="11">
        <v>28.99</v>
      </c>
      <c r="F245" s="11">
        <f>F244+0.1</f>
        <v>-92.896500000000017</v>
      </c>
      <c r="G245" s="12" t="s">
        <v>15</v>
      </c>
      <c r="H245" s="12" t="s">
        <v>17</v>
      </c>
      <c r="I245" s="4">
        <v>33786</v>
      </c>
      <c r="J245" t="s">
        <v>1</v>
      </c>
      <c r="K245" s="2">
        <v>0</v>
      </c>
      <c r="L245" s="2"/>
      <c r="M245" s="5">
        <v>10.112092664192872</v>
      </c>
      <c r="N245" s="5"/>
      <c r="O245" s="8"/>
      <c r="P245" s="1"/>
      <c r="Q245" s="1"/>
      <c r="R245" s="1"/>
      <c r="S245" s="3"/>
      <c r="T245" s="3"/>
      <c r="U245" s="3"/>
      <c r="V245" s="3"/>
      <c r="W245" s="3"/>
      <c r="X245" s="3"/>
      <c r="Y245" s="3"/>
      <c r="Z245" s="28" t="s">
        <v>136</v>
      </c>
      <c r="AA245" t="s">
        <v>135</v>
      </c>
    </row>
    <row r="246" spans="1:27" x14ac:dyDescent="0.25">
      <c r="A246">
        <v>108</v>
      </c>
      <c r="B246">
        <v>21</v>
      </c>
      <c r="C246">
        <f t="shared" si="49"/>
        <v>10821</v>
      </c>
      <c r="D246" s="3" t="s">
        <v>87</v>
      </c>
      <c r="E246" s="11">
        <v>29.1</v>
      </c>
      <c r="F246" s="11">
        <v>-92.2</v>
      </c>
      <c r="G246" s="12" t="s">
        <v>15</v>
      </c>
      <c r="H246" s="12" t="s">
        <v>17</v>
      </c>
      <c r="I246" s="4">
        <v>33786</v>
      </c>
      <c r="J246" t="s">
        <v>1</v>
      </c>
      <c r="K246" s="2">
        <v>0</v>
      </c>
      <c r="L246" s="2"/>
      <c r="M246" s="5">
        <v>12.801735127564074</v>
      </c>
      <c r="N246" s="5"/>
      <c r="O246" s="8"/>
      <c r="P246" s="1"/>
      <c r="Q246" s="1"/>
      <c r="R246" s="1"/>
      <c r="S246" s="3"/>
      <c r="T246" s="3"/>
      <c r="U246" s="3"/>
      <c r="V246" s="3"/>
      <c r="W246" s="3"/>
      <c r="X246" s="3"/>
      <c r="Y246" s="3"/>
      <c r="Z246" s="28" t="s">
        <v>136</v>
      </c>
      <c r="AA246" t="s">
        <v>135</v>
      </c>
    </row>
    <row r="247" spans="1:27" x14ac:dyDescent="0.25">
      <c r="A247">
        <v>108</v>
      </c>
      <c r="B247">
        <v>22</v>
      </c>
      <c r="C247">
        <f t="shared" si="49"/>
        <v>10822</v>
      </c>
      <c r="D247" s="3" t="s">
        <v>87</v>
      </c>
      <c r="E247" s="11">
        <v>29.25</v>
      </c>
      <c r="F247" s="11">
        <f>F246+0.1035</f>
        <v>-92.096500000000006</v>
      </c>
      <c r="G247" s="12" t="s">
        <v>15</v>
      </c>
      <c r="H247" s="12" t="s">
        <v>17</v>
      </c>
      <c r="I247" s="4">
        <v>33786</v>
      </c>
      <c r="J247" t="s">
        <v>1</v>
      </c>
      <c r="K247" s="2">
        <v>0</v>
      </c>
      <c r="L247" s="2"/>
      <c r="M247" s="5">
        <v>14.666972708269959</v>
      </c>
      <c r="N247" s="5"/>
      <c r="O247" s="8"/>
      <c r="P247" s="1"/>
      <c r="Q247" s="1"/>
      <c r="R247" s="1"/>
      <c r="S247" s="3"/>
      <c r="T247" s="3"/>
      <c r="U247" s="3"/>
      <c r="V247" s="3"/>
      <c r="W247" s="3"/>
      <c r="X247" s="3"/>
      <c r="Y247" s="3"/>
      <c r="Z247" s="28" t="s">
        <v>136</v>
      </c>
      <c r="AA247" t="s">
        <v>135</v>
      </c>
    </row>
    <row r="248" spans="1:27" x14ac:dyDescent="0.25">
      <c r="A248">
        <v>108</v>
      </c>
      <c r="B248">
        <v>23</v>
      </c>
      <c r="C248">
        <f t="shared" si="49"/>
        <v>10823</v>
      </c>
      <c r="D248" s="3" t="s">
        <v>87</v>
      </c>
      <c r="E248" s="11">
        <v>29.34</v>
      </c>
      <c r="F248" s="11">
        <f>F247+0.1</f>
        <v>-91.996500000000012</v>
      </c>
      <c r="G248" s="12" t="s">
        <v>15</v>
      </c>
      <c r="H248" s="12" t="s">
        <v>17</v>
      </c>
      <c r="I248" s="4">
        <v>33786</v>
      </c>
      <c r="J248" t="s">
        <v>1</v>
      </c>
      <c r="K248" s="2">
        <v>0</v>
      </c>
      <c r="L248" s="2"/>
      <c r="M248" s="5">
        <v>15.813409976920122</v>
      </c>
      <c r="N248" s="5"/>
      <c r="O248" s="8"/>
      <c r="P248" s="1"/>
      <c r="Q248" s="1"/>
      <c r="R248" s="1"/>
      <c r="S248" s="3"/>
      <c r="T248" s="3"/>
      <c r="U248" s="3"/>
      <c r="V248" s="3"/>
      <c r="W248" s="3"/>
      <c r="X248" s="3"/>
      <c r="Y248" s="3"/>
      <c r="Z248" s="28" t="s">
        <v>136</v>
      </c>
      <c r="AA248" t="s">
        <v>135</v>
      </c>
    </row>
    <row r="249" spans="1:27" x14ac:dyDescent="0.25">
      <c r="A249">
        <v>108</v>
      </c>
      <c r="B249">
        <v>24</v>
      </c>
      <c r="C249">
        <f t="shared" si="49"/>
        <v>10824</v>
      </c>
      <c r="D249" s="3" t="s">
        <v>87</v>
      </c>
      <c r="E249" s="11">
        <v>29.41</v>
      </c>
      <c r="F249" s="11">
        <f>F248+0.1</f>
        <v>-91.896500000000017</v>
      </c>
      <c r="G249" s="12" t="s">
        <v>15</v>
      </c>
      <c r="H249" s="12" t="s">
        <v>17</v>
      </c>
      <c r="I249" s="4">
        <v>33786</v>
      </c>
      <c r="J249" t="s">
        <v>1</v>
      </c>
      <c r="K249" s="2">
        <v>0</v>
      </c>
      <c r="L249" s="2"/>
      <c r="M249" s="5">
        <v>16.899684642470284</v>
      </c>
      <c r="N249" s="5"/>
      <c r="O249" s="8"/>
      <c r="P249" s="1"/>
      <c r="Q249" s="1"/>
      <c r="R249" s="1"/>
      <c r="S249" s="3"/>
      <c r="T249" s="3"/>
      <c r="U249" s="3"/>
      <c r="V249" s="3"/>
      <c r="W249" s="3"/>
      <c r="X249" s="3"/>
      <c r="Y249" s="3"/>
      <c r="Z249" s="28" t="s">
        <v>136</v>
      </c>
      <c r="AA249" t="s">
        <v>135</v>
      </c>
    </row>
    <row r="250" spans="1:27" x14ac:dyDescent="0.25">
      <c r="A250">
        <v>108</v>
      </c>
      <c r="B250">
        <v>25</v>
      </c>
      <c r="C250">
        <f t="shared" si="49"/>
        <v>10825</v>
      </c>
      <c r="D250" s="3" t="s">
        <v>87</v>
      </c>
      <c r="E250" s="11">
        <v>29.5</v>
      </c>
      <c r="F250" s="11">
        <v>-94.1</v>
      </c>
      <c r="G250" s="12" t="s">
        <v>15</v>
      </c>
      <c r="H250" s="12" t="s">
        <v>17</v>
      </c>
      <c r="I250" s="4">
        <v>33786</v>
      </c>
      <c r="J250" t="s">
        <v>1</v>
      </c>
      <c r="K250" s="2">
        <v>0</v>
      </c>
      <c r="L250" s="2"/>
      <c r="M250" s="5">
        <v>31.446922944507921</v>
      </c>
      <c r="N250" s="5"/>
      <c r="O250" s="8"/>
      <c r="P250" s="1"/>
      <c r="Q250" s="1"/>
      <c r="R250" s="1"/>
      <c r="S250" s="3"/>
      <c r="T250" s="3"/>
      <c r="U250" s="3"/>
      <c r="V250" s="3"/>
      <c r="W250" s="3"/>
      <c r="X250" s="3"/>
      <c r="Y250" s="3"/>
      <c r="Z250" s="28" t="s">
        <v>136</v>
      </c>
      <c r="AA250" t="s">
        <v>135</v>
      </c>
    </row>
    <row r="251" spans="1:27" x14ac:dyDescent="0.25">
      <c r="A251">
        <v>110</v>
      </c>
      <c r="B251">
        <v>1</v>
      </c>
      <c r="C251">
        <f t="shared" si="49"/>
        <v>11001</v>
      </c>
      <c r="D251" s="21" t="s">
        <v>86</v>
      </c>
      <c r="E251" s="11">
        <f>61+15/60+20/3600</f>
        <v>61.255555555555553</v>
      </c>
      <c r="F251" s="11">
        <f>1+51/60+14/3600</f>
        <v>1.8538888888888889</v>
      </c>
      <c r="G251" s="12" t="s">
        <v>144</v>
      </c>
      <c r="H251" s="12" t="s">
        <v>39</v>
      </c>
      <c r="I251" s="4">
        <v>35431</v>
      </c>
      <c r="J251" t="s">
        <v>1</v>
      </c>
      <c r="K251" s="2">
        <v>250</v>
      </c>
      <c r="L251" s="2"/>
      <c r="M251" s="5" t="s">
        <v>14</v>
      </c>
      <c r="N251" s="5">
        <v>0.52500000000000002</v>
      </c>
      <c r="O251" s="8"/>
      <c r="P251" s="1"/>
      <c r="Q251" s="1"/>
      <c r="R251" s="1"/>
      <c r="S251" s="3"/>
      <c r="T251" s="3"/>
      <c r="U251" s="3"/>
      <c r="V251" s="3"/>
      <c r="W251" s="3"/>
      <c r="X251" s="3"/>
      <c r="Y251" s="3"/>
      <c r="Z251" s="28" t="s">
        <v>156</v>
      </c>
      <c r="AA251" t="s">
        <v>145</v>
      </c>
    </row>
    <row r="252" spans="1:27" x14ac:dyDescent="0.25">
      <c r="A252">
        <v>110</v>
      </c>
      <c r="B252">
        <v>2</v>
      </c>
      <c r="C252">
        <f t="shared" si="49"/>
        <v>11002</v>
      </c>
      <c r="D252" s="21" t="s">
        <v>86</v>
      </c>
      <c r="E252" s="11">
        <f t="shared" ref="E252:E253" si="51">61+15/60+20/3600</f>
        <v>61.255555555555553</v>
      </c>
      <c r="F252" s="11">
        <f t="shared" ref="F252:F253" si="52">1+51/60+14/3600</f>
        <v>1.8538888888888889</v>
      </c>
      <c r="G252" s="12" t="s">
        <v>144</v>
      </c>
      <c r="H252" s="12" t="s">
        <v>39</v>
      </c>
      <c r="I252" s="4">
        <v>35431</v>
      </c>
      <c r="J252" t="s">
        <v>1</v>
      </c>
      <c r="K252" s="2">
        <v>250</v>
      </c>
      <c r="L252" s="2"/>
      <c r="M252" s="5">
        <f>(3.5+0.7+7.6)/3</f>
        <v>3.9333333333333336</v>
      </c>
      <c r="N252" s="5">
        <v>1.9</v>
      </c>
      <c r="O252" s="8"/>
      <c r="P252" s="1"/>
      <c r="Q252" s="1"/>
      <c r="R252" s="1"/>
      <c r="S252" s="3"/>
      <c r="T252" s="3"/>
      <c r="U252" s="3"/>
      <c r="V252" s="3"/>
      <c r="W252" s="3"/>
      <c r="X252" s="3"/>
      <c r="Y252" s="3"/>
      <c r="Z252" s="28" t="s">
        <v>156</v>
      </c>
      <c r="AA252" t="s">
        <v>155</v>
      </c>
    </row>
    <row r="253" spans="1:27" x14ac:dyDescent="0.25">
      <c r="A253">
        <v>110</v>
      </c>
      <c r="B253">
        <v>3</v>
      </c>
      <c r="C253">
        <f t="shared" si="49"/>
        <v>11003</v>
      </c>
      <c r="D253" s="21" t="s">
        <v>86</v>
      </c>
      <c r="E253" s="11">
        <f t="shared" si="51"/>
        <v>61.255555555555553</v>
      </c>
      <c r="F253" s="11">
        <f t="shared" si="52"/>
        <v>1.8538888888888889</v>
      </c>
      <c r="G253" s="12" t="s">
        <v>144</v>
      </c>
      <c r="H253" s="12" t="s">
        <v>39</v>
      </c>
      <c r="I253" s="4">
        <v>35431</v>
      </c>
      <c r="J253" t="s">
        <v>1</v>
      </c>
      <c r="K253" s="2">
        <v>250</v>
      </c>
      <c r="L253" s="2"/>
      <c r="M253" s="5">
        <f>(1.9+2.5+2.2)/3</f>
        <v>2.2000000000000002</v>
      </c>
      <c r="N253" s="5">
        <v>2.2250000000000001</v>
      </c>
      <c r="O253" s="8"/>
      <c r="P253" s="1"/>
      <c r="Q253" s="1"/>
      <c r="R253" s="1"/>
      <c r="S253" s="3"/>
      <c r="T253" s="3"/>
      <c r="U253" s="3"/>
      <c r="V253" s="3"/>
      <c r="W253" s="3"/>
      <c r="X253" s="3"/>
      <c r="Y253" s="3"/>
      <c r="Z253" s="28" t="s">
        <v>156</v>
      </c>
      <c r="AA253" t="s">
        <v>154</v>
      </c>
    </row>
    <row r="254" spans="1:27" x14ac:dyDescent="0.25">
      <c r="A254">
        <v>110</v>
      </c>
      <c r="B254" s="12">
        <v>4</v>
      </c>
      <c r="C254">
        <f t="shared" si="49"/>
        <v>11004</v>
      </c>
      <c r="D254" s="21" t="s">
        <v>86</v>
      </c>
      <c r="E254" s="11">
        <f>61+12/60+53.8/3600</f>
        <v>61.214944444444448</v>
      </c>
      <c r="F254" s="11">
        <f>2+16/60+25.93/3600</f>
        <v>2.2738694444444443</v>
      </c>
      <c r="G254" s="12" t="s">
        <v>144</v>
      </c>
      <c r="H254" s="12" t="s">
        <v>39</v>
      </c>
      <c r="I254" s="4">
        <v>35431</v>
      </c>
      <c r="J254" s="12" t="s">
        <v>1</v>
      </c>
      <c r="K254" s="22">
        <v>250</v>
      </c>
      <c r="L254" s="22"/>
      <c r="M254" s="23" t="s">
        <v>14</v>
      </c>
      <c r="N254" s="23">
        <v>1.65</v>
      </c>
      <c r="O254" s="24"/>
      <c r="P254" s="25"/>
      <c r="Q254" s="25"/>
      <c r="R254" s="25"/>
      <c r="S254" s="21"/>
      <c r="T254" s="21"/>
      <c r="U254" s="21"/>
      <c r="V254" s="21"/>
      <c r="W254" s="21"/>
      <c r="X254" s="21"/>
      <c r="Y254" s="21"/>
      <c r="Z254" s="28" t="s">
        <v>156</v>
      </c>
      <c r="AA254" s="12" t="s">
        <v>153</v>
      </c>
    </row>
    <row r="255" spans="1:27" x14ac:dyDescent="0.25">
      <c r="A255">
        <v>110</v>
      </c>
      <c r="B255" s="12">
        <v>5</v>
      </c>
      <c r="C255">
        <f t="shared" si="49"/>
        <v>11005</v>
      </c>
      <c r="D255" s="21" t="s">
        <v>86</v>
      </c>
      <c r="E255" s="11">
        <f>61+12/60+53.8/3600</f>
        <v>61.214944444444448</v>
      </c>
      <c r="F255" s="11">
        <f>2+16/60+25.93/3600</f>
        <v>2.2738694444444443</v>
      </c>
      <c r="G255" s="12" t="s">
        <v>144</v>
      </c>
      <c r="H255" s="12" t="s">
        <v>39</v>
      </c>
      <c r="I255" s="4">
        <v>35431</v>
      </c>
      <c r="J255" s="12" t="s">
        <v>1</v>
      </c>
      <c r="K255" s="22">
        <v>500</v>
      </c>
      <c r="L255" s="22"/>
      <c r="M255" s="23" t="s">
        <v>14</v>
      </c>
      <c r="N255" s="23">
        <v>3</v>
      </c>
      <c r="O255" s="24"/>
      <c r="P255" s="25"/>
      <c r="Q255" s="25"/>
      <c r="R255" s="25"/>
      <c r="S255" s="21"/>
      <c r="T255" s="21"/>
      <c r="U255" s="21"/>
      <c r="V255" s="21"/>
      <c r="W255" s="21"/>
      <c r="X255" s="21"/>
      <c r="Y255" s="21"/>
      <c r="Z255" s="28" t="s">
        <v>156</v>
      </c>
      <c r="AA255" s="12" t="s">
        <v>152</v>
      </c>
    </row>
    <row r="256" spans="1:27" x14ac:dyDescent="0.25">
      <c r="A256">
        <v>110</v>
      </c>
      <c r="B256" s="12">
        <v>6</v>
      </c>
      <c r="C256">
        <f t="shared" si="49"/>
        <v>11006</v>
      </c>
      <c r="D256" s="21" t="s">
        <v>86</v>
      </c>
      <c r="E256" s="11">
        <f>61+12/60+53.8/3600</f>
        <v>61.214944444444448</v>
      </c>
      <c r="F256" s="11">
        <f>2+16/60+25.93/3600</f>
        <v>2.2738694444444443</v>
      </c>
      <c r="G256" s="12" t="s">
        <v>144</v>
      </c>
      <c r="H256" s="12" t="s">
        <v>39</v>
      </c>
      <c r="I256" s="4">
        <v>35431</v>
      </c>
      <c r="J256" s="12" t="s">
        <v>1</v>
      </c>
      <c r="K256" s="22">
        <v>750</v>
      </c>
      <c r="L256" s="22"/>
      <c r="M256" s="23">
        <v>1.3</v>
      </c>
      <c r="N256" s="23">
        <v>1.1499999999999999</v>
      </c>
      <c r="O256" s="24"/>
      <c r="P256" s="25"/>
      <c r="Q256" s="25"/>
      <c r="R256" s="25"/>
      <c r="S256" s="21"/>
      <c r="T256" s="21"/>
      <c r="U256" s="21"/>
      <c r="V256" s="21"/>
      <c r="W256" s="21"/>
      <c r="X256" s="21"/>
      <c r="Y256" s="21"/>
      <c r="Z256" s="28" t="s">
        <v>156</v>
      </c>
      <c r="AA256" s="12" t="s">
        <v>151</v>
      </c>
    </row>
    <row r="257" spans="1:27" x14ac:dyDescent="0.25">
      <c r="A257">
        <v>110</v>
      </c>
      <c r="B257" s="12">
        <v>7</v>
      </c>
      <c r="C257">
        <f t="shared" si="49"/>
        <v>11007</v>
      </c>
      <c r="D257" s="21" t="s">
        <v>86</v>
      </c>
      <c r="E257" s="11">
        <f>60+35/60+50.48/3600</f>
        <v>60.597355555555559</v>
      </c>
      <c r="F257" s="11">
        <f>7+4/60+22.87/3600</f>
        <v>7.0730194444444443</v>
      </c>
      <c r="G257" s="12" t="s">
        <v>144</v>
      </c>
      <c r="H257" s="12" t="s">
        <v>39</v>
      </c>
      <c r="I257" s="4">
        <v>35431</v>
      </c>
      <c r="J257" s="12" t="s">
        <v>1</v>
      </c>
      <c r="K257" s="22">
        <v>250</v>
      </c>
      <c r="L257" s="22"/>
      <c r="M257" s="23" t="s">
        <v>14</v>
      </c>
      <c r="N257" s="23" t="s">
        <v>14</v>
      </c>
      <c r="O257" s="24"/>
      <c r="P257" s="25"/>
      <c r="Q257" s="25"/>
      <c r="R257" s="25"/>
      <c r="S257" s="21"/>
      <c r="T257" s="21"/>
      <c r="U257" s="21"/>
      <c r="V257" s="21"/>
      <c r="W257" s="21"/>
      <c r="X257" s="21"/>
      <c r="Y257" s="21"/>
      <c r="Z257" s="28" t="s">
        <v>156</v>
      </c>
      <c r="AA257" s="12" t="s">
        <v>150</v>
      </c>
    </row>
    <row r="258" spans="1:27" x14ac:dyDescent="0.25">
      <c r="A258">
        <v>110</v>
      </c>
      <c r="B258" s="12">
        <v>8</v>
      </c>
      <c r="C258">
        <f t="shared" si="49"/>
        <v>11008</v>
      </c>
      <c r="D258" s="21" t="s">
        <v>86</v>
      </c>
      <c r="E258" s="11">
        <v>58.36</v>
      </c>
      <c r="F258" s="11">
        <v>1.91</v>
      </c>
      <c r="G258" s="12" t="s">
        <v>144</v>
      </c>
      <c r="H258" s="12" t="s">
        <v>39</v>
      </c>
      <c r="I258" s="4">
        <v>35431</v>
      </c>
      <c r="J258" s="12" t="s">
        <v>1</v>
      </c>
      <c r="K258" s="22">
        <v>250</v>
      </c>
      <c r="L258" s="22"/>
      <c r="M258" s="23">
        <v>2.5</v>
      </c>
      <c r="N258" s="23">
        <v>2.2000000000000002</v>
      </c>
      <c r="O258" s="24"/>
      <c r="P258" s="25"/>
      <c r="Q258" s="25"/>
      <c r="R258" s="25"/>
      <c r="S258" s="21"/>
      <c r="T258" s="21"/>
      <c r="U258" s="21"/>
      <c r="V258" s="21"/>
      <c r="W258" s="21"/>
      <c r="X258" s="21"/>
      <c r="Y258" s="21"/>
      <c r="Z258" s="28" t="s">
        <v>156</v>
      </c>
      <c r="AA258" s="12" t="s">
        <v>149</v>
      </c>
    </row>
    <row r="259" spans="1:27" x14ac:dyDescent="0.25">
      <c r="A259">
        <v>110</v>
      </c>
      <c r="B259" s="12">
        <v>9</v>
      </c>
      <c r="C259">
        <f t="shared" ref="C259:C323" si="53">A259*100+B259</f>
        <v>11009</v>
      </c>
      <c r="D259" s="21" t="s">
        <v>86</v>
      </c>
      <c r="E259" s="11">
        <v>60.491864</v>
      </c>
      <c r="F259" s="11">
        <v>2.8273139999999999</v>
      </c>
      <c r="G259" s="12" t="s">
        <v>144</v>
      </c>
      <c r="H259" s="12" t="s">
        <v>39</v>
      </c>
      <c r="I259" s="4">
        <v>35431</v>
      </c>
      <c r="J259" s="12" t="s">
        <v>1</v>
      </c>
      <c r="K259" s="22">
        <v>250</v>
      </c>
      <c r="L259" s="22"/>
      <c r="M259" s="23">
        <v>10.4</v>
      </c>
      <c r="N259" s="23">
        <v>10</v>
      </c>
      <c r="O259" s="24"/>
      <c r="P259" s="25"/>
      <c r="Q259" s="25"/>
      <c r="R259" s="25"/>
      <c r="S259" s="21"/>
      <c r="T259" s="21"/>
      <c r="U259" s="21"/>
      <c r="V259" s="21"/>
      <c r="W259" s="21"/>
      <c r="X259" s="21"/>
      <c r="Y259" s="21"/>
      <c r="Z259" s="28" t="s">
        <v>156</v>
      </c>
      <c r="AA259" s="12" t="s">
        <v>148</v>
      </c>
    </row>
    <row r="260" spans="1:27" x14ac:dyDescent="0.25">
      <c r="A260">
        <v>110</v>
      </c>
      <c r="B260" s="12">
        <v>10</v>
      </c>
      <c r="C260">
        <f t="shared" si="53"/>
        <v>11010</v>
      </c>
      <c r="D260" s="21" t="s">
        <v>86</v>
      </c>
      <c r="E260" s="11">
        <v>60.58</v>
      </c>
      <c r="F260" s="11">
        <v>3.02</v>
      </c>
      <c r="G260" s="12" t="s">
        <v>144</v>
      </c>
      <c r="H260" s="12" t="s">
        <v>39</v>
      </c>
      <c r="I260" s="4">
        <v>35431</v>
      </c>
      <c r="J260" s="12" t="s">
        <v>1</v>
      </c>
      <c r="K260" s="22">
        <v>250</v>
      </c>
      <c r="L260" s="22"/>
      <c r="M260" s="23">
        <v>7.7</v>
      </c>
      <c r="N260" s="23">
        <v>7.8</v>
      </c>
      <c r="O260" s="24"/>
      <c r="P260" s="25"/>
      <c r="Q260" s="25"/>
      <c r="R260" s="25"/>
      <c r="S260" s="21"/>
      <c r="T260" s="21"/>
      <c r="U260" s="21"/>
      <c r="V260" s="21"/>
      <c r="W260" s="21"/>
      <c r="X260" s="21"/>
      <c r="Y260" s="21"/>
      <c r="Z260" s="28" t="s">
        <v>156</v>
      </c>
      <c r="AA260" s="12" t="s">
        <v>147</v>
      </c>
    </row>
    <row r="261" spans="1:27" x14ac:dyDescent="0.25">
      <c r="A261">
        <v>110</v>
      </c>
      <c r="B261" s="12">
        <v>11</v>
      </c>
      <c r="C261">
        <f t="shared" si="53"/>
        <v>11011</v>
      </c>
      <c r="D261" s="21" t="s">
        <v>86</v>
      </c>
      <c r="E261" s="11">
        <v>56.278275111111107</v>
      </c>
      <c r="F261" s="11">
        <v>3.3953305555555557</v>
      </c>
      <c r="G261" s="12" t="s">
        <v>144</v>
      </c>
      <c r="H261" s="12" t="s">
        <v>39</v>
      </c>
      <c r="I261" s="4">
        <v>35431</v>
      </c>
      <c r="J261" s="12" t="s">
        <v>1</v>
      </c>
      <c r="K261" s="22">
        <v>250</v>
      </c>
      <c r="L261" s="22"/>
      <c r="M261" s="23">
        <v>4.3</v>
      </c>
      <c r="N261" s="23">
        <v>0.95</v>
      </c>
      <c r="O261" s="24"/>
      <c r="P261" s="25"/>
      <c r="Q261" s="25"/>
      <c r="R261" s="25"/>
      <c r="S261" s="21"/>
      <c r="T261" s="21"/>
      <c r="U261" s="21"/>
      <c r="V261" s="21"/>
      <c r="W261" s="21"/>
      <c r="X261" s="21"/>
      <c r="Y261" s="21"/>
      <c r="Z261" s="28" t="s">
        <v>156</v>
      </c>
      <c r="AA261" s="12" t="s">
        <v>146</v>
      </c>
    </row>
    <row r="262" spans="1:27" x14ac:dyDescent="0.25">
      <c r="A262">
        <v>111</v>
      </c>
      <c r="B262">
        <v>1</v>
      </c>
      <c r="C262">
        <f t="shared" si="53"/>
        <v>11101</v>
      </c>
      <c r="D262" s="3" t="s">
        <v>86</v>
      </c>
      <c r="E262" s="11">
        <v>60.58</v>
      </c>
      <c r="F262" s="11">
        <v>3.02</v>
      </c>
      <c r="G262" s="12" t="s">
        <v>144</v>
      </c>
      <c r="H262" s="12" t="s">
        <v>39</v>
      </c>
      <c r="I262" s="4">
        <v>34973</v>
      </c>
      <c r="J262" t="s">
        <v>1</v>
      </c>
      <c r="K262" s="2">
        <v>0</v>
      </c>
      <c r="L262" s="2"/>
      <c r="M262" s="5">
        <v>9</v>
      </c>
      <c r="N262" s="5">
        <v>17</v>
      </c>
      <c r="O262" s="8"/>
      <c r="P262" s="1"/>
      <c r="Q262" s="1"/>
      <c r="R262" s="1"/>
      <c r="S262" s="3"/>
      <c r="T262" s="3"/>
      <c r="U262" s="3"/>
      <c r="V262" s="3"/>
      <c r="W262" s="3"/>
      <c r="X262" s="3"/>
      <c r="Y262" s="3"/>
      <c r="Z262" t="s">
        <v>26</v>
      </c>
      <c r="AA262" t="s">
        <v>40</v>
      </c>
    </row>
    <row r="263" spans="1:27" x14ac:dyDescent="0.25">
      <c r="A263">
        <v>111</v>
      </c>
      <c r="B263">
        <v>2</v>
      </c>
      <c r="C263">
        <f t="shared" si="53"/>
        <v>11102</v>
      </c>
      <c r="D263" s="3" t="s">
        <v>86</v>
      </c>
      <c r="E263" s="11">
        <f>60+29/60+30.7104/3600</f>
        <v>60.491864</v>
      </c>
      <c r="F263" s="11">
        <f>2+49/60+38.3304/3600</f>
        <v>2.8273139999999999</v>
      </c>
      <c r="G263" s="12" t="s">
        <v>144</v>
      </c>
      <c r="H263" s="12" t="s">
        <v>39</v>
      </c>
      <c r="I263" s="4">
        <v>34973</v>
      </c>
      <c r="J263" t="s">
        <v>1</v>
      </c>
      <c r="K263" s="2">
        <v>0</v>
      </c>
      <c r="L263" s="2"/>
      <c r="M263" s="5">
        <v>6</v>
      </c>
      <c r="N263" s="5">
        <v>11</v>
      </c>
      <c r="O263" s="8"/>
      <c r="P263" s="1"/>
      <c r="Q263" s="1"/>
      <c r="R263" s="1"/>
      <c r="S263" s="3"/>
      <c r="T263" s="3"/>
      <c r="U263" s="3"/>
      <c r="V263" s="3"/>
      <c r="W263" s="3"/>
      <c r="X263" s="3"/>
      <c r="Y263" s="3"/>
      <c r="Z263" t="s">
        <v>26</v>
      </c>
      <c r="AA263" t="s">
        <v>41</v>
      </c>
    </row>
    <row r="264" spans="1:27" x14ac:dyDescent="0.25">
      <c r="A264">
        <v>111</v>
      </c>
      <c r="B264">
        <v>3</v>
      </c>
      <c r="C264">
        <f t="shared" si="53"/>
        <v>11103</v>
      </c>
      <c r="D264" s="3" t="s">
        <v>86</v>
      </c>
      <c r="E264" s="11">
        <f>60+29/60+30.7104/3600</f>
        <v>60.491864</v>
      </c>
      <c r="F264" s="11">
        <f>2+49/60+38.3304/3600</f>
        <v>2.8273139999999999</v>
      </c>
      <c r="G264" s="12" t="s">
        <v>144</v>
      </c>
      <c r="H264" s="12" t="s">
        <v>39</v>
      </c>
      <c r="I264" s="4">
        <v>34973</v>
      </c>
      <c r="J264" t="s">
        <v>1</v>
      </c>
      <c r="K264" s="2">
        <v>0</v>
      </c>
      <c r="L264" s="2"/>
      <c r="M264" s="5">
        <v>7</v>
      </c>
      <c r="N264" s="5" t="s">
        <v>14</v>
      </c>
      <c r="O264" s="8"/>
      <c r="P264" s="1"/>
      <c r="Q264" s="1"/>
      <c r="R264" s="1"/>
      <c r="S264" s="3"/>
      <c r="T264" s="3"/>
      <c r="U264" s="3"/>
      <c r="V264" s="3"/>
      <c r="W264" s="3"/>
      <c r="X264" s="3"/>
      <c r="Y264" s="3"/>
      <c r="Z264" t="s">
        <v>26</v>
      </c>
      <c r="AA264" t="s">
        <v>41</v>
      </c>
    </row>
    <row r="265" spans="1:27" x14ac:dyDescent="0.25">
      <c r="A265">
        <v>111</v>
      </c>
      <c r="B265">
        <v>4</v>
      </c>
      <c r="C265">
        <f t="shared" si="53"/>
        <v>11104</v>
      </c>
      <c r="D265" s="3" t="s">
        <v>86</v>
      </c>
      <c r="E265" s="11">
        <v>60.645555999999999</v>
      </c>
      <c r="F265" s="11">
        <v>3.7263890000000002</v>
      </c>
      <c r="G265" s="12" t="s">
        <v>144</v>
      </c>
      <c r="H265" s="12" t="s">
        <v>39</v>
      </c>
      <c r="I265" s="4">
        <v>34973</v>
      </c>
      <c r="J265" t="s">
        <v>1</v>
      </c>
      <c r="K265" s="2">
        <v>0</v>
      </c>
      <c r="L265" s="2"/>
      <c r="M265" s="5">
        <v>6</v>
      </c>
      <c r="N265" s="5">
        <v>7</v>
      </c>
      <c r="O265" s="8"/>
      <c r="P265" s="1"/>
      <c r="Q265" s="1"/>
      <c r="R265" s="1"/>
      <c r="S265" s="3"/>
      <c r="T265" s="3"/>
      <c r="U265" s="3"/>
      <c r="V265" s="3"/>
      <c r="W265" s="3"/>
      <c r="X265" s="3"/>
      <c r="Y265" s="3"/>
      <c r="Z265" t="s">
        <v>26</v>
      </c>
      <c r="AA265" t="s">
        <v>42</v>
      </c>
    </row>
    <row r="266" spans="1:27" x14ac:dyDescent="0.25">
      <c r="A266">
        <v>111</v>
      </c>
      <c r="B266">
        <v>1</v>
      </c>
      <c r="C266">
        <f t="shared" si="53"/>
        <v>11101</v>
      </c>
      <c r="D266" s="3" t="s">
        <v>86</v>
      </c>
      <c r="E266" s="11">
        <v>60.58</v>
      </c>
      <c r="F266" s="11">
        <v>3.02</v>
      </c>
      <c r="G266" s="12" t="s">
        <v>144</v>
      </c>
      <c r="H266" s="12" t="s">
        <v>39</v>
      </c>
      <c r="I266" s="4">
        <v>34973</v>
      </c>
      <c r="J266" t="s">
        <v>1</v>
      </c>
      <c r="K266" s="2">
        <v>0</v>
      </c>
      <c r="L266" s="2"/>
      <c r="M266" s="5">
        <v>10</v>
      </c>
      <c r="N266" s="5">
        <v>17</v>
      </c>
      <c r="O266" s="8"/>
      <c r="P266" s="1"/>
      <c r="Q266" s="1"/>
      <c r="R266" s="1"/>
      <c r="S266" s="3"/>
      <c r="T266" s="3"/>
      <c r="U266" s="3"/>
      <c r="V266" s="3"/>
      <c r="W266" s="3"/>
      <c r="X266" s="3"/>
      <c r="Y266" s="3"/>
      <c r="Z266" t="s">
        <v>26</v>
      </c>
      <c r="AA266" t="s">
        <v>40</v>
      </c>
    </row>
    <row r="267" spans="1:27" x14ac:dyDescent="0.25">
      <c r="A267">
        <v>111</v>
      </c>
      <c r="B267">
        <v>1</v>
      </c>
      <c r="C267">
        <f t="shared" si="53"/>
        <v>11101</v>
      </c>
      <c r="D267" s="3" t="s">
        <v>86</v>
      </c>
      <c r="E267" s="11">
        <v>60.58</v>
      </c>
      <c r="F267" s="11">
        <v>3.02</v>
      </c>
      <c r="G267" s="12" t="s">
        <v>144</v>
      </c>
      <c r="H267" s="12" t="s">
        <v>39</v>
      </c>
      <c r="I267" s="4">
        <v>34974</v>
      </c>
      <c r="J267" t="s">
        <v>1</v>
      </c>
      <c r="K267" s="2">
        <v>0</v>
      </c>
      <c r="L267" s="2"/>
      <c r="M267" s="5">
        <v>10</v>
      </c>
      <c r="N267" s="5">
        <v>16</v>
      </c>
      <c r="O267" s="8"/>
      <c r="P267" s="1"/>
      <c r="Q267" s="1"/>
      <c r="R267" s="1"/>
      <c r="S267" s="3"/>
      <c r="T267" s="3"/>
      <c r="U267" s="3"/>
      <c r="V267" s="3"/>
      <c r="W267" s="3"/>
      <c r="X267" s="3"/>
      <c r="Y267" s="3"/>
      <c r="Z267" t="s">
        <v>26</v>
      </c>
      <c r="AA267" t="s">
        <v>40</v>
      </c>
    </row>
    <row r="268" spans="1:27" x14ac:dyDescent="0.25">
      <c r="A268">
        <v>111</v>
      </c>
      <c r="B268">
        <v>1</v>
      </c>
      <c r="C268">
        <f t="shared" si="53"/>
        <v>11101</v>
      </c>
      <c r="D268" s="3" t="s">
        <v>86</v>
      </c>
      <c r="E268" s="11">
        <v>60.58</v>
      </c>
      <c r="F268" s="11">
        <v>3.02</v>
      </c>
      <c r="G268" s="12" t="s">
        <v>144</v>
      </c>
      <c r="H268" s="12" t="s">
        <v>39</v>
      </c>
      <c r="I268" s="4">
        <v>34975</v>
      </c>
      <c r="J268" t="s">
        <v>1</v>
      </c>
      <c r="K268" s="2">
        <v>0</v>
      </c>
      <c r="L268" s="2"/>
      <c r="M268" s="5">
        <v>10</v>
      </c>
      <c r="N268" s="5" t="s">
        <v>14</v>
      </c>
      <c r="O268" s="8"/>
      <c r="P268" s="1"/>
      <c r="Q268" s="1"/>
      <c r="R268" s="1"/>
      <c r="S268" s="3"/>
      <c r="T268" s="3"/>
      <c r="U268" s="3"/>
      <c r="V268" s="3"/>
      <c r="W268" s="3"/>
      <c r="X268" s="3"/>
      <c r="Y268" s="3"/>
      <c r="Z268" t="s">
        <v>26</v>
      </c>
      <c r="AA268" t="s">
        <v>40</v>
      </c>
    </row>
    <row r="269" spans="1:27" x14ac:dyDescent="0.25">
      <c r="A269">
        <v>111</v>
      </c>
      <c r="B269">
        <v>1</v>
      </c>
      <c r="C269">
        <f t="shared" si="53"/>
        <v>11101</v>
      </c>
      <c r="D269" s="3" t="s">
        <v>86</v>
      </c>
      <c r="E269" s="11">
        <v>60.58</v>
      </c>
      <c r="F269" s="11">
        <v>3.02</v>
      </c>
      <c r="G269" s="12" t="s">
        <v>144</v>
      </c>
      <c r="H269" s="12" t="s">
        <v>39</v>
      </c>
      <c r="I269" s="4">
        <v>34976</v>
      </c>
      <c r="J269" t="s">
        <v>1</v>
      </c>
      <c r="K269" s="2">
        <v>0</v>
      </c>
      <c r="L269" s="2"/>
      <c r="M269" s="5">
        <v>11</v>
      </c>
      <c r="N269" s="5">
        <v>16</v>
      </c>
      <c r="O269" s="8"/>
      <c r="P269" s="1"/>
      <c r="Q269" s="1"/>
      <c r="R269" s="1"/>
      <c r="S269" s="3"/>
      <c r="T269" s="3"/>
      <c r="U269" s="3"/>
      <c r="V269" s="3"/>
      <c r="W269" s="3"/>
      <c r="X269" s="3"/>
      <c r="Y269" s="3"/>
      <c r="Z269" t="s">
        <v>26</v>
      </c>
      <c r="AA269" t="s">
        <v>40</v>
      </c>
    </row>
    <row r="270" spans="1:27" x14ac:dyDescent="0.25">
      <c r="A270">
        <v>111</v>
      </c>
      <c r="B270">
        <v>1</v>
      </c>
      <c r="C270">
        <f t="shared" si="53"/>
        <v>11101</v>
      </c>
      <c r="D270" s="3" t="s">
        <v>86</v>
      </c>
      <c r="E270" s="11">
        <v>60.58</v>
      </c>
      <c r="F270" s="11">
        <v>3.02</v>
      </c>
      <c r="G270" s="12" t="s">
        <v>144</v>
      </c>
      <c r="H270" s="12" t="s">
        <v>39</v>
      </c>
      <c r="I270" s="4">
        <v>34977</v>
      </c>
      <c r="J270" t="s">
        <v>1</v>
      </c>
      <c r="K270" s="2">
        <v>0</v>
      </c>
      <c r="L270" s="2"/>
      <c r="M270" s="5">
        <v>9</v>
      </c>
      <c r="N270" s="5">
        <v>17</v>
      </c>
      <c r="O270" s="8"/>
      <c r="P270" s="1"/>
      <c r="Q270" s="1"/>
      <c r="R270" s="1"/>
      <c r="S270" s="3"/>
      <c r="T270" s="3"/>
      <c r="U270" s="3"/>
      <c r="V270" s="3"/>
      <c r="W270" s="3"/>
      <c r="X270" s="3"/>
      <c r="Y270" s="3"/>
      <c r="Z270" t="s">
        <v>26</v>
      </c>
      <c r="AA270" t="s">
        <v>40</v>
      </c>
    </row>
    <row r="271" spans="1:27" x14ac:dyDescent="0.25">
      <c r="A271">
        <v>112</v>
      </c>
      <c r="B271">
        <v>1</v>
      </c>
      <c r="C271">
        <f t="shared" si="53"/>
        <v>11201</v>
      </c>
      <c r="D271" s="3" t="s">
        <v>86</v>
      </c>
      <c r="E271" s="11">
        <v>58.36</v>
      </c>
      <c r="F271" s="11">
        <v>1.91</v>
      </c>
      <c r="G271" s="12" t="s">
        <v>144</v>
      </c>
      <c r="H271" s="12" t="s">
        <v>39</v>
      </c>
      <c r="I271" s="4">
        <v>37438</v>
      </c>
      <c r="J271" t="s">
        <v>18</v>
      </c>
      <c r="K271" s="2">
        <v>0</v>
      </c>
      <c r="L271" s="2"/>
      <c r="M271" s="5">
        <v>1.5</v>
      </c>
      <c r="N271" s="5"/>
      <c r="O271" s="8"/>
      <c r="P271" s="1"/>
      <c r="Q271" s="1"/>
      <c r="R271" s="1"/>
      <c r="S271" s="3"/>
      <c r="T271" s="3"/>
      <c r="U271" s="3"/>
      <c r="V271" s="3"/>
      <c r="W271" s="3"/>
      <c r="X271" s="3"/>
      <c r="Y271" s="3"/>
      <c r="Z271" t="s">
        <v>43</v>
      </c>
      <c r="AA271" t="s">
        <v>45</v>
      </c>
    </row>
    <row r="272" spans="1:27" x14ac:dyDescent="0.25">
      <c r="A272">
        <v>112</v>
      </c>
      <c r="B272">
        <v>2</v>
      </c>
      <c r="C272">
        <f t="shared" si="53"/>
        <v>11202</v>
      </c>
      <c r="D272" s="3" t="s">
        <v>86</v>
      </c>
      <c r="E272" s="11">
        <f>61+12/60+53.8/3600</f>
        <v>61.214944444444448</v>
      </c>
      <c r="F272" s="11">
        <f>2+16/60+25.93/3600</f>
        <v>2.2738694444444443</v>
      </c>
      <c r="G272" s="12" t="s">
        <v>144</v>
      </c>
      <c r="H272" s="12" t="s">
        <v>39</v>
      </c>
      <c r="I272" s="4">
        <v>37438</v>
      </c>
      <c r="J272" t="s">
        <v>18</v>
      </c>
      <c r="K272" s="2">
        <v>0</v>
      </c>
      <c r="L272" s="2"/>
      <c r="M272" s="5">
        <v>1.5</v>
      </c>
      <c r="N272" s="5"/>
      <c r="O272" s="8"/>
      <c r="P272" s="1"/>
      <c r="Q272" s="1"/>
      <c r="R272" s="1"/>
      <c r="S272" s="3"/>
      <c r="T272" s="3"/>
      <c r="U272" s="3"/>
      <c r="V272" s="3"/>
      <c r="W272" s="3"/>
      <c r="X272" s="3"/>
      <c r="Y272" s="3"/>
      <c r="Z272" t="s">
        <v>43</v>
      </c>
      <c r="AA272" t="s">
        <v>44</v>
      </c>
    </row>
    <row r="273" spans="1:27" x14ac:dyDescent="0.25">
      <c r="A273">
        <v>112</v>
      </c>
      <c r="B273">
        <v>1</v>
      </c>
      <c r="C273">
        <f t="shared" si="53"/>
        <v>11201</v>
      </c>
      <c r="D273" s="3" t="s">
        <v>86</v>
      </c>
      <c r="E273" s="11">
        <v>58.36</v>
      </c>
      <c r="F273" s="11">
        <v>1.91</v>
      </c>
      <c r="G273" s="12" t="s">
        <v>144</v>
      </c>
      <c r="H273" s="12" t="s">
        <v>39</v>
      </c>
      <c r="I273" s="4">
        <v>37438</v>
      </c>
      <c r="J273" t="s">
        <v>18</v>
      </c>
      <c r="K273" s="2">
        <v>250</v>
      </c>
      <c r="L273" s="2"/>
      <c r="M273" s="5">
        <v>1.5</v>
      </c>
      <c r="N273" s="5"/>
      <c r="O273" s="8"/>
      <c r="P273" s="1"/>
      <c r="Q273" s="1"/>
      <c r="R273" s="1"/>
      <c r="S273" s="3"/>
      <c r="T273" s="3"/>
      <c r="U273" s="3"/>
      <c r="V273" s="3"/>
      <c r="W273" s="3"/>
      <c r="X273" s="3"/>
      <c r="Y273" s="3"/>
      <c r="Z273" t="s">
        <v>43</v>
      </c>
      <c r="AA273" t="s">
        <v>79</v>
      </c>
    </row>
    <row r="274" spans="1:27" x14ac:dyDescent="0.25">
      <c r="A274">
        <v>112</v>
      </c>
      <c r="B274">
        <v>1</v>
      </c>
      <c r="C274">
        <f t="shared" si="53"/>
        <v>11201</v>
      </c>
      <c r="D274" s="3" t="s">
        <v>86</v>
      </c>
      <c r="E274" s="11">
        <v>58.36</v>
      </c>
      <c r="F274" s="11">
        <v>1.91</v>
      </c>
      <c r="G274" s="12" t="s">
        <v>144</v>
      </c>
      <c r="H274" s="12" t="s">
        <v>39</v>
      </c>
      <c r="I274" s="4">
        <v>37438</v>
      </c>
      <c r="J274" t="s">
        <v>18</v>
      </c>
      <c r="K274" s="2">
        <v>250</v>
      </c>
      <c r="L274" s="2"/>
      <c r="M274" s="5">
        <v>1.5</v>
      </c>
      <c r="N274" s="5"/>
      <c r="O274" s="8"/>
      <c r="P274" s="1"/>
      <c r="Q274" s="1"/>
      <c r="R274" s="1"/>
      <c r="S274" s="3"/>
      <c r="T274" s="3"/>
      <c r="U274" s="3"/>
      <c r="V274" s="3"/>
      <c r="W274" s="3"/>
      <c r="X274" s="3"/>
      <c r="Y274" s="3"/>
      <c r="Z274" t="s">
        <v>43</v>
      </c>
      <c r="AA274" t="s">
        <v>83</v>
      </c>
    </row>
    <row r="275" spans="1:27" x14ac:dyDescent="0.25">
      <c r="A275">
        <v>112</v>
      </c>
      <c r="B275">
        <v>5</v>
      </c>
      <c r="C275">
        <f t="shared" si="53"/>
        <v>11205</v>
      </c>
      <c r="D275" s="3" t="s">
        <v>86</v>
      </c>
      <c r="E275" s="11">
        <f>65+19/60+33/3600</f>
        <v>65.325833333333335</v>
      </c>
      <c r="F275" s="11">
        <f>7+19/60+3/3600</f>
        <v>7.3174999999999999</v>
      </c>
      <c r="G275" s="12" t="s">
        <v>144</v>
      </c>
      <c r="H275" s="12" t="s">
        <v>47</v>
      </c>
      <c r="I275" s="4">
        <v>37895</v>
      </c>
      <c r="J275" t="s">
        <v>1</v>
      </c>
      <c r="K275" s="2">
        <v>250</v>
      </c>
      <c r="L275" s="2"/>
      <c r="M275" s="5"/>
      <c r="N275" s="5"/>
      <c r="O275" s="8"/>
      <c r="P275" s="1"/>
      <c r="Q275" s="1"/>
      <c r="R275" s="1"/>
      <c r="S275" s="3"/>
      <c r="T275" s="3"/>
      <c r="U275" s="3"/>
      <c r="V275" s="3">
        <f>0.0013</f>
        <v>1.2999999999999999E-3</v>
      </c>
      <c r="W275" s="3"/>
      <c r="X275" s="3"/>
      <c r="Y275" s="3"/>
      <c r="Z275" t="s">
        <v>43</v>
      </c>
      <c r="AA275" t="s">
        <v>50</v>
      </c>
    </row>
    <row r="276" spans="1:27" x14ac:dyDescent="0.25">
      <c r="A276">
        <v>112</v>
      </c>
      <c r="B276">
        <v>9</v>
      </c>
      <c r="C276">
        <f t="shared" si="53"/>
        <v>11209</v>
      </c>
      <c r="D276" s="3" t="s">
        <v>86</v>
      </c>
      <c r="E276" s="11">
        <f>61+15/60+20/3600</f>
        <v>61.255555555555553</v>
      </c>
      <c r="F276" s="11">
        <f>1+51/60+14/3600</f>
        <v>1.8538888888888889</v>
      </c>
      <c r="G276" s="12" t="s">
        <v>144</v>
      </c>
      <c r="H276" s="12" t="s">
        <v>39</v>
      </c>
      <c r="I276" s="4">
        <v>37895</v>
      </c>
      <c r="J276" t="s">
        <v>1</v>
      </c>
      <c r="K276" s="2">
        <v>250</v>
      </c>
      <c r="L276" s="2"/>
      <c r="M276" s="8">
        <v>0.24803149606299199</v>
      </c>
      <c r="N276" s="8">
        <v>0.34448818897637701</v>
      </c>
      <c r="O276" s="8"/>
      <c r="P276" s="1"/>
      <c r="Q276" s="1"/>
      <c r="R276" s="1"/>
      <c r="S276" s="3"/>
      <c r="T276" s="3"/>
      <c r="U276" s="3"/>
      <c r="V276" s="3"/>
      <c r="W276" s="3"/>
      <c r="X276" s="3"/>
      <c r="Y276" s="3"/>
      <c r="Z276" t="s">
        <v>43</v>
      </c>
      <c r="AA276" t="s">
        <v>51</v>
      </c>
    </row>
    <row r="277" spans="1:27" x14ac:dyDescent="0.25">
      <c r="A277">
        <v>112</v>
      </c>
      <c r="B277">
        <v>10</v>
      </c>
      <c r="C277">
        <f t="shared" si="53"/>
        <v>11210</v>
      </c>
      <c r="D277" s="3" t="s">
        <v>86</v>
      </c>
      <c r="E277" s="11">
        <f>60.645556</f>
        <v>60.645555999999999</v>
      </c>
      <c r="F277" s="11">
        <v>3.7267890000000001</v>
      </c>
      <c r="G277" s="12" t="s">
        <v>144</v>
      </c>
      <c r="H277" s="12" t="s">
        <v>39</v>
      </c>
      <c r="I277" s="4">
        <v>37895</v>
      </c>
      <c r="J277" t="s">
        <v>1</v>
      </c>
      <c r="K277" s="2">
        <v>250</v>
      </c>
      <c r="L277" s="2"/>
      <c r="M277" s="8">
        <v>0.60236220472440904</v>
      </c>
      <c r="N277" s="8">
        <v>0.14763779527559001</v>
      </c>
      <c r="O277" s="8"/>
      <c r="P277" s="1"/>
      <c r="Q277" s="1"/>
      <c r="R277" s="1"/>
      <c r="S277" s="3"/>
      <c r="T277" s="3"/>
      <c r="U277" s="3"/>
      <c r="V277" s="3"/>
      <c r="W277" s="3"/>
      <c r="X277" s="3"/>
      <c r="Y277" s="3"/>
      <c r="Z277" t="s">
        <v>43</v>
      </c>
      <c r="AA277" t="s">
        <v>52</v>
      </c>
    </row>
    <row r="278" spans="1:27" x14ac:dyDescent="0.25">
      <c r="A278">
        <v>112</v>
      </c>
      <c r="B278">
        <v>11</v>
      </c>
      <c r="C278">
        <f t="shared" si="53"/>
        <v>11211</v>
      </c>
      <c r="D278" s="3" t="s">
        <v>86</v>
      </c>
      <c r="E278" s="11">
        <f>56+24/60+17.43/3600</f>
        <v>56.404841666666663</v>
      </c>
      <c r="F278" s="11">
        <f>3+12/60+55.2/3600</f>
        <v>3.2153333333333336</v>
      </c>
      <c r="G278" s="12" t="s">
        <v>144</v>
      </c>
      <c r="H278" s="12" t="s">
        <v>39</v>
      </c>
      <c r="I278" s="4">
        <v>37895</v>
      </c>
      <c r="J278" t="s">
        <v>1</v>
      </c>
      <c r="K278" s="2">
        <v>250</v>
      </c>
      <c r="L278" s="2"/>
      <c r="M278" s="8">
        <v>0.60236220472440904</v>
      </c>
      <c r="N278" s="8">
        <v>0.68897637795275501</v>
      </c>
      <c r="O278" s="8"/>
      <c r="P278" s="1"/>
      <c r="Q278" s="1"/>
      <c r="R278" s="1"/>
      <c r="S278" s="3"/>
      <c r="T278" s="3"/>
      <c r="U278" s="3"/>
      <c r="V278" s="3"/>
      <c r="W278" s="3"/>
      <c r="X278" s="3"/>
      <c r="Y278" s="3"/>
      <c r="Z278" t="s">
        <v>43</v>
      </c>
      <c r="AA278" t="s">
        <v>53</v>
      </c>
    </row>
    <row r="279" spans="1:27" x14ac:dyDescent="0.25">
      <c r="A279">
        <v>112</v>
      </c>
      <c r="B279">
        <v>2</v>
      </c>
      <c r="C279">
        <f t="shared" si="53"/>
        <v>11202</v>
      </c>
      <c r="D279" s="3" t="s">
        <v>86</v>
      </c>
      <c r="E279" s="11">
        <f>61+12/60+53.8/3600</f>
        <v>61.214944444444448</v>
      </c>
      <c r="F279" s="11">
        <f>2+16/60+25.93/3600</f>
        <v>2.2738694444444443</v>
      </c>
      <c r="G279" s="12" t="s">
        <v>144</v>
      </c>
      <c r="H279" s="12" t="s">
        <v>39</v>
      </c>
      <c r="I279" s="4">
        <v>37895</v>
      </c>
      <c r="J279" t="s">
        <v>1</v>
      </c>
      <c r="K279" s="2">
        <v>250</v>
      </c>
      <c r="L279" s="2"/>
      <c r="M279" s="8">
        <v>0.63779527559055105</v>
      </c>
      <c r="N279" s="8">
        <v>0.78740157480314898</v>
      </c>
      <c r="O279" s="8"/>
      <c r="P279" s="1"/>
      <c r="Q279" s="1"/>
      <c r="R279" s="1"/>
      <c r="S279" s="3"/>
      <c r="T279" s="3"/>
      <c r="U279" s="3"/>
      <c r="V279" s="3">
        <v>5.0000000000000001E-4</v>
      </c>
      <c r="W279" s="3"/>
      <c r="X279" s="3"/>
      <c r="Y279" s="3"/>
      <c r="Z279" t="s">
        <v>43</v>
      </c>
      <c r="AA279" t="s">
        <v>54</v>
      </c>
    </row>
    <row r="280" spans="1:27" x14ac:dyDescent="0.25">
      <c r="A280">
        <v>112</v>
      </c>
      <c r="B280">
        <v>9</v>
      </c>
      <c r="C280">
        <f t="shared" si="53"/>
        <v>11209</v>
      </c>
      <c r="D280" s="3" t="s">
        <v>86</v>
      </c>
      <c r="E280" s="11">
        <f>61+15/60+20/3600</f>
        <v>61.255555555555553</v>
      </c>
      <c r="F280" s="11">
        <f>1+51/60+14/3600</f>
        <v>1.8538888888888889</v>
      </c>
      <c r="G280" s="12" t="s">
        <v>144</v>
      </c>
      <c r="H280" s="12" t="s">
        <v>39</v>
      </c>
      <c r="I280" s="4">
        <v>37895</v>
      </c>
      <c r="J280" t="s">
        <v>1</v>
      </c>
      <c r="K280" s="2">
        <v>500</v>
      </c>
      <c r="L280" s="2"/>
      <c r="M280" s="8">
        <v>0.74409448818897606</v>
      </c>
      <c r="N280" s="8">
        <v>0.59055118110236204</v>
      </c>
      <c r="O280" s="8"/>
      <c r="P280" s="1"/>
      <c r="Q280" s="1"/>
      <c r="R280" s="1"/>
      <c r="S280" s="3"/>
      <c r="T280" s="3"/>
      <c r="U280" s="3"/>
      <c r="V280" s="3"/>
      <c r="W280" s="3"/>
      <c r="X280" s="3"/>
      <c r="Y280" s="3"/>
      <c r="Z280" t="s">
        <v>43</v>
      </c>
      <c r="AA280" t="s">
        <v>55</v>
      </c>
    </row>
    <row r="281" spans="1:27" x14ac:dyDescent="0.25">
      <c r="A281">
        <v>112</v>
      </c>
      <c r="B281">
        <v>9</v>
      </c>
      <c r="C281">
        <f t="shared" si="53"/>
        <v>11209</v>
      </c>
      <c r="D281" s="3" t="s">
        <v>86</v>
      </c>
      <c r="E281" s="11">
        <f>61+15/60+20/3600</f>
        <v>61.255555555555553</v>
      </c>
      <c r="F281" s="11">
        <f>1+51/60+14/3600</f>
        <v>1.8538888888888889</v>
      </c>
      <c r="G281" s="12" t="s">
        <v>144</v>
      </c>
      <c r="H281" s="12" t="s">
        <v>39</v>
      </c>
      <c r="I281" s="4">
        <v>37895</v>
      </c>
      <c r="J281" t="s">
        <v>1</v>
      </c>
      <c r="K281" s="2">
        <v>750</v>
      </c>
      <c r="L281" s="2"/>
      <c r="M281" s="8">
        <v>1.09842519685039</v>
      </c>
      <c r="N281" s="8">
        <v>1.13188976377952</v>
      </c>
      <c r="O281" s="8"/>
      <c r="P281" s="1"/>
      <c r="Q281" s="1"/>
      <c r="R281" s="1"/>
      <c r="S281" s="3"/>
      <c r="T281" s="3"/>
      <c r="U281" s="3"/>
      <c r="V281" s="3"/>
      <c r="W281" s="3"/>
      <c r="X281" s="3"/>
      <c r="Y281" s="3"/>
      <c r="Z281" t="s">
        <v>43</v>
      </c>
      <c r="AA281" t="s">
        <v>56</v>
      </c>
    </row>
    <row r="282" spans="1:27" x14ac:dyDescent="0.25">
      <c r="A282">
        <v>112</v>
      </c>
      <c r="B282" s="12">
        <v>12</v>
      </c>
      <c r="C282">
        <f t="shared" si="53"/>
        <v>11212</v>
      </c>
      <c r="D282" s="21" t="s">
        <v>86</v>
      </c>
      <c r="E282" s="11">
        <f>60+35/60+50.48/3600</f>
        <v>60.597355555555559</v>
      </c>
      <c r="F282" s="11">
        <f>7+4/60+22.87/3600</f>
        <v>7.0730194444444443</v>
      </c>
      <c r="G282" s="12" t="s">
        <v>144</v>
      </c>
      <c r="H282" s="12" t="s">
        <v>39</v>
      </c>
      <c r="I282" s="26">
        <v>37895</v>
      </c>
      <c r="J282" s="12" t="s">
        <v>1</v>
      </c>
      <c r="K282" s="22">
        <v>250</v>
      </c>
      <c r="L282" s="22"/>
      <c r="M282" s="24">
        <v>1.1338582677165301</v>
      </c>
      <c r="N282" s="24">
        <v>1.3287401574803099</v>
      </c>
      <c r="O282" s="24"/>
      <c r="P282" s="25"/>
      <c r="Q282" s="25"/>
      <c r="R282" s="25"/>
      <c r="S282" s="21"/>
      <c r="T282" s="21"/>
      <c r="U282" s="21"/>
      <c r="V282" s="21"/>
      <c r="W282" s="21"/>
      <c r="X282" s="21"/>
      <c r="Y282" s="21"/>
      <c r="Z282" s="12" t="s">
        <v>43</v>
      </c>
      <c r="AA282" s="12" t="s">
        <v>57</v>
      </c>
    </row>
    <row r="283" spans="1:27" x14ac:dyDescent="0.25">
      <c r="A283">
        <v>112</v>
      </c>
      <c r="B283" s="12">
        <v>13</v>
      </c>
      <c r="C283">
        <f t="shared" si="53"/>
        <v>11213</v>
      </c>
      <c r="D283" s="21" t="s">
        <v>86</v>
      </c>
      <c r="E283" s="11">
        <f>56+32/60+57.11/3600</f>
        <v>56.549197222222219</v>
      </c>
      <c r="F283" s="11">
        <f>3+12/60+35.95/3600</f>
        <v>3.2099861111111112</v>
      </c>
      <c r="G283" s="12" t="s">
        <v>144</v>
      </c>
      <c r="H283" s="12" t="s">
        <v>39</v>
      </c>
      <c r="I283" s="26">
        <v>37895</v>
      </c>
      <c r="J283" s="12" t="s">
        <v>1</v>
      </c>
      <c r="K283" s="22">
        <v>250</v>
      </c>
      <c r="L283" s="22"/>
      <c r="M283" s="24">
        <v>1.16929133858267</v>
      </c>
      <c r="N283" s="24">
        <v>0.63976377952755903</v>
      </c>
      <c r="O283" s="24"/>
      <c r="P283" s="25"/>
      <c r="Q283" s="25"/>
      <c r="R283" s="25"/>
      <c r="S283" s="21"/>
      <c r="T283" s="21"/>
      <c r="U283" s="21"/>
      <c r="V283" s="21"/>
      <c r="W283" s="21"/>
      <c r="X283" s="21"/>
      <c r="Y283" s="21"/>
      <c r="Z283" s="12" t="s">
        <v>43</v>
      </c>
      <c r="AA283" s="12" t="s">
        <v>58</v>
      </c>
    </row>
    <row r="284" spans="1:27" x14ac:dyDescent="0.25">
      <c r="A284">
        <v>112</v>
      </c>
      <c r="B284" s="12">
        <v>13</v>
      </c>
      <c r="C284">
        <f t="shared" si="53"/>
        <v>11213</v>
      </c>
      <c r="D284" s="21" t="s">
        <v>86</v>
      </c>
      <c r="E284" s="11">
        <f>56+32/60+57.11/3600</f>
        <v>56.549197222222219</v>
      </c>
      <c r="F284" s="11">
        <f>3+12/60+35.95/3600</f>
        <v>3.2099861111111112</v>
      </c>
      <c r="G284" s="12" t="s">
        <v>144</v>
      </c>
      <c r="H284" s="12" t="s">
        <v>39</v>
      </c>
      <c r="I284" s="26">
        <v>37895</v>
      </c>
      <c r="J284" s="12" t="s">
        <v>1</v>
      </c>
      <c r="K284" s="22">
        <v>500</v>
      </c>
      <c r="L284" s="22"/>
      <c r="M284" s="24">
        <v>1.2755905511811001</v>
      </c>
      <c r="N284" s="24">
        <v>0.34448818897637701</v>
      </c>
      <c r="O284" s="24"/>
      <c r="P284" s="25"/>
      <c r="Q284" s="25"/>
      <c r="R284" s="25"/>
      <c r="S284" s="21"/>
      <c r="T284" s="21"/>
      <c r="U284" s="21"/>
      <c r="V284" s="21"/>
      <c r="W284" s="21"/>
      <c r="X284" s="21"/>
      <c r="Y284" s="21"/>
      <c r="Z284" s="12" t="s">
        <v>43</v>
      </c>
      <c r="AA284" s="12" t="s">
        <v>59</v>
      </c>
    </row>
    <row r="285" spans="1:27" x14ac:dyDescent="0.25">
      <c r="A285">
        <v>112</v>
      </c>
      <c r="B285" s="12">
        <v>3</v>
      </c>
      <c r="C285">
        <f t="shared" si="53"/>
        <v>11203</v>
      </c>
      <c r="D285" s="21" t="s">
        <v>86</v>
      </c>
      <c r="E285" s="11">
        <f>61+31/60+31.58/3600</f>
        <v>61.525438888888885</v>
      </c>
      <c r="F285" s="11">
        <f>2+12/60+41.42/3600</f>
        <v>2.2115055555555556</v>
      </c>
      <c r="G285" s="12" t="s">
        <v>144</v>
      </c>
      <c r="H285" s="12" t="s">
        <v>47</v>
      </c>
      <c r="I285" s="26">
        <v>37895</v>
      </c>
      <c r="J285" s="12" t="s">
        <v>1</v>
      </c>
      <c r="K285" s="22">
        <v>250</v>
      </c>
      <c r="L285" s="22"/>
      <c r="M285" s="24">
        <v>1.24015748031496</v>
      </c>
      <c r="N285" s="24">
        <v>1.1811023622047201</v>
      </c>
      <c r="O285" s="24"/>
      <c r="P285" s="25"/>
      <c r="Q285" s="25"/>
      <c r="R285" s="25"/>
      <c r="S285" s="21"/>
      <c r="T285" s="21"/>
      <c r="U285" s="21"/>
      <c r="V285" s="21">
        <f>6.1/1000</f>
        <v>6.0999999999999995E-3</v>
      </c>
      <c r="W285" s="21"/>
      <c r="X285" s="21"/>
      <c r="Y285" s="21"/>
      <c r="Z285" s="12" t="s">
        <v>43</v>
      </c>
      <c r="AA285" s="12" t="s">
        <v>60</v>
      </c>
    </row>
    <row r="286" spans="1:27" x14ac:dyDescent="0.25">
      <c r="A286">
        <v>112</v>
      </c>
      <c r="B286" s="12">
        <v>6</v>
      </c>
      <c r="C286">
        <f t="shared" si="53"/>
        <v>11206</v>
      </c>
      <c r="D286" s="21" t="s">
        <v>86</v>
      </c>
      <c r="E286" s="11">
        <f>64+46/60+43.74/3600</f>
        <v>64.778816666666671</v>
      </c>
      <c r="F286" s="11">
        <f>8+45/60+43.74/3600</f>
        <v>8.7621500000000001</v>
      </c>
      <c r="G286" s="12" t="s">
        <v>144</v>
      </c>
      <c r="H286" s="12" t="s">
        <v>47</v>
      </c>
      <c r="I286" s="26">
        <v>37895</v>
      </c>
      <c r="J286" s="12" t="s">
        <v>1</v>
      </c>
      <c r="K286" s="22">
        <v>500</v>
      </c>
      <c r="L286" s="22"/>
      <c r="M286" s="24">
        <v>1.66535433070866</v>
      </c>
      <c r="N286" s="24">
        <v>1.57480314960629</v>
      </c>
      <c r="O286" s="24"/>
      <c r="P286" s="25"/>
      <c r="Q286" s="25"/>
      <c r="R286" s="25"/>
      <c r="S286" s="21"/>
      <c r="T286" s="21"/>
      <c r="U286" s="21"/>
      <c r="V286" s="21">
        <v>1.2999999999999999E-3</v>
      </c>
      <c r="W286" s="21"/>
      <c r="X286" s="21"/>
      <c r="Y286" s="21"/>
      <c r="Z286" s="12" t="s">
        <v>43</v>
      </c>
      <c r="AA286" s="12" t="s">
        <v>61</v>
      </c>
    </row>
    <row r="287" spans="1:27" x14ac:dyDescent="0.25">
      <c r="A287">
        <v>112</v>
      </c>
      <c r="B287" s="12">
        <v>2</v>
      </c>
      <c r="C287">
        <f t="shared" si="53"/>
        <v>11202</v>
      </c>
      <c r="D287" s="21" t="s">
        <v>86</v>
      </c>
      <c r="E287" s="11">
        <f>61+12/60+53.8/3600</f>
        <v>61.214944444444448</v>
      </c>
      <c r="F287" s="11">
        <f>2+16/60+25.93/3600</f>
        <v>2.2738694444444443</v>
      </c>
      <c r="G287" s="12" t="s">
        <v>144</v>
      </c>
      <c r="H287" s="12" t="s">
        <v>39</v>
      </c>
      <c r="I287" s="26">
        <v>37895</v>
      </c>
      <c r="J287" s="12" t="s">
        <v>1</v>
      </c>
      <c r="K287" s="22">
        <v>500</v>
      </c>
      <c r="L287" s="22"/>
      <c r="M287" s="24">
        <v>1.87795275590551</v>
      </c>
      <c r="N287" s="24">
        <v>1.82086614173228</v>
      </c>
      <c r="O287" s="24"/>
      <c r="P287" s="25"/>
      <c r="Q287" s="25"/>
      <c r="R287" s="25"/>
      <c r="S287" s="21"/>
      <c r="T287" s="21"/>
      <c r="U287" s="21"/>
      <c r="V287" s="21">
        <v>1E-3</v>
      </c>
      <c r="W287" s="21"/>
      <c r="X287" s="21"/>
      <c r="Y287" s="21"/>
      <c r="Z287" s="12" t="s">
        <v>43</v>
      </c>
      <c r="AA287" s="12" t="s">
        <v>62</v>
      </c>
    </row>
    <row r="288" spans="1:27" x14ac:dyDescent="0.25">
      <c r="A288">
        <v>112</v>
      </c>
      <c r="B288" s="12">
        <v>2</v>
      </c>
      <c r="C288">
        <f t="shared" si="53"/>
        <v>11202</v>
      </c>
      <c r="D288" s="21" t="s">
        <v>86</v>
      </c>
      <c r="E288" s="11">
        <f>61+12/60+53.8/3600</f>
        <v>61.214944444444448</v>
      </c>
      <c r="F288" s="11">
        <f>2+16/60+25.93/3600</f>
        <v>2.2738694444444443</v>
      </c>
      <c r="G288" s="12" t="s">
        <v>144</v>
      </c>
      <c r="H288" s="12" t="s">
        <v>39</v>
      </c>
      <c r="I288" s="26">
        <v>37895</v>
      </c>
      <c r="J288" s="12" t="s">
        <v>1</v>
      </c>
      <c r="K288" s="22">
        <v>750</v>
      </c>
      <c r="L288" s="22"/>
      <c r="M288" s="24">
        <v>2.2322834645669198</v>
      </c>
      <c r="N288" s="24">
        <v>2.3129921259842501</v>
      </c>
      <c r="O288" s="24"/>
      <c r="P288" s="25"/>
      <c r="Q288" s="25"/>
      <c r="R288" s="25"/>
      <c r="S288" s="21"/>
      <c r="T288" s="21"/>
      <c r="U288" s="21"/>
      <c r="V288" s="21">
        <v>1.1000000000000001E-3</v>
      </c>
      <c r="W288" s="21"/>
      <c r="X288" s="21"/>
      <c r="Y288" s="21"/>
      <c r="Z288" s="12" t="s">
        <v>43</v>
      </c>
      <c r="AA288" s="12" t="s">
        <v>63</v>
      </c>
    </row>
    <row r="289" spans="1:27" x14ac:dyDescent="0.25">
      <c r="A289">
        <v>112</v>
      </c>
      <c r="B289" s="12">
        <v>14</v>
      </c>
      <c r="C289">
        <f t="shared" si="53"/>
        <v>11214</v>
      </c>
      <c r="D289" s="21" t="s">
        <v>86</v>
      </c>
      <c r="E289" s="11">
        <f>66+49.35/3600</f>
        <v>66.013708333333327</v>
      </c>
      <c r="F289" s="11">
        <f>8+4/60+26.48/3600</f>
        <v>8.0740222222222222</v>
      </c>
      <c r="G289" s="12" t="s">
        <v>144</v>
      </c>
      <c r="H289" s="12" t="s">
        <v>47</v>
      </c>
      <c r="I289" s="26">
        <v>37895</v>
      </c>
      <c r="J289" s="12" t="s">
        <v>1</v>
      </c>
      <c r="K289" s="22">
        <v>0</v>
      </c>
      <c r="L289" s="22"/>
      <c r="M289" s="24">
        <v>2.5157480314960599</v>
      </c>
      <c r="N289" s="24">
        <v>3.4940944881889702</v>
      </c>
      <c r="O289" s="24"/>
      <c r="P289" s="25"/>
      <c r="Q289" s="25"/>
      <c r="R289" s="25"/>
      <c r="S289" s="21"/>
      <c r="T289" s="21"/>
      <c r="U289" s="21"/>
      <c r="V289" s="21"/>
      <c r="W289" s="21"/>
      <c r="X289" s="21"/>
      <c r="Y289" s="21"/>
      <c r="Z289" s="12" t="s">
        <v>43</v>
      </c>
      <c r="AA289" s="12" t="s">
        <v>64</v>
      </c>
    </row>
    <row r="290" spans="1:27" x14ac:dyDescent="0.25">
      <c r="A290">
        <v>112</v>
      </c>
      <c r="B290" s="12">
        <v>3</v>
      </c>
      <c r="C290">
        <f t="shared" si="53"/>
        <v>11203</v>
      </c>
      <c r="D290" s="21" t="s">
        <v>86</v>
      </c>
      <c r="E290" s="11">
        <f>61+31/60+31.58/3600</f>
        <v>61.525438888888885</v>
      </c>
      <c r="F290" s="11">
        <f>2+12/60+41.42/3600</f>
        <v>2.2115055555555556</v>
      </c>
      <c r="G290" s="12" t="s">
        <v>144</v>
      </c>
      <c r="H290" s="12" t="s">
        <v>47</v>
      </c>
      <c r="I290" s="26">
        <v>37895</v>
      </c>
      <c r="J290" s="12" t="s">
        <v>1</v>
      </c>
      <c r="K290" s="22">
        <v>500</v>
      </c>
      <c r="L290" s="22"/>
      <c r="M290" s="24">
        <v>2.6574803149606301</v>
      </c>
      <c r="N290" s="24">
        <v>5.1181102362204696</v>
      </c>
      <c r="O290" s="24"/>
      <c r="P290" s="25"/>
      <c r="Q290" s="25"/>
      <c r="R290" s="25"/>
      <c r="S290" s="21"/>
      <c r="T290" s="21"/>
      <c r="U290" s="21"/>
      <c r="V290" s="21">
        <v>1.9E-3</v>
      </c>
      <c r="W290" s="21"/>
      <c r="X290" s="21"/>
      <c r="Y290" s="21"/>
      <c r="Z290" s="12" t="s">
        <v>43</v>
      </c>
      <c r="AA290" s="12" t="s">
        <v>65</v>
      </c>
    </row>
    <row r="291" spans="1:27" x14ac:dyDescent="0.25">
      <c r="A291">
        <v>112</v>
      </c>
      <c r="B291" s="12">
        <v>6</v>
      </c>
      <c r="C291">
        <f t="shared" si="53"/>
        <v>11206</v>
      </c>
      <c r="D291" s="21" t="s">
        <v>86</v>
      </c>
      <c r="E291" s="11">
        <f>64+46/60+43.74/3600</f>
        <v>64.778816666666671</v>
      </c>
      <c r="F291" s="11">
        <f>8+45/60+43.74/3600</f>
        <v>8.7621500000000001</v>
      </c>
      <c r="G291" s="12" t="s">
        <v>144</v>
      </c>
      <c r="H291" s="12" t="s">
        <v>47</v>
      </c>
      <c r="I291" s="26">
        <v>37895</v>
      </c>
      <c r="J291" s="12" t="s">
        <v>1</v>
      </c>
      <c r="K291" s="22">
        <v>250</v>
      </c>
      <c r="L291" s="22"/>
      <c r="M291" s="24">
        <v>2.7637795275590502</v>
      </c>
      <c r="N291" s="24">
        <v>1.2795275590551101</v>
      </c>
      <c r="O291" s="24"/>
      <c r="P291" s="25"/>
      <c r="Q291" s="25"/>
      <c r="R291" s="25"/>
      <c r="S291" s="21"/>
      <c r="T291" s="21"/>
      <c r="U291" s="21"/>
      <c r="V291" s="21">
        <v>1.1000000000000001E-3</v>
      </c>
      <c r="W291" s="21"/>
      <c r="X291" s="21"/>
      <c r="Y291" s="21"/>
      <c r="Z291" s="12" t="s">
        <v>43</v>
      </c>
      <c r="AA291" s="12" t="s">
        <v>66</v>
      </c>
    </row>
    <row r="292" spans="1:27" x14ac:dyDescent="0.25">
      <c r="A292">
        <v>112</v>
      </c>
      <c r="B292" s="12">
        <v>9</v>
      </c>
      <c r="C292">
        <f t="shared" si="53"/>
        <v>11209</v>
      </c>
      <c r="D292" s="21" t="s">
        <v>86</v>
      </c>
      <c r="E292" s="11">
        <f>61+15/60+20/3600</f>
        <v>61.255555555555553</v>
      </c>
      <c r="F292" s="11">
        <f>1+51/60+14/3600</f>
        <v>1.8538888888888889</v>
      </c>
      <c r="G292" s="12" t="s">
        <v>144</v>
      </c>
      <c r="H292" s="12" t="s">
        <v>39</v>
      </c>
      <c r="I292" s="26">
        <v>37895</v>
      </c>
      <c r="J292" s="12" t="s">
        <v>1</v>
      </c>
      <c r="K292" s="22">
        <v>1000</v>
      </c>
      <c r="L292" s="22"/>
      <c r="M292" s="24">
        <v>2.7283464566929099</v>
      </c>
      <c r="N292" s="24">
        <v>2.50984251968503</v>
      </c>
      <c r="O292" s="24"/>
      <c r="P292" s="25"/>
      <c r="Q292" s="25"/>
      <c r="R292" s="25"/>
      <c r="S292" s="21"/>
      <c r="T292" s="21"/>
      <c r="U292" s="21"/>
      <c r="V292" s="21"/>
      <c r="W292" s="21"/>
      <c r="X292" s="21"/>
      <c r="Y292" s="21"/>
      <c r="Z292" s="12" t="s">
        <v>43</v>
      </c>
      <c r="AA292" s="12" t="s">
        <v>67</v>
      </c>
    </row>
    <row r="293" spans="1:27" x14ac:dyDescent="0.25">
      <c r="A293">
        <v>112</v>
      </c>
      <c r="B293" s="12">
        <v>15</v>
      </c>
      <c r="C293">
        <f t="shared" si="53"/>
        <v>11215</v>
      </c>
      <c r="D293" s="21" t="s">
        <v>86</v>
      </c>
      <c r="E293" s="11">
        <v>59.22</v>
      </c>
      <c r="F293" s="11">
        <v>2.4900000000000002</v>
      </c>
      <c r="G293" s="12" t="s">
        <v>144</v>
      </c>
      <c r="H293" s="12" t="s">
        <v>39</v>
      </c>
      <c r="I293" s="26">
        <v>37895</v>
      </c>
      <c r="J293" s="12" t="s">
        <v>1</v>
      </c>
      <c r="K293" s="22">
        <v>0</v>
      </c>
      <c r="L293" s="22"/>
      <c r="M293" s="24">
        <v>2.9409448818897599</v>
      </c>
      <c r="N293" s="24">
        <v>2.9527559055118102</v>
      </c>
      <c r="O293" s="24"/>
      <c r="P293" s="25"/>
      <c r="Q293" s="25"/>
      <c r="R293" s="25"/>
      <c r="S293" s="21"/>
      <c r="T293" s="21"/>
      <c r="U293" s="21"/>
      <c r="V293" s="21"/>
      <c r="W293" s="21"/>
      <c r="X293" s="21"/>
      <c r="Y293" s="21"/>
      <c r="Z293" s="12" t="s">
        <v>43</v>
      </c>
      <c r="AA293" s="12" t="s">
        <v>68</v>
      </c>
    </row>
    <row r="294" spans="1:27" x14ac:dyDescent="0.25">
      <c r="A294">
        <v>112</v>
      </c>
      <c r="B294" s="12">
        <v>16</v>
      </c>
      <c r="C294">
        <f t="shared" si="53"/>
        <v>11216</v>
      </c>
      <c r="D294" s="21" t="s">
        <v>87</v>
      </c>
      <c r="E294" s="11">
        <f>AVERAGE(E271,E272,E285,E306:E307,E291,E309:E310,E292,E277:E278,E282:E283,E289,E293,E295,E296:E298,E300,E303:E304,E313)</f>
        <v>60.542249057971006</v>
      </c>
      <c r="F294" s="11">
        <f>AVERAGE(F271,F272,F285,F306:F307,F291,F309:F310,F292,F277:F278,F282:F283,F289,F293,F295,F296:F298,F300,F303:F304,F313)</f>
        <v>3.9990973478260865</v>
      </c>
      <c r="G294" s="12" t="s">
        <v>144</v>
      </c>
      <c r="H294" s="12" t="s">
        <v>39</v>
      </c>
      <c r="I294" s="26">
        <v>37895</v>
      </c>
      <c r="J294" s="12" t="s">
        <v>1</v>
      </c>
      <c r="K294" s="22">
        <v>0</v>
      </c>
      <c r="L294" s="22"/>
      <c r="M294" s="24">
        <v>3.25984251968503</v>
      </c>
      <c r="N294" s="24">
        <v>3.4940944881889702</v>
      </c>
      <c r="O294" s="24"/>
      <c r="P294" s="25"/>
      <c r="Q294" s="25"/>
      <c r="R294" s="25"/>
      <c r="S294" s="21"/>
      <c r="T294" s="21"/>
      <c r="U294" s="21"/>
      <c r="V294" s="21"/>
      <c r="W294" s="21"/>
      <c r="X294" s="21"/>
      <c r="Y294" s="21"/>
      <c r="Z294" s="12" t="s">
        <v>43</v>
      </c>
      <c r="AA294" s="12" t="s">
        <v>88</v>
      </c>
    </row>
    <row r="295" spans="1:27" x14ac:dyDescent="0.25">
      <c r="A295">
        <v>112</v>
      </c>
      <c r="B295" s="12">
        <v>17</v>
      </c>
      <c r="C295">
        <f t="shared" si="53"/>
        <v>11217</v>
      </c>
      <c r="D295" s="21" t="s">
        <v>86</v>
      </c>
      <c r="E295" s="11">
        <f>59.2258</f>
        <v>59.2258</v>
      </c>
      <c r="F295" s="11">
        <v>2.4131</v>
      </c>
      <c r="G295" s="12" t="s">
        <v>144</v>
      </c>
      <c r="H295" s="12" t="s">
        <v>39</v>
      </c>
      <c r="I295" s="26">
        <v>37895</v>
      </c>
      <c r="J295" s="12" t="s">
        <v>1</v>
      </c>
      <c r="K295" s="22">
        <v>0</v>
      </c>
      <c r="L295" s="22"/>
      <c r="M295" s="24">
        <v>3.5078740157480301</v>
      </c>
      <c r="N295" s="24">
        <v>2.8051181102362199</v>
      </c>
      <c r="O295" s="24"/>
      <c r="P295" s="25"/>
      <c r="Q295" s="25"/>
      <c r="R295" s="25"/>
      <c r="S295" s="21"/>
      <c r="T295" s="21"/>
      <c r="U295" s="21"/>
      <c r="V295" s="21"/>
      <c r="W295" s="21"/>
      <c r="X295" s="21"/>
      <c r="Y295" s="21"/>
      <c r="Z295" s="12" t="s">
        <v>43</v>
      </c>
      <c r="AA295" s="12" t="s">
        <v>69</v>
      </c>
    </row>
    <row r="296" spans="1:27" x14ac:dyDescent="0.25">
      <c r="A296">
        <v>112</v>
      </c>
      <c r="B296" s="12">
        <v>18</v>
      </c>
      <c r="C296">
        <f t="shared" si="53"/>
        <v>11218</v>
      </c>
      <c r="D296" s="21" t="s">
        <v>86</v>
      </c>
      <c r="E296" s="11">
        <f>60+37/60+48.17/3600</f>
        <v>60.630047222222224</v>
      </c>
      <c r="F296" s="11">
        <f>3+16/60+1.71/3600</f>
        <v>3.2671416666666664</v>
      </c>
      <c r="G296" s="12" t="s">
        <v>144</v>
      </c>
      <c r="H296" s="12" t="s">
        <v>39</v>
      </c>
      <c r="I296" s="26">
        <v>37895</v>
      </c>
      <c r="J296" s="12" t="s">
        <v>1</v>
      </c>
      <c r="K296" s="22">
        <v>0</v>
      </c>
      <c r="L296" s="22"/>
      <c r="M296" s="24">
        <v>3.6141732283464498</v>
      </c>
      <c r="N296" s="24">
        <v>3.88779527559055</v>
      </c>
      <c r="O296" s="24"/>
      <c r="P296" s="25"/>
      <c r="Q296" s="25"/>
      <c r="R296" s="25"/>
      <c r="S296" s="21"/>
      <c r="T296" s="21"/>
      <c r="U296" s="21"/>
      <c r="V296" s="21"/>
      <c r="W296" s="21"/>
      <c r="X296" s="21"/>
      <c r="Y296" s="21"/>
      <c r="Z296" s="12" t="s">
        <v>43</v>
      </c>
      <c r="AA296" s="12" t="s">
        <v>70</v>
      </c>
    </row>
    <row r="297" spans="1:27" x14ac:dyDescent="0.25">
      <c r="A297">
        <v>112</v>
      </c>
      <c r="B297" s="12">
        <v>19</v>
      </c>
      <c r="C297">
        <f t="shared" si="53"/>
        <v>11219</v>
      </c>
      <c r="D297" s="21" t="s">
        <v>86</v>
      </c>
      <c r="E297" s="11">
        <f>60.58</f>
        <v>60.58</v>
      </c>
      <c r="F297" s="11">
        <v>3.02</v>
      </c>
      <c r="G297" s="12" t="s">
        <v>144</v>
      </c>
      <c r="H297" s="12" t="s">
        <v>39</v>
      </c>
      <c r="I297" s="26">
        <v>37895</v>
      </c>
      <c r="J297" s="12" t="s">
        <v>1</v>
      </c>
      <c r="K297" s="22">
        <v>0</v>
      </c>
      <c r="L297" s="22"/>
      <c r="M297" s="24">
        <v>3.6141732283464498</v>
      </c>
      <c r="N297" s="24">
        <v>2.8051181102362199</v>
      </c>
      <c r="O297" s="24"/>
      <c r="P297" s="25"/>
      <c r="Q297" s="25"/>
      <c r="R297" s="25"/>
      <c r="S297" s="21"/>
      <c r="T297" s="21"/>
      <c r="U297" s="21"/>
      <c r="V297" s="21"/>
      <c r="W297" s="21"/>
      <c r="X297" s="21"/>
      <c r="Y297" s="21"/>
      <c r="Z297" s="12" t="s">
        <v>43</v>
      </c>
      <c r="AA297" s="12" t="s">
        <v>71</v>
      </c>
    </row>
    <row r="298" spans="1:27" x14ac:dyDescent="0.25">
      <c r="A298">
        <v>112</v>
      </c>
      <c r="B298" s="12">
        <v>20</v>
      </c>
      <c r="C298">
        <f t="shared" si="53"/>
        <v>11220</v>
      </c>
      <c r="D298" s="21" t="s">
        <v>86</v>
      </c>
      <c r="E298" s="11">
        <f>56+54/60+41.19/3600</f>
        <v>56.911441666666668</v>
      </c>
      <c r="F298" s="11">
        <f>3+6/60+30.19/3600</f>
        <v>3.1083861111111113</v>
      </c>
      <c r="G298" s="12" t="s">
        <v>144</v>
      </c>
      <c r="H298" s="12" t="s">
        <v>39</v>
      </c>
      <c r="I298" s="26">
        <v>37895</v>
      </c>
      <c r="J298" s="12" t="s">
        <v>1</v>
      </c>
      <c r="K298" s="22">
        <v>0</v>
      </c>
      <c r="L298" s="22"/>
      <c r="M298" s="24">
        <v>3.79133858267716</v>
      </c>
      <c r="N298" s="24">
        <v>0.63976377952755903</v>
      </c>
      <c r="O298" s="24"/>
      <c r="P298" s="25"/>
      <c r="Q298" s="25"/>
      <c r="R298" s="25"/>
      <c r="S298" s="21"/>
      <c r="T298" s="21"/>
      <c r="U298" s="21"/>
      <c r="V298" s="21"/>
      <c r="W298" s="21"/>
      <c r="X298" s="21"/>
      <c r="Y298" s="21"/>
      <c r="Z298" s="12" t="s">
        <v>43</v>
      </c>
      <c r="AA298" s="12" t="s">
        <v>72</v>
      </c>
    </row>
    <row r="299" spans="1:27" x14ac:dyDescent="0.25">
      <c r="A299">
        <v>112</v>
      </c>
      <c r="B299" s="12">
        <v>11</v>
      </c>
      <c r="C299">
        <f t="shared" si="53"/>
        <v>11211</v>
      </c>
      <c r="D299" s="21" t="s">
        <v>86</v>
      </c>
      <c r="E299" s="11">
        <f>56+24/60+17.43/3600</f>
        <v>56.404841666666663</v>
      </c>
      <c r="F299" s="11">
        <f>3+12/60+55.2/3600</f>
        <v>3.2153333333333336</v>
      </c>
      <c r="G299" s="12" t="s">
        <v>144</v>
      </c>
      <c r="H299" s="12" t="s">
        <v>39</v>
      </c>
      <c r="I299" s="26">
        <v>37895</v>
      </c>
      <c r="J299" s="12" t="s">
        <v>1</v>
      </c>
      <c r="K299" s="22">
        <v>750</v>
      </c>
      <c r="L299" s="22"/>
      <c r="M299" s="24">
        <v>4.0393700787401503</v>
      </c>
      <c r="N299" s="24">
        <v>0.93503937007874005</v>
      </c>
      <c r="O299" s="24"/>
      <c r="P299" s="25"/>
      <c r="Q299" s="25"/>
      <c r="R299" s="25"/>
      <c r="S299" s="21"/>
      <c r="T299" s="21"/>
      <c r="U299" s="21"/>
      <c r="V299" s="21"/>
      <c r="W299" s="21"/>
      <c r="X299" s="21"/>
      <c r="Y299" s="21"/>
      <c r="Z299" s="12" t="s">
        <v>43</v>
      </c>
      <c r="AA299" s="12" t="s">
        <v>73</v>
      </c>
    </row>
    <row r="300" spans="1:27" x14ac:dyDescent="0.25">
      <c r="A300">
        <v>112</v>
      </c>
      <c r="B300" s="12">
        <v>21</v>
      </c>
      <c r="C300">
        <f t="shared" si="53"/>
        <v>11221</v>
      </c>
      <c r="D300" s="21" t="s">
        <v>86</v>
      </c>
      <c r="E300" s="11">
        <f>64+21/60+11.42/3600</f>
        <v>64.353172222222213</v>
      </c>
      <c r="F300" s="11">
        <f>7+46/60+57.38/3600</f>
        <v>7.7826055555555556</v>
      </c>
      <c r="G300" s="12" t="s">
        <v>144</v>
      </c>
      <c r="H300" s="12" t="s">
        <v>47</v>
      </c>
      <c r="I300" s="26">
        <v>37895</v>
      </c>
      <c r="J300" s="12" t="s">
        <v>1</v>
      </c>
      <c r="K300" s="22">
        <v>0</v>
      </c>
      <c r="L300" s="22"/>
      <c r="M300" s="24">
        <v>4.2165354330708604</v>
      </c>
      <c r="N300" s="24">
        <v>4.4783464566929103</v>
      </c>
      <c r="O300" s="24"/>
      <c r="P300" s="25"/>
      <c r="Q300" s="25"/>
      <c r="R300" s="25"/>
      <c r="S300" s="21"/>
      <c r="T300" s="21"/>
      <c r="U300" s="21"/>
      <c r="V300" s="21"/>
      <c r="W300" s="21"/>
      <c r="X300" s="21"/>
      <c r="Y300" s="21"/>
      <c r="Z300" s="12" t="s">
        <v>43</v>
      </c>
      <c r="AA300" s="12" t="s">
        <v>74</v>
      </c>
    </row>
    <row r="301" spans="1:27" x14ac:dyDescent="0.25">
      <c r="A301">
        <v>112</v>
      </c>
      <c r="B301" s="12">
        <v>22</v>
      </c>
      <c r="C301">
        <f t="shared" si="53"/>
        <v>11222</v>
      </c>
      <c r="D301" s="21" t="s">
        <v>87</v>
      </c>
      <c r="E301" s="11">
        <f>E294</f>
        <v>60.542249057971006</v>
      </c>
      <c r="F301" s="11">
        <f>F294</f>
        <v>3.9990973478260865</v>
      </c>
      <c r="G301" s="12" t="s">
        <v>144</v>
      </c>
      <c r="H301" s="12" t="s">
        <v>39</v>
      </c>
      <c r="I301" s="26">
        <v>37895</v>
      </c>
      <c r="J301" s="12" t="s">
        <v>1</v>
      </c>
      <c r="K301" s="22">
        <v>0</v>
      </c>
      <c r="L301" s="22"/>
      <c r="M301" s="24">
        <v>4.3582677165354298</v>
      </c>
      <c r="N301" s="24">
        <v>4.2814960629921197</v>
      </c>
      <c r="O301" s="24"/>
      <c r="P301" s="25"/>
      <c r="Q301" s="25"/>
      <c r="R301" s="25"/>
      <c r="S301" s="21"/>
      <c r="T301" s="21"/>
      <c r="U301" s="21"/>
      <c r="V301" s="21"/>
      <c r="W301" s="21"/>
      <c r="X301" s="21"/>
      <c r="Y301" s="21"/>
      <c r="Z301" s="12" t="s">
        <v>43</v>
      </c>
      <c r="AA301" s="12" t="s">
        <v>89</v>
      </c>
    </row>
    <row r="302" spans="1:27" x14ac:dyDescent="0.25">
      <c r="A302">
        <v>112</v>
      </c>
      <c r="B302" s="12">
        <v>11</v>
      </c>
      <c r="C302">
        <f t="shared" si="53"/>
        <v>11211</v>
      </c>
      <c r="D302" s="21" t="s">
        <v>86</v>
      </c>
      <c r="E302" s="11">
        <f>56+24/60+17.43/3600</f>
        <v>56.404841666666663</v>
      </c>
      <c r="F302" s="11">
        <f>3+12/60+55.2/3600</f>
        <v>3.2153333333333336</v>
      </c>
      <c r="G302" s="12" t="s">
        <v>144</v>
      </c>
      <c r="H302" s="12" t="s">
        <v>39</v>
      </c>
      <c r="I302" s="26">
        <v>37895</v>
      </c>
      <c r="J302" s="12" t="s">
        <v>1</v>
      </c>
      <c r="K302" s="22">
        <v>500</v>
      </c>
      <c r="L302" s="22"/>
      <c r="M302" s="24">
        <v>4.7834645669291298</v>
      </c>
      <c r="N302" s="24">
        <v>0.63976377952755903</v>
      </c>
      <c r="O302" s="24"/>
      <c r="P302" s="25"/>
      <c r="Q302" s="25"/>
      <c r="R302" s="25"/>
      <c r="S302" s="21"/>
      <c r="T302" s="21"/>
      <c r="U302" s="21"/>
      <c r="V302" s="21"/>
      <c r="W302" s="21"/>
      <c r="X302" s="21"/>
      <c r="Y302" s="21"/>
      <c r="Z302" s="12" t="s">
        <v>43</v>
      </c>
      <c r="AA302" s="12" t="s">
        <v>75</v>
      </c>
    </row>
    <row r="303" spans="1:27" x14ac:dyDescent="0.25">
      <c r="A303">
        <v>112</v>
      </c>
      <c r="B303" s="12">
        <v>23</v>
      </c>
      <c r="C303">
        <f t="shared" si="53"/>
        <v>11223</v>
      </c>
      <c r="D303" s="21" t="s">
        <v>86</v>
      </c>
      <c r="E303" s="11">
        <f>58+36/60+46.51/3600</f>
        <v>58.612919444444444</v>
      </c>
      <c r="F303" s="11">
        <f>28/60+37.21/3600</f>
        <v>0.47700277777777778</v>
      </c>
      <c r="G303" s="12" t="s">
        <v>144</v>
      </c>
      <c r="H303" s="12" t="s">
        <v>39</v>
      </c>
      <c r="I303" s="26">
        <v>37895</v>
      </c>
      <c r="J303" s="12" t="s">
        <v>1</v>
      </c>
      <c r="K303" s="22">
        <v>0</v>
      </c>
      <c r="L303" s="22"/>
      <c r="M303" s="24">
        <v>5.2086614173228298</v>
      </c>
      <c r="N303" s="24">
        <v>6.34842519685039</v>
      </c>
      <c r="O303" s="24"/>
      <c r="P303" s="25"/>
      <c r="Q303" s="25"/>
      <c r="R303" s="25"/>
      <c r="S303" s="21"/>
      <c r="T303" s="21"/>
      <c r="U303" s="21"/>
      <c r="V303" s="21"/>
      <c r="W303" s="21"/>
      <c r="X303" s="21"/>
      <c r="Y303" s="21"/>
      <c r="Z303" s="12" t="s">
        <v>43</v>
      </c>
      <c r="AA303" s="12" t="s">
        <v>76</v>
      </c>
    </row>
    <row r="304" spans="1:27" x14ac:dyDescent="0.25">
      <c r="A304">
        <v>112</v>
      </c>
      <c r="B304" s="12">
        <v>24</v>
      </c>
      <c r="C304">
        <f t="shared" si="53"/>
        <v>11224</v>
      </c>
      <c r="D304" s="21" t="s">
        <v>86</v>
      </c>
      <c r="E304" s="11">
        <f>56+16/60+41.7904/3600</f>
        <v>56.278275111111107</v>
      </c>
      <c r="F304" s="11">
        <f>3+23/60+43.19/3600</f>
        <v>3.3953305555555557</v>
      </c>
      <c r="G304" s="12" t="s">
        <v>144</v>
      </c>
      <c r="H304" s="12" t="s">
        <v>39</v>
      </c>
      <c r="I304" s="26">
        <v>37895</v>
      </c>
      <c r="J304" s="12" t="s">
        <v>1</v>
      </c>
      <c r="K304" s="22">
        <v>0</v>
      </c>
      <c r="L304" s="22"/>
      <c r="M304" s="24">
        <v>5.81102362204724</v>
      </c>
      <c r="N304" s="24">
        <v>2.5590551181102299</v>
      </c>
      <c r="O304" s="24"/>
      <c r="P304" s="25"/>
      <c r="Q304" s="25"/>
      <c r="R304" s="25"/>
      <c r="S304" s="21"/>
      <c r="T304" s="21"/>
      <c r="U304" s="21"/>
      <c r="V304" s="21"/>
      <c r="W304" s="21"/>
      <c r="X304" s="21"/>
      <c r="Y304" s="21"/>
      <c r="Z304" s="12" t="s">
        <v>43</v>
      </c>
      <c r="AA304" s="12" t="s">
        <v>77</v>
      </c>
    </row>
    <row r="305" spans="1:27" x14ac:dyDescent="0.25">
      <c r="A305">
        <v>112</v>
      </c>
      <c r="B305" s="12">
        <v>25</v>
      </c>
      <c r="C305">
        <f t="shared" si="53"/>
        <v>11225</v>
      </c>
      <c r="D305" s="21" t="s">
        <v>87</v>
      </c>
      <c r="E305" s="11">
        <f>E294</f>
        <v>60.542249057971006</v>
      </c>
      <c r="F305" s="11">
        <f>F294</f>
        <v>3.9990973478260865</v>
      </c>
      <c r="G305" s="12" t="s">
        <v>144</v>
      </c>
      <c r="H305" s="12" t="s">
        <v>39</v>
      </c>
      <c r="I305" s="26">
        <v>37895</v>
      </c>
      <c r="J305" s="12" t="s">
        <v>1</v>
      </c>
      <c r="K305" s="22">
        <v>0</v>
      </c>
      <c r="L305" s="22"/>
      <c r="M305" s="24">
        <v>7.7952755905511797</v>
      </c>
      <c r="N305" s="24">
        <v>9.1535433070866095</v>
      </c>
      <c r="O305" s="24"/>
      <c r="P305" s="25"/>
      <c r="Q305" s="25"/>
      <c r="R305" s="25"/>
      <c r="S305" s="21"/>
      <c r="T305" s="21"/>
      <c r="U305" s="21"/>
      <c r="V305" s="21"/>
      <c r="W305" s="21"/>
      <c r="X305" s="21"/>
      <c r="Y305" s="21"/>
      <c r="Z305" s="12" t="s">
        <v>43</v>
      </c>
      <c r="AA305" s="12" t="s">
        <v>90</v>
      </c>
    </row>
    <row r="306" spans="1:27" x14ac:dyDescent="0.25">
      <c r="A306">
        <v>112</v>
      </c>
      <c r="B306" s="12">
        <v>4</v>
      </c>
      <c r="C306">
        <f t="shared" si="53"/>
        <v>11204</v>
      </c>
      <c r="D306" s="21" t="s">
        <v>86</v>
      </c>
      <c r="E306" s="11">
        <f>57+6/60+41.15/3600</f>
        <v>57.111430555555557</v>
      </c>
      <c r="F306" s="11">
        <f>2+50/60+50.39/3600</f>
        <v>2.8473305555555557</v>
      </c>
      <c r="G306" s="12" t="s">
        <v>144</v>
      </c>
      <c r="H306" s="12" t="s">
        <v>39</v>
      </c>
      <c r="I306" s="26">
        <v>37895</v>
      </c>
      <c r="J306" s="12" t="s">
        <v>1</v>
      </c>
      <c r="K306" s="22">
        <v>0</v>
      </c>
      <c r="L306" s="22"/>
      <c r="M306" s="24">
        <v>7.9370078740157401</v>
      </c>
      <c r="N306" s="24">
        <v>2.50984251968503</v>
      </c>
      <c r="O306" s="24"/>
      <c r="P306" s="25"/>
      <c r="Q306" s="25"/>
      <c r="R306" s="25"/>
      <c r="S306" s="21"/>
      <c r="T306" s="21"/>
      <c r="U306" s="21"/>
      <c r="V306" s="21">
        <f>2.1/1000</f>
        <v>2.1000000000000003E-3</v>
      </c>
      <c r="W306" s="21"/>
      <c r="X306" s="21"/>
      <c r="Y306" s="21"/>
      <c r="Z306" s="12" t="s">
        <v>43</v>
      </c>
      <c r="AA306" s="12" t="s">
        <v>46</v>
      </c>
    </row>
    <row r="307" spans="1:27" x14ac:dyDescent="0.25">
      <c r="A307">
        <v>112</v>
      </c>
      <c r="B307" s="12">
        <v>5</v>
      </c>
      <c r="C307">
        <f t="shared" si="53"/>
        <v>11205</v>
      </c>
      <c r="D307" s="21" t="s">
        <v>86</v>
      </c>
      <c r="E307" s="11">
        <f>65+19/60+33/3600</f>
        <v>65.325833333333335</v>
      </c>
      <c r="F307" s="11">
        <f>7+19/60+3/3600</f>
        <v>7.3174999999999999</v>
      </c>
      <c r="G307" s="12" t="s">
        <v>144</v>
      </c>
      <c r="H307" s="12" t="s">
        <v>47</v>
      </c>
      <c r="I307" s="26">
        <v>37895</v>
      </c>
      <c r="J307" s="12" t="s">
        <v>1</v>
      </c>
      <c r="K307" s="22">
        <v>500</v>
      </c>
      <c r="L307" s="22"/>
      <c r="M307" s="24">
        <v>7.9724409448818898</v>
      </c>
      <c r="N307" s="24">
        <v>7.7263779527559002</v>
      </c>
      <c r="O307" s="24"/>
      <c r="P307" s="25"/>
      <c r="Q307" s="25"/>
      <c r="R307" s="25"/>
      <c r="S307" s="21"/>
      <c r="T307" s="21"/>
      <c r="U307" s="21"/>
      <c r="V307" s="21">
        <v>2.8E-3</v>
      </c>
      <c r="W307" s="21"/>
      <c r="X307" s="21"/>
      <c r="Y307" s="21"/>
      <c r="Z307" s="12" t="s">
        <v>43</v>
      </c>
      <c r="AA307" s="12" t="s">
        <v>78</v>
      </c>
    </row>
    <row r="308" spans="1:27" x14ac:dyDescent="0.25">
      <c r="A308">
        <v>112</v>
      </c>
      <c r="B308" s="12">
        <v>1</v>
      </c>
      <c r="C308">
        <f t="shared" si="53"/>
        <v>11201</v>
      </c>
      <c r="D308" s="21" t="s">
        <v>86</v>
      </c>
      <c r="E308" s="11">
        <v>58.36</v>
      </c>
      <c r="F308" s="11">
        <v>1.91</v>
      </c>
      <c r="G308" s="12" t="s">
        <v>144</v>
      </c>
      <c r="H308" s="12" t="s">
        <v>39</v>
      </c>
      <c r="I308" s="26">
        <v>37895</v>
      </c>
      <c r="J308" s="12" t="s">
        <v>1</v>
      </c>
      <c r="K308" s="22">
        <v>250</v>
      </c>
      <c r="L308" s="22"/>
      <c r="M308" s="24">
        <v>8.4330708661417297</v>
      </c>
      <c r="N308" s="24">
        <v>5.4133858267716501</v>
      </c>
      <c r="O308" s="24"/>
      <c r="P308" s="25"/>
      <c r="Q308" s="25"/>
      <c r="R308" s="25"/>
      <c r="S308" s="21"/>
      <c r="T308" s="21"/>
      <c r="U308" s="21"/>
      <c r="V308" s="21"/>
      <c r="W308" s="21"/>
      <c r="X308" s="21"/>
      <c r="Y308" s="21"/>
      <c r="Z308" s="12" t="s">
        <v>43</v>
      </c>
      <c r="AA308" s="12" t="s">
        <v>79</v>
      </c>
    </row>
    <row r="309" spans="1:27" x14ac:dyDescent="0.25">
      <c r="A309">
        <v>112</v>
      </c>
      <c r="B309" s="12">
        <v>7</v>
      </c>
      <c r="C309">
        <f t="shared" si="53"/>
        <v>11207</v>
      </c>
      <c r="D309" s="21" t="s">
        <v>86</v>
      </c>
      <c r="E309" s="11">
        <f>61+7/60+46/3600</f>
        <v>61.129444444444445</v>
      </c>
      <c r="F309" s="11">
        <f>3+54/60+53/3600</f>
        <v>3.9147222222222222</v>
      </c>
      <c r="G309" s="12" t="s">
        <v>144</v>
      </c>
      <c r="H309" s="12" t="s">
        <v>39</v>
      </c>
      <c r="I309" s="26">
        <v>37895</v>
      </c>
      <c r="J309" s="12" t="s">
        <v>1</v>
      </c>
      <c r="K309" s="22">
        <v>0</v>
      </c>
      <c r="L309" s="22"/>
      <c r="M309" s="24">
        <v>8.4685039370078705</v>
      </c>
      <c r="N309" s="24">
        <v>8.0216535433070799</v>
      </c>
      <c r="O309" s="24"/>
      <c r="P309" s="25"/>
      <c r="Q309" s="25"/>
      <c r="R309" s="25"/>
      <c r="S309" s="21"/>
      <c r="T309" s="21"/>
      <c r="U309" s="21"/>
      <c r="V309" s="21">
        <v>2.0000000000000001E-4</v>
      </c>
      <c r="W309" s="21"/>
      <c r="X309" s="21"/>
      <c r="Y309" s="21"/>
      <c r="Z309" s="12" t="s">
        <v>43</v>
      </c>
      <c r="AA309" s="12" t="s">
        <v>48</v>
      </c>
    </row>
    <row r="310" spans="1:27" x14ac:dyDescent="0.25">
      <c r="A310">
        <v>112</v>
      </c>
      <c r="B310" s="12">
        <v>8</v>
      </c>
      <c r="C310">
        <f t="shared" si="53"/>
        <v>11208</v>
      </c>
      <c r="D310" s="21" t="s">
        <v>86</v>
      </c>
      <c r="E310" s="11">
        <f>61+23/60+60/3600</f>
        <v>61.4</v>
      </c>
      <c r="F310" s="11">
        <f>2+14/60+51/3600</f>
        <v>2.2475000000000001</v>
      </c>
      <c r="G310" s="12" t="s">
        <v>144</v>
      </c>
      <c r="H310" s="12" t="s">
        <v>39</v>
      </c>
      <c r="I310" s="26">
        <v>37895</v>
      </c>
      <c r="J310" s="12" t="s">
        <v>1</v>
      </c>
      <c r="K310" s="22">
        <v>0</v>
      </c>
      <c r="L310" s="22"/>
      <c r="M310" s="24">
        <v>8.7519685039370003</v>
      </c>
      <c r="N310" s="24">
        <v>6.25</v>
      </c>
      <c r="O310" s="24"/>
      <c r="P310" s="25"/>
      <c r="Q310" s="25"/>
      <c r="R310" s="25"/>
      <c r="S310" s="21"/>
      <c r="T310" s="21"/>
      <c r="U310" s="21"/>
      <c r="V310" s="21">
        <v>2.5999999999999999E-3</v>
      </c>
      <c r="W310" s="21"/>
      <c r="X310" s="21"/>
      <c r="Y310" s="21"/>
      <c r="Z310" s="12" t="s">
        <v>43</v>
      </c>
      <c r="AA310" s="12" t="s">
        <v>49</v>
      </c>
    </row>
    <row r="311" spans="1:27" x14ac:dyDescent="0.25">
      <c r="A311">
        <v>112</v>
      </c>
      <c r="B311" s="12">
        <v>10</v>
      </c>
      <c r="C311">
        <f t="shared" si="53"/>
        <v>11210</v>
      </c>
      <c r="D311" s="21" t="s">
        <v>86</v>
      </c>
      <c r="E311" s="11">
        <f t="shared" ref="E311:E312" si="54">60.645556</f>
        <v>60.645555999999999</v>
      </c>
      <c r="F311" s="11">
        <v>3.7267890000000001</v>
      </c>
      <c r="G311" s="12" t="s">
        <v>144</v>
      </c>
      <c r="H311" s="12" t="s">
        <v>39</v>
      </c>
      <c r="I311" s="26">
        <v>37895</v>
      </c>
      <c r="J311" s="12" t="s">
        <v>1</v>
      </c>
      <c r="K311" s="22">
        <v>500</v>
      </c>
      <c r="L311" s="22"/>
      <c r="M311" s="24">
        <v>9.0354330708661408</v>
      </c>
      <c r="N311" s="24">
        <v>7.9232283464566899</v>
      </c>
      <c r="O311" s="24"/>
      <c r="P311" s="25"/>
      <c r="Q311" s="25"/>
      <c r="R311" s="25"/>
      <c r="S311" s="21"/>
      <c r="T311" s="21"/>
      <c r="U311" s="21"/>
      <c r="V311" s="21"/>
      <c r="W311" s="21"/>
      <c r="X311" s="21"/>
      <c r="Y311" s="21"/>
      <c r="Z311" s="12" t="s">
        <v>43</v>
      </c>
      <c r="AA311" s="12" t="s">
        <v>80</v>
      </c>
    </row>
    <row r="312" spans="1:27" x14ac:dyDescent="0.25">
      <c r="A312">
        <v>112</v>
      </c>
      <c r="B312">
        <v>10</v>
      </c>
      <c r="C312">
        <f t="shared" si="53"/>
        <v>11210</v>
      </c>
      <c r="D312" s="3" t="s">
        <v>86</v>
      </c>
      <c r="E312" s="11">
        <f t="shared" si="54"/>
        <v>60.645555999999999</v>
      </c>
      <c r="F312" s="11">
        <v>3.7267890000000001</v>
      </c>
      <c r="G312" s="12" t="s">
        <v>144</v>
      </c>
      <c r="H312" s="12" t="s">
        <v>39</v>
      </c>
      <c r="I312" s="4">
        <v>37895</v>
      </c>
      <c r="J312" t="s">
        <v>1</v>
      </c>
      <c r="K312" s="2">
        <v>750</v>
      </c>
      <c r="L312" s="2"/>
      <c r="M312" s="8">
        <v>9.3897637795275593</v>
      </c>
      <c r="N312" s="8">
        <v>7.0866141732283401</v>
      </c>
      <c r="O312" s="8"/>
      <c r="P312" s="1"/>
      <c r="Q312" s="1"/>
      <c r="R312" s="1"/>
      <c r="S312" s="3"/>
      <c r="T312" s="3"/>
      <c r="U312" s="3"/>
      <c r="V312" s="3"/>
      <c r="W312" s="3"/>
      <c r="X312" s="3"/>
      <c r="Y312" s="3"/>
      <c r="Z312" t="s">
        <v>43</v>
      </c>
      <c r="AA312" t="s">
        <v>81</v>
      </c>
    </row>
    <row r="313" spans="1:27" x14ac:dyDescent="0.25">
      <c r="A313">
        <v>112</v>
      </c>
      <c r="B313">
        <v>26</v>
      </c>
      <c r="C313">
        <f t="shared" si="53"/>
        <v>11226</v>
      </c>
      <c r="D313" s="3" t="s">
        <v>86</v>
      </c>
      <c r="E313" s="11">
        <f>64+20/60+52.62/3600</f>
        <v>64.347949999999997</v>
      </c>
      <c r="F313" s="11">
        <f>7+23/60+17/3600</f>
        <v>7.3880555555555558</v>
      </c>
      <c r="G313" s="12" t="s">
        <v>144</v>
      </c>
      <c r="H313" s="12" t="s">
        <v>47</v>
      </c>
      <c r="I313" s="4">
        <v>37895</v>
      </c>
      <c r="J313" t="s">
        <v>1</v>
      </c>
      <c r="K313" s="2">
        <v>0</v>
      </c>
      <c r="L313" s="2"/>
      <c r="M313" s="8">
        <v>10.0275590551181</v>
      </c>
      <c r="N313" s="8">
        <v>19.586614173228298</v>
      </c>
      <c r="O313" s="8"/>
      <c r="P313" s="1"/>
      <c r="Q313" s="1"/>
      <c r="R313" s="1"/>
      <c r="S313" s="3"/>
      <c r="T313" s="3"/>
      <c r="U313" s="3"/>
      <c r="V313" s="3"/>
      <c r="W313" s="3"/>
      <c r="X313" s="3"/>
      <c r="Y313" s="3"/>
      <c r="Z313" t="s">
        <v>43</v>
      </c>
      <c r="AA313" t="s">
        <v>82</v>
      </c>
    </row>
    <row r="314" spans="1:27" x14ac:dyDescent="0.25">
      <c r="A314">
        <v>112</v>
      </c>
      <c r="B314">
        <v>27</v>
      </c>
      <c r="C314">
        <f t="shared" si="53"/>
        <v>11227</v>
      </c>
      <c r="D314" s="3" t="s">
        <v>87</v>
      </c>
      <c r="E314" s="11">
        <f>E294</f>
        <v>60.542249057971006</v>
      </c>
      <c r="F314" s="11">
        <f>F294</f>
        <v>3.9990973478260865</v>
      </c>
      <c r="G314" s="12" t="s">
        <v>144</v>
      </c>
      <c r="H314" s="12" t="s">
        <v>39</v>
      </c>
      <c r="I314" s="4">
        <v>37895</v>
      </c>
      <c r="J314" t="s">
        <v>1</v>
      </c>
      <c r="K314" s="2">
        <v>0</v>
      </c>
      <c r="L314" s="2"/>
      <c r="M314" s="8">
        <v>10.5944881889763</v>
      </c>
      <c r="N314" s="8">
        <v>10.8759842519685</v>
      </c>
      <c r="O314" s="8"/>
      <c r="P314" s="1"/>
      <c r="Q314" s="1"/>
      <c r="R314" s="1"/>
      <c r="S314" s="3"/>
      <c r="T314" s="3"/>
      <c r="U314" s="3"/>
      <c r="V314" s="3"/>
      <c r="W314" s="3"/>
      <c r="X314" s="3"/>
      <c r="Y314" s="3"/>
      <c r="Z314" t="s">
        <v>43</v>
      </c>
      <c r="AA314" t="s">
        <v>91</v>
      </c>
    </row>
    <row r="315" spans="1:27" x14ac:dyDescent="0.25">
      <c r="A315">
        <v>112</v>
      </c>
      <c r="B315">
        <v>1</v>
      </c>
      <c r="C315">
        <f t="shared" si="53"/>
        <v>11201</v>
      </c>
      <c r="D315" s="3" t="s">
        <v>86</v>
      </c>
      <c r="E315" s="11">
        <v>58.36</v>
      </c>
      <c r="F315" s="11">
        <v>1.91</v>
      </c>
      <c r="G315" s="12" t="s">
        <v>144</v>
      </c>
      <c r="H315" s="12" t="s">
        <v>39</v>
      </c>
      <c r="I315" s="4">
        <v>37895</v>
      </c>
      <c r="J315" t="s">
        <v>1</v>
      </c>
      <c r="K315" s="2">
        <v>250</v>
      </c>
      <c r="L315" s="2"/>
      <c r="M315" s="8">
        <v>12.4370078740157</v>
      </c>
      <c r="N315" s="8">
        <v>9.54724409448818</v>
      </c>
      <c r="O315" s="8"/>
      <c r="P315" s="1"/>
      <c r="Q315" s="1"/>
      <c r="R315" s="1"/>
      <c r="S315" s="3"/>
      <c r="T315" s="3"/>
      <c r="U315" s="3"/>
      <c r="V315" s="3"/>
      <c r="W315" s="3"/>
      <c r="X315" s="3"/>
      <c r="Y315" s="3"/>
      <c r="Z315" t="s">
        <v>43</v>
      </c>
      <c r="AA315" t="s">
        <v>83</v>
      </c>
    </row>
    <row r="316" spans="1:27" x14ac:dyDescent="0.25">
      <c r="A316">
        <v>112</v>
      </c>
      <c r="B316">
        <v>28</v>
      </c>
      <c r="C316">
        <f t="shared" si="53"/>
        <v>11228</v>
      </c>
      <c r="D316" s="3" t="s">
        <v>87</v>
      </c>
      <c r="E316" s="11">
        <f>E294</f>
        <v>60.542249057971006</v>
      </c>
      <c r="F316" s="11">
        <f>F294</f>
        <v>3.9990973478260865</v>
      </c>
      <c r="G316" s="12" t="s">
        <v>144</v>
      </c>
      <c r="H316" s="12" t="s">
        <v>39</v>
      </c>
      <c r="I316" s="4">
        <v>37895</v>
      </c>
      <c r="J316" t="s">
        <v>1</v>
      </c>
      <c r="K316" s="2">
        <v>0</v>
      </c>
      <c r="L316" s="2"/>
      <c r="M316" s="8">
        <v>13.5708661417322</v>
      </c>
      <c r="N316" s="8">
        <v>8.61220472440945</v>
      </c>
      <c r="O316" s="8"/>
      <c r="P316" s="1"/>
      <c r="Q316" s="1"/>
      <c r="R316" s="1"/>
      <c r="S316" s="3"/>
      <c r="T316" s="3"/>
      <c r="U316" s="3"/>
      <c r="V316" s="3"/>
      <c r="W316" s="3"/>
      <c r="X316" s="3"/>
      <c r="Y316" s="3"/>
      <c r="Z316" t="s">
        <v>43</v>
      </c>
      <c r="AA316" t="s">
        <v>92</v>
      </c>
    </row>
    <row r="317" spans="1:27" x14ac:dyDescent="0.25">
      <c r="A317">
        <v>113</v>
      </c>
      <c r="B317">
        <v>1</v>
      </c>
      <c r="C317">
        <f t="shared" si="53"/>
        <v>11301</v>
      </c>
      <c r="D317" s="3" t="s">
        <v>87</v>
      </c>
      <c r="E317" s="11">
        <v>60.542249057971006</v>
      </c>
      <c r="F317" s="11">
        <v>3.9990973478260865</v>
      </c>
      <c r="G317" s="12" t="s">
        <v>144</v>
      </c>
      <c r="H317" s="12" t="s">
        <v>39</v>
      </c>
      <c r="I317" s="4">
        <v>37622</v>
      </c>
      <c r="J317" t="s">
        <v>1</v>
      </c>
      <c r="K317" s="2"/>
      <c r="L317" s="2"/>
      <c r="M317" s="8">
        <v>3.3</v>
      </c>
      <c r="N317" s="8">
        <v>2.8</v>
      </c>
      <c r="O317" s="8"/>
      <c r="P317" s="1"/>
      <c r="Q317" s="1"/>
      <c r="R317" s="1"/>
      <c r="S317" s="3"/>
      <c r="T317" s="3"/>
      <c r="U317" s="3"/>
      <c r="V317" s="3"/>
      <c r="W317" s="3"/>
      <c r="X317" s="3"/>
      <c r="Y317" s="3"/>
      <c r="Z317" t="s">
        <v>165</v>
      </c>
      <c r="AA317" t="s">
        <v>166</v>
      </c>
    </row>
    <row r="318" spans="1:27" x14ac:dyDescent="0.25">
      <c r="A318" s="12">
        <v>114</v>
      </c>
      <c r="B318" s="12">
        <v>1</v>
      </c>
      <c r="C318">
        <f t="shared" si="53"/>
        <v>11401</v>
      </c>
      <c r="D318" s="3" t="s">
        <v>87</v>
      </c>
      <c r="E318" s="11">
        <v>61.8</v>
      </c>
      <c r="F318" s="11">
        <v>0.5</v>
      </c>
      <c r="G318" s="12" t="s">
        <v>144</v>
      </c>
      <c r="H318" s="12" t="s">
        <v>39</v>
      </c>
      <c r="I318" s="4">
        <v>37987</v>
      </c>
      <c r="J318" s="12" t="s">
        <v>130</v>
      </c>
      <c r="K318" s="2">
        <v>0</v>
      </c>
      <c r="L318" s="2"/>
      <c r="M318" s="20">
        <v>1.4E-3</v>
      </c>
      <c r="N318" s="20">
        <f>M318*0.1</f>
        <v>1.4000000000000001E-4</v>
      </c>
      <c r="O318" s="8"/>
      <c r="P318" s="1"/>
      <c r="Q318" s="1"/>
      <c r="R318" s="1"/>
      <c r="S318" s="3"/>
      <c r="T318" s="3"/>
      <c r="U318" s="3"/>
      <c r="V318" s="3"/>
      <c r="W318" s="3"/>
      <c r="X318" s="3"/>
      <c r="Y318" s="3"/>
      <c r="Z318" s="28" t="s">
        <v>159</v>
      </c>
      <c r="AA318" t="s">
        <v>160</v>
      </c>
    </row>
    <row r="319" spans="1:27" x14ac:dyDescent="0.25">
      <c r="A319" s="12">
        <v>114</v>
      </c>
      <c r="B319" s="12">
        <v>2</v>
      </c>
      <c r="C319">
        <f t="shared" si="53"/>
        <v>11402</v>
      </c>
      <c r="D319" s="3" t="s">
        <v>87</v>
      </c>
      <c r="E319" s="11">
        <v>61.8</v>
      </c>
      <c r="F319" s="11">
        <v>1.25</v>
      </c>
      <c r="G319" s="12" t="s">
        <v>144</v>
      </c>
      <c r="H319" s="12" t="s">
        <v>39</v>
      </c>
      <c r="I319" s="4">
        <v>37987</v>
      </c>
      <c r="J319" s="12" t="s">
        <v>130</v>
      </c>
      <c r="K319" s="2">
        <v>0</v>
      </c>
      <c r="L319" s="2"/>
      <c r="M319" s="20">
        <v>1.5E-3</v>
      </c>
      <c r="N319" s="20">
        <f t="shared" ref="N319:N325" si="55">M319*0.1</f>
        <v>1.5000000000000001E-4</v>
      </c>
      <c r="O319" s="8"/>
      <c r="P319" s="1"/>
      <c r="Q319" s="1"/>
      <c r="R319" s="1"/>
      <c r="S319" s="3"/>
      <c r="T319" s="3"/>
      <c r="U319" s="3"/>
      <c r="V319" s="3"/>
      <c r="W319" s="3"/>
      <c r="X319" s="3"/>
      <c r="Y319" s="3"/>
      <c r="Z319" s="28" t="s">
        <v>159</v>
      </c>
      <c r="AA319" t="s">
        <v>160</v>
      </c>
    </row>
    <row r="320" spans="1:27" x14ac:dyDescent="0.25">
      <c r="A320" s="12">
        <v>114</v>
      </c>
      <c r="B320" s="12">
        <v>3</v>
      </c>
      <c r="C320">
        <f t="shared" si="53"/>
        <v>11403</v>
      </c>
      <c r="D320" s="3" t="s">
        <v>87</v>
      </c>
      <c r="E320" s="11">
        <v>61.4</v>
      </c>
      <c r="F320" s="11">
        <v>2</v>
      </c>
      <c r="G320" s="12" t="s">
        <v>144</v>
      </c>
      <c r="H320" s="12" t="s">
        <v>39</v>
      </c>
      <c r="I320" s="4">
        <v>37987</v>
      </c>
      <c r="J320" s="12" t="s">
        <v>130</v>
      </c>
      <c r="K320" s="2">
        <v>0</v>
      </c>
      <c r="L320" s="2"/>
      <c r="M320" s="20">
        <v>1.4E-3</v>
      </c>
      <c r="N320" s="20">
        <f>M320*0.2</f>
        <v>2.8000000000000003E-4</v>
      </c>
      <c r="O320" s="8"/>
      <c r="P320" s="1"/>
      <c r="Q320" s="1"/>
      <c r="R320" s="1"/>
      <c r="S320" s="3"/>
      <c r="T320" s="3"/>
      <c r="U320" s="3"/>
      <c r="V320" s="3"/>
      <c r="W320" s="3"/>
      <c r="X320" s="3"/>
      <c r="Y320" s="3"/>
      <c r="Z320" s="28" t="s">
        <v>159</v>
      </c>
      <c r="AA320" t="s">
        <v>160</v>
      </c>
    </row>
    <row r="321" spans="1:27" x14ac:dyDescent="0.25">
      <c r="A321" s="12">
        <v>114</v>
      </c>
      <c r="B321" s="12">
        <v>4</v>
      </c>
      <c r="C321">
        <f t="shared" si="53"/>
        <v>11404</v>
      </c>
      <c r="D321" s="3" t="s">
        <v>87</v>
      </c>
      <c r="E321" s="11">
        <v>61.2</v>
      </c>
      <c r="F321" s="11">
        <v>2</v>
      </c>
      <c r="G321" s="12" t="s">
        <v>144</v>
      </c>
      <c r="H321" s="12" t="s">
        <v>39</v>
      </c>
      <c r="I321" s="4">
        <v>37987</v>
      </c>
      <c r="J321" s="12" t="s">
        <v>130</v>
      </c>
      <c r="K321" s="2">
        <v>0</v>
      </c>
      <c r="L321" s="2"/>
      <c r="M321" s="20">
        <v>1.1999999999999999E-3</v>
      </c>
      <c r="N321" s="20"/>
      <c r="O321" s="8"/>
      <c r="P321" s="1"/>
      <c r="Q321" s="1"/>
      <c r="R321" s="1"/>
      <c r="S321" s="3"/>
      <c r="T321" s="3"/>
      <c r="U321" s="3"/>
      <c r="V321" s="3"/>
      <c r="W321" s="3"/>
      <c r="X321" s="3"/>
      <c r="Y321" s="3"/>
      <c r="Z321" s="28" t="s">
        <v>159</v>
      </c>
      <c r="AA321" t="s">
        <v>160</v>
      </c>
    </row>
    <row r="322" spans="1:27" x14ac:dyDescent="0.25">
      <c r="A322" s="12">
        <v>114</v>
      </c>
      <c r="B322" s="12">
        <v>5</v>
      </c>
      <c r="C322">
        <f t="shared" si="53"/>
        <v>11405</v>
      </c>
      <c r="D322" s="3" t="s">
        <v>87</v>
      </c>
      <c r="E322" s="11">
        <v>61</v>
      </c>
      <c r="F322" s="11">
        <v>3.2</v>
      </c>
      <c r="G322" s="12" t="s">
        <v>144</v>
      </c>
      <c r="H322" s="12" t="s">
        <v>39</v>
      </c>
      <c r="I322" s="4">
        <v>37987</v>
      </c>
      <c r="J322" s="12" t="s">
        <v>130</v>
      </c>
      <c r="K322" s="2">
        <v>0</v>
      </c>
      <c r="L322" s="2"/>
      <c r="M322" s="20">
        <v>1.6000000000000001E-3</v>
      </c>
      <c r="N322" s="20">
        <f>M322*1</f>
        <v>1.6000000000000001E-3</v>
      </c>
      <c r="O322" s="8"/>
      <c r="P322" s="1"/>
      <c r="Q322" s="1"/>
      <c r="R322" s="1"/>
      <c r="S322" s="3"/>
      <c r="T322" s="3"/>
      <c r="U322" s="3"/>
      <c r="V322" s="3"/>
      <c r="W322" s="3"/>
      <c r="X322" s="3"/>
      <c r="Y322" s="3"/>
      <c r="Z322" s="28" t="s">
        <v>159</v>
      </c>
      <c r="AA322" t="s">
        <v>160</v>
      </c>
    </row>
    <row r="323" spans="1:27" x14ac:dyDescent="0.25">
      <c r="A323" s="12">
        <v>114</v>
      </c>
      <c r="B323" s="12">
        <v>6</v>
      </c>
      <c r="C323">
        <f t="shared" si="53"/>
        <v>11406</v>
      </c>
      <c r="D323" s="3" t="s">
        <v>87</v>
      </c>
      <c r="E323" s="11">
        <v>60.7</v>
      </c>
      <c r="F323" s="11">
        <v>2.5</v>
      </c>
      <c r="G323" s="12" t="s">
        <v>144</v>
      </c>
      <c r="H323" s="12" t="s">
        <v>39</v>
      </c>
      <c r="I323" s="4">
        <v>37987</v>
      </c>
      <c r="J323" s="12" t="s">
        <v>130</v>
      </c>
      <c r="K323" s="2">
        <v>0</v>
      </c>
      <c r="L323" s="2"/>
      <c r="M323" s="20">
        <v>1.9E-3</v>
      </c>
      <c r="N323" s="20"/>
      <c r="O323" s="8"/>
      <c r="P323" s="1"/>
      <c r="Q323" s="1"/>
      <c r="R323" s="1"/>
      <c r="S323" s="3"/>
      <c r="T323" s="3"/>
      <c r="U323" s="3"/>
      <c r="V323" s="3"/>
      <c r="W323" s="3"/>
      <c r="X323" s="3"/>
      <c r="Y323" s="3"/>
      <c r="Z323" s="28" t="s">
        <v>159</v>
      </c>
      <c r="AA323" t="s">
        <v>160</v>
      </c>
    </row>
    <row r="324" spans="1:27" x14ac:dyDescent="0.25">
      <c r="A324" s="12">
        <v>114</v>
      </c>
      <c r="B324" s="12">
        <v>7</v>
      </c>
      <c r="C324">
        <f t="shared" ref="C324:C387" si="56">A324*100+B324</f>
        <v>11407</v>
      </c>
      <c r="D324" s="3" t="s">
        <v>87</v>
      </c>
      <c r="E324" s="11">
        <v>60.6</v>
      </c>
      <c r="F324" s="11">
        <v>3.5</v>
      </c>
      <c r="G324" s="12" t="s">
        <v>144</v>
      </c>
      <c r="H324" s="12" t="s">
        <v>39</v>
      </c>
      <c r="I324" s="4">
        <v>37987</v>
      </c>
      <c r="J324" s="12" t="s">
        <v>130</v>
      </c>
      <c r="K324" s="2">
        <v>0</v>
      </c>
      <c r="L324" s="2"/>
      <c r="M324" s="20">
        <v>1.9E-3</v>
      </c>
      <c r="N324" s="20"/>
      <c r="O324" s="8"/>
      <c r="P324" s="1"/>
      <c r="Q324" s="1"/>
      <c r="R324" s="1"/>
      <c r="S324" s="3"/>
      <c r="T324" s="3"/>
      <c r="U324" s="3"/>
      <c r="V324" s="3"/>
      <c r="W324" s="3"/>
      <c r="X324" s="3"/>
      <c r="Y324" s="3"/>
      <c r="Z324" s="28" t="s">
        <v>159</v>
      </c>
      <c r="AA324" t="s">
        <v>160</v>
      </c>
    </row>
    <row r="325" spans="1:27" x14ac:dyDescent="0.25">
      <c r="A325" s="12">
        <v>114</v>
      </c>
      <c r="B325" s="12">
        <v>8</v>
      </c>
      <c r="C325">
        <f t="shared" si="56"/>
        <v>11408</v>
      </c>
      <c r="D325" s="3" t="s">
        <v>87</v>
      </c>
      <c r="E325" s="11">
        <v>60.5</v>
      </c>
      <c r="F325" s="11">
        <v>0</v>
      </c>
      <c r="G325" s="12" t="s">
        <v>144</v>
      </c>
      <c r="H325" s="12" t="s">
        <v>39</v>
      </c>
      <c r="I325" s="4">
        <v>37987</v>
      </c>
      <c r="J325" s="12" t="s">
        <v>130</v>
      </c>
      <c r="K325" s="2">
        <v>0</v>
      </c>
      <c r="L325" s="2"/>
      <c r="M325" s="20">
        <v>1.1000000000000001E-3</v>
      </c>
      <c r="N325" s="20">
        <f t="shared" si="55"/>
        <v>1.1000000000000002E-4</v>
      </c>
      <c r="O325" s="8"/>
      <c r="P325" s="1"/>
      <c r="Q325" s="1"/>
      <c r="R325" s="1"/>
      <c r="S325" s="3"/>
      <c r="T325" s="3"/>
      <c r="U325" s="3"/>
      <c r="V325" s="3"/>
      <c r="W325" s="3"/>
      <c r="X325" s="3"/>
      <c r="Y325" s="3"/>
      <c r="Z325" s="28" t="s">
        <v>159</v>
      </c>
      <c r="AA325" t="s">
        <v>160</v>
      </c>
    </row>
    <row r="326" spans="1:27" x14ac:dyDescent="0.25">
      <c r="A326" s="12">
        <v>114</v>
      </c>
      <c r="B326" s="12">
        <v>9</v>
      </c>
      <c r="C326">
        <f t="shared" si="56"/>
        <v>11409</v>
      </c>
      <c r="D326" s="3" t="s">
        <v>87</v>
      </c>
      <c r="E326" s="11">
        <v>60.5</v>
      </c>
      <c r="F326" s="11">
        <v>1</v>
      </c>
      <c r="G326" s="12" t="s">
        <v>144</v>
      </c>
      <c r="H326" s="12" t="s">
        <v>39</v>
      </c>
      <c r="I326" s="4">
        <v>37987</v>
      </c>
      <c r="J326" s="12" t="s">
        <v>130</v>
      </c>
      <c r="K326" s="2">
        <v>0</v>
      </c>
      <c r="L326" s="2"/>
      <c r="M326" s="20">
        <v>1.6999999999999999E-3</v>
      </c>
      <c r="N326" s="20">
        <f>M326*0.2</f>
        <v>3.4000000000000002E-4</v>
      </c>
      <c r="O326" s="8"/>
      <c r="P326" s="1"/>
      <c r="Q326" s="1"/>
      <c r="R326" s="1"/>
      <c r="S326" s="3"/>
      <c r="T326" s="3"/>
      <c r="U326" s="3"/>
      <c r="V326" s="3"/>
      <c r="W326" s="3"/>
      <c r="X326" s="3"/>
      <c r="Y326" s="3"/>
      <c r="Z326" s="28" t="s">
        <v>159</v>
      </c>
      <c r="AA326" t="s">
        <v>160</v>
      </c>
    </row>
    <row r="327" spans="1:27" x14ac:dyDescent="0.25">
      <c r="A327" s="12">
        <v>114</v>
      </c>
      <c r="B327" s="12">
        <v>10</v>
      </c>
      <c r="C327">
        <f t="shared" si="56"/>
        <v>11410</v>
      </c>
      <c r="D327" s="3" t="s">
        <v>87</v>
      </c>
      <c r="E327" s="11">
        <v>60.4</v>
      </c>
      <c r="F327" s="11">
        <v>2.9</v>
      </c>
      <c r="G327" s="12" t="s">
        <v>144</v>
      </c>
      <c r="H327" s="12" t="s">
        <v>39</v>
      </c>
      <c r="I327" s="4">
        <v>37987</v>
      </c>
      <c r="J327" s="12" t="s">
        <v>130</v>
      </c>
      <c r="K327" s="2">
        <v>0</v>
      </c>
      <c r="L327" s="2"/>
      <c r="M327" s="20">
        <v>1.4E-3</v>
      </c>
      <c r="N327" s="20"/>
      <c r="O327" s="8"/>
      <c r="P327" s="1"/>
      <c r="Q327" s="1"/>
      <c r="R327" s="1"/>
      <c r="S327" s="3"/>
      <c r="T327" s="3"/>
      <c r="U327" s="3"/>
      <c r="V327" s="3"/>
      <c r="W327" s="3"/>
      <c r="X327" s="3"/>
      <c r="Y327" s="3"/>
      <c r="Z327" s="28" t="s">
        <v>159</v>
      </c>
      <c r="AA327" t="s">
        <v>160</v>
      </c>
    </row>
    <row r="328" spans="1:27" x14ac:dyDescent="0.25">
      <c r="A328" s="12">
        <v>114</v>
      </c>
      <c r="B328" s="12">
        <v>11</v>
      </c>
      <c r="C328">
        <f t="shared" si="56"/>
        <v>11411</v>
      </c>
      <c r="D328" s="3" t="s">
        <v>87</v>
      </c>
      <c r="E328" s="11">
        <v>60.4</v>
      </c>
      <c r="F328" s="11">
        <v>3.7</v>
      </c>
      <c r="G328" s="12" t="s">
        <v>144</v>
      </c>
      <c r="H328" s="12" t="s">
        <v>39</v>
      </c>
      <c r="I328" s="4">
        <v>37987</v>
      </c>
      <c r="J328" s="12" t="s">
        <v>130</v>
      </c>
      <c r="K328" s="2">
        <v>0</v>
      </c>
      <c r="L328" s="2"/>
      <c r="M328" s="20">
        <v>1.6999999999999999E-3</v>
      </c>
      <c r="N328" s="20">
        <f>M328*1.4</f>
        <v>2.3799999999999997E-3</v>
      </c>
      <c r="O328" s="8"/>
      <c r="P328" s="1"/>
      <c r="Q328" s="1"/>
      <c r="R328" s="1"/>
      <c r="S328" s="3"/>
      <c r="T328" s="3"/>
      <c r="U328" s="3"/>
      <c r="V328" s="3"/>
      <c r="W328" s="3"/>
      <c r="X328" s="3"/>
      <c r="Y328" s="3"/>
      <c r="Z328" s="28" t="s">
        <v>159</v>
      </c>
      <c r="AA328" t="s">
        <v>160</v>
      </c>
    </row>
    <row r="329" spans="1:27" x14ac:dyDescent="0.25">
      <c r="A329" s="12">
        <v>114</v>
      </c>
      <c r="B329" s="12">
        <v>12</v>
      </c>
      <c r="C329">
        <f t="shared" si="56"/>
        <v>11412</v>
      </c>
      <c r="D329" s="3" t="s">
        <v>87</v>
      </c>
      <c r="E329" s="11">
        <v>59.3</v>
      </c>
      <c r="F329" s="11">
        <v>-2</v>
      </c>
      <c r="G329" s="12" t="s">
        <v>144</v>
      </c>
      <c r="H329" s="12" t="s">
        <v>39</v>
      </c>
      <c r="I329" s="4">
        <v>37987</v>
      </c>
      <c r="J329" s="12" t="s">
        <v>130</v>
      </c>
      <c r="K329" s="2">
        <v>0</v>
      </c>
      <c r="L329" s="2"/>
      <c r="M329" s="20">
        <v>1E-3</v>
      </c>
      <c r="N329" s="20"/>
      <c r="O329" s="8"/>
      <c r="P329" s="1"/>
      <c r="Q329" s="1"/>
      <c r="R329" s="1"/>
      <c r="S329" s="3"/>
      <c r="T329" s="3"/>
      <c r="U329" s="3"/>
      <c r="V329" s="3"/>
      <c r="W329" s="3"/>
      <c r="X329" s="3"/>
      <c r="Y329" s="3"/>
      <c r="Z329" s="28" t="s">
        <v>159</v>
      </c>
      <c r="AA329" t="s">
        <v>160</v>
      </c>
    </row>
    <row r="330" spans="1:27" x14ac:dyDescent="0.25">
      <c r="A330" s="12">
        <v>114</v>
      </c>
      <c r="B330" s="12">
        <v>13</v>
      </c>
      <c r="C330">
        <f t="shared" si="56"/>
        <v>11413</v>
      </c>
      <c r="D330" s="3" t="s">
        <v>87</v>
      </c>
      <c r="E330" s="11">
        <v>59.4</v>
      </c>
      <c r="F330" s="11">
        <v>2</v>
      </c>
      <c r="G330" s="12" t="s">
        <v>144</v>
      </c>
      <c r="H330" s="12" t="s">
        <v>39</v>
      </c>
      <c r="I330" s="4">
        <v>37987</v>
      </c>
      <c r="J330" s="12" t="s">
        <v>130</v>
      </c>
      <c r="K330" s="2">
        <v>0</v>
      </c>
      <c r="L330" s="2"/>
      <c r="M330" s="20">
        <v>1.1000000000000001E-3</v>
      </c>
      <c r="N330" s="20">
        <f>M330*0.35</f>
        <v>3.8499999999999998E-4</v>
      </c>
      <c r="O330" s="8"/>
      <c r="P330" s="1"/>
      <c r="Q330" s="1"/>
      <c r="R330" s="1"/>
      <c r="S330" s="3"/>
      <c r="T330" s="3"/>
      <c r="U330" s="3"/>
      <c r="V330" s="3"/>
      <c r="W330" s="3"/>
      <c r="X330" s="3"/>
      <c r="Y330" s="3"/>
      <c r="Z330" s="28" t="s">
        <v>159</v>
      </c>
      <c r="AA330" t="s">
        <v>160</v>
      </c>
    </row>
    <row r="331" spans="1:27" x14ac:dyDescent="0.25">
      <c r="A331" s="12">
        <v>114</v>
      </c>
      <c r="B331" s="12">
        <v>14</v>
      </c>
      <c r="C331">
        <f t="shared" si="56"/>
        <v>11414</v>
      </c>
      <c r="D331" s="3" t="s">
        <v>87</v>
      </c>
      <c r="E331" s="11">
        <v>59.5</v>
      </c>
      <c r="F331" s="11">
        <v>3.7</v>
      </c>
      <c r="G331" s="12" t="s">
        <v>144</v>
      </c>
      <c r="H331" s="12" t="s">
        <v>39</v>
      </c>
      <c r="I331" s="4">
        <v>37987</v>
      </c>
      <c r="J331" s="12" t="s">
        <v>130</v>
      </c>
      <c r="K331" s="2">
        <v>0</v>
      </c>
      <c r="L331" s="2"/>
      <c r="M331" s="20">
        <v>1.5E-3</v>
      </c>
      <c r="N331" s="20">
        <f>M331*2</f>
        <v>3.0000000000000001E-3</v>
      </c>
      <c r="O331" s="8"/>
      <c r="P331" s="1"/>
      <c r="Q331" s="1"/>
      <c r="R331" s="1"/>
      <c r="S331" s="3"/>
      <c r="T331" s="3"/>
      <c r="U331" s="3"/>
      <c r="V331" s="3"/>
      <c r="W331" s="3"/>
      <c r="X331" s="3"/>
      <c r="Y331" s="3"/>
      <c r="Z331" s="28" t="s">
        <v>159</v>
      </c>
      <c r="AA331" t="s">
        <v>160</v>
      </c>
    </row>
    <row r="332" spans="1:27" x14ac:dyDescent="0.25">
      <c r="A332" s="12">
        <v>114</v>
      </c>
      <c r="B332" s="12">
        <v>15</v>
      </c>
      <c r="C332">
        <f t="shared" si="56"/>
        <v>11415</v>
      </c>
      <c r="D332" s="3" t="s">
        <v>87</v>
      </c>
      <c r="E332" s="11">
        <v>58.7</v>
      </c>
      <c r="F332" s="11">
        <v>5.2</v>
      </c>
      <c r="G332" s="12" t="s">
        <v>144</v>
      </c>
      <c r="H332" s="12" t="s">
        <v>39</v>
      </c>
      <c r="I332" s="4">
        <v>37987</v>
      </c>
      <c r="J332" s="12" t="s">
        <v>130</v>
      </c>
      <c r="K332" s="2">
        <v>0</v>
      </c>
      <c r="L332" s="2"/>
      <c r="M332" s="20">
        <v>2.8999999999999998E-3</v>
      </c>
      <c r="N332" s="20"/>
      <c r="O332" s="8"/>
      <c r="P332" s="1"/>
      <c r="Q332" s="1"/>
      <c r="R332" s="1"/>
      <c r="S332" s="3"/>
      <c r="T332" s="3"/>
      <c r="U332" s="3"/>
      <c r="V332" s="3"/>
      <c r="W332" s="3"/>
      <c r="X332" s="3"/>
      <c r="Y332" s="3"/>
      <c r="Z332" s="28" t="s">
        <v>159</v>
      </c>
      <c r="AA332" t="s">
        <v>160</v>
      </c>
    </row>
    <row r="333" spans="1:27" x14ac:dyDescent="0.25">
      <c r="A333" s="12">
        <v>114</v>
      </c>
      <c r="B333" s="12">
        <v>16</v>
      </c>
      <c r="C333">
        <f t="shared" si="56"/>
        <v>11416</v>
      </c>
      <c r="D333" s="3" t="s">
        <v>87</v>
      </c>
      <c r="E333" s="11">
        <v>58.8</v>
      </c>
      <c r="F333" s="11">
        <v>9.8000000000000007</v>
      </c>
      <c r="G333" s="12" t="s">
        <v>144</v>
      </c>
      <c r="H333" s="12" t="s">
        <v>39</v>
      </c>
      <c r="I333" s="4">
        <v>37987</v>
      </c>
      <c r="J333" s="12" t="s">
        <v>130</v>
      </c>
      <c r="K333" s="2">
        <v>0</v>
      </c>
      <c r="L333" s="2"/>
      <c r="M333" s="20">
        <v>2.2000000000000001E-3</v>
      </c>
      <c r="N333" s="20"/>
      <c r="O333" s="8"/>
      <c r="P333" s="1"/>
      <c r="Q333" s="1"/>
      <c r="R333" s="1"/>
      <c r="S333" s="3"/>
      <c r="T333" s="3"/>
      <c r="U333" s="3"/>
      <c r="V333" s="3"/>
      <c r="W333" s="3"/>
      <c r="X333" s="3"/>
      <c r="Y333" s="3"/>
      <c r="Z333" s="28" t="s">
        <v>159</v>
      </c>
      <c r="AA333" t="s">
        <v>160</v>
      </c>
    </row>
    <row r="334" spans="1:27" x14ac:dyDescent="0.25">
      <c r="A334" s="12">
        <v>114</v>
      </c>
      <c r="B334" s="12">
        <v>17</v>
      </c>
      <c r="C334">
        <f t="shared" si="56"/>
        <v>11417</v>
      </c>
      <c r="D334" s="3" t="s">
        <v>87</v>
      </c>
      <c r="E334" s="11">
        <v>58.4</v>
      </c>
      <c r="F334" s="11">
        <v>4</v>
      </c>
      <c r="G334" s="12" t="s">
        <v>144</v>
      </c>
      <c r="H334" s="12" t="s">
        <v>39</v>
      </c>
      <c r="I334" s="4">
        <v>37987</v>
      </c>
      <c r="J334" s="12" t="s">
        <v>130</v>
      </c>
      <c r="K334" s="2">
        <v>0</v>
      </c>
      <c r="L334" s="2"/>
      <c r="M334" s="20">
        <v>1.8E-3</v>
      </c>
      <c r="N334" s="20"/>
      <c r="O334" s="8"/>
      <c r="P334" s="1"/>
      <c r="Q334" s="1"/>
      <c r="R334" s="1"/>
      <c r="S334" s="3"/>
      <c r="T334" s="3"/>
      <c r="U334" s="3"/>
      <c r="V334" s="3"/>
      <c r="W334" s="3"/>
      <c r="X334" s="3"/>
      <c r="Y334" s="3"/>
      <c r="Z334" s="28" t="s">
        <v>159</v>
      </c>
      <c r="AA334" t="s">
        <v>160</v>
      </c>
    </row>
    <row r="335" spans="1:27" x14ac:dyDescent="0.25">
      <c r="A335" s="12">
        <v>114</v>
      </c>
      <c r="B335" s="12">
        <v>18</v>
      </c>
      <c r="C335">
        <f t="shared" si="56"/>
        <v>11418</v>
      </c>
      <c r="D335" s="3" t="s">
        <v>87</v>
      </c>
      <c r="E335" s="11">
        <v>58</v>
      </c>
      <c r="F335" s="11">
        <v>6.25</v>
      </c>
      <c r="G335" s="12" t="s">
        <v>144</v>
      </c>
      <c r="H335" s="12" t="s">
        <v>39</v>
      </c>
      <c r="I335" s="4">
        <v>37987</v>
      </c>
      <c r="J335" s="12" t="s">
        <v>130</v>
      </c>
      <c r="K335" s="2">
        <v>0</v>
      </c>
      <c r="L335" s="2"/>
      <c r="M335" s="20">
        <v>2.2000000000000001E-3</v>
      </c>
      <c r="N335" s="20"/>
      <c r="O335" s="8"/>
      <c r="P335" s="1"/>
      <c r="Q335" s="1"/>
      <c r="R335" s="1"/>
      <c r="S335" s="3"/>
      <c r="T335" s="3"/>
      <c r="U335" s="3"/>
      <c r="V335" s="3"/>
      <c r="W335" s="3"/>
      <c r="X335" s="3"/>
      <c r="Y335" s="3"/>
      <c r="Z335" s="28" t="s">
        <v>159</v>
      </c>
      <c r="AA335" t="s">
        <v>160</v>
      </c>
    </row>
    <row r="336" spans="1:27" x14ac:dyDescent="0.25">
      <c r="A336" s="12">
        <v>114</v>
      </c>
      <c r="B336" s="12">
        <v>19</v>
      </c>
      <c r="C336">
        <f t="shared" si="56"/>
        <v>11419</v>
      </c>
      <c r="D336" s="3" t="s">
        <v>87</v>
      </c>
      <c r="E336" s="11">
        <v>57.7</v>
      </c>
      <c r="F336" s="11">
        <v>6</v>
      </c>
      <c r="G336" s="12" t="s">
        <v>144</v>
      </c>
      <c r="H336" s="12" t="s">
        <v>39</v>
      </c>
      <c r="I336" s="4">
        <v>37987</v>
      </c>
      <c r="J336" s="12" t="s">
        <v>130</v>
      </c>
      <c r="K336" s="2">
        <v>0</v>
      </c>
      <c r="L336" s="2"/>
      <c r="M336" s="20">
        <v>2.7000000000000001E-3</v>
      </c>
      <c r="N336" s="20"/>
      <c r="O336" s="8"/>
      <c r="P336" s="1"/>
      <c r="Q336" s="1"/>
      <c r="R336" s="1"/>
      <c r="S336" s="3"/>
      <c r="T336" s="3"/>
      <c r="U336" s="3"/>
      <c r="V336" s="3"/>
      <c r="W336" s="3"/>
      <c r="X336" s="3"/>
      <c r="Y336" s="3"/>
      <c r="Z336" s="28" t="s">
        <v>159</v>
      </c>
      <c r="AA336" t="s">
        <v>160</v>
      </c>
    </row>
    <row r="337" spans="1:27" x14ac:dyDescent="0.25">
      <c r="A337" s="12">
        <v>114</v>
      </c>
      <c r="B337" s="12">
        <v>20</v>
      </c>
      <c r="C337">
        <f t="shared" si="56"/>
        <v>11420</v>
      </c>
      <c r="D337" s="3" t="s">
        <v>87</v>
      </c>
      <c r="E337" s="11">
        <v>57.8</v>
      </c>
      <c r="F337" s="11">
        <v>9</v>
      </c>
      <c r="G337" s="12" t="s">
        <v>144</v>
      </c>
      <c r="H337" s="12" t="s">
        <v>39</v>
      </c>
      <c r="I337" s="4">
        <v>37987</v>
      </c>
      <c r="J337" s="12" t="s">
        <v>130</v>
      </c>
      <c r="K337" s="2">
        <v>0</v>
      </c>
      <c r="L337" s="2"/>
      <c r="M337" s="20">
        <v>2.5000000000000001E-3</v>
      </c>
      <c r="N337" s="20"/>
      <c r="O337" s="8"/>
      <c r="P337" s="1"/>
      <c r="Q337" s="1"/>
      <c r="R337" s="1"/>
      <c r="S337" s="3"/>
      <c r="T337" s="3"/>
      <c r="U337" s="3"/>
      <c r="V337" s="3"/>
      <c r="W337" s="3"/>
      <c r="X337" s="3"/>
      <c r="Y337" s="3"/>
      <c r="Z337" s="28" t="s">
        <v>159</v>
      </c>
      <c r="AA337" t="s">
        <v>160</v>
      </c>
    </row>
    <row r="338" spans="1:27" x14ac:dyDescent="0.25">
      <c r="A338" s="12">
        <v>114</v>
      </c>
      <c r="B338" s="12">
        <v>21</v>
      </c>
      <c r="C338">
        <f t="shared" si="56"/>
        <v>11421</v>
      </c>
      <c r="D338" s="3" t="s">
        <v>87</v>
      </c>
      <c r="E338" s="11">
        <v>57.9</v>
      </c>
      <c r="F338" s="11">
        <v>11.2</v>
      </c>
      <c r="G338" s="12" t="s">
        <v>144</v>
      </c>
      <c r="H338" s="12" t="s">
        <v>39</v>
      </c>
      <c r="I338" s="4">
        <v>37987</v>
      </c>
      <c r="J338" s="12" t="s">
        <v>130</v>
      </c>
      <c r="K338" s="2">
        <v>0</v>
      </c>
      <c r="L338" s="2"/>
      <c r="M338" s="20">
        <v>2.2000000000000001E-3</v>
      </c>
      <c r="N338" s="20"/>
      <c r="O338" s="8"/>
      <c r="P338" s="1"/>
      <c r="Q338" s="1"/>
      <c r="R338" s="1"/>
      <c r="S338" s="3"/>
      <c r="T338" s="3"/>
      <c r="U338" s="3"/>
      <c r="V338" s="3"/>
      <c r="W338" s="3"/>
      <c r="X338" s="3"/>
      <c r="Y338" s="3"/>
      <c r="Z338" s="28" t="s">
        <v>159</v>
      </c>
      <c r="AA338" t="s">
        <v>160</v>
      </c>
    </row>
    <row r="339" spans="1:27" x14ac:dyDescent="0.25">
      <c r="A339" s="12">
        <v>114</v>
      </c>
      <c r="B339" s="12">
        <v>22</v>
      </c>
      <c r="C339">
        <f t="shared" si="56"/>
        <v>11422</v>
      </c>
      <c r="D339" s="3" t="s">
        <v>87</v>
      </c>
      <c r="E339" s="11">
        <v>56.2</v>
      </c>
      <c r="F339" s="11">
        <v>-0.8</v>
      </c>
      <c r="G339" s="12" t="s">
        <v>144</v>
      </c>
      <c r="H339" s="12" t="s">
        <v>39</v>
      </c>
      <c r="I339" s="4">
        <v>37987</v>
      </c>
      <c r="J339" s="12" t="s">
        <v>130</v>
      </c>
      <c r="K339" s="2">
        <v>0</v>
      </c>
      <c r="L339" s="2"/>
      <c r="M339" s="20">
        <v>1.6000000000000001E-3</v>
      </c>
      <c r="N339" s="20"/>
      <c r="O339" s="8"/>
      <c r="P339" s="1"/>
      <c r="Q339" s="1"/>
      <c r="R339" s="1"/>
      <c r="S339" s="3"/>
      <c r="T339" s="3"/>
      <c r="U339" s="3"/>
      <c r="V339" s="3"/>
      <c r="W339" s="3"/>
      <c r="X339" s="3"/>
      <c r="Y339" s="3"/>
      <c r="Z339" s="28" t="s">
        <v>159</v>
      </c>
      <c r="AA339" t="s">
        <v>160</v>
      </c>
    </row>
    <row r="340" spans="1:27" x14ac:dyDescent="0.25">
      <c r="A340" s="12">
        <v>114</v>
      </c>
      <c r="B340" s="12">
        <v>23</v>
      </c>
      <c r="C340">
        <f t="shared" si="56"/>
        <v>11423</v>
      </c>
      <c r="D340" s="3" t="s">
        <v>87</v>
      </c>
      <c r="E340" s="11">
        <v>57.3</v>
      </c>
      <c r="F340" s="11">
        <v>3.7</v>
      </c>
      <c r="G340" s="12" t="s">
        <v>144</v>
      </c>
      <c r="H340" s="12" t="s">
        <v>39</v>
      </c>
      <c r="I340" s="4">
        <v>37987</v>
      </c>
      <c r="J340" s="12" t="s">
        <v>130</v>
      </c>
      <c r="K340" s="2">
        <v>0</v>
      </c>
      <c r="L340" s="2"/>
      <c r="M340" s="20">
        <v>1.1999999999999999E-3</v>
      </c>
      <c r="N340" s="20"/>
      <c r="O340" s="8"/>
      <c r="P340" s="1"/>
      <c r="Q340" s="1"/>
      <c r="R340" s="1"/>
      <c r="S340" s="3"/>
      <c r="T340" s="3"/>
      <c r="U340" s="3"/>
      <c r="V340" s="3"/>
      <c r="W340" s="3"/>
      <c r="X340" s="3"/>
      <c r="Y340" s="3"/>
      <c r="Z340" s="28" t="s">
        <v>159</v>
      </c>
      <c r="AA340" t="s">
        <v>160</v>
      </c>
    </row>
    <row r="341" spans="1:27" x14ac:dyDescent="0.25">
      <c r="A341" s="12">
        <v>114</v>
      </c>
      <c r="B341" s="12">
        <v>24</v>
      </c>
      <c r="C341">
        <f t="shared" si="56"/>
        <v>11424</v>
      </c>
      <c r="D341" s="3" t="s">
        <v>87</v>
      </c>
      <c r="E341" s="11">
        <v>57.2</v>
      </c>
      <c r="F341" s="11">
        <v>7.7</v>
      </c>
      <c r="G341" s="12" t="s">
        <v>144</v>
      </c>
      <c r="H341" s="12" t="s">
        <v>39</v>
      </c>
      <c r="I341" s="4">
        <v>37987</v>
      </c>
      <c r="J341" s="12" t="s">
        <v>130</v>
      </c>
      <c r="K341" s="2">
        <v>0</v>
      </c>
      <c r="L341" s="2"/>
      <c r="M341" s="20">
        <v>1.2999999999999999E-3</v>
      </c>
      <c r="N341" s="20"/>
      <c r="O341" s="8"/>
      <c r="P341" s="1"/>
      <c r="Q341" s="1"/>
      <c r="R341" s="1"/>
      <c r="S341" s="3"/>
      <c r="T341" s="3"/>
      <c r="U341" s="3"/>
      <c r="V341" s="3"/>
      <c r="W341" s="3"/>
      <c r="X341" s="3"/>
      <c r="Y341" s="3"/>
      <c r="Z341" s="28" t="s">
        <v>159</v>
      </c>
      <c r="AA341" t="s">
        <v>160</v>
      </c>
    </row>
    <row r="342" spans="1:27" x14ac:dyDescent="0.25">
      <c r="A342">
        <v>115</v>
      </c>
      <c r="B342">
        <v>1</v>
      </c>
      <c r="C342">
        <f t="shared" si="56"/>
        <v>11501</v>
      </c>
      <c r="D342" s="3" t="s">
        <v>87</v>
      </c>
      <c r="E342" s="11">
        <v>77</v>
      </c>
      <c r="F342" s="11">
        <v>15</v>
      </c>
      <c r="G342" s="12" t="s">
        <v>144</v>
      </c>
      <c r="H342" s="12" t="s">
        <v>143</v>
      </c>
      <c r="I342" s="4">
        <v>38579</v>
      </c>
      <c r="J342" t="s">
        <v>130</v>
      </c>
      <c r="K342" s="2">
        <v>0</v>
      </c>
      <c r="L342" s="2"/>
      <c r="M342" s="20">
        <f>1.5/1000</f>
        <v>1.5E-3</v>
      </c>
      <c r="N342" s="20">
        <f>M342*0.4</f>
        <v>6.0000000000000006E-4</v>
      </c>
      <c r="O342" s="8"/>
      <c r="P342" s="1"/>
      <c r="Q342" s="1"/>
      <c r="R342" s="1"/>
      <c r="S342" s="3"/>
      <c r="T342" s="3"/>
      <c r="U342" s="3"/>
      <c r="V342" s="3"/>
      <c r="W342" s="3"/>
      <c r="X342" s="3"/>
      <c r="Y342" s="3"/>
      <c r="Z342" s="28" t="s">
        <v>140</v>
      </c>
      <c r="AA342" t="s">
        <v>141</v>
      </c>
    </row>
    <row r="343" spans="1:27" x14ac:dyDescent="0.25">
      <c r="A343">
        <v>115</v>
      </c>
      <c r="B343">
        <v>2</v>
      </c>
      <c r="C343">
        <f t="shared" si="56"/>
        <v>11502</v>
      </c>
      <c r="D343" s="3" t="s">
        <v>87</v>
      </c>
      <c r="E343" s="11">
        <v>73</v>
      </c>
      <c r="F343" s="11">
        <v>20</v>
      </c>
      <c r="G343" s="12" t="s">
        <v>144</v>
      </c>
      <c r="H343" s="12" t="s">
        <v>143</v>
      </c>
      <c r="I343" s="4">
        <v>38579</v>
      </c>
      <c r="J343" t="s">
        <v>130</v>
      </c>
      <c r="K343" s="2">
        <v>0</v>
      </c>
      <c r="L343" s="2"/>
      <c r="M343" s="20">
        <f>2/1000</f>
        <v>2E-3</v>
      </c>
      <c r="N343" s="20">
        <f>M343*0.1</f>
        <v>2.0000000000000001E-4</v>
      </c>
      <c r="O343" s="8"/>
      <c r="P343" s="1"/>
      <c r="Q343" s="1"/>
      <c r="R343" s="1"/>
      <c r="S343" s="3"/>
      <c r="T343" s="3"/>
      <c r="U343" s="3"/>
      <c r="V343" s="3"/>
      <c r="W343" s="3"/>
      <c r="X343" s="3"/>
      <c r="Y343" s="3"/>
      <c r="Z343" s="28" t="s">
        <v>140</v>
      </c>
      <c r="AA343" t="s">
        <v>141</v>
      </c>
    </row>
    <row r="344" spans="1:27" x14ac:dyDescent="0.25">
      <c r="A344">
        <v>115</v>
      </c>
      <c r="B344">
        <v>3</v>
      </c>
      <c r="C344">
        <f t="shared" si="56"/>
        <v>11503</v>
      </c>
      <c r="D344" s="3" t="s">
        <v>87</v>
      </c>
      <c r="E344" s="11">
        <v>74.5</v>
      </c>
      <c r="F344" s="11">
        <v>24</v>
      </c>
      <c r="G344" s="12" t="s">
        <v>144</v>
      </c>
      <c r="H344" s="12" t="s">
        <v>143</v>
      </c>
      <c r="I344" s="4">
        <v>38579</v>
      </c>
      <c r="J344" t="s">
        <v>130</v>
      </c>
      <c r="K344" s="2">
        <v>0</v>
      </c>
      <c r="L344" s="2"/>
      <c r="M344" s="20">
        <f>1.6/1000</f>
        <v>1.6000000000000001E-3</v>
      </c>
      <c r="N344" s="20">
        <f>M344*0.1</f>
        <v>1.6000000000000001E-4</v>
      </c>
      <c r="O344" s="8"/>
      <c r="P344" s="1"/>
      <c r="Q344" s="1"/>
      <c r="R344" s="1"/>
      <c r="S344" s="3"/>
      <c r="T344" s="3"/>
      <c r="U344" s="3"/>
      <c r="V344" s="3"/>
      <c r="W344" s="3"/>
      <c r="X344" s="3"/>
      <c r="Y344" s="3"/>
      <c r="Z344" s="28" t="s">
        <v>140</v>
      </c>
      <c r="AA344" t="s">
        <v>141</v>
      </c>
    </row>
    <row r="345" spans="1:27" x14ac:dyDescent="0.25">
      <c r="A345">
        <v>115</v>
      </c>
      <c r="B345">
        <v>4</v>
      </c>
      <c r="C345">
        <f t="shared" si="56"/>
        <v>11504</v>
      </c>
      <c r="D345" s="3" t="s">
        <v>87</v>
      </c>
      <c r="E345" s="11">
        <v>73</v>
      </c>
      <c r="F345" s="11">
        <v>24</v>
      </c>
      <c r="G345" s="12" t="s">
        <v>144</v>
      </c>
      <c r="H345" s="12" t="s">
        <v>143</v>
      </c>
      <c r="I345" s="4">
        <v>38579</v>
      </c>
      <c r="J345" t="s">
        <v>130</v>
      </c>
      <c r="K345" s="2">
        <v>0</v>
      </c>
      <c r="L345" s="2"/>
      <c r="M345" s="20">
        <f>2.3/1000</f>
        <v>2.3E-3</v>
      </c>
      <c r="N345" s="20">
        <f>M345*1.3</f>
        <v>2.99E-3</v>
      </c>
      <c r="O345" s="8"/>
      <c r="P345" s="1"/>
      <c r="Q345" s="1"/>
      <c r="R345" s="1"/>
      <c r="S345" s="3"/>
      <c r="T345" s="3"/>
      <c r="U345" s="3"/>
      <c r="V345" s="3"/>
      <c r="W345" s="3"/>
      <c r="X345" s="3"/>
      <c r="Y345" s="3"/>
      <c r="Z345" s="28" t="s">
        <v>140</v>
      </c>
      <c r="AA345" t="s">
        <v>141</v>
      </c>
    </row>
    <row r="346" spans="1:27" x14ac:dyDescent="0.25">
      <c r="A346">
        <v>115</v>
      </c>
      <c r="B346">
        <v>5</v>
      </c>
      <c r="C346">
        <f t="shared" si="56"/>
        <v>11505</v>
      </c>
      <c r="D346" s="3" t="s">
        <v>87</v>
      </c>
      <c r="E346" s="11">
        <v>71.5</v>
      </c>
      <c r="F346" s="11">
        <v>25</v>
      </c>
      <c r="G346" s="12" t="s">
        <v>144</v>
      </c>
      <c r="H346" s="12" t="s">
        <v>143</v>
      </c>
      <c r="I346" s="4">
        <v>38579</v>
      </c>
      <c r="J346" t="s">
        <v>130</v>
      </c>
      <c r="K346" s="2">
        <v>0</v>
      </c>
      <c r="L346" s="2"/>
      <c r="M346" s="20">
        <f>0.83/1000</f>
        <v>8.3000000000000001E-4</v>
      </c>
      <c r="N346" s="20">
        <f>M346*0.4</f>
        <v>3.3200000000000005E-4</v>
      </c>
      <c r="O346" s="8"/>
      <c r="P346" s="1"/>
      <c r="Q346" s="1"/>
      <c r="R346" s="1"/>
      <c r="S346" s="3"/>
      <c r="T346" s="3"/>
      <c r="U346" s="3"/>
      <c r="V346" s="3"/>
      <c r="W346" s="3"/>
      <c r="X346" s="3"/>
      <c r="Y346" s="3"/>
      <c r="Z346" s="28" t="s">
        <v>140</v>
      </c>
      <c r="AA346" t="s">
        <v>141</v>
      </c>
    </row>
    <row r="347" spans="1:27" x14ac:dyDescent="0.25">
      <c r="A347">
        <v>115</v>
      </c>
      <c r="B347">
        <v>6</v>
      </c>
      <c r="C347">
        <f t="shared" si="56"/>
        <v>11506</v>
      </c>
      <c r="D347" s="3" t="s">
        <v>87</v>
      </c>
      <c r="E347" s="11">
        <v>76.8</v>
      </c>
      <c r="F347" s="11">
        <v>27.5</v>
      </c>
      <c r="G347" s="12" t="s">
        <v>144</v>
      </c>
      <c r="H347" s="12" t="s">
        <v>143</v>
      </c>
      <c r="I347" s="4">
        <v>38579</v>
      </c>
      <c r="J347" t="s">
        <v>130</v>
      </c>
      <c r="K347" s="2">
        <v>0</v>
      </c>
      <c r="L347" s="2"/>
      <c r="M347" s="20">
        <v>1.1999999999999999E-3</v>
      </c>
      <c r="N347" s="20">
        <f t="shared" ref="N347:N353" si="57">M347*0.4</f>
        <v>4.7999999999999996E-4</v>
      </c>
      <c r="O347" s="8"/>
      <c r="P347" s="1"/>
      <c r="Q347" s="1"/>
      <c r="R347" s="1"/>
      <c r="S347" s="3"/>
      <c r="T347" s="3"/>
      <c r="U347" s="3"/>
      <c r="V347" s="3"/>
      <c r="W347" s="3"/>
      <c r="X347" s="3"/>
      <c r="Y347" s="3"/>
      <c r="Z347" s="28" t="s">
        <v>140</v>
      </c>
      <c r="AA347" t="s">
        <v>141</v>
      </c>
    </row>
    <row r="348" spans="1:27" x14ac:dyDescent="0.25">
      <c r="A348">
        <v>115</v>
      </c>
      <c r="B348">
        <v>7</v>
      </c>
      <c r="C348">
        <f t="shared" si="56"/>
        <v>11507</v>
      </c>
      <c r="D348" s="3" t="s">
        <v>87</v>
      </c>
      <c r="E348" s="11">
        <v>74.5</v>
      </c>
      <c r="F348" s="11">
        <v>29.5</v>
      </c>
      <c r="G348" s="12" t="s">
        <v>144</v>
      </c>
      <c r="H348" s="12" t="s">
        <v>143</v>
      </c>
      <c r="I348" s="4">
        <v>38579</v>
      </c>
      <c r="J348" t="s">
        <v>130</v>
      </c>
      <c r="K348" s="2">
        <v>0</v>
      </c>
      <c r="L348" s="2"/>
      <c r="M348" s="20">
        <v>2E-3</v>
      </c>
      <c r="N348" s="20">
        <f>M348*0.2</f>
        <v>4.0000000000000002E-4</v>
      </c>
      <c r="O348" s="8"/>
      <c r="P348" s="1"/>
      <c r="Q348" s="1"/>
      <c r="R348" s="1"/>
      <c r="S348" s="3"/>
      <c r="T348" s="3"/>
      <c r="U348" s="3"/>
      <c r="V348" s="3"/>
      <c r="W348" s="3"/>
      <c r="X348" s="3"/>
      <c r="Y348" s="3"/>
      <c r="Z348" s="28" t="s">
        <v>140</v>
      </c>
      <c r="AA348" t="s">
        <v>141</v>
      </c>
    </row>
    <row r="349" spans="1:27" x14ac:dyDescent="0.25">
      <c r="A349">
        <v>115</v>
      </c>
      <c r="B349">
        <v>8</v>
      </c>
      <c r="C349">
        <f t="shared" si="56"/>
        <v>11508</v>
      </c>
      <c r="D349" s="3" t="s">
        <v>87</v>
      </c>
      <c r="E349" s="11">
        <v>78</v>
      </c>
      <c r="F349" s="11">
        <v>35.5</v>
      </c>
      <c r="G349" s="12" t="s">
        <v>144</v>
      </c>
      <c r="H349" s="12" t="s">
        <v>143</v>
      </c>
      <c r="I349" s="4">
        <v>38579</v>
      </c>
      <c r="J349" t="s">
        <v>130</v>
      </c>
      <c r="K349" s="2">
        <v>0</v>
      </c>
      <c r="L349" s="2"/>
      <c r="M349" s="20">
        <v>2E-3</v>
      </c>
      <c r="N349" s="20">
        <f>M349*0.2</f>
        <v>4.0000000000000002E-4</v>
      </c>
      <c r="O349" s="8"/>
      <c r="P349" s="1"/>
      <c r="Q349" s="1"/>
      <c r="R349" s="1"/>
      <c r="S349" s="3"/>
      <c r="T349" s="3"/>
      <c r="U349" s="3"/>
      <c r="V349" s="3"/>
      <c r="W349" s="3"/>
      <c r="X349" s="3"/>
      <c r="Y349" s="3"/>
      <c r="Z349" s="28" t="s">
        <v>140</v>
      </c>
      <c r="AA349" t="s">
        <v>141</v>
      </c>
    </row>
    <row r="350" spans="1:27" x14ac:dyDescent="0.25">
      <c r="A350">
        <v>115</v>
      </c>
      <c r="B350">
        <v>9</v>
      </c>
      <c r="C350">
        <f t="shared" si="56"/>
        <v>11509</v>
      </c>
      <c r="D350" s="3" t="s">
        <v>87</v>
      </c>
      <c r="E350" s="11">
        <v>77</v>
      </c>
      <c r="F350" s="11">
        <v>35.5</v>
      </c>
      <c r="G350" s="12" t="s">
        <v>144</v>
      </c>
      <c r="H350" s="12" t="s">
        <v>143</v>
      </c>
      <c r="I350" s="4">
        <v>38579</v>
      </c>
      <c r="J350" t="s">
        <v>130</v>
      </c>
      <c r="K350" s="2">
        <v>0</v>
      </c>
      <c r="L350" s="2"/>
      <c r="M350" s="20">
        <v>1.1999999999999999E-3</v>
      </c>
      <c r="N350" s="20" t="s">
        <v>14</v>
      </c>
      <c r="O350" s="8"/>
      <c r="P350" s="1"/>
      <c r="Q350" s="1"/>
      <c r="R350" s="1"/>
      <c r="S350" s="3"/>
      <c r="T350" s="3"/>
      <c r="U350" s="3"/>
      <c r="V350" s="3"/>
      <c r="W350" s="3"/>
      <c r="X350" s="3"/>
      <c r="Y350" s="3"/>
      <c r="Z350" s="28" t="s">
        <v>140</v>
      </c>
      <c r="AA350" t="s">
        <v>141</v>
      </c>
    </row>
    <row r="351" spans="1:27" x14ac:dyDescent="0.25">
      <c r="A351">
        <v>115</v>
      </c>
      <c r="B351">
        <v>10</v>
      </c>
      <c r="C351">
        <f t="shared" si="56"/>
        <v>11510</v>
      </c>
      <c r="D351" s="3" t="s">
        <v>87</v>
      </c>
      <c r="E351" s="11">
        <v>75.5</v>
      </c>
      <c r="F351" s="11">
        <v>33</v>
      </c>
      <c r="G351" s="12" t="s">
        <v>144</v>
      </c>
      <c r="H351" s="12" t="s">
        <v>143</v>
      </c>
      <c r="I351" s="4">
        <v>38579</v>
      </c>
      <c r="J351" t="s">
        <v>130</v>
      </c>
      <c r="K351" s="2">
        <v>0</v>
      </c>
      <c r="L351" s="2"/>
      <c r="M351" s="20">
        <v>1.8E-3</v>
      </c>
      <c r="N351" s="20">
        <f>M351*0.09</f>
        <v>1.6199999999999998E-4</v>
      </c>
      <c r="O351" s="8"/>
      <c r="P351" s="1"/>
      <c r="Q351" s="1"/>
      <c r="R351" s="1"/>
      <c r="S351" s="3"/>
      <c r="T351" s="3"/>
      <c r="U351" s="3"/>
      <c r="V351" s="3"/>
      <c r="W351" s="3"/>
      <c r="X351" s="3"/>
      <c r="Y351" s="3"/>
      <c r="Z351" s="28" t="s">
        <v>140</v>
      </c>
      <c r="AA351" t="s">
        <v>141</v>
      </c>
    </row>
    <row r="352" spans="1:27" x14ac:dyDescent="0.25">
      <c r="A352">
        <v>115</v>
      </c>
      <c r="B352">
        <v>11</v>
      </c>
      <c r="C352">
        <f t="shared" si="56"/>
        <v>11511</v>
      </c>
      <c r="D352" s="3" t="s">
        <v>87</v>
      </c>
      <c r="E352" s="11">
        <v>73</v>
      </c>
      <c r="F352" s="11">
        <v>32.299999999999997</v>
      </c>
      <c r="G352" s="12" t="s">
        <v>144</v>
      </c>
      <c r="H352" s="12" t="s">
        <v>143</v>
      </c>
      <c r="I352" s="4">
        <v>38579</v>
      </c>
      <c r="J352" t="s">
        <v>130</v>
      </c>
      <c r="K352" s="2">
        <v>0</v>
      </c>
      <c r="L352" s="2"/>
      <c r="M352" s="20">
        <v>1.6999999999999999E-3</v>
      </c>
      <c r="N352" s="20">
        <f>M352*1.1</f>
        <v>1.8700000000000001E-3</v>
      </c>
      <c r="O352" s="8"/>
      <c r="P352" s="1"/>
      <c r="Q352" s="1"/>
      <c r="R352" s="1"/>
      <c r="S352" s="3"/>
      <c r="T352" s="3"/>
      <c r="U352" s="3"/>
      <c r="V352" s="3"/>
      <c r="W352" s="3"/>
      <c r="X352" s="3"/>
      <c r="Y352" s="3"/>
      <c r="Z352" s="28" t="s">
        <v>140</v>
      </c>
      <c r="AA352" t="s">
        <v>141</v>
      </c>
    </row>
    <row r="353" spans="1:27" x14ac:dyDescent="0.25">
      <c r="A353">
        <v>115</v>
      </c>
      <c r="B353">
        <v>12</v>
      </c>
      <c r="C353">
        <f t="shared" si="56"/>
        <v>11512</v>
      </c>
      <c r="D353" s="3" t="s">
        <v>87</v>
      </c>
      <c r="E353" s="11">
        <v>71</v>
      </c>
      <c r="F353" s="11">
        <v>29.5</v>
      </c>
      <c r="G353" s="12" t="s">
        <v>144</v>
      </c>
      <c r="H353" s="12" t="s">
        <v>143</v>
      </c>
      <c r="I353" s="4">
        <v>38579</v>
      </c>
      <c r="J353" t="s">
        <v>130</v>
      </c>
      <c r="K353" s="2">
        <v>0</v>
      </c>
      <c r="L353" s="2"/>
      <c r="M353" s="20">
        <v>1.6000000000000001E-3</v>
      </c>
      <c r="N353" s="20">
        <f t="shared" si="57"/>
        <v>6.4000000000000005E-4</v>
      </c>
      <c r="O353" s="8"/>
      <c r="P353" s="1"/>
      <c r="Q353" s="1"/>
      <c r="R353" s="1"/>
      <c r="S353" s="3"/>
      <c r="T353" s="3"/>
      <c r="U353" s="3"/>
      <c r="V353" s="3"/>
      <c r="W353" s="3"/>
      <c r="X353" s="3"/>
      <c r="Y353" s="3"/>
      <c r="Z353" s="28" t="s">
        <v>140</v>
      </c>
      <c r="AA353" t="s">
        <v>141</v>
      </c>
    </row>
    <row r="354" spans="1:27" x14ac:dyDescent="0.25">
      <c r="A354">
        <v>115</v>
      </c>
      <c r="B354">
        <v>13</v>
      </c>
      <c r="C354">
        <f t="shared" si="56"/>
        <v>11513</v>
      </c>
      <c r="D354" s="3" t="s">
        <v>87</v>
      </c>
      <c r="E354" s="11">
        <v>70.5</v>
      </c>
      <c r="F354" s="11">
        <v>32.5</v>
      </c>
      <c r="G354" s="12" t="s">
        <v>144</v>
      </c>
      <c r="H354" s="12" t="s">
        <v>143</v>
      </c>
      <c r="I354" s="4">
        <v>38579</v>
      </c>
      <c r="J354" t="s">
        <v>130</v>
      </c>
      <c r="K354" s="2">
        <v>0</v>
      </c>
      <c r="L354" s="2"/>
      <c r="M354" s="20">
        <v>1.5E-3</v>
      </c>
      <c r="N354" s="20">
        <f>M354*0.3</f>
        <v>4.4999999999999999E-4</v>
      </c>
      <c r="O354" s="8"/>
      <c r="P354" s="1"/>
      <c r="Q354" s="1"/>
      <c r="R354" s="1"/>
      <c r="S354" s="3"/>
      <c r="T354" s="3"/>
      <c r="U354" s="3"/>
      <c r="V354" s="3"/>
      <c r="W354" s="3"/>
      <c r="X354" s="3"/>
      <c r="Y354" s="3"/>
      <c r="Z354" s="28" t="s">
        <v>140</v>
      </c>
      <c r="AA354" t="s">
        <v>141</v>
      </c>
    </row>
    <row r="355" spans="1:27" x14ac:dyDescent="0.25">
      <c r="A355">
        <v>115</v>
      </c>
      <c r="B355">
        <v>14</v>
      </c>
      <c r="C355">
        <f t="shared" si="56"/>
        <v>11514</v>
      </c>
      <c r="D355" s="3" t="s">
        <v>87</v>
      </c>
      <c r="E355" s="11">
        <v>78.5</v>
      </c>
      <c r="F355" s="11">
        <v>41.5</v>
      </c>
      <c r="G355" s="12" t="s">
        <v>144</v>
      </c>
      <c r="H355" s="12" t="s">
        <v>143</v>
      </c>
      <c r="I355" s="4">
        <v>38579</v>
      </c>
      <c r="J355" t="s">
        <v>130</v>
      </c>
      <c r="K355" s="2">
        <v>0</v>
      </c>
      <c r="L355" s="2"/>
      <c r="M355" s="20">
        <v>1.9E-3</v>
      </c>
      <c r="N355" s="20">
        <f>M355*0.1</f>
        <v>1.9000000000000001E-4</v>
      </c>
      <c r="O355" s="8"/>
      <c r="P355" s="1"/>
      <c r="Q355" s="1"/>
      <c r="R355" s="1"/>
      <c r="S355" s="3"/>
      <c r="T355" s="3"/>
      <c r="U355" s="3"/>
      <c r="V355" s="3"/>
      <c r="W355" s="3"/>
      <c r="X355" s="3"/>
      <c r="Y355" s="3"/>
      <c r="Z355" s="28" t="s">
        <v>140</v>
      </c>
      <c r="AA355" t="s">
        <v>141</v>
      </c>
    </row>
    <row r="356" spans="1:27" x14ac:dyDescent="0.25">
      <c r="A356">
        <v>115</v>
      </c>
      <c r="B356">
        <v>15</v>
      </c>
      <c r="C356">
        <f t="shared" si="56"/>
        <v>11515</v>
      </c>
      <c r="D356" s="3" t="s">
        <v>87</v>
      </c>
      <c r="E356" s="11">
        <v>77.5</v>
      </c>
      <c r="F356" s="11">
        <v>40.799999999999997</v>
      </c>
      <c r="G356" s="12" t="s">
        <v>144</v>
      </c>
      <c r="H356" s="12" t="s">
        <v>143</v>
      </c>
      <c r="I356" s="4">
        <v>38579</v>
      </c>
      <c r="J356" t="s">
        <v>130</v>
      </c>
      <c r="K356" s="2">
        <v>0</v>
      </c>
      <c r="L356" s="2"/>
      <c r="M356" s="20">
        <v>6.9999999999999999E-4</v>
      </c>
      <c r="N356" s="20"/>
      <c r="O356" s="8"/>
      <c r="P356" s="1"/>
      <c r="Q356" s="1"/>
      <c r="R356" s="1"/>
      <c r="S356" s="3"/>
      <c r="T356" s="3"/>
      <c r="U356" s="3"/>
      <c r="V356" s="3"/>
      <c r="W356" s="3"/>
      <c r="X356" s="3"/>
      <c r="Y356" s="3"/>
      <c r="Z356" s="28" t="s">
        <v>140</v>
      </c>
      <c r="AA356" t="s">
        <v>141</v>
      </c>
    </row>
    <row r="357" spans="1:27" x14ac:dyDescent="0.25">
      <c r="A357">
        <v>115</v>
      </c>
      <c r="B357">
        <v>16</v>
      </c>
      <c r="C357">
        <f t="shared" si="56"/>
        <v>11516</v>
      </c>
      <c r="D357" s="3" t="s">
        <v>87</v>
      </c>
      <c r="E357" s="11">
        <v>76.8</v>
      </c>
      <c r="F357" s="11">
        <v>37.700000000000003</v>
      </c>
      <c r="G357" s="12" t="s">
        <v>144</v>
      </c>
      <c r="H357" s="12" t="s">
        <v>143</v>
      </c>
      <c r="I357" s="4">
        <v>38579</v>
      </c>
      <c r="J357" t="s">
        <v>130</v>
      </c>
      <c r="K357" s="2">
        <v>0</v>
      </c>
      <c r="L357" s="2"/>
      <c r="M357" s="20">
        <v>1.5E-3</v>
      </c>
      <c r="N357" s="20"/>
      <c r="O357" s="8"/>
      <c r="P357" s="1"/>
      <c r="Q357" s="1"/>
      <c r="R357" s="1"/>
      <c r="S357" s="3"/>
      <c r="T357" s="3"/>
      <c r="U357" s="3"/>
      <c r="V357" s="3"/>
      <c r="W357" s="3"/>
      <c r="X357" s="3"/>
      <c r="Y357" s="3"/>
      <c r="Z357" s="28" t="s">
        <v>140</v>
      </c>
      <c r="AA357" t="s">
        <v>141</v>
      </c>
    </row>
    <row r="358" spans="1:27" x14ac:dyDescent="0.25">
      <c r="A358">
        <v>115</v>
      </c>
      <c r="B358">
        <v>17</v>
      </c>
      <c r="C358">
        <f t="shared" si="56"/>
        <v>11517</v>
      </c>
      <c r="D358" s="3" t="s">
        <v>87</v>
      </c>
      <c r="E358" s="11">
        <v>73.8</v>
      </c>
      <c r="F358" s="11">
        <v>36.5</v>
      </c>
      <c r="G358" s="12" t="s">
        <v>144</v>
      </c>
      <c r="H358" s="12" t="s">
        <v>143</v>
      </c>
      <c r="I358" s="4">
        <v>38579</v>
      </c>
      <c r="J358" t="s">
        <v>130</v>
      </c>
      <c r="K358" s="2">
        <v>0</v>
      </c>
      <c r="L358" s="2"/>
      <c r="M358" s="20">
        <v>1.6000000000000001E-3</v>
      </c>
      <c r="N358" s="20"/>
      <c r="O358" s="8"/>
      <c r="P358" s="1"/>
      <c r="Q358" s="1"/>
      <c r="R358" s="1"/>
      <c r="S358" s="3"/>
      <c r="T358" s="3"/>
      <c r="U358" s="3"/>
      <c r="V358" s="3"/>
      <c r="W358" s="3"/>
      <c r="X358" s="3"/>
      <c r="Y358" s="3"/>
      <c r="Z358" s="28" t="s">
        <v>140</v>
      </c>
      <c r="AA358" t="s">
        <v>141</v>
      </c>
    </row>
    <row r="359" spans="1:27" x14ac:dyDescent="0.25">
      <c r="A359">
        <v>115</v>
      </c>
      <c r="B359">
        <v>18</v>
      </c>
      <c r="C359">
        <f t="shared" si="56"/>
        <v>11518</v>
      </c>
      <c r="D359" s="3" t="s">
        <v>87</v>
      </c>
      <c r="E359" s="11">
        <v>78</v>
      </c>
      <c r="F359" s="11">
        <v>46</v>
      </c>
      <c r="G359" s="12" t="s">
        <v>144</v>
      </c>
      <c r="H359" s="12" t="s">
        <v>143</v>
      </c>
      <c r="I359" s="4">
        <v>38579</v>
      </c>
      <c r="J359" t="s">
        <v>130</v>
      </c>
      <c r="K359" s="2">
        <v>0</v>
      </c>
      <c r="L359" s="2"/>
      <c r="M359" s="20">
        <v>4.0999999999999999E-4</v>
      </c>
      <c r="N359" s="20">
        <f>M359*0.08</f>
        <v>3.2799999999999998E-5</v>
      </c>
      <c r="O359" s="8"/>
      <c r="P359" s="1"/>
      <c r="Q359" s="1"/>
      <c r="R359" s="1"/>
      <c r="S359" s="3"/>
      <c r="T359" s="3"/>
      <c r="U359" s="3"/>
      <c r="V359" s="3"/>
      <c r="W359" s="3"/>
      <c r="X359" s="3"/>
      <c r="Y359" s="3"/>
      <c r="Z359" s="28" t="s">
        <v>140</v>
      </c>
      <c r="AA359" t="s">
        <v>141</v>
      </c>
    </row>
    <row r="360" spans="1:27" x14ac:dyDescent="0.25">
      <c r="A360">
        <v>115</v>
      </c>
      <c r="B360">
        <v>19</v>
      </c>
      <c r="C360">
        <f t="shared" si="56"/>
        <v>11519</v>
      </c>
      <c r="D360" s="3" t="s">
        <v>87</v>
      </c>
      <c r="E360" s="11">
        <v>76.8</v>
      </c>
      <c r="F360" s="11">
        <v>42.5</v>
      </c>
      <c r="G360" s="12" t="s">
        <v>144</v>
      </c>
      <c r="H360" s="12" t="s">
        <v>143</v>
      </c>
      <c r="I360" s="4">
        <v>38579</v>
      </c>
      <c r="J360" t="s">
        <v>130</v>
      </c>
      <c r="K360" s="2">
        <v>0</v>
      </c>
      <c r="L360" s="2"/>
      <c r="M360" s="20">
        <v>1.1000000000000001E-3</v>
      </c>
      <c r="N360" s="20">
        <f>M360*0.2</f>
        <v>2.2000000000000003E-4</v>
      </c>
      <c r="O360" s="8"/>
      <c r="P360" s="1"/>
      <c r="Q360" s="1"/>
      <c r="R360" s="1"/>
      <c r="S360" s="3"/>
      <c r="T360" s="3"/>
      <c r="U360" s="3"/>
      <c r="V360" s="3"/>
      <c r="W360" s="3"/>
      <c r="X360" s="3"/>
      <c r="Y360" s="3"/>
      <c r="Z360" s="28" t="s">
        <v>140</v>
      </c>
      <c r="AA360" t="s">
        <v>141</v>
      </c>
    </row>
    <row r="361" spans="1:27" x14ac:dyDescent="0.25">
      <c r="A361">
        <v>115</v>
      </c>
      <c r="B361">
        <v>20</v>
      </c>
      <c r="C361">
        <f t="shared" si="56"/>
        <v>11520</v>
      </c>
      <c r="D361" s="3" t="s">
        <v>87</v>
      </c>
      <c r="E361" s="11">
        <v>75.099999999999994</v>
      </c>
      <c r="F361" s="11">
        <v>41.8</v>
      </c>
      <c r="G361" s="12" t="s">
        <v>144</v>
      </c>
      <c r="H361" s="12" t="s">
        <v>143</v>
      </c>
      <c r="I361" s="4">
        <v>38579</v>
      </c>
      <c r="J361" t="s">
        <v>130</v>
      </c>
      <c r="K361" s="2">
        <v>0</v>
      </c>
      <c r="L361" s="2"/>
      <c r="M361" s="20">
        <v>2.3E-3</v>
      </c>
      <c r="N361" s="20" t="s">
        <v>14</v>
      </c>
      <c r="O361" s="8"/>
      <c r="P361" s="1"/>
      <c r="Q361" s="1"/>
      <c r="R361" s="1"/>
      <c r="S361" s="3"/>
      <c r="T361" s="3"/>
      <c r="U361" s="3"/>
      <c r="V361" s="3"/>
      <c r="W361" s="3"/>
      <c r="X361" s="3"/>
      <c r="Y361" s="3"/>
      <c r="Z361" s="28" t="s">
        <v>140</v>
      </c>
      <c r="AA361" t="s">
        <v>141</v>
      </c>
    </row>
    <row r="362" spans="1:27" x14ac:dyDescent="0.25">
      <c r="A362">
        <v>115</v>
      </c>
      <c r="B362">
        <v>21</v>
      </c>
      <c r="C362">
        <f t="shared" si="56"/>
        <v>11521</v>
      </c>
      <c r="D362" s="3" t="s">
        <v>87</v>
      </c>
      <c r="E362" s="11">
        <v>73.2</v>
      </c>
      <c r="F362" s="11">
        <v>40.299999999999997</v>
      </c>
      <c r="G362" s="12" t="s">
        <v>144</v>
      </c>
      <c r="H362" s="12" t="s">
        <v>143</v>
      </c>
      <c r="I362" s="4">
        <v>38579</v>
      </c>
      <c r="J362" t="s">
        <v>130</v>
      </c>
      <c r="K362" s="2">
        <v>0</v>
      </c>
      <c r="L362" s="2"/>
      <c r="M362" s="20">
        <v>1.4E-3</v>
      </c>
      <c r="N362" s="20">
        <f>M362*0.06</f>
        <v>8.3999999999999995E-5</v>
      </c>
      <c r="O362" s="8"/>
      <c r="P362" s="1"/>
      <c r="Q362" s="1"/>
      <c r="R362" s="1"/>
      <c r="S362" s="3"/>
      <c r="T362" s="3"/>
      <c r="U362" s="3"/>
      <c r="V362" s="3"/>
      <c r="W362" s="3"/>
      <c r="X362" s="3"/>
      <c r="Y362" s="3"/>
      <c r="Z362" s="28" t="s">
        <v>140</v>
      </c>
      <c r="AA362" t="s">
        <v>141</v>
      </c>
    </row>
    <row r="363" spans="1:27" x14ac:dyDescent="0.25">
      <c r="A363">
        <v>115</v>
      </c>
      <c r="B363">
        <v>22</v>
      </c>
      <c r="C363">
        <f t="shared" si="56"/>
        <v>11522</v>
      </c>
      <c r="D363" s="3" t="s">
        <v>87</v>
      </c>
      <c r="E363" s="11">
        <v>57.2</v>
      </c>
      <c r="F363" s="11">
        <v>-0.5</v>
      </c>
      <c r="G363" s="12" t="s">
        <v>144</v>
      </c>
      <c r="H363" s="12" t="s">
        <v>39</v>
      </c>
      <c r="I363" s="4">
        <v>38579</v>
      </c>
      <c r="J363" t="s">
        <v>130</v>
      </c>
      <c r="K363" s="2">
        <v>0</v>
      </c>
      <c r="L363" s="2"/>
      <c r="M363" s="20">
        <v>1.8E-3</v>
      </c>
      <c r="N363" s="5"/>
      <c r="O363" s="8"/>
      <c r="P363" s="1"/>
      <c r="Q363" s="1"/>
      <c r="R363" s="1"/>
      <c r="S363" s="3"/>
      <c r="T363" s="3"/>
      <c r="U363" s="3"/>
      <c r="V363" s="3"/>
      <c r="W363" s="3"/>
      <c r="X363" s="3"/>
      <c r="Y363" s="3"/>
      <c r="Z363" s="28" t="s">
        <v>140</v>
      </c>
      <c r="AA363" t="s">
        <v>142</v>
      </c>
    </row>
    <row r="364" spans="1:27" x14ac:dyDescent="0.25">
      <c r="A364">
        <v>115</v>
      </c>
      <c r="B364">
        <v>23</v>
      </c>
      <c r="C364">
        <f t="shared" si="56"/>
        <v>11523</v>
      </c>
      <c r="D364" s="3" t="s">
        <v>87</v>
      </c>
      <c r="E364" s="11">
        <v>55.1</v>
      </c>
      <c r="F364" s="11">
        <v>0.5</v>
      </c>
      <c r="G364" s="12" t="s">
        <v>144</v>
      </c>
      <c r="H364" s="12" t="s">
        <v>39</v>
      </c>
      <c r="I364" s="4">
        <v>38579</v>
      </c>
      <c r="J364" t="s">
        <v>130</v>
      </c>
      <c r="K364" s="2">
        <v>0</v>
      </c>
      <c r="L364" s="2"/>
      <c r="M364" s="20">
        <v>1.9E-3</v>
      </c>
      <c r="N364" s="5"/>
      <c r="O364" s="8"/>
      <c r="P364" s="1"/>
      <c r="Q364" s="1"/>
      <c r="R364" s="1"/>
      <c r="S364" s="3"/>
      <c r="T364" s="3"/>
      <c r="U364" s="3"/>
      <c r="V364" s="3"/>
      <c r="W364" s="3"/>
      <c r="X364" s="3"/>
      <c r="Y364" s="3"/>
      <c r="Z364" s="28" t="s">
        <v>140</v>
      </c>
      <c r="AA364" t="s">
        <v>142</v>
      </c>
    </row>
    <row r="365" spans="1:27" x14ac:dyDescent="0.25">
      <c r="A365">
        <v>115</v>
      </c>
      <c r="B365">
        <v>24</v>
      </c>
      <c r="C365">
        <f t="shared" si="56"/>
        <v>11524</v>
      </c>
      <c r="D365" s="3" t="s">
        <v>87</v>
      </c>
      <c r="E365" s="11">
        <v>53.8</v>
      </c>
      <c r="F365" s="11">
        <v>1.1000000000000001</v>
      </c>
      <c r="G365" s="12" t="s">
        <v>144</v>
      </c>
      <c r="H365" s="12" t="s">
        <v>39</v>
      </c>
      <c r="I365" s="4">
        <v>38579</v>
      </c>
      <c r="J365" t="s">
        <v>130</v>
      </c>
      <c r="K365" s="2">
        <v>0</v>
      </c>
      <c r="L365" s="2"/>
      <c r="M365" s="20">
        <v>8.9999999999999998E-4</v>
      </c>
      <c r="N365" s="5"/>
      <c r="O365" s="8"/>
      <c r="P365" s="1"/>
      <c r="Q365" s="1"/>
      <c r="R365" s="1"/>
      <c r="S365" s="3"/>
      <c r="T365" s="3"/>
      <c r="U365" s="3"/>
      <c r="V365" s="3"/>
      <c r="W365" s="3"/>
      <c r="X365" s="3"/>
      <c r="Y365" s="3"/>
      <c r="Z365" s="28" t="s">
        <v>140</v>
      </c>
      <c r="AA365" t="s">
        <v>142</v>
      </c>
    </row>
    <row r="366" spans="1:27" x14ac:dyDescent="0.25">
      <c r="A366">
        <v>115</v>
      </c>
      <c r="B366">
        <v>25</v>
      </c>
      <c r="C366">
        <f t="shared" si="56"/>
        <v>11525</v>
      </c>
      <c r="D366" s="3" t="s">
        <v>87</v>
      </c>
      <c r="E366" s="11">
        <v>53.8</v>
      </c>
      <c r="F366" s="11">
        <v>4.8</v>
      </c>
      <c r="G366" s="12" t="s">
        <v>144</v>
      </c>
      <c r="H366" s="12" t="s">
        <v>39</v>
      </c>
      <c r="I366" s="4">
        <v>38579</v>
      </c>
      <c r="J366" t="s">
        <v>130</v>
      </c>
      <c r="K366" s="2">
        <v>0</v>
      </c>
      <c r="L366" s="2"/>
      <c r="M366" s="20">
        <v>1.2999999999999999E-3</v>
      </c>
      <c r="N366" s="5"/>
      <c r="O366" s="8"/>
      <c r="P366" s="1"/>
      <c r="Q366" s="1"/>
      <c r="R366" s="1"/>
      <c r="S366" s="3"/>
      <c r="T366" s="3"/>
      <c r="U366" s="3"/>
      <c r="V366" s="3"/>
      <c r="W366" s="3"/>
      <c r="X366" s="3"/>
      <c r="Y366" s="3"/>
      <c r="Z366" s="28" t="s">
        <v>140</v>
      </c>
      <c r="AA366" t="s">
        <v>142</v>
      </c>
    </row>
    <row r="367" spans="1:27" x14ac:dyDescent="0.25">
      <c r="A367">
        <v>115</v>
      </c>
      <c r="B367">
        <v>26</v>
      </c>
      <c r="C367">
        <f t="shared" si="56"/>
        <v>11526</v>
      </c>
      <c r="D367" s="3" t="s">
        <v>87</v>
      </c>
      <c r="E367" s="11">
        <v>60.8</v>
      </c>
      <c r="F367" s="11">
        <v>4</v>
      </c>
      <c r="G367" s="12" t="s">
        <v>144</v>
      </c>
      <c r="H367" s="12" t="s">
        <v>39</v>
      </c>
      <c r="I367" s="4">
        <v>38579</v>
      </c>
      <c r="J367" t="s">
        <v>130</v>
      </c>
      <c r="K367" s="2">
        <v>0</v>
      </c>
      <c r="L367" s="2"/>
      <c r="M367" s="20">
        <v>2.2000000000000001E-3</v>
      </c>
      <c r="N367" s="5"/>
      <c r="O367" s="8"/>
      <c r="P367" s="1"/>
      <c r="Q367" s="1"/>
      <c r="R367" s="1"/>
      <c r="S367" s="3"/>
      <c r="T367" s="3"/>
      <c r="U367" s="3"/>
      <c r="V367" s="3"/>
      <c r="W367" s="3"/>
      <c r="X367" s="3"/>
      <c r="Y367" s="3"/>
      <c r="Z367" s="28" t="s">
        <v>140</v>
      </c>
      <c r="AA367" t="s">
        <v>142</v>
      </c>
    </row>
    <row r="368" spans="1:27" x14ac:dyDescent="0.25">
      <c r="A368">
        <v>115</v>
      </c>
      <c r="B368">
        <v>27</v>
      </c>
      <c r="C368">
        <f t="shared" si="56"/>
        <v>11527</v>
      </c>
      <c r="D368" s="3" t="s">
        <v>87</v>
      </c>
      <c r="E368" s="11">
        <v>57.2</v>
      </c>
      <c r="F368" s="11">
        <v>7.2</v>
      </c>
      <c r="G368" s="12" t="s">
        <v>144</v>
      </c>
      <c r="H368" s="12" t="s">
        <v>39</v>
      </c>
      <c r="I368" s="4">
        <v>38579</v>
      </c>
      <c r="J368" t="s">
        <v>130</v>
      </c>
      <c r="K368" s="2">
        <v>0</v>
      </c>
      <c r="L368" s="2"/>
      <c r="M368" s="20">
        <v>5.0999999999999995E-3</v>
      </c>
      <c r="N368" s="5"/>
      <c r="O368" s="8"/>
      <c r="P368" s="1"/>
      <c r="Q368" s="1"/>
      <c r="R368" s="1"/>
      <c r="S368" s="3"/>
      <c r="T368" s="3"/>
      <c r="U368" s="3"/>
      <c r="V368" s="3"/>
      <c r="W368" s="3"/>
      <c r="X368" s="3"/>
      <c r="Y368" s="3"/>
      <c r="Z368" s="28" t="s">
        <v>140</v>
      </c>
      <c r="AA368" t="s">
        <v>142</v>
      </c>
    </row>
    <row r="369" spans="1:27" x14ac:dyDescent="0.25">
      <c r="A369">
        <v>115</v>
      </c>
      <c r="B369">
        <v>28</v>
      </c>
      <c r="C369">
        <f t="shared" si="56"/>
        <v>11528</v>
      </c>
      <c r="D369" s="3" t="s">
        <v>87</v>
      </c>
      <c r="E369" s="11">
        <v>54.7</v>
      </c>
      <c r="F369" s="11">
        <v>7</v>
      </c>
      <c r="G369" s="12" t="s">
        <v>144</v>
      </c>
      <c r="H369" s="12" t="s">
        <v>39</v>
      </c>
      <c r="I369" s="4">
        <v>38579</v>
      </c>
      <c r="J369" t="s">
        <v>130</v>
      </c>
      <c r="K369" s="2">
        <v>0</v>
      </c>
      <c r="L369" s="2"/>
      <c r="M369" s="20">
        <v>1.1000000000000001E-3</v>
      </c>
      <c r="N369" s="5"/>
      <c r="O369" s="8"/>
      <c r="P369" s="1"/>
      <c r="Q369" s="1"/>
      <c r="R369" s="1"/>
      <c r="S369" s="3"/>
      <c r="T369" s="3"/>
      <c r="U369" s="3"/>
      <c r="V369" s="3"/>
      <c r="W369" s="3"/>
      <c r="X369" s="3"/>
      <c r="Y369" s="3"/>
      <c r="Z369" s="28" t="s">
        <v>140</v>
      </c>
      <c r="AA369" t="s">
        <v>142</v>
      </c>
    </row>
    <row r="370" spans="1:27" x14ac:dyDescent="0.25">
      <c r="A370">
        <v>115</v>
      </c>
      <c r="B370">
        <v>29</v>
      </c>
      <c r="C370">
        <f t="shared" si="56"/>
        <v>11529</v>
      </c>
      <c r="D370" s="3" t="s">
        <v>87</v>
      </c>
      <c r="E370" s="11">
        <v>54.7</v>
      </c>
      <c r="F370" s="11">
        <v>7.7</v>
      </c>
      <c r="G370" s="12" t="s">
        <v>144</v>
      </c>
      <c r="H370" s="12" t="s">
        <v>39</v>
      </c>
      <c r="I370" s="4">
        <v>38579</v>
      </c>
      <c r="J370" t="s">
        <v>130</v>
      </c>
      <c r="K370" s="2">
        <v>0</v>
      </c>
      <c r="L370" s="2"/>
      <c r="M370" s="20">
        <v>2.5000000000000001E-3</v>
      </c>
      <c r="N370" s="5"/>
      <c r="O370" s="8"/>
      <c r="P370" s="1"/>
      <c r="Q370" s="1"/>
      <c r="R370" s="1"/>
      <c r="S370" s="3"/>
      <c r="T370" s="3"/>
      <c r="U370" s="3"/>
      <c r="V370" s="3"/>
      <c r="W370" s="3"/>
      <c r="X370" s="3"/>
      <c r="Y370" s="3"/>
      <c r="Z370" s="28" t="s">
        <v>140</v>
      </c>
      <c r="AA370" t="s">
        <v>142</v>
      </c>
    </row>
    <row r="371" spans="1:27" x14ac:dyDescent="0.25">
      <c r="A371">
        <v>115</v>
      </c>
      <c r="B371">
        <v>30</v>
      </c>
      <c r="C371">
        <f t="shared" si="56"/>
        <v>11530</v>
      </c>
      <c r="D371" s="3" t="s">
        <v>87</v>
      </c>
      <c r="E371" s="11">
        <v>57.5</v>
      </c>
      <c r="F371" s="11">
        <v>11</v>
      </c>
      <c r="G371" s="12" t="s">
        <v>144</v>
      </c>
      <c r="H371" s="12" t="s">
        <v>39</v>
      </c>
      <c r="I371" s="4">
        <v>38579</v>
      </c>
      <c r="J371" t="s">
        <v>130</v>
      </c>
      <c r="K371" s="2">
        <v>0</v>
      </c>
      <c r="L371" s="2"/>
      <c r="M371" s="20">
        <v>1.9E-3</v>
      </c>
      <c r="N371" s="5"/>
      <c r="O371" s="8"/>
      <c r="P371" s="1"/>
      <c r="Q371" s="1"/>
      <c r="R371" s="1"/>
      <c r="S371" s="3"/>
      <c r="T371" s="3"/>
      <c r="U371" s="3"/>
      <c r="V371" s="3"/>
      <c r="W371" s="3"/>
      <c r="X371" s="3"/>
      <c r="Y371" s="3"/>
      <c r="Z371" s="28" t="s">
        <v>140</v>
      </c>
      <c r="AA371" t="s">
        <v>142</v>
      </c>
    </row>
    <row r="372" spans="1:27" x14ac:dyDescent="0.25">
      <c r="A372">
        <v>115</v>
      </c>
      <c r="B372">
        <v>31</v>
      </c>
      <c r="C372">
        <f t="shared" si="56"/>
        <v>11531</v>
      </c>
      <c r="D372" s="3" t="s">
        <v>87</v>
      </c>
      <c r="E372" s="11">
        <v>60.542249057971006</v>
      </c>
      <c r="F372" s="11">
        <v>3.9990973478260865</v>
      </c>
      <c r="G372" s="12" t="s">
        <v>144</v>
      </c>
      <c r="H372" s="12" t="s">
        <v>39</v>
      </c>
      <c r="I372" s="4">
        <v>38353</v>
      </c>
      <c r="J372" s="12" t="s">
        <v>163</v>
      </c>
      <c r="K372" s="2">
        <v>0</v>
      </c>
      <c r="L372" s="2"/>
      <c r="M372" s="5">
        <f>390/147</f>
        <v>2.6530612244897958</v>
      </c>
      <c r="N372" s="5">
        <f>380/147</f>
        <v>2.5850340136054424</v>
      </c>
      <c r="O372" s="8"/>
      <c r="P372" s="1"/>
      <c r="Q372" s="1"/>
      <c r="R372" s="1"/>
      <c r="S372" s="3"/>
      <c r="T372" s="3"/>
      <c r="U372" s="3"/>
      <c r="V372" s="3"/>
      <c r="W372" s="3"/>
      <c r="X372" s="3"/>
      <c r="Y372" s="3"/>
      <c r="Z372" s="28" t="s">
        <v>140</v>
      </c>
      <c r="AA372" t="s">
        <v>164</v>
      </c>
    </row>
    <row r="373" spans="1:27" x14ac:dyDescent="0.25">
      <c r="A373" s="12">
        <v>116</v>
      </c>
      <c r="B373" s="12">
        <v>1</v>
      </c>
      <c r="C373">
        <f t="shared" si="56"/>
        <v>11601</v>
      </c>
      <c r="D373" s="3" t="s">
        <v>87</v>
      </c>
      <c r="E373" s="11">
        <v>75</v>
      </c>
      <c r="F373" s="11">
        <v>-12.3</v>
      </c>
      <c r="G373" s="12" t="s">
        <v>144</v>
      </c>
      <c r="H373" s="12" t="s">
        <v>39</v>
      </c>
      <c r="I373" s="4">
        <v>38718</v>
      </c>
      <c r="J373" s="12" t="s">
        <v>130</v>
      </c>
      <c r="K373" s="2">
        <v>0</v>
      </c>
      <c r="L373" s="2"/>
      <c r="M373" s="20">
        <v>2.1000000000000003E-3</v>
      </c>
      <c r="N373" s="5"/>
      <c r="O373" s="8"/>
      <c r="P373" s="1"/>
      <c r="Q373" s="1"/>
      <c r="R373" s="1"/>
      <c r="S373" s="3"/>
      <c r="T373" s="3"/>
      <c r="U373" s="3"/>
      <c r="V373" s="3"/>
      <c r="W373" s="3"/>
      <c r="X373" s="3"/>
      <c r="Y373" s="3"/>
      <c r="Z373" s="28" t="s">
        <v>161</v>
      </c>
      <c r="AA373" t="s">
        <v>162</v>
      </c>
    </row>
    <row r="374" spans="1:27" x14ac:dyDescent="0.25">
      <c r="A374" s="12">
        <v>116</v>
      </c>
      <c r="B374" s="12">
        <v>2</v>
      </c>
      <c r="C374">
        <f t="shared" si="56"/>
        <v>11602</v>
      </c>
      <c r="D374" s="3" t="s">
        <v>87</v>
      </c>
      <c r="E374" s="11">
        <v>75.599999999999994</v>
      </c>
      <c r="F374" s="11">
        <v>16.3</v>
      </c>
      <c r="G374" s="12" t="s">
        <v>144</v>
      </c>
      <c r="H374" s="12" t="s">
        <v>39</v>
      </c>
      <c r="I374" s="4">
        <v>38718</v>
      </c>
      <c r="J374" s="12" t="s">
        <v>130</v>
      </c>
      <c r="K374" s="2">
        <v>0</v>
      </c>
      <c r="L374" s="2"/>
      <c r="M374" s="20">
        <v>1.5E-3</v>
      </c>
      <c r="N374" s="5"/>
      <c r="O374" s="8"/>
      <c r="P374" s="1"/>
      <c r="Q374" s="1"/>
      <c r="R374" s="1"/>
      <c r="S374" s="3"/>
      <c r="T374" s="3"/>
      <c r="U374" s="3"/>
      <c r="V374" s="3"/>
      <c r="W374" s="3"/>
      <c r="X374" s="3"/>
      <c r="Y374" s="3"/>
      <c r="Z374" s="28" t="s">
        <v>161</v>
      </c>
      <c r="AA374" t="s">
        <v>162</v>
      </c>
    </row>
    <row r="375" spans="1:27" x14ac:dyDescent="0.25">
      <c r="A375" s="12">
        <v>116</v>
      </c>
      <c r="B375" s="12">
        <v>3</v>
      </c>
      <c r="C375">
        <f t="shared" si="56"/>
        <v>11603</v>
      </c>
      <c r="D375" s="3" t="s">
        <v>87</v>
      </c>
      <c r="E375" s="11">
        <v>74.5</v>
      </c>
      <c r="F375" s="11">
        <v>10</v>
      </c>
      <c r="G375" s="12" t="s">
        <v>144</v>
      </c>
      <c r="H375" s="12" t="s">
        <v>39</v>
      </c>
      <c r="I375" s="4">
        <v>38718</v>
      </c>
      <c r="J375" s="12" t="s">
        <v>130</v>
      </c>
      <c r="K375" s="2">
        <v>0</v>
      </c>
      <c r="L375" s="2"/>
      <c r="M375" s="20">
        <v>1.9E-3</v>
      </c>
      <c r="N375" s="5"/>
      <c r="O375" s="8"/>
      <c r="P375" s="1"/>
      <c r="Q375" s="1"/>
      <c r="R375" s="1"/>
      <c r="S375" s="3"/>
      <c r="T375" s="3"/>
      <c r="U375" s="3"/>
      <c r="V375" s="3"/>
      <c r="W375" s="3"/>
      <c r="X375" s="3"/>
      <c r="Y375" s="3"/>
      <c r="Z375" s="28" t="s">
        <v>161</v>
      </c>
      <c r="AA375" t="s">
        <v>162</v>
      </c>
    </row>
    <row r="376" spans="1:27" x14ac:dyDescent="0.25">
      <c r="A376" s="12">
        <v>116</v>
      </c>
      <c r="B376" s="12">
        <v>4</v>
      </c>
      <c r="C376">
        <f t="shared" si="56"/>
        <v>11604</v>
      </c>
      <c r="D376" s="3" t="s">
        <v>87</v>
      </c>
      <c r="E376" s="11">
        <v>74.2</v>
      </c>
      <c r="F376" s="11">
        <v>19.5</v>
      </c>
      <c r="G376" s="12" t="s">
        <v>144</v>
      </c>
      <c r="H376" s="12" t="s">
        <v>39</v>
      </c>
      <c r="I376" s="4">
        <v>38718</v>
      </c>
      <c r="J376" s="12" t="s">
        <v>130</v>
      </c>
      <c r="K376" s="2">
        <v>0</v>
      </c>
      <c r="L376" s="2"/>
      <c r="M376" s="20">
        <v>2.2000000000000001E-3</v>
      </c>
      <c r="N376" s="5"/>
      <c r="O376" s="8"/>
      <c r="P376" s="1"/>
      <c r="Q376" s="1"/>
      <c r="R376" s="1"/>
      <c r="S376" s="3"/>
      <c r="T376" s="3"/>
      <c r="U376" s="3"/>
      <c r="V376" s="3"/>
      <c r="W376" s="3"/>
      <c r="X376" s="3"/>
      <c r="Y376" s="3"/>
      <c r="Z376" s="28" t="s">
        <v>161</v>
      </c>
      <c r="AA376" t="s">
        <v>162</v>
      </c>
    </row>
    <row r="377" spans="1:27" x14ac:dyDescent="0.25">
      <c r="A377" s="12">
        <v>116</v>
      </c>
      <c r="B377" s="12">
        <v>5</v>
      </c>
      <c r="C377">
        <f t="shared" si="56"/>
        <v>11605</v>
      </c>
      <c r="D377" s="3" t="s">
        <v>87</v>
      </c>
      <c r="E377" s="11">
        <v>73.900000000000006</v>
      </c>
      <c r="F377" s="11">
        <v>13.9</v>
      </c>
      <c r="G377" s="12" t="s">
        <v>144</v>
      </c>
      <c r="H377" s="12" t="s">
        <v>39</v>
      </c>
      <c r="I377" s="4">
        <v>38718</v>
      </c>
      <c r="J377" s="12" t="s">
        <v>130</v>
      </c>
      <c r="K377" s="2">
        <v>0</v>
      </c>
      <c r="L377" s="2"/>
      <c r="M377" s="20">
        <v>1.9499999999999999E-3</v>
      </c>
      <c r="N377" s="5"/>
      <c r="O377" s="8"/>
      <c r="P377" s="1"/>
      <c r="Q377" s="1"/>
      <c r="R377" s="1"/>
      <c r="S377" s="3"/>
      <c r="T377" s="3"/>
      <c r="U377" s="3"/>
      <c r="V377" s="3"/>
      <c r="W377" s="3"/>
      <c r="X377" s="3"/>
      <c r="Y377" s="3"/>
      <c r="Z377" s="28" t="s">
        <v>161</v>
      </c>
      <c r="AA377" t="s">
        <v>162</v>
      </c>
    </row>
    <row r="378" spans="1:27" x14ac:dyDescent="0.25">
      <c r="A378" s="12">
        <v>116</v>
      </c>
      <c r="B378" s="12">
        <v>6</v>
      </c>
      <c r="C378">
        <f t="shared" si="56"/>
        <v>11606</v>
      </c>
      <c r="D378" s="3" t="s">
        <v>87</v>
      </c>
      <c r="E378" s="11">
        <v>70.5</v>
      </c>
      <c r="F378" s="11">
        <v>20</v>
      </c>
      <c r="G378" s="12" t="s">
        <v>144</v>
      </c>
      <c r="H378" s="12" t="s">
        <v>39</v>
      </c>
      <c r="I378" s="4">
        <v>38718</v>
      </c>
      <c r="J378" s="12" t="s">
        <v>130</v>
      </c>
      <c r="K378" s="2">
        <v>0</v>
      </c>
      <c r="L378" s="2"/>
      <c r="M378" s="20">
        <v>8.9999999999999998E-4</v>
      </c>
      <c r="N378" s="5"/>
      <c r="O378" s="8"/>
      <c r="P378" s="1"/>
      <c r="Q378" s="1"/>
      <c r="R378" s="1"/>
      <c r="S378" s="3"/>
      <c r="T378" s="3"/>
      <c r="U378" s="3"/>
      <c r="V378" s="3"/>
      <c r="W378" s="3"/>
      <c r="X378" s="3"/>
      <c r="Y378" s="3"/>
      <c r="Z378" s="28" t="s">
        <v>161</v>
      </c>
      <c r="AA378" t="s">
        <v>162</v>
      </c>
    </row>
    <row r="379" spans="1:27" x14ac:dyDescent="0.25">
      <c r="A379" s="12">
        <v>116</v>
      </c>
      <c r="B379" s="12">
        <v>7</v>
      </c>
      <c r="C379">
        <f t="shared" si="56"/>
        <v>11607</v>
      </c>
      <c r="D379" s="3" t="s">
        <v>87</v>
      </c>
      <c r="E379" s="11">
        <v>69.5</v>
      </c>
      <c r="F379" s="11">
        <v>4</v>
      </c>
      <c r="G379" s="12" t="s">
        <v>144</v>
      </c>
      <c r="H379" s="12" t="s">
        <v>39</v>
      </c>
      <c r="I379" s="4">
        <v>38718</v>
      </c>
      <c r="J379" s="12" t="s">
        <v>130</v>
      </c>
      <c r="K379" s="2">
        <v>0</v>
      </c>
      <c r="L379" s="2"/>
      <c r="M379" s="20">
        <v>1.6000000000000001E-3</v>
      </c>
      <c r="N379" s="5"/>
      <c r="O379" s="8"/>
      <c r="P379" s="1"/>
      <c r="Q379" s="1"/>
      <c r="R379" s="1"/>
      <c r="S379" s="3"/>
      <c r="T379" s="3"/>
      <c r="U379" s="3"/>
      <c r="V379" s="3"/>
      <c r="W379" s="3"/>
      <c r="X379" s="3"/>
      <c r="Y379" s="3"/>
      <c r="Z379" s="28" t="s">
        <v>161</v>
      </c>
      <c r="AA379" t="s">
        <v>162</v>
      </c>
    </row>
    <row r="380" spans="1:27" x14ac:dyDescent="0.25">
      <c r="A380" s="12">
        <v>116</v>
      </c>
      <c r="B380" s="12">
        <v>8</v>
      </c>
      <c r="C380">
        <f t="shared" si="56"/>
        <v>11608</v>
      </c>
      <c r="D380" s="3" t="s">
        <v>87</v>
      </c>
      <c r="E380" s="11">
        <v>69.7</v>
      </c>
      <c r="F380" s="11">
        <v>16</v>
      </c>
      <c r="G380" s="12" t="s">
        <v>144</v>
      </c>
      <c r="H380" s="12" t="s">
        <v>39</v>
      </c>
      <c r="I380" s="4">
        <v>38718</v>
      </c>
      <c r="J380" s="12" t="s">
        <v>130</v>
      </c>
      <c r="K380" s="2">
        <v>0</v>
      </c>
      <c r="L380" s="2"/>
      <c r="M380" s="20">
        <v>2E-3</v>
      </c>
      <c r="N380" s="5"/>
      <c r="O380" s="8"/>
      <c r="P380" s="1"/>
      <c r="Q380" s="1"/>
      <c r="R380" s="1"/>
      <c r="S380" s="3"/>
      <c r="T380" s="3"/>
      <c r="U380" s="3"/>
      <c r="V380" s="3"/>
      <c r="W380" s="3"/>
      <c r="X380" s="3"/>
      <c r="Y380" s="3"/>
      <c r="Z380" s="28" t="s">
        <v>161</v>
      </c>
      <c r="AA380" t="s">
        <v>162</v>
      </c>
    </row>
    <row r="381" spans="1:27" x14ac:dyDescent="0.25">
      <c r="A381" s="12">
        <v>116</v>
      </c>
      <c r="B381" s="12">
        <v>9</v>
      </c>
      <c r="C381">
        <f t="shared" si="56"/>
        <v>11609</v>
      </c>
      <c r="D381" s="3" t="s">
        <v>87</v>
      </c>
      <c r="E381" s="11">
        <v>63.8</v>
      </c>
      <c r="F381" s="11">
        <v>4</v>
      </c>
      <c r="G381" s="12" t="s">
        <v>144</v>
      </c>
      <c r="H381" s="12" t="s">
        <v>39</v>
      </c>
      <c r="I381" s="4">
        <v>38718</v>
      </c>
      <c r="J381" s="12" t="s">
        <v>130</v>
      </c>
      <c r="K381" s="2">
        <v>0</v>
      </c>
      <c r="L381" s="2"/>
      <c r="M381" s="20">
        <v>2.3E-3</v>
      </c>
      <c r="N381" s="5"/>
      <c r="O381" s="8"/>
      <c r="P381" s="1"/>
      <c r="Q381" s="1"/>
      <c r="R381" s="1"/>
      <c r="S381" s="3"/>
      <c r="T381" s="3"/>
      <c r="U381" s="3"/>
      <c r="V381" s="3"/>
      <c r="W381" s="3"/>
      <c r="X381" s="3"/>
      <c r="Y381" s="3"/>
      <c r="Z381" s="28" t="s">
        <v>161</v>
      </c>
      <c r="AA381" t="s">
        <v>162</v>
      </c>
    </row>
    <row r="382" spans="1:27" x14ac:dyDescent="0.25">
      <c r="A382" s="12">
        <v>116</v>
      </c>
      <c r="B382" s="12">
        <v>10</v>
      </c>
      <c r="C382">
        <f t="shared" si="56"/>
        <v>11610</v>
      </c>
      <c r="D382" s="3" t="s">
        <v>87</v>
      </c>
      <c r="E382" s="11">
        <v>63</v>
      </c>
      <c r="F382" s="11">
        <v>4</v>
      </c>
      <c r="G382" s="12" t="s">
        <v>144</v>
      </c>
      <c r="H382" s="12" t="s">
        <v>39</v>
      </c>
      <c r="I382" s="4">
        <v>38718</v>
      </c>
      <c r="J382" s="12" t="s">
        <v>130</v>
      </c>
      <c r="K382" s="2">
        <v>0</v>
      </c>
      <c r="L382" s="2"/>
      <c r="M382" s="20">
        <v>1.83E-3</v>
      </c>
      <c r="N382" s="5"/>
      <c r="O382" s="8"/>
      <c r="P382" s="1"/>
      <c r="Q382" s="1"/>
      <c r="R382" s="1"/>
      <c r="S382" s="3"/>
      <c r="T382" s="3"/>
      <c r="U382" s="3"/>
      <c r="V382" s="3"/>
      <c r="W382" s="3"/>
      <c r="X382" s="3"/>
      <c r="Y382" s="3"/>
      <c r="Z382" s="28" t="s">
        <v>161</v>
      </c>
      <c r="AA382" t="s">
        <v>162</v>
      </c>
    </row>
    <row r="383" spans="1:27" x14ac:dyDescent="0.25">
      <c r="A383" s="12">
        <v>116</v>
      </c>
      <c r="B383" s="12">
        <v>11</v>
      </c>
      <c r="C383">
        <f t="shared" si="56"/>
        <v>11611</v>
      </c>
      <c r="D383" s="3" t="s">
        <v>87</v>
      </c>
      <c r="E383" s="11">
        <v>63</v>
      </c>
      <c r="F383" s="11">
        <v>5</v>
      </c>
      <c r="G383" s="12" t="s">
        <v>144</v>
      </c>
      <c r="H383" s="12" t="s">
        <v>39</v>
      </c>
      <c r="I383" s="4">
        <v>38718</v>
      </c>
      <c r="J383" s="12" t="s">
        <v>130</v>
      </c>
      <c r="K383" s="2">
        <v>0</v>
      </c>
      <c r="L383" s="2"/>
      <c r="M383" s="20">
        <v>1.9E-3</v>
      </c>
      <c r="N383" s="5"/>
      <c r="O383" s="8"/>
      <c r="P383" s="1"/>
      <c r="Q383" s="1"/>
      <c r="R383" s="1"/>
      <c r="S383" s="3"/>
      <c r="T383" s="3"/>
      <c r="U383" s="3"/>
      <c r="V383" s="3"/>
      <c r="W383" s="3"/>
      <c r="X383" s="3"/>
      <c r="Y383" s="3"/>
      <c r="Z383" s="28" t="s">
        <v>161</v>
      </c>
      <c r="AA383" t="s">
        <v>162</v>
      </c>
    </row>
    <row r="384" spans="1:27" x14ac:dyDescent="0.25">
      <c r="A384" s="12">
        <v>116</v>
      </c>
      <c r="B384" s="12">
        <v>12</v>
      </c>
      <c r="C384">
        <f t="shared" si="56"/>
        <v>11612</v>
      </c>
      <c r="D384" s="3" t="s">
        <v>87</v>
      </c>
      <c r="E384" s="11">
        <v>60.542249057971006</v>
      </c>
      <c r="F384" s="11">
        <v>3.9990973478260865</v>
      </c>
      <c r="G384" s="12" t="s">
        <v>144</v>
      </c>
      <c r="H384" s="12" t="s">
        <v>39</v>
      </c>
      <c r="I384" s="4">
        <v>38718</v>
      </c>
      <c r="J384" s="12" t="s">
        <v>163</v>
      </c>
      <c r="K384" s="2">
        <v>0</v>
      </c>
      <c r="L384" s="2"/>
      <c r="M384" s="20">
        <f>460/144</f>
        <v>3.1944444444444446</v>
      </c>
      <c r="N384" s="5">
        <f>390/144</f>
        <v>2.7083333333333335</v>
      </c>
      <c r="O384" s="8"/>
      <c r="P384" s="1"/>
      <c r="Q384" s="1"/>
      <c r="R384" s="1"/>
      <c r="S384" s="3"/>
      <c r="T384" s="3"/>
      <c r="U384" s="3"/>
      <c r="V384" s="3"/>
      <c r="W384" s="3"/>
      <c r="X384" s="3"/>
      <c r="Y384" s="3"/>
      <c r="Z384" s="28" t="s">
        <v>161</v>
      </c>
      <c r="AA384" t="s">
        <v>164</v>
      </c>
    </row>
    <row r="385" spans="1:27" x14ac:dyDescent="0.25">
      <c r="A385" s="12">
        <v>117</v>
      </c>
      <c r="B385" s="12">
        <v>1</v>
      </c>
      <c r="C385">
        <f t="shared" si="56"/>
        <v>11701</v>
      </c>
      <c r="D385" s="3" t="s">
        <v>87</v>
      </c>
      <c r="E385" s="11">
        <v>60.542249057971006</v>
      </c>
      <c r="F385" s="11">
        <v>3.9990973478260865</v>
      </c>
      <c r="G385" s="12" t="s">
        <v>144</v>
      </c>
      <c r="H385" s="12" t="s">
        <v>39</v>
      </c>
      <c r="I385" s="4">
        <v>39083</v>
      </c>
      <c r="J385" s="12" t="s">
        <v>163</v>
      </c>
      <c r="K385" s="2">
        <v>0</v>
      </c>
      <c r="L385" s="2"/>
      <c r="M385" s="5">
        <f>530/162</f>
        <v>3.2716049382716048</v>
      </c>
      <c r="N385" s="5">
        <f>400/162</f>
        <v>2.4691358024691357</v>
      </c>
      <c r="O385" s="8"/>
      <c r="P385" s="1"/>
      <c r="Q385" s="1"/>
      <c r="R385" s="1"/>
      <c r="S385" s="3"/>
      <c r="T385" s="3"/>
      <c r="U385" s="3"/>
      <c r="V385" s="3"/>
      <c r="W385" s="3"/>
      <c r="X385" s="3"/>
      <c r="Y385" s="3"/>
      <c r="Z385" s="28" t="s">
        <v>167</v>
      </c>
      <c r="AA385" t="s">
        <v>168</v>
      </c>
    </row>
    <row r="386" spans="1:27" x14ac:dyDescent="0.25">
      <c r="A386" s="12">
        <v>118</v>
      </c>
      <c r="B386" s="12">
        <v>1</v>
      </c>
      <c r="C386">
        <f t="shared" si="56"/>
        <v>11801</v>
      </c>
      <c r="D386" s="3" t="s">
        <v>87</v>
      </c>
      <c r="E386" s="11">
        <v>60.542249057971006</v>
      </c>
      <c r="F386" s="11">
        <v>3.9990973478260865</v>
      </c>
      <c r="G386" s="12" t="s">
        <v>144</v>
      </c>
      <c r="H386" s="12" t="s">
        <v>39</v>
      </c>
      <c r="I386" s="4">
        <v>39448</v>
      </c>
      <c r="J386" s="12" t="s">
        <v>163</v>
      </c>
      <c r="K386" s="2">
        <v>0</v>
      </c>
      <c r="L386" s="2"/>
      <c r="M386" s="5">
        <f>460/149</f>
        <v>3.087248322147651</v>
      </c>
      <c r="N386" s="5">
        <f>370/149</f>
        <v>2.4832214765100673</v>
      </c>
      <c r="O386" s="8"/>
      <c r="P386" s="1"/>
      <c r="Q386" s="1"/>
      <c r="R386" s="1"/>
      <c r="S386" s="3"/>
      <c r="T386" s="3"/>
      <c r="U386" s="3"/>
      <c r="V386" s="3"/>
      <c r="W386" s="3"/>
      <c r="X386" s="3"/>
      <c r="Y386" s="3"/>
      <c r="Z386" s="28" t="s">
        <v>169</v>
      </c>
      <c r="AA386" t="s">
        <v>164</v>
      </c>
    </row>
    <row r="387" spans="1:27" x14ac:dyDescent="0.25">
      <c r="A387" s="12">
        <v>118</v>
      </c>
      <c r="B387" s="12">
        <v>1</v>
      </c>
      <c r="C387">
        <f t="shared" si="56"/>
        <v>11801</v>
      </c>
      <c r="D387" s="3" t="s">
        <v>87</v>
      </c>
      <c r="E387" s="11">
        <v>60.542249057971006</v>
      </c>
      <c r="F387" s="11">
        <v>3.9990973478260865</v>
      </c>
      <c r="G387" s="12" t="s">
        <v>144</v>
      </c>
      <c r="H387" s="12" t="s">
        <v>39</v>
      </c>
      <c r="I387" s="4">
        <v>39814</v>
      </c>
      <c r="J387" s="12" t="s">
        <v>163</v>
      </c>
      <c r="K387" s="2">
        <v>0</v>
      </c>
      <c r="L387" s="2"/>
      <c r="M387" s="5">
        <f>480/134</f>
        <v>3.5820895522388061</v>
      </c>
      <c r="N387" s="5">
        <f>360/134</f>
        <v>2.6865671641791047</v>
      </c>
      <c r="O387" s="8"/>
      <c r="P387" s="1"/>
      <c r="Q387" s="1"/>
      <c r="R387" s="1"/>
      <c r="S387" s="3"/>
      <c r="T387" s="3"/>
      <c r="U387" s="3"/>
      <c r="V387" s="3"/>
      <c r="W387" s="3"/>
      <c r="X387" s="3"/>
      <c r="Y387" s="3"/>
      <c r="Z387" s="28" t="s">
        <v>169</v>
      </c>
      <c r="AA387" t="s">
        <v>164</v>
      </c>
    </row>
    <row r="388" spans="1:27" x14ac:dyDescent="0.25">
      <c r="A388" s="12">
        <v>119</v>
      </c>
      <c r="B388" s="12">
        <v>1</v>
      </c>
      <c r="C388">
        <f t="shared" ref="C388:C412" si="58">A388*100+B388</f>
        <v>11901</v>
      </c>
      <c r="D388" s="3" t="s">
        <v>87</v>
      </c>
      <c r="E388" s="11">
        <v>60.542249057971006</v>
      </c>
      <c r="F388" s="11">
        <v>3.9990973478260865</v>
      </c>
      <c r="G388" s="12" t="s">
        <v>144</v>
      </c>
      <c r="H388" s="12" t="s">
        <v>39</v>
      </c>
      <c r="I388" s="4">
        <v>40179</v>
      </c>
      <c r="J388" s="12" t="s">
        <v>163</v>
      </c>
      <c r="K388" s="2">
        <v>0</v>
      </c>
      <c r="L388" s="2"/>
      <c r="M388" s="5">
        <f>490/129</f>
        <v>3.7984496124031009</v>
      </c>
      <c r="N388" s="5">
        <f>390/129</f>
        <v>3.0232558139534884</v>
      </c>
      <c r="O388" s="8"/>
      <c r="P388" s="1"/>
      <c r="Q388" s="1"/>
      <c r="R388" s="1"/>
      <c r="S388" s="3"/>
      <c r="T388" s="3"/>
      <c r="U388" s="3"/>
      <c r="V388" s="3"/>
      <c r="W388" s="3"/>
      <c r="X388" s="3"/>
      <c r="Y388" s="3"/>
      <c r="Z388" t="s">
        <v>170</v>
      </c>
      <c r="AA388" t="s">
        <v>171</v>
      </c>
    </row>
    <row r="389" spans="1:27" x14ac:dyDescent="0.25">
      <c r="A389" s="12">
        <v>119</v>
      </c>
      <c r="B389" s="12">
        <v>1</v>
      </c>
      <c r="C389">
        <f t="shared" si="58"/>
        <v>11901</v>
      </c>
      <c r="D389" s="3" t="s">
        <v>87</v>
      </c>
      <c r="E389" s="11">
        <v>60.542249057971006</v>
      </c>
      <c r="F389" s="11">
        <v>3.9990973478260865</v>
      </c>
      <c r="G389" s="12" t="s">
        <v>144</v>
      </c>
      <c r="H389" s="12" t="s">
        <v>39</v>
      </c>
      <c r="I389" s="4">
        <v>40544</v>
      </c>
      <c r="J389" s="12" t="s">
        <v>163</v>
      </c>
      <c r="K389" s="2">
        <v>0</v>
      </c>
      <c r="L389" s="2"/>
      <c r="M389" s="5">
        <f>468/128</f>
        <v>3.65625</v>
      </c>
      <c r="N389" s="5">
        <f>371/128</f>
        <v>2.8984375</v>
      </c>
      <c r="O389" s="8"/>
      <c r="P389" s="1"/>
      <c r="Q389" s="1"/>
      <c r="R389" s="1"/>
      <c r="S389" s="3"/>
      <c r="T389" s="3"/>
      <c r="U389" s="3"/>
      <c r="V389" s="3"/>
      <c r="W389" s="3"/>
      <c r="X389" s="3"/>
      <c r="Y389" s="3"/>
      <c r="Z389" t="s">
        <v>170</v>
      </c>
      <c r="AA389" t="s">
        <v>171</v>
      </c>
    </row>
    <row r="390" spans="1:27" x14ac:dyDescent="0.25">
      <c r="A390" s="12">
        <v>119</v>
      </c>
      <c r="B390" s="12">
        <v>2</v>
      </c>
      <c r="C390">
        <f t="shared" si="58"/>
        <v>11902</v>
      </c>
      <c r="D390" s="3" t="s">
        <v>87</v>
      </c>
      <c r="E390" s="11">
        <v>70.3</v>
      </c>
      <c r="F390" s="11">
        <v>9.51</v>
      </c>
      <c r="G390" s="12" t="s">
        <v>144</v>
      </c>
      <c r="H390" s="12" t="s">
        <v>47</v>
      </c>
      <c r="I390" s="4">
        <v>40544</v>
      </c>
      <c r="J390" s="12" t="s">
        <v>20</v>
      </c>
      <c r="K390" s="2">
        <v>0</v>
      </c>
      <c r="L390" s="2"/>
      <c r="M390" s="5">
        <v>43</v>
      </c>
      <c r="N390" s="5">
        <v>19</v>
      </c>
      <c r="O390" s="8">
        <v>220</v>
      </c>
      <c r="P390" s="1"/>
      <c r="Q390" s="1"/>
      <c r="R390" s="1"/>
      <c r="S390" s="3"/>
      <c r="T390" s="3"/>
      <c r="U390" s="3"/>
      <c r="V390" s="3"/>
      <c r="W390" s="3"/>
      <c r="X390" s="3"/>
      <c r="Y390" s="3"/>
      <c r="Z390" t="s">
        <v>170</v>
      </c>
      <c r="AA390" t="s">
        <v>173</v>
      </c>
    </row>
    <row r="391" spans="1:27" x14ac:dyDescent="0.25">
      <c r="A391" s="12">
        <v>119</v>
      </c>
      <c r="B391" s="12">
        <v>3</v>
      </c>
      <c r="C391">
        <f t="shared" si="58"/>
        <v>11903</v>
      </c>
      <c r="D391" s="3" t="s">
        <v>87</v>
      </c>
      <c r="E391" s="11">
        <v>70.2</v>
      </c>
      <c r="F391" s="11">
        <v>8.65</v>
      </c>
      <c r="G391" s="12" t="s">
        <v>144</v>
      </c>
      <c r="H391" s="12" t="s">
        <v>47</v>
      </c>
      <c r="I391" s="4">
        <v>40544</v>
      </c>
      <c r="J391" s="12" t="s">
        <v>20</v>
      </c>
      <c r="K391" s="2">
        <v>0</v>
      </c>
      <c r="L391" s="2"/>
      <c r="M391" s="5">
        <v>29</v>
      </c>
      <c r="N391" s="5">
        <v>23</v>
      </c>
      <c r="O391" s="8">
        <v>220</v>
      </c>
      <c r="P391" s="1"/>
      <c r="Q391" s="1"/>
      <c r="R391" s="1"/>
      <c r="S391" s="3"/>
      <c r="T391" s="3"/>
      <c r="U391" s="3"/>
      <c r="V391" s="3"/>
      <c r="W391" s="3"/>
      <c r="X391" s="3"/>
      <c r="Y391" s="3"/>
      <c r="Z391" t="s">
        <v>170</v>
      </c>
      <c r="AA391" t="s">
        <v>173</v>
      </c>
    </row>
    <row r="392" spans="1:27" x14ac:dyDescent="0.25">
      <c r="A392" s="12">
        <v>119</v>
      </c>
      <c r="B392" s="12">
        <v>4</v>
      </c>
      <c r="C392">
        <f t="shared" si="58"/>
        <v>11904</v>
      </c>
      <c r="D392" s="3" t="s">
        <v>87</v>
      </c>
      <c r="E392" s="11">
        <v>70</v>
      </c>
      <c r="F392" s="11">
        <v>8.9499999999999993</v>
      </c>
      <c r="G392" s="12" t="s">
        <v>144</v>
      </c>
      <c r="H392" s="12" t="s">
        <v>47</v>
      </c>
      <c r="I392" s="4">
        <v>40544</v>
      </c>
      <c r="J392" s="12" t="s">
        <v>20</v>
      </c>
      <c r="K392" s="2">
        <v>0</v>
      </c>
      <c r="L392" s="2"/>
      <c r="M392" s="5">
        <v>31</v>
      </c>
      <c r="N392" s="5">
        <v>27</v>
      </c>
      <c r="O392" s="8">
        <v>230</v>
      </c>
      <c r="P392" s="1"/>
      <c r="Q392" s="1"/>
      <c r="R392" s="1"/>
      <c r="S392" s="3"/>
      <c r="T392" s="3"/>
      <c r="U392" s="3"/>
      <c r="V392" s="3"/>
      <c r="W392" s="3"/>
      <c r="X392" s="3"/>
      <c r="Y392" s="3"/>
      <c r="Z392" t="s">
        <v>170</v>
      </c>
      <c r="AA392" t="s">
        <v>173</v>
      </c>
    </row>
    <row r="393" spans="1:27" x14ac:dyDescent="0.25">
      <c r="A393" s="12">
        <v>119</v>
      </c>
      <c r="B393" s="12">
        <v>5</v>
      </c>
      <c r="C393">
        <f t="shared" si="58"/>
        <v>11905</v>
      </c>
      <c r="D393" s="3" t="s">
        <v>87</v>
      </c>
      <c r="E393" s="11">
        <v>69.92</v>
      </c>
      <c r="F393" s="11">
        <v>8.3000000000000007</v>
      </c>
      <c r="G393" s="12" t="s">
        <v>144</v>
      </c>
      <c r="H393" s="12" t="s">
        <v>47</v>
      </c>
      <c r="I393" s="4">
        <v>40544</v>
      </c>
      <c r="J393" s="12" t="s">
        <v>20</v>
      </c>
      <c r="K393" s="2">
        <v>0</v>
      </c>
      <c r="L393" s="2"/>
      <c r="M393" s="5">
        <v>32</v>
      </c>
      <c r="N393" s="5">
        <v>22</v>
      </c>
      <c r="O393" s="8">
        <v>210</v>
      </c>
      <c r="P393" s="1"/>
      <c r="Q393" s="1"/>
      <c r="R393" s="1"/>
      <c r="S393" s="3"/>
      <c r="T393" s="3"/>
      <c r="U393" s="3"/>
      <c r="V393" s="3"/>
      <c r="W393" s="3"/>
      <c r="X393" s="3"/>
      <c r="Y393" s="3"/>
      <c r="Z393" t="s">
        <v>170</v>
      </c>
      <c r="AA393" t="s">
        <v>173</v>
      </c>
    </row>
    <row r="394" spans="1:27" x14ac:dyDescent="0.25">
      <c r="A394" s="12">
        <v>119</v>
      </c>
      <c r="B394" s="12">
        <v>6</v>
      </c>
      <c r="C394">
        <f t="shared" si="58"/>
        <v>11906</v>
      </c>
      <c r="D394" s="3" t="s">
        <v>87</v>
      </c>
      <c r="E394" s="11">
        <v>69.5</v>
      </c>
      <c r="F394" s="11">
        <v>9.15</v>
      </c>
      <c r="G394" s="12" t="s">
        <v>144</v>
      </c>
      <c r="H394" s="12" t="s">
        <v>47</v>
      </c>
      <c r="I394" s="4">
        <v>40544</v>
      </c>
      <c r="J394" s="12" t="s">
        <v>20</v>
      </c>
      <c r="K394" s="2">
        <v>0</v>
      </c>
      <c r="L394" s="2"/>
      <c r="M394" s="5">
        <v>32</v>
      </c>
      <c r="N394" s="5">
        <v>15</v>
      </c>
      <c r="O394" s="8">
        <v>170</v>
      </c>
      <c r="P394" s="1"/>
      <c r="Q394" s="1"/>
      <c r="R394" s="1"/>
      <c r="S394" s="3"/>
      <c r="T394" s="3"/>
      <c r="U394" s="3"/>
      <c r="V394" s="3"/>
      <c r="W394" s="3"/>
      <c r="X394" s="3"/>
      <c r="Y394" s="3"/>
      <c r="Z394" t="s">
        <v>170</v>
      </c>
      <c r="AA394" t="s">
        <v>173</v>
      </c>
    </row>
    <row r="395" spans="1:27" x14ac:dyDescent="0.25">
      <c r="A395" s="12">
        <v>119</v>
      </c>
      <c r="B395" s="12">
        <v>7</v>
      </c>
      <c r="C395">
        <f t="shared" si="58"/>
        <v>11907</v>
      </c>
      <c r="D395" s="3" t="s">
        <v>87</v>
      </c>
      <c r="E395" s="11">
        <f>AVERAGE(E390:E394)</f>
        <v>69.984000000000009</v>
      </c>
      <c r="F395" s="11">
        <f>AVERAGE(F390:F394)</f>
        <v>8.911999999999999</v>
      </c>
      <c r="G395" s="12" t="s">
        <v>144</v>
      </c>
      <c r="H395" s="12" t="s">
        <v>47</v>
      </c>
      <c r="I395" s="4">
        <v>40544</v>
      </c>
      <c r="J395" s="12" t="s">
        <v>130</v>
      </c>
      <c r="K395" s="2">
        <v>0</v>
      </c>
      <c r="L395" s="2"/>
      <c r="M395" s="20">
        <v>1.2999999999999999E-3</v>
      </c>
      <c r="N395" s="5"/>
      <c r="O395" s="8"/>
      <c r="P395" s="1"/>
      <c r="Q395" s="1"/>
      <c r="R395" s="1"/>
      <c r="S395" s="3"/>
      <c r="T395" s="3"/>
      <c r="U395" s="3"/>
      <c r="V395" s="3">
        <v>2.9999999999999997E-4</v>
      </c>
      <c r="W395" s="3"/>
      <c r="X395" s="3"/>
      <c r="Y395" s="3"/>
      <c r="Z395" t="s">
        <v>170</v>
      </c>
      <c r="AA395" t="s">
        <v>172</v>
      </c>
    </row>
    <row r="396" spans="1:27" x14ac:dyDescent="0.25">
      <c r="A396" s="12">
        <v>120</v>
      </c>
      <c r="B396" s="12">
        <v>1</v>
      </c>
      <c r="C396">
        <f t="shared" si="58"/>
        <v>12001</v>
      </c>
      <c r="D396" s="3" t="s">
        <v>87</v>
      </c>
      <c r="E396" s="11">
        <v>80</v>
      </c>
      <c r="F396" s="11">
        <v>32</v>
      </c>
      <c r="G396" s="12" t="s">
        <v>144</v>
      </c>
      <c r="H396" s="12" t="s">
        <v>143</v>
      </c>
      <c r="I396" t="s">
        <v>187</v>
      </c>
      <c r="J396" s="12" t="s">
        <v>130</v>
      </c>
      <c r="K396" s="2">
        <v>0</v>
      </c>
      <c r="L396" s="2"/>
      <c r="M396" s="20">
        <v>2.9999999999999997E-4</v>
      </c>
      <c r="N396" s="5"/>
      <c r="O396" s="8"/>
      <c r="P396" s="1"/>
      <c r="Q396" s="1"/>
      <c r="R396" s="1"/>
      <c r="S396" s="3"/>
      <c r="T396" s="3"/>
      <c r="U396" s="3"/>
      <c r="V396" s="3"/>
      <c r="W396" s="3"/>
      <c r="X396" s="3"/>
      <c r="Y396" s="3"/>
      <c r="Z396" s="27" t="s">
        <v>185</v>
      </c>
      <c r="AA396" t="s">
        <v>188</v>
      </c>
    </row>
    <row r="397" spans="1:27" x14ac:dyDescent="0.25">
      <c r="A397" s="12">
        <v>120</v>
      </c>
      <c r="B397" s="12">
        <v>2</v>
      </c>
      <c r="C397">
        <f t="shared" si="58"/>
        <v>12002</v>
      </c>
      <c r="D397" s="3" t="s">
        <v>87</v>
      </c>
      <c r="E397" s="11">
        <v>72</v>
      </c>
      <c r="F397" s="11">
        <v>15</v>
      </c>
      <c r="G397" s="12" t="s">
        <v>144</v>
      </c>
      <c r="H397" s="12" t="s">
        <v>143</v>
      </c>
      <c r="I397" t="s">
        <v>187</v>
      </c>
      <c r="J397" s="12" t="s">
        <v>130</v>
      </c>
      <c r="K397" s="2">
        <v>0</v>
      </c>
      <c r="L397" s="2"/>
      <c r="M397" s="20">
        <v>4.0000000000000002E-4</v>
      </c>
      <c r="N397" s="5"/>
      <c r="O397" s="8"/>
      <c r="P397" s="1"/>
      <c r="Q397" s="1"/>
      <c r="R397" s="1"/>
      <c r="S397" s="3"/>
      <c r="T397" s="3"/>
      <c r="U397" s="3"/>
      <c r="V397" s="3"/>
      <c r="W397" s="3"/>
      <c r="X397" s="3"/>
      <c r="Y397" s="3"/>
      <c r="Z397" s="27" t="s">
        <v>185</v>
      </c>
      <c r="AA397" t="s">
        <v>188</v>
      </c>
    </row>
    <row r="398" spans="1:27" x14ac:dyDescent="0.25">
      <c r="A398" s="12">
        <v>120</v>
      </c>
      <c r="B398" s="12">
        <v>3</v>
      </c>
      <c r="C398">
        <f t="shared" si="58"/>
        <v>12003</v>
      </c>
      <c r="D398" s="3" t="s">
        <v>87</v>
      </c>
      <c r="E398" s="11">
        <v>75</v>
      </c>
      <c r="F398" s="11">
        <v>18</v>
      </c>
      <c r="G398" s="12" t="s">
        <v>144</v>
      </c>
      <c r="H398" s="12" t="s">
        <v>143</v>
      </c>
      <c r="I398" t="s">
        <v>187</v>
      </c>
      <c r="J398" s="12" t="s">
        <v>130</v>
      </c>
      <c r="K398" s="2">
        <v>0</v>
      </c>
      <c r="L398" s="2"/>
      <c r="M398" s="20">
        <v>2.9E-4</v>
      </c>
      <c r="N398" s="5"/>
      <c r="O398" s="8"/>
      <c r="P398" s="1"/>
      <c r="Q398" s="1"/>
      <c r="R398" s="1"/>
      <c r="S398" s="3"/>
      <c r="T398" s="3"/>
      <c r="U398" s="3"/>
      <c r="V398" s="3"/>
      <c r="W398" s="3"/>
      <c r="X398" s="3"/>
      <c r="Y398" s="3"/>
      <c r="Z398" s="27" t="s">
        <v>185</v>
      </c>
      <c r="AA398" t="s">
        <v>188</v>
      </c>
    </row>
    <row r="399" spans="1:27" x14ac:dyDescent="0.25">
      <c r="A399" s="12">
        <v>120</v>
      </c>
      <c r="B399" s="12">
        <v>4</v>
      </c>
      <c r="C399">
        <f t="shared" si="58"/>
        <v>12004</v>
      </c>
      <c r="D399" s="3" t="s">
        <v>87</v>
      </c>
      <c r="E399" s="11">
        <v>73</v>
      </c>
      <c r="F399" s="11">
        <v>15</v>
      </c>
      <c r="G399" s="12" t="s">
        <v>144</v>
      </c>
      <c r="H399" s="12" t="s">
        <v>143</v>
      </c>
      <c r="I399" t="s">
        <v>187</v>
      </c>
      <c r="J399" s="12" t="s">
        <v>130</v>
      </c>
      <c r="K399" s="2">
        <v>0</v>
      </c>
      <c r="L399" s="2"/>
      <c r="M399" s="20">
        <v>7.7999999999999999E-4</v>
      </c>
      <c r="N399" s="5"/>
      <c r="O399" s="8"/>
      <c r="P399" s="1"/>
      <c r="Q399" s="1"/>
      <c r="R399" s="1"/>
      <c r="S399" s="3"/>
      <c r="T399" s="3"/>
      <c r="U399" s="3"/>
      <c r="V399" s="3"/>
      <c r="W399" s="3"/>
      <c r="X399" s="3"/>
      <c r="Y399" s="3"/>
      <c r="Z399" s="27" t="s">
        <v>185</v>
      </c>
      <c r="AA399" t="s">
        <v>188</v>
      </c>
    </row>
    <row r="400" spans="1:27" x14ac:dyDescent="0.25">
      <c r="A400" s="12">
        <v>120</v>
      </c>
      <c r="B400" s="12">
        <v>5</v>
      </c>
      <c r="C400">
        <f t="shared" si="58"/>
        <v>12005</v>
      </c>
      <c r="D400" s="3" t="s">
        <v>87</v>
      </c>
      <c r="E400" s="11">
        <v>73</v>
      </c>
      <c r="F400" s="11">
        <v>27</v>
      </c>
      <c r="G400" s="12" t="s">
        <v>144</v>
      </c>
      <c r="H400" s="12" t="s">
        <v>143</v>
      </c>
      <c r="I400" t="s">
        <v>187</v>
      </c>
      <c r="J400" s="12" t="s">
        <v>130</v>
      </c>
      <c r="K400" s="2">
        <v>0</v>
      </c>
      <c r="L400" s="2"/>
      <c r="M400" s="20">
        <v>4.0000000000000002E-4</v>
      </c>
      <c r="N400" s="5"/>
      <c r="O400" s="8"/>
      <c r="P400" s="1"/>
      <c r="Q400" s="1"/>
      <c r="R400" s="1"/>
      <c r="S400" s="3"/>
      <c r="T400" s="3"/>
      <c r="U400" s="3"/>
      <c r="V400" s="3"/>
      <c r="W400" s="3"/>
      <c r="X400" s="3"/>
      <c r="Y400" s="3"/>
      <c r="Z400" s="27" t="s">
        <v>185</v>
      </c>
      <c r="AA400" t="s">
        <v>188</v>
      </c>
    </row>
    <row r="401" spans="1:27" x14ac:dyDescent="0.25">
      <c r="A401" s="12">
        <v>120</v>
      </c>
      <c r="B401" s="12">
        <v>6</v>
      </c>
      <c r="C401">
        <f t="shared" si="58"/>
        <v>12006</v>
      </c>
      <c r="D401" s="3" t="s">
        <v>87</v>
      </c>
      <c r="E401" s="11">
        <v>71</v>
      </c>
      <c r="F401" s="11">
        <v>22</v>
      </c>
      <c r="G401" s="12" t="s">
        <v>144</v>
      </c>
      <c r="H401" s="12" t="s">
        <v>143</v>
      </c>
      <c r="I401" t="s">
        <v>187</v>
      </c>
      <c r="J401" s="12" t="s">
        <v>130</v>
      </c>
      <c r="K401" s="2">
        <v>0</v>
      </c>
      <c r="L401" s="2"/>
      <c r="M401" s="20">
        <v>5.2999999999999998E-4</v>
      </c>
      <c r="N401" s="5"/>
      <c r="O401" s="8"/>
      <c r="P401" s="1"/>
      <c r="Q401" s="1"/>
      <c r="R401" s="1"/>
      <c r="S401" s="3"/>
      <c r="T401" s="3"/>
      <c r="U401" s="3"/>
      <c r="V401" s="3"/>
      <c r="W401" s="3"/>
      <c r="X401" s="3"/>
      <c r="Y401" s="3"/>
      <c r="Z401" s="27" t="s">
        <v>185</v>
      </c>
      <c r="AA401" t="s">
        <v>188</v>
      </c>
    </row>
    <row r="402" spans="1:27" x14ac:dyDescent="0.25">
      <c r="A402" s="12">
        <v>120</v>
      </c>
      <c r="B402" s="12">
        <v>7</v>
      </c>
      <c r="C402">
        <f t="shared" si="58"/>
        <v>12007</v>
      </c>
      <c r="D402" s="3" t="s">
        <v>87</v>
      </c>
      <c r="E402" s="11">
        <v>64.5</v>
      </c>
      <c r="F402" s="11">
        <v>6.5</v>
      </c>
      <c r="G402" s="12" t="s">
        <v>144</v>
      </c>
      <c r="H402" s="12" t="s">
        <v>47</v>
      </c>
      <c r="I402" t="s">
        <v>187</v>
      </c>
      <c r="J402" s="12" t="s">
        <v>130</v>
      </c>
      <c r="K402" s="2">
        <v>0</v>
      </c>
      <c r="L402" s="2"/>
      <c r="M402" s="20">
        <v>2.3999999999999998E-3</v>
      </c>
      <c r="N402" s="5"/>
      <c r="O402" s="8"/>
      <c r="P402" s="1"/>
      <c r="Q402" s="1"/>
      <c r="R402" s="1"/>
      <c r="S402" s="3"/>
      <c r="T402" s="3"/>
      <c r="U402" s="3"/>
      <c r="V402" s="3"/>
      <c r="W402" s="3"/>
      <c r="X402" s="3"/>
      <c r="Y402" s="3"/>
      <c r="Z402" s="27" t="s">
        <v>185</v>
      </c>
      <c r="AA402" t="s">
        <v>188</v>
      </c>
    </row>
    <row r="403" spans="1:27" x14ac:dyDescent="0.25">
      <c r="A403" s="12">
        <v>120</v>
      </c>
      <c r="B403" s="12">
        <v>8</v>
      </c>
      <c r="C403">
        <f t="shared" si="58"/>
        <v>12008</v>
      </c>
      <c r="D403" s="3" t="s">
        <v>87</v>
      </c>
      <c r="E403" s="11">
        <v>64</v>
      </c>
      <c r="F403" s="11">
        <v>7.2</v>
      </c>
      <c r="G403" s="12" t="s">
        <v>144</v>
      </c>
      <c r="H403" s="12" t="s">
        <v>47</v>
      </c>
      <c r="I403" t="s">
        <v>187</v>
      </c>
      <c r="J403" s="12" t="s">
        <v>130</v>
      </c>
      <c r="K403" s="2">
        <v>0</v>
      </c>
      <c r="L403" s="2"/>
      <c r="M403" s="20">
        <v>2.8E-3</v>
      </c>
      <c r="N403" s="5"/>
      <c r="O403" s="8"/>
      <c r="P403" s="1"/>
      <c r="Q403" s="1"/>
      <c r="R403" s="1"/>
      <c r="S403" s="3"/>
      <c r="T403" s="3"/>
      <c r="U403" s="3"/>
      <c r="V403" s="3"/>
      <c r="W403" s="3"/>
      <c r="X403" s="3"/>
      <c r="Y403" s="3"/>
      <c r="Z403" s="27" t="s">
        <v>185</v>
      </c>
      <c r="AA403" t="s">
        <v>188</v>
      </c>
    </row>
    <row r="404" spans="1:27" x14ac:dyDescent="0.25">
      <c r="A404" s="12">
        <v>120</v>
      </c>
      <c r="B404" s="12">
        <v>9</v>
      </c>
      <c r="C404">
        <f t="shared" si="58"/>
        <v>12009</v>
      </c>
      <c r="D404" s="3" t="s">
        <v>87</v>
      </c>
      <c r="E404" s="11">
        <v>64</v>
      </c>
      <c r="F404" s="11">
        <v>7.25</v>
      </c>
      <c r="G404" s="12" t="s">
        <v>144</v>
      </c>
      <c r="H404" s="12" t="s">
        <v>47</v>
      </c>
      <c r="I404" t="s">
        <v>187</v>
      </c>
      <c r="J404" s="12" t="s">
        <v>130</v>
      </c>
      <c r="K404" s="2">
        <v>0</v>
      </c>
      <c r="L404" s="2"/>
      <c r="M404" s="20">
        <v>2.1000000000000003E-3</v>
      </c>
      <c r="N404" s="5"/>
      <c r="O404" s="8"/>
      <c r="P404" s="1"/>
      <c r="Q404" s="1"/>
      <c r="R404" s="1"/>
      <c r="S404" s="3"/>
      <c r="T404" s="3"/>
      <c r="U404" s="3"/>
      <c r="V404" s="3"/>
      <c r="W404" s="3"/>
      <c r="X404" s="3"/>
      <c r="Y404" s="3"/>
      <c r="Z404" s="27" t="s">
        <v>185</v>
      </c>
      <c r="AA404" t="s">
        <v>188</v>
      </c>
    </row>
    <row r="405" spans="1:27" x14ac:dyDescent="0.25">
      <c r="A405" s="12">
        <v>120</v>
      </c>
      <c r="B405" s="12">
        <v>10</v>
      </c>
      <c r="C405">
        <f t="shared" si="58"/>
        <v>12010</v>
      </c>
      <c r="D405" s="3" t="s">
        <v>87</v>
      </c>
      <c r="E405" s="11">
        <v>63</v>
      </c>
      <c r="F405" s="11">
        <v>7.2</v>
      </c>
      <c r="G405" s="12" t="s">
        <v>144</v>
      </c>
      <c r="H405" s="12" t="s">
        <v>47</v>
      </c>
      <c r="I405" t="s">
        <v>187</v>
      </c>
      <c r="J405" s="12" t="s">
        <v>130</v>
      </c>
      <c r="K405" s="2">
        <v>0</v>
      </c>
      <c r="L405" s="2"/>
      <c r="M405" s="20">
        <v>1.9E-3</v>
      </c>
      <c r="N405" s="5"/>
      <c r="O405" s="8"/>
      <c r="P405" s="1"/>
      <c r="Q405" s="1"/>
      <c r="R405" s="1"/>
      <c r="S405" s="3"/>
      <c r="T405" s="3"/>
      <c r="U405" s="3"/>
      <c r="V405" s="3"/>
      <c r="W405" s="3"/>
      <c r="X405" s="3"/>
      <c r="Y405" s="3"/>
      <c r="Z405" s="27" t="s">
        <v>185</v>
      </c>
      <c r="AA405" t="s">
        <v>188</v>
      </c>
    </row>
    <row r="406" spans="1:27" x14ac:dyDescent="0.25">
      <c r="A406" s="12">
        <v>120</v>
      </c>
      <c r="B406" s="12">
        <v>11</v>
      </c>
      <c r="C406">
        <f t="shared" si="58"/>
        <v>12011</v>
      </c>
      <c r="D406" s="3" t="s">
        <v>87</v>
      </c>
      <c r="E406" s="11">
        <v>60.5</v>
      </c>
      <c r="F406" s="11">
        <v>5</v>
      </c>
      <c r="G406" s="12" t="s">
        <v>144</v>
      </c>
      <c r="H406" s="12" t="s">
        <v>39</v>
      </c>
      <c r="I406" t="s">
        <v>187</v>
      </c>
      <c r="J406" s="12" t="s">
        <v>130</v>
      </c>
      <c r="K406" s="2">
        <v>0</v>
      </c>
      <c r="L406" s="2"/>
      <c r="M406" s="20">
        <v>1.8E-3</v>
      </c>
      <c r="N406" s="5"/>
      <c r="O406" s="8"/>
      <c r="P406" s="1"/>
      <c r="Q406" s="1"/>
      <c r="R406" s="1"/>
      <c r="S406" s="3"/>
      <c r="T406" s="3"/>
      <c r="U406" s="3"/>
      <c r="V406" s="3"/>
      <c r="W406" s="3"/>
      <c r="X406" s="3"/>
      <c r="Y406" s="3"/>
      <c r="Z406" s="27" t="s">
        <v>185</v>
      </c>
      <c r="AA406" t="s">
        <v>188</v>
      </c>
    </row>
    <row r="407" spans="1:27" x14ac:dyDescent="0.25">
      <c r="A407" s="12">
        <v>120</v>
      </c>
      <c r="B407" s="12">
        <v>12</v>
      </c>
      <c r="C407">
        <f t="shared" si="58"/>
        <v>12012</v>
      </c>
      <c r="D407" s="3" t="s">
        <v>87</v>
      </c>
      <c r="E407" s="11">
        <v>59.5</v>
      </c>
      <c r="F407" s="11">
        <v>5</v>
      </c>
      <c r="G407" s="12" t="s">
        <v>144</v>
      </c>
      <c r="H407" s="12" t="s">
        <v>39</v>
      </c>
      <c r="I407" t="s">
        <v>187</v>
      </c>
      <c r="J407" s="12" t="s">
        <v>130</v>
      </c>
      <c r="K407" s="2">
        <v>0</v>
      </c>
      <c r="L407" s="2"/>
      <c r="M407" s="20">
        <v>1.8E-3</v>
      </c>
      <c r="N407" s="5"/>
      <c r="O407" s="8"/>
      <c r="P407" s="1"/>
      <c r="Q407" s="1"/>
      <c r="R407" s="1"/>
      <c r="S407" s="3"/>
      <c r="T407" s="3"/>
      <c r="U407" s="3"/>
      <c r="V407" s="3"/>
      <c r="W407" s="3"/>
      <c r="X407" s="3"/>
      <c r="Y407" s="3"/>
      <c r="Z407" s="27" t="s">
        <v>185</v>
      </c>
      <c r="AA407" t="s">
        <v>188</v>
      </c>
    </row>
    <row r="408" spans="1:27" x14ac:dyDescent="0.25">
      <c r="A408" s="12">
        <v>120</v>
      </c>
      <c r="B408" s="12">
        <v>13</v>
      </c>
      <c r="C408">
        <f t="shared" si="58"/>
        <v>12013</v>
      </c>
      <c r="D408" s="3" t="s">
        <v>87</v>
      </c>
      <c r="E408" s="11">
        <v>57</v>
      </c>
      <c r="F408" s="11">
        <v>5.5</v>
      </c>
      <c r="G408" s="12" t="s">
        <v>144</v>
      </c>
      <c r="H408" s="12" t="s">
        <v>39</v>
      </c>
      <c r="I408" t="s">
        <v>187</v>
      </c>
      <c r="J408" s="12" t="s">
        <v>130</v>
      </c>
      <c r="K408" s="2">
        <v>0</v>
      </c>
      <c r="L408" s="2"/>
      <c r="M408" s="20">
        <v>1.8E-3</v>
      </c>
      <c r="N408" s="5"/>
      <c r="O408" s="8"/>
      <c r="P408" s="1"/>
      <c r="Q408" s="1"/>
      <c r="R408" s="1"/>
      <c r="S408" s="3"/>
      <c r="T408" s="3"/>
      <c r="U408" s="3"/>
      <c r="V408" s="3"/>
      <c r="W408" s="3"/>
      <c r="X408" s="3"/>
      <c r="Y408" s="3"/>
      <c r="Z408" s="27" t="s">
        <v>185</v>
      </c>
      <c r="AA408" t="s">
        <v>188</v>
      </c>
    </row>
    <row r="409" spans="1:27" x14ac:dyDescent="0.25">
      <c r="A409" s="12">
        <v>120</v>
      </c>
      <c r="B409" s="12">
        <v>14</v>
      </c>
      <c r="C409">
        <f t="shared" si="58"/>
        <v>12014</v>
      </c>
      <c r="D409" s="3" t="s">
        <v>87</v>
      </c>
      <c r="E409" s="11">
        <v>61</v>
      </c>
      <c r="F409" s="11">
        <v>0</v>
      </c>
      <c r="G409" s="12" t="s">
        <v>144</v>
      </c>
      <c r="H409" s="12" t="s">
        <v>39</v>
      </c>
      <c r="I409" t="s">
        <v>187</v>
      </c>
      <c r="J409" s="12" t="s">
        <v>130</v>
      </c>
      <c r="K409" s="2">
        <v>0</v>
      </c>
      <c r="L409" s="2"/>
      <c r="M409" s="20">
        <v>1.16E-3</v>
      </c>
      <c r="N409" s="5"/>
      <c r="O409" s="8"/>
      <c r="P409" s="1"/>
      <c r="Q409" s="1"/>
      <c r="R409" s="1"/>
      <c r="S409" s="3"/>
      <c r="T409" s="3"/>
      <c r="U409" s="3"/>
      <c r="V409" s="3"/>
      <c r="W409" s="3"/>
      <c r="X409" s="3"/>
      <c r="Y409" s="3"/>
      <c r="Z409" s="27" t="s">
        <v>185</v>
      </c>
      <c r="AA409" t="s">
        <v>188</v>
      </c>
    </row>
    <row r="410" spans="1:27" x14ac:dyDescent="0.25">
      <c r="A410" s="12">
        <v>120</v>
      </c>
      <c r="B410" s="12">
        <v>15</v>
      </c>
      <c r="C410">
        <f t="shared" si="58"/>
        <v>12015</v>
      </c>
      <c r="D410" s="3" t="s">
        <v>87</v>
      </c>
      <c r="E410" s="11">
        <v>60</v>
      </c>
      <c r="F410" s="11">
        <v>-3</v>
      </c>
      <c r="G410" s="12" t="s">
        <v>144</v>
      </c>
      <c r="H410" s="12" t="s">
        <v>39</v>
      </c>
      <c r="I410" t="s">
        <v>187</v>
      </c>
      <c r="J410" s="12" t="s">
        <v>130</v>
      </c>
      <c r="K410" s="2">
        <v>0</v>
      </c>
      <c r="L410" s="2"/>
      <c r="M410" s="20">
        <v>1.6999999999999999E-3</v>
      </c>
      <c r="N410" s="5"/>
      <c r="O410" s="8"/>
      <c r="P410" s="1"/>
      <c r="Q410" s="1"/>
      <c r="R410" s="1"/>
      <c r="S410" s="3"/>
      <c r="T410" s="3"/>
      <c r="U410" s="3"/>
      <c r="V410" s="3"/>
      <c r="W410" s="3"/>
      <c r="X410" s="3"/>
      <c r="Y410" s="3"/>
      <c r="Z410" s="27" t="s">
        <v>185</v>
      </c>
      <c r="AA410" t="s">
        <v>188</v>
      </c>
    </row>
    <row r="411" spans="1:27" x14ac:dyDescent="0.25">
      <c r="A411" s="12">
        <v>120</v>
      </c>
      <c r="B411" s="12">
        <v>16</v>
      </c>
      <c r="C411">
        <f t="shared" si="58"/>
        <v>12016</v>
      </c>
      <c r="D411" s="3" t="s">
        <v>87</v>
      </c>
      <c r="E411" s="11">
        <v>59</v>
      </c>
      <c r="F411" s="11">
        <v>0.5</v>
      </c>
      <c r="G411" s="12" t="s">
        <v>144</v>
      </c>
      <c r="H411" s="12" t="s">
        <v>39</v>
      </c>
      <c r="I411" t="s">
        <v>187</v>
      </c>
      <c r="J411" s="12" t="s">
        <v>130</v>
      </c>
      <c r="K411" s="2">
        <v>0</v>
      </c>
      <c r="L411" s="2"/>
      <c r="M411" s="20">
        <v>1.5E-3</v>
      </c>
      <c r="N411" s="5"/>
      <c r="O411" s="8"/>
      <c r="P411" s="1"/>
      <c r="Q411" s="1"/>
      <c r="R411" s="1"/>
      <c r="S411" s="3"/>
      <c r="T411" s="3"/>
      <c r="U411" s="3"/>
      <c r="V411" s="3"/>
      <c r="W411" s="3"/>
      <c r="X411" s="3"/>
      <c r="Y411" s="3"/>
      <c r="Z411" s="27" t="s">
        <v>185</v>
      </c>
      <c r="AA411" t="s">
        <v>188</v>
      </c>
    </row>
    <row r="412" spans="1:27" x14ac:dyDescent="0.25">
      <c r="A412" s="12">
        <v>120</v>
      </c>
      <c r="B412" s="12">
        <v>17</v>
      </c>
      <c r="C412">
        <f t="shared" si="58"/>
        <v>12017</v>
      </c>
      <c r="D412" s="3" t="s">
        <v>87</v>
      </c>
      <c r="E412" s="11">
        <v>57</v>
      </c>
      <c r="F412" s="11">
        <v>2</v>
      </c>
      <c r="G412" s="12" t="s">
        <v>144</v>
      </c>
      <c r="H412" s="12" t="s">
        <v>39</v>
      </c>
      <c r="I412" t="s">
        <v>187</v>
      </c>
      <c r="J412" s="12" t="s">
        <v>130</v>
      </c>
      <c r="K412" s="2">
        <v>0</v>
      </c>
      <c r="L412" s="2"/>
      <c r="M412" s="20">
        <v>1.5E-3</v>
      </c>
      <c r="N412" s="5"/>
      <c r="O412" s="8"/>
      <c r="P412" s="1"/>
      <c r="Q412" s="1"/>
      <c r="R412" s="1"/>
      <c r="S412" s="3"/>
      <c r="T412" s="3"/>
      <c r="U412" s="3"/>
      <c r="V412" s="3"/>
      <c r="W412" s="3"/>
      <c r="X412" s="3"/>
      <c r="Y412" s="3"/>
      <c r="Z412" s="27" t="s">
        <v>185</v>
      </c>
      <c r="AA412" t="s">
        <v>188</v>
      </c>
    </row>
    <row r="413" spans="1:27" x14ac:dyDescent="0.25">
      <c r="A413" s="12">
        <v>120</v>
      </c>
      <c r="B413" s="12">
        <v>18</v>
      </c>
      <c r="C413">
        <f>A413*100+B413</f>
        <v>12018</v>
      </c>
      <c r="D413" s="3" t="s">
        <v>87</v>
      </c>
      <c r="E413" s="11">
        <v>60.542249057971006</v>
      </c>
      <c r="F413" s="11">
        <v>3.9990973478260865</v>
      </c>
      <c r="G413" s="12" t="s">
        <v>144</v>
      </c>
      <c r="H413" s="12" t="s">
        <v>39</v>
      </c>
      <c r="I413" s="4">
        <v>40909</v>
      </c>
      <c r="J413" s="12" t="s">
        <v>163</v>
      </c>
      <c r="K413" s="2">
        <v>0</v>
      </c>
      <c r="L413" s="2"/>
      <c r="M413" s="5">
        <f>437/131</f>
        <v>3.33587786259542</v>
      </c>
      <c r="N413" s="5">
        <f>372/131</f>
        <v>2.8396946564885495</v>
      </c>
      <c r="O413" s="8"/>
      <c r="P413" s="1"/>
      <c r="Q413" s="1"/>
      <c r="R413" s="1"/>
      <c r="S413" s="3"/>
      <c r="T413" s="3"/>
      <c r="U413" s="3"/>
      <c r="V413" s="3"/>
      <c r="W413" s="3"/>
      <c r="X413" s="3"/>
      <c r="Y413" s="3"/>
      <c r="Z413" s="27" t="s">
        <v>185</v>
      </c>
      <c r="AA413" t="s">
        <v>186</v>
      </c>
    </row>
    <row r="414" spans="1:27" x14ac:dyDescent="0.25">
      <c r="A414" s="12">
        <v>120</v>
      </c>
      <c r="B414" s="12">
        <v>18</v>
      </c>
      <c r="C414">
        <f t="shared" ref="C414:C477" si="59">A414*100+B414</f>
        <v>12018</v>
      </c>
      <c r="D414" s="3" t="s">
        <v>87</v>
      </c>
      <c r="E414" s="11">
        <v>60.542249057971006</v>
      </c>
      <c r="F414" s="11">
        <v>3.9990973478260865</v>
      </c>
      <c r="G414" s="12" t="s">
        <v>144</v>
      </c>
      <c r="H414" s="12" t="s">
        <v>39</v>
      </c>
      <c r="I414" s="4">
        <v>41275</v>
      </c>
      <c r="J414" s="12" t="s">
        <v>163</v>
      </c>
      <c r="K414" s="2">
        <v>0</v>
      </c>
      <c r="L414" s="2"/>
      <c r="M414" s="5">
        <f>380/127</f>
        <v>2.9921259842519685</v>
      </c>
      <c r="N414" s="5">
        <f>326/127</f>
        <v>2.5669291338582676</v>
      </c>
      <c r="O414" s="8"/>
      <c r="P414" s="1"/>
      <c r="Q414" s="1"/>
      <c r="R414" s="1"/>
      <c r="S414" s="3"/>
      <c r="T414" s="3"/>
      <c r="U414" s="3"/>
      <c r="V414" s="3"/>
      <c r="W414" s="3"/>
      <c r="X414" s="3"/>
      <c r="Y414" s="3"/>
      <c r="Z414" s="27" t="s">
        <v>185</v>
      </c>
      <c r="AA414" t="s">
        <v>186</v>
      </c>
    </row>
    <row r="415" spans="1:27" x14ac:dyDescent="0.25">
      <c r="A415" s="12">
        <v>120</v>
      </c>
      <c r="B415" s="12">
        <v>18</v>
      </c>
      <c r="C415">
        <f t="shared" si="59"/>
        <v>12018</v>
      </c>
      <c r="D415" s="3" t="s">
        <v>87</v>
      </c>
      <c r="E415" s="11">
        <v>60.542249057971006</v>
      </c>
      <c r="F415" s="11">
        <v>3.9990973478260865</v>
      </c>
      <c r="G415" s="12" t="s">
        <v>144</v>
      </c>
      <c r="H415" s="12" t="s">
        <v>39</v>
      </c>
      <c r="I415" s="4">
        <v>41640</v>
      </c>
      <c r="J415" s="12" t="s">
        <v>163</v>
      </c>
      <c r="K415" s="2">
        <v>0</v>
      </c>
      <c r="L415" s="2"/>
      <c r="M415" s="5">
        <f>402/141</f>
        <v>2.8510638297872339</v>
      </c>
      <c r="N415" s="5">
        <f>349/141</f>
        <v>2.4751773049645389</v>
      </c>
      <c r="O415" s="8"/>
      <c r="P415" s="1"/>
      <c r="Q415" s="1"/>
      <c r="R415" s="1"/>
      <c r="S415" s="3"/>
      <c r="T415" s="3"/>
      <c r="U415" s="3"/>
      <c r="V415" s="3"/>
      <c r="W415" s="3"/>
      <c r="X415" s="3"/>
      <c r="Y415" s="3"/>
      <c r="Z415" s="27" t="s">
        <v>185</v>
      </c>
      <c r="AA415" t="s">
        <v>186</v>
      </c>
    </row>
    <row r="416" spans="1:27" x14ac:dyDescent="0.25">
      <c r="A416" s="12">
        <v>121</v>
      </c>
      <c r="B416" s="12">
        <v>1</v>
      </c>
      <c r="C416">
        <f t="shared" si="59"/>
        <v>12101</v>
      </c>
      <c r="D416" s="3" t="s">
        <v>87</v>
      </c>
      <c r="E416" s="11">
        <v>80.599999999999994</v>
      </c>
      <c r="F416" s="11">
        <v>38</v>
      </c>
      <c r="G416" s="12" t="s">
        <v>144</v>
      </c>
      <c r="H416" s="12" t="s">
        <v>143</v>
      </c>
      <c r="I416" s="4">
        <v>42005</v>
      </c>
      <c r="J416" s="12" t="s">
        <v>130</v>
      </c>
      <c r="K416" s="2">
        <v>0</v>
      </c>
      <c r="L416" s="2"/>
      <c r="M416" s="20">
        <v>8.9999999999999998E-4</v>
      </c>
      <c r="N416" s="5"/>
      <c r="O416" s="8"/>
      <c r="P416" s="1"/>
      <c r="Q416" s="1"/>
      <c r="R416" s="1"/>
      <c r="S416" s="3"/>
      <c r="T416" s="3"/>
      <c r="U416" s="3"/>
      <c r="V416" s="3"/>
      <c r="W416" s="3"/>
      <c r="X416" s="3"/>
      <c r="Y416" s="3"/>
      <c r="Z416" s="27" t="s">
        <v>189</v>
      </c>
      <c r="AA416" t="s">
        <v>190</v>
      </c>
    </row>
    <row r="417" spans="1:27" x14ac:dyDescent="0.25">
      <c r="A417" s="12">
        <v>121</v>
      </c>
      <c r="B417" s="12">
        <v>2</v>
      </c>
      <c r="C417">
        <f t="shared" si="59"/>
        <v>12102</v>
      </c>
      <c r="D417" s="3" t="s">
        <v>87</v>
      </c>
      <c r="E417" s="11">
        <v>77.099999999999994</v>
      </c>
      <c r="F417" s="11">
        <v>32.1</v>
      </c>
      <c r="G417" s="12" t="s">
        <v>144</v>
      </c>
      <c r="H417" s="12" t="s">
        <v>143</v>
      </c>
      <c r="I417" s="4">
        <v>42005</v>
      </c>
      <c r="J417" s="12" t="s">
        <v>130</v>
      </c>
      <c r="K417" s="2">
        <v>0</v>
      </c>
      <c r="L417" s="2"/>
      <c r="M417" s="20">
        <v>8.9999999999999998E-4</v>
      </c>
      <c r="N417" s="5"/>
      <c r="O417" s="8"/>
      <c r="P417" s="1"/>
      <c r="Q417" s="1"/>
      <c r="R417" s="1"/>
      <c r="S417" s="3"/>
      <c r="T417" s="3"/>
      <c r="U417" s="3"/>
      <c r="V417" s="3"/>
      <c r="W417" s="3"/>
      <c r="X417" s="3"/>
      <c r="Y417" s="3"/>
      <c r="Z417" s="27" t="s">
        <v>189</v>
      </c>
      <c r="AA417" t="s">
        <v>190</v>
      </c>
    </row>
    <row r="418" spans="1:27" x14ac:dyDescent="0.25">
      <c r="A418" s="12">
        <v>121</v>
      </c>
      <c r="B418" s="12">
        <v>3</v>
      </c>
      <c r="C418">
        <f t="shared" si="59"/>
        <v>12103</v>
      </c>
      <c r="D418" s="3" t="s">
        <v>87</v>
      </c>
      <c r="E418" s="11">
        <v>74.3</v>
      </c>
      <c r="F418" s="11">
        <v>32</v>
      </c>
      <c r="G418" s="12" t="s">
        <v>144</v>
      </c>
      <c r="H418" s="12" t="s">
        <v>143</v>
      </c>
      <c r="I418" s="4">
        <v>42005</v>
      </c>
      <c r="J418" s="12" t="s">
        <v>130</v>
      </c>
      <c r="K418" s="2">
        <v>0</v>
      </c>
      <c r="L418" s="2"/>
      <c r="M418" s="20">
        <v>1.2999999999999999E-3</v>
      </c>
      <c r="N418" s="5"/>
      <c r="O418" s="8"/>
      <c r="P418" s="1"/>
      <c r="Q418" s="1"/>
      <c r="R418" s="1"/>
      <c r="S418" s="3"/>
      <c r="T418" s="3"/>
      <c r="U418" s="3"/>
      <c r="V418" s="3"/>
      <c r="W418" s="3"/>
      <c r="X418" s="3"/>
      <c r="Y418" s="3"/>
      <c r="Z418" s="27" t="s">
        <v>189</v>
      </c>
      <c r="AA418" t="s">
        <v>190</v>
      </c>
    </row>
    <row r="419" spans="1:27" x14ac:dyDescent="0.25">
      <c r="A419" s="12">
        <v>121</v>
      </c>
      <c r="B419" s="12">
        <v>4</v>
      </c>
      <c r="C419">
        <f t="shared" si="59"/>
        <v>12104</v>
      </c>
      <c r="D419" s="3" t="s">
        <v>87</v>
      </c>
      <c r="E419" s="11">
        <v>73.66</v>
      </c>
      <c r="F419" s="11">
        <v>12.75</v>
      </c>
      <c r="G419" s="12" t="s">
        <v>144</v>
      </c>
      <c r="H419" s="12" t="s">
        <v>143</v>
      </c>
      <c r="I419" s="4">
        <v>42005</v>
      </c>
      <c r="J419" s="12" t="s">
        <v>130</v>
      </c>
      <c r="K419" s="2">
        <v>0</v>
      </c>
      <c r="L419" s="2"/>
      <c r="M419" s="20">
        <v>1.4E-3</v>
      </c>
      <c r="N419" s="5"/>
      <c r="O419" s="8"/>
      <c r="P419" s="1"/>
      <c r="Q419" s="1"/>
      <c r="R419" s="1"/>
      <c r="S419" s="3"/>
      <c r="T419" s="3"/>
      <c r="U419" s="3"/>
      <c r="V419" s="3"/>
      <c r="W419" s="3"/>
      <c r="X419" s="3"/>
      <c r="Y419" s="3"/>
      <c r="Z419" s="27" t="s">
        <v>189</v>
      </c>
      <c r="AA419" t="s">
        <v>190</v>
      </c>
    </row>
    <row r="420" spans="1:27" x14ac:dyDescent="0.25">
      <c r="A420" s="12">
        <v>121</v>
      </c>
      <c r="B420" s="12">
        <v>5</v>
      </c>
      <c r="C420">
        <f t="shared" si="59"/>
        <v>12105</v>
      </c>
      <c r="D420" s="3" t="s">
        <v>87</v>
      </c>
      <c r="E420" s="11">
        <v>70.97</v>
      </c>
      <c r="F420" s="11">
        <v>32.119999999999997</v>
      </c>
      <c r="G420" s="12" t="s">
        <v>144</v>
      </c>
      <c r="H420" s="12" t="s">
        <v>143</v>
      </c>
      <c r="I420" s="4">
        <v>42005</v>
      </c>
      <c r="J420" s="12" t="s">
        <v>130</v>
      </c>
      <c r="K420" s="2">
        <v>0</v>
      </c>
      <c r="L420" s="2"/>
      <c r="M420" s="20">
        <v>1.2999999999999999E-3</v>
      </c>
      <c r="N420" s="5"/>
      <c r="O420" s="8"/>
      <c r="P420" s="1"/>
      <c r="Q420" s="1"/>
      <c r="R420" s="1"/>
      <c r="S420" s="3"/>
      <c r="T420" s="3"/>
      <c r="U420" s="3"/>
      <c r="V420" s="3"/>
      <c r="W420" s="3"/>
      <c r="X420" s="3"/>
      <c r="Y420" s="3"/>
      <c r="Z420" s="27" t="s">
        <v>189</v>
      </c>
      <c r="AA420" t="s">
        <v>190</v>
      </c>
    </row>
    <row r="421" spans="1:27" x14ac:dyDescent="0.25">
      <c r="A421" s="12">
        <v>121</v>
      </c>
      <c r="B421" s="12">
        <v>6</v>
      </c>
      <c r="C421">
        <f t="shared" si="59"/>
        <v>12106</v>
      </c>
      <c r="D421" s="3" t="s">
        <v>87</v>
      </c>
      <c r="E421" s="11">
        <v>70.87</v>
      </c>
      <c r="F421" s="11">
        <v>18.91</v>
      </c>
      <c r="G421" s="12" t="s">
        <v>144</v>
      </c>
      <c r="H421" s="12" t="s">
        <v>47</v>
      </c>
      <c r="I421" s="4">
        <v>42005</v>
      </c>
      <c r="J421" s="12" t="s">
        <v>130</v>
      </c>
      <c r="K421" s="2">
        <v>0</v>
      </c>
      <c r="L421" s="2"/>
      <c r="M421" s="20">
        <v>1E-3</v>
      </c>
      <c r="N421" s="5"/>
      <c r="O421" s="8"/>
      <c r="P421" s="1"/>
      <c r="Q421" s="1"/>
      <c r="R421" s="1"/>
      <c r="S421" s="3"/>
      <c r="T421" s="3"/>
      <c r="U421" s="3"/>
      <c r="V421" s="3"/>
      <c r="W421" s="3"/>
      <c r="X421" s="3"/>
      <c r="Y421" s="3"/>
      <c r="Z421" s="27" t="s">
        <v>189</v>
      </c>
      <c r="AA421" t="s">
        <v>190</v>
      </c>
    </row>
    <row r="422" spans="1:27" x14ac:dyDescent="0.25">
      <c r="A422" s="12">
        <v>121</v>
      </c>
      <c r="B422" s="12">
        <v>7</v>
      </c>
      <c r="C422">
        <f t="shared" si="59"/>
        <v>12107</v>
      </c>
      <c r="D422" s="3" t="s">
        <v>87</v>
      </c>
      <c r="E422" s="11">
        <v>69.739999999999995</v>
      </c>
      <c r="F422" s="11">
        <v>17.670000000000002</v>
      </c>
      <c r="G422" s="12" t="s">
        <v>144</v>
      </c>
      <c r="H422" s="12" t="s">
        <v>47</v>
      </c>
      <c r="I422" s="4">
        <v>42736</v>
      </c>
      <c r="J422" s="12" t="s">
        <v>130</v>
      </c>
      <c r="K422" s="2">
        <v>0</v>
      </c>
      <c r="L422" s="2"/>
      <c r="M422" s="20">
        <v>1.2999999999999999E-3</v>
      </c>
      <c r="N422" s="5"/>
      <c r="O422" s="8"/>
      <c r="P422" s="1"/>
      <c r="Q422" s="1"/>
      <c r="R422" s="1"/>
      <c r="S422" s="3"/>
      <c r="T422" s="3"/>
      <c r="U422" s="3"/>
      <c r="V422" s="3"/>
      <c r="W422" s="3"/>
      <c r="X422" s="3"/>
      <c r="Y422" s="3"/>
      <c r="Z422" s="27" t="s">
        <v>189</v>
      </c>
      <c r="AA422" t="s">
        <v>190</v>
      </c>
    </row>
    <row r="423" spans="1:27" x14ac:dyDescent="0.25">
      <c r="A423" s="12">
        <v>121</v>
      </c>
      <c r="B423" s="12">
        <v>8</v>
      </c>
      <c r="C423">
        <f t="shared" si="59"/>
        <v>12108</v>
      </c>
      <c r="D423" s="3" t="s">
        <v>87</v>
      </c>
      <c r="E423" s="11">
        <v>68.16</v>
      </c>
      <c r="F423" s="11">
        <v>14.78</v>
      </c>
      <c r="G423" s="12" t="s">
        <v>144</v>
      </c>
      <c r="H423" s="12" t="s">
        <v>47</v>
      </c>
      <c r="I423" s="4">
        <v>42736</v>
      </c>
      <c r="J423" s="12" t="s">
        <v>130</v>
      </c>
      <c r="K423" s="2">
        <v>0</v>
      </c>
      <c r="L423" s="2"/>
      <c r="M423" s="20">
        <v>1.1000000000000001E-3</v>
      </c>
      <c r="N423" s="5"/>
      <c r="O423" s="8"/>
      <c r="P423" s="1"/>
      <c r="Q423" s="1"/>
      <c r="R423" s="1"/>
      <c r="S423" s="3"/>
      <c r="T423" s="3"/>
      <c r="U423" s="3"/>
      <c r="V423" s="3"/>
      <c r="W423" s="3"/>
      <c r="X423" s="3"/>
      <c r="Y423" s="3"/>
      <c r="Z423" s="27" t="s">
        <v>189</v>
      </c>
      <c r="AA423" t="s">
        <v>190</v>
      </c>
    </row>
    <row r="424" spans="1:27" x14ac:dyDescent="0.25">
      <c r="A424" s="12">
        <v>121</v>
      </c>
      <c r="B424" s="12">
        <v>9</v>
      </c>
      <c r="C424">
        <f t="shared" si="59"/>
        <v>12109</v>
      </c>
      <c r="D424" s="3" t="s">
        <v>87</v>
      </c>
      <c r="E424" s="11">
        <v>67.796199999999999</v>
      </c>
      <c r="F424" s="11">
        <v>14.025399999999999</v>
      </c>
      <c r="G424" s="12" t="s">
        <v>144</v>
      </c>
      <c r="H424" s="12" t="s">
        <v>47</v>
      </c>
      <c r="I424" s="4">
        <v>42736</v>
      </c>
      <c r="J424" s="12" t="s">
        <v>130</v>
      </c>
      <c r="K424" s="2">
        <v>0</v>
      </c>
      <c r="L424" s="2"/>
      <c r="M424" s="20">
        <v>1.1999999999999999E-3</v>
      </c>
      <c r="N424" s="5"/>
      <c r="O424" s="8"/>
      <c r="P424" s="1"/>
      <c r="Q424" s="1"/>
      <c r="R424" s="1"/>
      <c r="S424" s="3"/>
      <c r="T424" s="3"/>
      <c r="U424" s="3"/>
      <c r="V424" s="3"/>
      <c r="W424" s="3"/>
      <c r="X424" s="3"/>
      <c r="Y424" s="3"/>
      <c r="Z424" s="27" t="s">
        <v>189</v>
      </c>
      <c r="AA424" t="s">
        <v>190</v>
      </c>
    </row>
    <row r="425" spans="1:27" x14ac:dyDescent="0.25">
      <c r="A425" s="12">
        <v>121</v>
      </c>
      <c r="B425" s="12">
        <v>10</v>
      </c>
      <c r="C425">
        <f t="shared" si="59"/>
        <v>12110</v>
      </c>
      <c r="D425" s="3" t="s">
        <v>87</v>
      </c>
      <c r="E425" s="11">
        <v>65.679500000000004</v>
      </c>
      <c r="F425" s="11">
        <v>11.825100000000001</v>
      </c>
      <c r="G425" s="12" t="s">
        <v>144</v>
      </c>
      <c r="H425" s="12" t="s">
        <v>47</v>
      </c>
      <c r="I425" s="4">
        <v>42736</v>
      </c>
      <c r="J425" s="12" t="s">
        <v>130</v>
      </c>
      <c r="K425" s="2">
        <v>0</v>
      </c>
      <c r="L425" s="2"/>
      <c r="M425" s="20">
        <v>1.1000000000000001E-3</v>
      </c>
      <c r="N425" s="5"/>
      <c r="O425" s="8"/>
      <c r="P425" s="1"/>
      <c r="Q425" s="1"/>
      <c r="R425" s="1"/>
      <c r="S425" s="3"/>
      <c r="T425" s="3"/>
      <c r="U425" s="3"/>
      <c r="V425" s="3"/>
      <c r="W425" s="3"/>
      <c r="X425" s="3"/>
      <c r="Y425" s="3"/>
      <c r="Z425" s="27" t="s">
        <v>189</v>
      </c>
      <c r="AA425" t="s">
        <v>190</v>
      </c>
    </row>
    <row r="426" spans="1:27" x14ac:dyDescent="0.25">
      <c r="A426" s="12">
        <v>121</v>
      </c>
      <c r="B426" s="12">
        <v>11</v>
      </c>
      <c r="C426">
        <f t="shared" si="59"/>
        <v>12111</v>
      </c>
      <c r="D426" s="3" t="s">
        <v>87</v>
      </c>
      <c r="E426" s="11">
        <v>65.0745</v>
      </c>
      <c r="F426" s="11">
        <v>8.0434000000000001</v>
      </c>
      <c r="G426" s="12" t="s">
        <v>144</v>
      </c>
      <c r="H426" s="12" t="s">
        <v>47</v>
      </c>
      <c r="I426" s="4">
        <v>42736</v>
      </c>
      <c r="J426" s="12" t="s">
        <v>130</v>
      </c>
      <c r="K426" s="2">
        <v>0</v>
      </c>
      <c r="L426" s="2"/>
      <c r="M426" s="20">
        <v>1.4E-3</v>
      </c>
      <c r="N426" s="5"/>
      <c r="O426" s="8"/>
      <c r="P426" s="1"/>
      <c r="Q426" s="1"/>
      <c r="R426" s="1"/>
      <c r="S426" s="3"/>
      <c r="T426" s="3"/>
      <c r="U426" s="3"/>
      <c r="V426" s="3"/>
      <c r="W426" s="3"/>
      <c r="X426" s="3"/>
      <c r="Y426" s="3"/>
      <c r="Z426" s="27" t="s">
        <v>189</v>
      </c>
      <c r="AA426" t="s">
        <v>190</v>
      </c>
    </row>
    <row r="427" spans="1:27" x14ac:dyDescent="0.25">
      <c r="A427" s="12">
        <v>121</v>
      </c>
      <c r="B427" s="12">
        <v>12</v>
      </c>
      <c r="C427">
        <f t="shared" si="59"/>
        <v>12112</v>
      </c>
      <c r="D427" s="3" t="s">
        <v>87</v>
      </c>
      <c r="E427" s="11">
        <v>63.2819</v>
      </c>
      <c r="F427" s="11">
        <v>6.8745000000000003</v>
      </c>
      <c r="G427" s="12" t="s">
        <v>144</v>
      </c>
      <c r="H427" s="12" t="s">
        <v>47</v>
      </c>
      <c r="I427" s="4">
        <v>42736</v>
      </c>
      <c r="J427" s="12" t="s">
        <v>130</v>
      </c>
      <c r="K427" s="2">
        <v>0</v>
      </c>
      <c r="L427" s="2"/>
      <c r="M427" s="20">
        <v>1.4E-3</v>
      </c>
      <c r="N427" s="5"/>
      <c r="O427" s="8"/>
      <c r="P427" s="1"/>
      <c r="Q427" s="1"/>
      <c r="R427" s="1"/>
      <c r="S427" s="3"/>
      <c r="T427" s="3"/>
      <c r="U427" s="3"/>
      <c r="V427" s="3"/>
      <c r="W427" s="3"/>
      <c r="X427" s="3"/>
      <c r="Y427" s="3"/>
      <c r="Z427" s="27" t="s">
        <v>189</v>
      </c>
      <c r="AA427" t="s">
        <v>190</v>
      </c>
    </row>
    <row r="428" spans="1:27" x14ac:dyDescent="0.25">
      <c r="A428" s="12">
        <v>121</v>
      </c>
      <c r="B428" s="12">
        <v>13</v>
      </c>
      <c r="C428">
        <f t="shared" si="59"/>
        <v>12113</v>
      </c>
      <c r="D428" s="3" t="s">
        <v>87</v>
      </c>
      <c r="E428" s="11">
        <v>62.275500000000001</v>
      </c>
      <c r="F428" s="11">
        <v>4.7428999999999997</v>
      </c>
      <c r="G428" s="12" t="s">
        <v>144</v>
      </c>
      <c r="H428" s="12" t="s">
        <v>47</v>
      </c>
      <c r="I428" s="4">
        <v>42736</v>
      </c>
      <c r="J428" s="12" t="s">
        <v>130</v>
      </c>
      <c r="K428" s="2">
        <v>0</v>
      </c>
      <c r="L428" s="2"/>
      <c r="M428" s="20">
        <v>8.9999999999999998E-4</v>
      </c>
      <c r="N428" s="5"/>
      <c r="O428" s="8"/>
      <c r="P428" s="1"/>
      <c r="Q428" s="1"/>
      <c r="R428" s="1"/>
      <c r="S428" s="3"/>
      <c r="T428" s="3"/>
      <c r="U428" s="3"/>
      <c r="V428" s="3"/>
      <c r="W428" s="3"/>
      <c r="X428" s="3"/>
      <c r="Y428" s="3"/>
      <c r="Z428" s="27" t="s">
        <v>189</v>
      </c>
      <c r="AA428" t="s">
        <v>190</v>
      </c>
    </row>
    <row r="429" spans="1:27" x14ac:dyDescent="0.25">
      <c r="A429" s="12">
        <v>121</v>
      </c>
      <c r="B429" s="12">
        <v>14</v>
      </c>
      <c r="C429">
        <f t="shared" si="59"/>
        <v>12114</v>
      </c>
      <c r="D429" s="3" t="s">
        <v>87</v>
      </c>
      <c r="E429" s="11">
        <v>59.325099999999999</v>
      </c>
      <c r="F429" s="11">
        <v>-2.3807</v>
      </c>
      <c r="G429" s="12" t="s">
        <v>144</v>
      </c>
      <c r="H429" s="12" t="s">
        <v>39</v>
      </c>
      <c r="I429" s="4">
        <v>42370</v>
      </c>
      <c r="J429" s="12" t="s">
        <v>130</v>
      </c>
      <c r="K429" s="2">
        <v>0</v>
      </c>
      <c r="L429" s="2"/>
      <c r="M429" s="20">
        <v>1.9E-3</v>
      </c>
      <c r="N429" s="5"/>
      <c r="O429" s="8"/>
      <c r="P429" s="1"/>
      <c r="Q429" s="1"/>
      <c r="R429" s="1"/>
      <c r="S429" s="3"/>
      <c r="T429" s="3"/>
      <c r="U429" s="3"/>
      <c r="V429" s="3"/>
      <c r="W429" s="3"/>
      <c r="X429" s="3"/>
      <c r="Y429" s="3"/>
      <c r="Z429" s="27" t="s">
        <v>189</v>
      </c>
      <c r="AA429" t="s">
        <v>190</v>
      </c>
    </row>
    <row r="430" spans="1:27" x14ac:dyDescent="0.25">
      <c r="A430" s="12">
        <v>121</v>
      </c>
      <c r="B430" s="12">
        <v>15</v>
      </c>
      <c r="C430">
        <f t="shared" si="59"/>
        <v>12115</v>
      </c>
      <c r="D430" s="3" t="s">
        <v>87</v>
      </c>
      <c r="E430" s="11">
        <v>58.084699999999998</v>
      </c>
      <c r="F430" s="11">
        <v>1.3776999999999999</v>
      </c>
      <c r="G430" s="12" t="s">
        <v>144</v>
      </c>
      <c r="H430" s="12" t="s">
        <v>39</v>
      </c>
      <c r="I430" s="4">
        <v>42370</v>
      </c>
      <c r="J430" s="12" t="s">
        <v>130</v>
      </c>
      <c r="K430" s="2">
        <v>0</v>
      </c>
      <c r="L430" s="2"/>
      <c r="M430" s="20">
        <v>1.6000000000000001E-3</v>
      </c>
      <c r="N430" s="5"/>
      <c r="O430" s="8"/>
      <c r="P430" s="1"/>
      <c r="Q430" s="1"/>
      <c r="R430" s="1"/>
      <c r="S430" s="3"/>
      <c r="T430" s="3"/>
      <c r="U430" s="3"/>
      <c r="V430" s="3"/>
      <c r="W430" s="3"/>
      <c r="X430" s="3"/>
      <c r="Y430" s="3"/>
      <c r="Z430" s="27" t="s">
        <v>189</v>
      </c>
      <c r="AA430" t="s">
        <v>190</v>
      </c>
    </row>
    <row r="431" spans="1:27" x14ac:dyDescent="0.25">
      <c r="A431" s="12">
        <v>121</v>
      </c>
      <c r="B431" s="12">
        <v>16</v>
      </c>
      <c r="C431">
        <f t="shared" si="59"/>
        <v>12116</v>
      </c>
      <c r="D431" s="3" t="s">
        <v>87</v>
      </c>
      <c r="E431" s="11">
        <v>56.6492</v>
      </c>
      <c r="F431" s="11">
        <v>1.9650000000000001</v>
      </c>
      <c r="G431" s="12" t="s">
        <v>144</v>
      </c>
      <c r="H431" s="12" t="s">
        <v>39</v>
      </c>
      <c r="I431" s="4">
        <v>42370</v>
      </c>
      <c r="J431" s="12" t="s">
        <v>130</v>
      </c>
      <c r="K431" s="2">
        <v>0</v>
      </c>
      <c r="L431" s="2"/>
      <c r="M431" s="20">
        <v>1.5E-3</v>
      </c>
      <c r="N431" s="5"/>
      <c r="O431" s="8"/>
      <c r="P431" s="1"/>
      <c r="Q431" s="1"/>
      <c r="R431" s="1"/>
      <c r="S431" s="3"/>
      <c r="T431" s="3"/>
      <c r="U431" s="3"/>
      <c r="V431" s="3"/>
      <c r="W431" s="3"/>
      <c r="X431" s="3"/>
      <c r="Y431" s="3"/>
      <c r="Z431" s="27" t="s">
        <v>189</v>
      </c>
      <c r="AA431" t="s">
        <v>190</v>
      </c>
    </row>
    <row r="432" spans="1:27" x14ac:dyDescent="0.25">
      <c r="A432" s="12">
        <v>121</v>
      </c>
      <c r="B432" s="12">
        <v>17</v>
      </c>
      <c r="C432">
        <f t="shared" si="59"/>
        <v>12117</v>
      </c>
      <c r="D432" s="3" t="s">
        <v>87</v>
      </c>
      <c r="E432" s="11">
        <v>60.694699999999997</v>
      </c>
      <c r="F432" s="11">
        <v>1.6126</v>
      </c>
      <c r="G432" s="12" t="s">
        <v>144</v>
      </c>
      <c r="H432" s="12" t="s">
        <v>39</v>
      </c>
      <c r="I432" s="4">
        <v>42370</v>
      </c>
      <c r="J432" s="12" t="s">
        <v>130</v>
      </c>
      <c r="K432" s="2">
        <v>0</v>
      </c>
      <c r="L432" s="2"/>
      <c r="M432" s="20">
        <v>1.9E-3</v>
      </c>
      <c r="N432" s="5"/>
      <c r="O432" s="8"/>
      <c r="P432" s="1"/>
      <c r="Q432" s="1"/>
      <c r="R432" s="1"/>
      <c r="S432" s="3"/>
      <c r="T432" s="3"/>
      <c r="U432" s="3"/>
      <c r="V432" s="3"/>
      <c r="W432" s="3"/>
      <c r="X432" s="3"/>
      <c r="Y432" s="3"/>
      <c r="Z432" s="27" t="s">
        <v>189</v>
      </c>
      <c r="AA432" t="s">
        <v>190</v>
      </c>
    </row>
    <row r="433" spans="1:27" x14ac:dyDescent="0.25">
      <c r="A433" s="12">
        <v>121</v>
      </c>
      <c r="B433" s="12">
        <v>18</v>
      </c>
      <c r="C433">
        <f t="shared" si="59"/>
        <v>12118</v>
      </c>
      <c r="D433" s="3" t="s">
        <v>87</v>
      </c>
      <c r="E433" s="11">
        <v>60.9619</v>
      </c>
      <c r="F433" s="11">
        <v>3.9617</v>
      </c>
      <c r="G433" s="12" t="s">
        <v>144</v>
      </c>
      <c r="H433" s="12" t="s">
        <v>39</v>
      </c>
      <c r="I433" s="4">
        <v>42370</v>
      </c>
      <c r="J433" s="12" t="s">
        <v>130</v>
      </c>
      <c r="K433" s="2">
        <v>0</v>
      </c>
      <c r="L433" s="2"/>
      <c r="M433" s="20">
        <v>1.6999999999999999E-3</v>
      </c>
      <c r="N433" s="5"/>
      <c r="O433" s="8"/>
      <c r="P433" s="1"/>
      <c r="Q433" s="1"/>
      <c r="R433" s="1"/>
      <c r="S433" s="3"/>
      <c r="T433" s="3"/>
      <c r="U433" s="3"/>
      <c r="V433" s="3"/>
      <c r="W433" s="3"/>
      <c r="X433" s="3"/>
      <c r="Y433" s="3"/>
      <c r="Z433" s="27" t="s">
        <v>189</v>
      </c>
      <c r="AA433" t="s">
        <v>190</v>
      </c>
    </row>
    <row r="434" spans="1:27" x14ac:dyDescent="0.25">
      <c r="A434" s="12">
        <v>121</v>
      </c>
      <c r="B434" s="12">
        <v>19</v>
      </c>
      <c r="C434">
        <f t="shared" si="59"/>
        <v>12119</v>
      </c>
      <c r="D434" s="3" t="s">
        <v>87</v>
      </c>
      <c r="E434" s="11">
        <v>59.5837</v>
      </c>
      <c r="F434" s="11">
        <v>4.6272000000000002</v>
      </c>
      <c r="G434" s="12" t="s">
        <v>144</v>
      </c>
      <c r="H434" s="12" t="s">
        <v>39</v>
      </c>
      <c r="I434" s="4">
        <v>42370</v>
      </c>
      <c r="J434" s="12" t="s">
        <v>130</v>
      </c>
      <c r="K434" s="2">
        <v>0</v>
      </c>
      <c r="L434" s="2"/>
      <c r="M434" s="20">
        <v>1.4E-3</v>
      </c>
      <c r="N434" s="5"/>
      <c r="O434" s="8"/>
      <c r="P434" s="1"/>
      <c r="Q434" s="1"/>
      <c r="R434" s="1"/>
      <c r="S434" s="3"/>
      <c r="T434" s="3"/>
      <c r="U434" s="3"/>
      <c r="V434" s="3"/>
      <c r="W434" s="3"/>
      <c r="X434" s="3"/>
      <c r="Y434" s="3"/>
      <c r="Z434" s="27" t="s">
        <v>189</v>
      </c>
      <c r="AA434" t="s">
        <v>190</v>
      </c>
    </row>
    <row r="435" spans="1:27" x14ac:dyDescent="0.25">
      <c r="A435" s="12">
        <v>121</v>
      </c>
      <c r="B435" s="12">
        <v>20</v>
      </c>
      <c r="C435">
        <f t="shared" si="59"/>
        <v>12120</v>
      </c>
      <c r="D435" s="3" t="s">
        <v>87</v>
      </c>
      <c r="E435" s="11">
        <v>57.981000000000002</v>
      </c>
      <c r="F435" s="11">
        <v>5.8409000000000004</v>
      </c>
      <c r="G435" s="12" t="s">
        <v>144</v>
      </c>
      <c r="H435" s="12" t="s">
        <v>39</v>
      </c>
      <c r="I435" s="4">
        <v>42370</v>
      </c>
      <c r="J435" s="12" t="s">
        <v>130</v>
      </c>
      <c r="K435" s="2">
        <v>0</v>
      </c>
      <c r="L435" s="2"/>
      <c r="M435" s="20">
        <v>1.4E-3</v>
      </c>
      <c r="N435" s="5"/>
      <c r="O435" s="8"/>
      <c r="P435" s="1"/>
      <c r="Q435" s="1"/>
      <c r="R435" s="1"/>
      <c r="S435" s="3"/>
      <c r="T435" s="3"/>
      <c r="U435" s="3"/>
      <c r="V435" s="3"/>
      <c r="W435" s="3"/>
      <c r="X435" s="3"/>
      <c r="Y435" s="3"/>
      <c r="Z435" s="27" t="s">
        <v>189</v>
      </c>
      <c r="AA435" t="s">
        <v>190</v>
      </c>
    </row>
    <row r="436" spans="1:27" x14ac:dyDescent="0.25">
      <c r="A436" s="12">
        <v>121</v>
      </c>
      <c r="B436" s="12">
        <v>21</v>
      </c>
      <c r="C436">
        <f t="shared" si="59"/>
        <v>12121</v>
      </c>
      <c r="D436" s="3" t="s">
        <v>87</v>
      </c>
      <c r="E436" s="11">
        <v>59.860100000000003</v>
      </c>
      <c r="F436" s="11">
        <v>10.4998</v>
      </c>
      <c r="G436" s="12" t="s">
        <v>144</v>
      </c>
      <c r="H436" s="12" t="s">
        <v>39</v>
      </c>
      <c r="I436" s="4">
        <v>42370</v>
      </c>
      <c r="J436" s="12" t="s">
        <v>130</v>
      </c>
      <c r="K436" s="2">
        <v>0</v>
      </c>
      <c r="L436" s="2"/>
      <c r="M436" s="20">
        <v>2.5000000000000001E-3</v>
      </c>
      <c r="N436" s="5"/>
      <c r="O436" s="8"/>
      <c r="P436" s="1"/>
      <c r="Q436" s="1"/>
      <c r="R436" s="1"/>
      <c r="S436" s="3"/>
      <c r="T436" s="3"/>
      <c r="U436" s="3"/>
      <c r="V436" s="3"/>
      <c r="W436" s="3"/>
      <c r="X436" s="3"/>
      <c r="Y436" s="3"/>
      <c r="Z436" s="27" t="s">
        <v>189</v>
      </c>
      <c r="AA436" t="s">
        <v>190</v>
      </c>
    </row>
    <row r="437" spans="1:27" x14ac:dyDescent="0.25">
      <c r="A437" s="12">
        <v>121</v>
      </c>
      <c r="B437" s="12">
        <v>22</v>
      </c>
      <c r="C437">
        <f t="shared" si="59"/>
        <v>12122</v>
      </c>
      <c r="D437" s="3" t="s">
        <v>87</v>
      </c>
      <c r="E437" s="11">
        <v>60.542249057971006</v>
      </c>
      <c r="F437" s="11">
        <v>3.9990973478260865</v>
      </c>
      <c r="G437" s="12" t="s">
        <v>144</v>
      </c>
      <c r="H437" s="12" t="s">
        <v>39</v>
      </c>
      <c r="I437" s="4">
        <v>42005</v>
      </c>
      <c r="J437" s="12" t="s">
        <v>163</v>
      </c>
      <c r="K437" s="2">
        <v>0</v>
      </c>
      <c r="L437" s="2"/>
      <c r="M437" s="5">
        <f>440/148</f>
        <v>2.9729729729729728</v>
      </c>
      <c r="N437" s="5">
        <f>390/148</f>
        <v>2.6351351351351351</v>
      </c>
      <c r="O437" s="8"/>
      <c r="P437" s="1"/>
      <c r="Q437" s="1"/>
      <c r="R437" s="1"/>
      <c r="S437" s="3"/>
      <c r="T437" s="3"/>
      <c r="U437" s="3"/>
      <c r="V437" s="3"/>
      <c r="W437" s="3"/>
      <c r="X437" s="3"/>
      <c r="Y437" s="3"/>
      <c r="Z437" s="27" t="s">
        <v>189</v>
      </c>
      <c r="AA437" t="s">
        <v>191</v>
      </c>
    </row>
    <row r="438" spans="1:27" x14ac:dyDescent="0.25">
      <c r="A438" s="12">
        <v>121</v>
      </c>
      <c r="B438" s="12">
        <v>22</v>
      </c>
      <c r="C438">
        <f t="shared" si="59"/>
        <v>12122</v>
      </c>
      <c r="D438" s="3" t="s">
        <v>87</v>
      </c>
      <c r="E438" s="11">
        <v>60.542249057971006</v>
      </c>
      <c r="F438" s="11">
        <v>3.9990973478260865</v>
      </c>
      <c r="G438" s="12" t="s">
        <v>144</v>
      </c>
      <c r="H438" s="12" t="s">
        <v>39</v>
      </c>
      <c r="I438" s="4">
        <v>42370</v>
      </c>
      <c r="J438" s="12" t="s">
        <v>163</v>
      </c>
      <c r="K438" s="2">
        <v>0</v>
      </c>
      <c r="L438" s="2"/>
      <c r="M438" s="5">
        <f>410/138</f>
        <v>2.9710144927536231</v>
      </c>
      <c r="N438" s="5">
        <f>380/138</f>
        <v>2.7536231884057969</v>
      </c>
      <c r="O438" s="8"/>
      <c r="P438" s="1"/>
      <c r="Q438" s="1"/>
      <c r="R438" s="1"/>
      <c r="S438" s="3"/>
      <c r="T438" s="3"/>
      <c r="U438" s="3"/>
      <c r="V438" s="3"/>
      <c r="W438" s="3"/>
      <c r="X438" s="3"/>
      <c r="Y438" s="3"/>
      <c r="Z438" s="27" t="s">
        <v>189</v>
      </c>
      <c r="AA438" t="s">
        <v>191</v>
      </c>
    </row>
    <row r="439" spans="1:27" x14ac:dyDescent="0.25">
      <c r="A439" s="12">
        <v>121</v>
      </c>
      <c r="B439" s="12">
        <v>22</v>
      </c>
      <c r="C439">
        <f t="shared" si="59"/>
        <v>12122</v>
      </c>
      <c r="D439" s="3" t="s">
        <v>87</v>
      </c>
      <c r="E439" s="11">
        <v>60.542249057971006</v>
      </c>
      <c r="F439" s="11">
        <v>3.9990973478260865</v>
      </c>
      <c r="G439" s="12" t="s">
        <v>144</v>
      </c>
      <c r="H439" s="12" t="s">
        <v>39</v>
      </c>
      <c r="I439" s="4">
        <v>42736</v>
      </c>
      <c r="J439" s="12" t="s">
        <v>163</v>
      </c>
      <c r="K439" s="2">
        <v>0</v>
      </c>
      <c r="L439" s="2"/>
      <c r="M439" s="5">
        <f>390/135</f>
        <v>2.8888888888888888</v>
      </c>
      <c r="N439" s="5">
        <f>360/135</f>
        <v>2.6666666666666665</v>
      </c>
      <c r="O439" s="8"/>
      <c r="P439" s="1"/>
      <c r="Q439" s="1"/>
      <c r="R439" s="1"/>
      <c r="S439" s="3"/>
      <c r="T439" s="3"/>
      <c r="U439" s="3"/>
      <c r="V439" s="3"/>
      <c r="W439" s="3"/>
      <c r="X439" s="3"/>
      <c r="Y439" s="3"/>
      <c r="Z439" s="27" t="s">
        <v>189</v>
      </c>
      <c r="AA439" t="s">
        <v>191</v>
      </c>
    </row>
    <row r="440" spans="1:27" x14ac:dyDescent="0.25">
      <c r="A440" s="12">
        <v>123</v>
      </c>
      <c r="B440" s="12">
        <v>1</v>
      </c>
      <c r="C440">
        <f t="shared" si="59"/>
        <v>12301</v>
      </c>
      <c r="D440" s="3" t="s">
        <v>87</v>
      </c>
      <c r="E440" s="11">
        <f t="shared" ref="E440:E446" si="60">-(22+26.5/60)</f>
        <v>-22.441666666666666</v>
      </c>
      <c r="F440" s="11">
        <f t="shared" ref="F440:F446" si="61">-(40+24.5/60)</f>
        <v>-40.408333333333331</v>
      </c>
      <c r="G440" s="12" t="s">
        <v>95</v>
      </c>
      <c r="H440" s="12" t="s">
        <v>13</v>
      </c>
      <c r="I440" s="4">
        <v>38718</v>
      </c>
      <c r="J440" s="12" t="s">
        <v>196</v>
      </c>
      <c r="K440" s="2">
        <v>0</v>
      </c>
      <c r="L440" s="2"/>
      <c r="M440" s="20"/>
      <c r="N440" s="3">
        <v>640</v>
      </c>
      <c r="O440" s="8"/>
      <c r="P440" s="1"/>
      <c r="Q440" s="1"/>
      <c r="R440" s="1"/>
      <c r="S440" s="3"/>
      <c r="T440" s="3"/>
      <c r="U440" s="3"/>
      <c r="V440" s="3"/>
      <c r="W440" s="3"/>
      <c r="X440" s="3"/>
      <c r="Y440" s="3">
        <v>1180</v>
      </c>
      <c r="Z440" s="27" t="s">
        <v>197</v>
      </c>
      <c r="AA440" t="s">
        <v>202</v>
      </c>
    </row>
    <row r="441" spans="1:27" x14ac:dyDescent="0.25">
      <c r="A441" s="12">
        <v>123</v>
      </c>
      <c r="B441" s="12">
        <v>1</v>
      </c>
      <c r="C441">
        <f t="shared" si="59"/>
        <v>12301</v>
      </c>
      <c r="D441" s="3" t="s">
        <v>87</v>
      </c>
      <c r="E441" s="11">
        <f t="shared" si="60"/>
        <v>-22.441666666666666</v>
      </c>
      <c r="F441" s="11">
        <f t="shared" si="61"/>
        <v>-40.408333333333331</v>
      </c>
      <c r="G441" s="12" t="s">
        <v>95</v>
      </c>
      <c r="H441" s="12" t="s">
        <v>13</v>
      </c>
      <c r="I441" s="4">
        <v>38718</v>
      </c>
      <c r="J441" s="12" t="s">
        <v>196</v>
      </c>
      <c r="K441" s="2">
        <v>0</v>
      </c>
      <c r="L441" s="2"/>
      <c r="M441" s="20"/>
      <c r="N441" s="3">
        <v>11800</v>
      </c>
      <c r="O441" s="8"/>
      <c r="P441" s="1"/>
      <c r="Q441" s="1"/>
      <c r="R441" s="1"/>
      <c r="S441" s="3"/>
      <c r="T441" s="3"/>
      <c r="U441" s="3"/>
      <c r="V441" s="3"/>
      <c r="W441" s="3"/>
      <c r="X441" s="3"/>
      <c r="Y441" s="3">
        <v>36900</v>
      </c>
      <c r="Z441" s="27" t="s">
        <v>197</v>
      </c>
      <c r="AA441" t="s">
        <v>202</v>
      </c>
    </row>
    <row r="442" spans="1:27" x14ac:dyDescent="0.25">
      <c r="A442" s="12">
        <v>123</v>
      </c>
      <c r="B442" s="12">
        <v>1</v>
      </c>
      <c r="C442">
        <f t="shared" si="59"/>
        <v>12301</v>
      </c>
      <c r="D442" s="3" t="s">
        <v>87</v>
      </c>
      <c r="E442" s="11">
        <f t="shared" si="60"/>
        <v>-22.441666666666666</v>
      </c>
      <c r="F442" s="11">
        <f t="shared" si="61"/>
        <v>-40.408333333333331</v>
      </c>
      <c r="G442" s="12" t="s">
        <v>95</v>
      </c>
      <c r="H442" s="12" t="s">
        <v>13</v>
      </c>
      <c r="I442" s="4">
        <v>38718</v>
      </c>
      <c r="J442" s="12" t="s">
        <v>203</v>
      </c>
      <c r="K442" s="2">
        <v>0</v>
      </c>
      <c r="L442" s="2"/>
      <c r="M442" s="20"/>
      <c r="N442" s="3">
        <v>18000</v>
      </c>
      <c r="O442" s="8"/>
      <c r="P442" s="1"/>
      <c r="Q442" s="1"/>
      <c r="R442" s="1"/>
      <c r="S442" s="3"/>
      <c r="T442" s="3"/>
      <c r="U442" s="3"/>
      <c r="V442" s="3"/>
      <c r="W442" s="3"/>
      <c r="X442" s="3"/>
      <c r="Y442" s="3">
        <v>56700</v>
      </c>
      <c r="Z442" s="27" t="s">
        <v>197</v>
      </c>
      <c r="AA442" t="s">
        <v>202</v>
      </c>
    </row>
    <row r="443" spans="1:27" x14ac:dyDescent="0.25">
      <c r="A443" s="12">
        <v>123</v>
      </c>
      <c r="B443" s="12">
        <v>1</v>
      </c>
      <c r="C443">
        <f t="shared" si="59"/>
        <v>12301</v>
      </c>
      <c r="D443" s="3" t="s">
        <v>87</v>
      </c>
      <c r="E443" s="11">
        <f t="shared" si="60"/>
        <v>-22.441666666666666</v>
      </c>
      <c r="F443" s="11">
        <f t="shared" si="61"/>
        <v>-40.408333333333331</v>
      </c>
      <c r="G443" s="12" t="s">
        <v>95</v>
      </c>
      <c r="H443" s="12" t="s">
        <v>13</v>
      </c>
      <c r="I443" s="4">
        <v>38718</v>
      </c>
      <c r="J443" s="12" t="s">
        <v>201</v>
      </c>
      <c r="K443" s="2">
        <v>0</v>
      </c>
      <c r="L443" s="2"/>
      <c r="M443" s="20"/>
      <c r="N443" s="3">
        <v>18600</v>
      </c>
      <c r="O443" s="8"/>
      <c r="P443" s="1"/>
      <c r="Q443" s="1"/>
      <c r="R443" s="1"/>
      <c r="S443" s="3"/>
      <c r="T443" s="3"/>
      <c r="U443" s="3"/>
      <c r="V443" s="3"/>
      <c r="W443" s="3"/>
      <c r="X443" s="3"/>
      <c r="Y443" s="3">
        <v>62800</v>
      </c>
      <c r="Z443" s="27" t="s">
        <v>197</v>
      </c>
      <c r="AA443" t="s">
        <v>202</v>
      </c>
    </row>
    <row r="444" spans="1:27" x14ac:dyDescent="0.25">
      <c r="A444" s="12">
        <v>123</v>
      </c>
      <c r="B444" s="12">
        <v>1</v>
      </c>
      <c r="C444">
        <f t="shared" si="59"/>
        <v>12301</v>
      </c>
      <c r="D444" s="3" t="s">
        <v>87</v>
      </c>
      <c r="E444" s="11">
        <f t="shared" si="60"/>
        <v>-22.441666666666666</v>
      </c>
      <c r="F444" s="11">
        <f t="shared" si="61"/>
        <v>-40.408333333333331</v>
      </c>
      <c r="G444" s="12" t="s">
        <v>95</v>
      </c>
      <c r="H444" s="12" t="s">
        <v>13</v>
      </c>
      <c r="I444" s="4">
        <v>38718</v>
      </c>
      <c r="J444" s="12" t="s">
        <v>203</v>
      </c>
      <c r="K444" s="2">
        <v>0</v>
      </c>
      <c r="L444" s="2"/>
      <c r="M444" s="20"/>
      <c r="N444" s="3">
        <v>20900</v>
      </c>
      <c r="O444" s="8"/>
      <c r="P444" s="1"/>
      <c r="Q444" s="1"/>
      <c r="R444" s="1"/>
      <c r="S444" s="3"/>
      <c r="T444" s="3"/>
      <c r="U444" s="3"/>
      <c r="V444" s="3"/>
      <c r="W444" s="3"/>
      <c r="X444" s="3"/>
      <c r="Y444" s="3">
        <v>71400</v>
      </c>
      <c r="Z444" s="27" t="s">
        <v>197</v>
      </c>
      <c r="AA444" t="s">
        <v>202</v>
      </c>
    </row>
    <row r="445" spans="1:27" x14ac:dyDescent="0.25">
      <c r="A445" s="12">
        <v>123</v>
      </c>
      <c r="B445" s="12">
        <v>1</v>
      </c>
      <c r="C445">
        <f t="shared" si="59"/>
        <v>12301</v>
      </c>
      <c r="D445" s="3" t="s">
        <v>87</v>
      </c>
      <c r="E445" s="11">
        <f t="shared" si="60"/>
        <v>-22.441666666666666</v>
      </c>
      <c r="F445" s="11">
        <f t="shared" si="61"/>
        <v>-40.408333333333331</v>
      </c>
      <c r="G445" s="12" t="s">
        <v>95</v>
      </c>
      <c r="H445" s="12" t="s">
        <v>13</v>
      </c>
      <c r="I445" s="4">
        <v>38718</v>
      </c>
      <c r="J445" s="12" t="s">
        <v>204</v>
      </c>
      <c r="K445" s="2">
        <v>0</v>
      </c>
      <c r="L445" s="2"/>
      <c r="M445" s="20"/>
      <c r="N445" s="3">
        <v>23300</v>
      </c>
      <c r="O445" s="8"/>
      <c r="P445" s="1"/>
      <c r="Q445" s="1"/>
      <c r="R445" s="1"/>
      <c r="S445" s="3"/>
      <c r="T445" s="3"/>
      <c r="U445" s="3"/>
      <c r="V445" s="3"/>
      <c r="W445" s="3"/>
      <c r="X445" s="3"/>
      <c r="Y445" s="3">
        <v>84200</v>
      </c>
      <c r="Z445" s="27" t="s">
        <v>197</v>
      </c>
      <c r="AA445" t="s">
        <v>202</v>
      </c>
    </row>
    <row r="446" spans="1:27" x14ac:dyDescent="0.25">
      <c r="A446" s="12">
        <v>123</v>
      </c>
      <c r="B446" s="12">
        <v>1</v>
      </c>
      <c r="C446">
        <f t="shared" si="59"/>
        <v>12301</v>
      </c>
      <c r="D446" s="3" t="s">
        <v>87</v>
      </c>
      <c r="E446" s="11">
        <f t="shared" si="60"/>
        <v>-22.441666666666666</v>
      </c>
      <c r="F446" s="11">
        <f t="shared" si="61"/>
        <v>-40.408333333333331</v>
      </c>
      <c r="G446" s="12" t="s">
        <v>95</v>
      </c>
      <c r="H446" s="12" t="s">
        <v>13</v>
      </c>
      <c r="I446" s="4">
        <v>38718</v>
      </c>
      <c r="J446" s="12" t="s">
        <v>196</v>
      </c>
      <c r="K446" s="2">
        <v>0</v>
      </c>
      <c r="L446" s="2"/>
      <c r="M446" s="20"/>
      <c r="N446" s="3">
        <v>440</v>
      </c>
      <c r="O446" s="8"/>
      <c r="P446" s="1"/>
      <c r="Q446" s="1"/>
      <c r="R446" s="1"/>
      <c r="S446" s="3"/>
      <c r="T446" s="3"/>
      <c r="U446" s="3"/>
      <c r="V446" s="3"/>
      <c r="W446" s="3"/>
      <c r="X446" s="3"/>
      <c r="Y446" s="3">
        <v>1730</v>
      </c>
      <c r="Z446" s="27" t="s">
        <v>197</v>
      </c>
      <c r="AA446" t="s">
        <v>202</v>
      </c>
    </row>
    <row r="447" spans="1:27" x14ac:dyDescent="0.25">
      <c r="A447" s="12">
        <v>123</v>
      </c>
      <c r="B447" s="12">
        <v>2</v>
      </c>
      <c r="C447">
        <f t="shared" si="59"/>
        <v>12302</v>
      </c>
      <c r="D447" s="3" t="s">
        <v>87</v>
      </c>
      <c r="E447" s="11">
        <f t="shared" ref="E447:E457" si="62">-(22+26/60)</f>
        <v>-22.433333333333334</v>
      </c>
      <c r="F447" s="11">
        <f t="shared" ref="F447:F457" si="63">-(40+24/60)</f>
        <v>-40.4</v>
      </c>
      <c r="G447" s="12" t="s">
        <v>95</v>
      </c>
      <c r="H447" s="12" t="s">
        <v>13</v>
      </c>
      <c r="I447" s="4">
        <v>38718</v>
      </c>
      <c r="J447" s="12" t="s">
        <v>196</v>
      </c>
      <c r="K447" s="2">
        <v>0</v>
      </c>
      <c r="L447" s="2"/>
      <c r="M447" s="20"/>
      <c r="N447" s="3">
        <v>4610</v>
      </c>
      <c r="O447" s="8"/>
      <c r="P447" s="1"/>
      <c r="Q447" s="1"/>
      <c r="R447" s="1"/>
      <c r="S447" s="3"/>
      <c r="T447" s="3"/>
      <c r="U447" s="3"/>
      <c r="V447" s="3"/>
      <c r="W447" s="3"/>
      <c r="X447" s="3"/>
      <c r="Y447" s="3">
        <v>7140</v>
      </c>
      <c r="Z447" s="27" t="s">
        <v>197</v>
      </c>
      <c r="AA447" t="s">
        <v>198</v>
      </c>
    </row>
    <row r="448" spans="1:27" x14ac:dyDescent="0.25">
      <c r="A448" s="12">
        <v>123</v>
      </c>
      <c r="B448" s="12">
        <v>2</v>
      </c>
      <c r="C448">
        <f t="shared" si="59"/>
        <v>12302</v>
      </c>
      <c r="D448" s="3" t="s">
        <v>87</v>
      </c>
      <c r="E448" s="11">
        <f t="shared" si="62"/>
        <v>-22.433333333333334</v>
      </c>
      <c r="F448" s="11">
        <f t="shared" si="63"/>
        <v>-40.4</v>
      </c>
      <c r="G448" s="12" t="s">
        <v>95</v>
      </c>
      <c r="H448" s="12" t="s">
        <v>13</v>
      </c>
      <c r="I448" s="4">
        <v>38718</v>
      </c>
      <c r="J448" s="12" t="s">
        <v>196</v>
      </c>
      <c r="K448" s="2">
        <v>0</v>
      </c>
      <c r="L448" s="2"/>
      <c r="M448" s="20"/>
      <c r="N448" s="3">
        <v>5630</v>
      </c>
      <c r="O448" s="8"/>
      <c r="P448" s="1"/>
      <c r="Q448" s="1"/>
      <c r="R448" s="1"/>
      <c r="S448" s="3"/>
      <c r="T448" s="3"/>
      <c r="U448" s="3"/>
      <c r="V448" s="3"/>
      <c r="W448" s="3"/>
      <c r="X448" s="3"/>
      <c r="Y448" s="3">
        <v>9010</v>
      </c>
      <c r="Z448" s="27" t="s">
        <v>197</v>
      </c>
      <c r="AA448" t="s">
        <v>198</v>
      </c>
    </row>
    <row r="449" spans="1:27" x14ac:dyDescent="0.25">
      <c r="A449" s="12">
        <v>123</v>
      </c>
      <c r="B449" s="12">
        <v>2</v>
      </c>
      <c r="C449">
        <f t="shared" si="59"/>
        <v>12302</v>
      </c>
      <c r="D449" s="3" t="s">
        <v>87</v>
      </c>
      <c r="E449" s="11">
        <f t="shared" si="62"/>
        <v>-22.433333333333334</v>
      </c>
      <c r="F449" s="11">
        <f t="shared" si="63"/>
        <v>-40.4</v>
      </c>
      <c r="G449" s="12" t="s">
        <v>95</v>
      </c>
      <c r="H449" s="12" t="s">
        <v>13</v>
      </c>
      <c r="I449" s="4">
        <v>38718</v>
      </c>
      <c r="J449" s="12" t="s">
        <v>196</v>
      </c>
      <c r="K449" s="2">
        <v>0</v>
      </c>
      <c r="L449" s="2"/>
      <c r="M449" s="20"/>
      <c r="N449" s="3">
        <v>6490</v>
      </c>
      <c r="O449" s="8"/>
      <c r="P449" s="1"/>
      <c r="Q449" s="1"/>
      <c r="R449" s="1"/>
      <c r="S449" s="3"/>
      <c r="T449" s="3"/>
      <c r="U449" s="3"/>
      <c r="V449" s="3"/>
      <c r="W449" s="3"/>
      <c r="X449" s="3"/>
      <c r="Y449" s="3">
        <v>10500</v>
      </c>
      <c r="Z449" s="27" t="s">
        <v>197</v>
      </c>
      <c r="AA449" t="s">
        <v>198</v>
      </c>
    </row>
    <row r="450" spans="1:27" x14ac:dyDescent="0.25">
      <c r="A450" s="12">
        <v>123</v>
      </c>
      <c r="B450" s="12">
        <v>2</v>
      </c>
      <c r="C450">
        <f t="shared" si="59"/>
        <v>12302</v>
      </c>
      <c r="D450" s="3" t="s">
        <v>87</v>
      </c>
      <c r="E450" s="11">
        <f t="shared" si="62"/>
        <v>-22.433333333333334</v>
      </c>
      <c r="F450" s="11">
        <f t="shared" si="63"/>
        <v>-40.4</v>
      </c>
      <c r="G450" s="12" t="s">
        <v>95</v>
      </c>
      <c r="H450" s="12" t="s">
        <v>13</v>
      </c>
      <c r="I450" s="4">
        <v>38718</v>
      </c>
      <c r="J450" s="12" t="s">
        <v>196</v>
      </c>
      <c r="K450" s="2">
        <v>0</v>
      </c>
      <c r="L450" s="2"/>
      <c r="M450" s="20"/>
      <c r="N450" s="3">
        <v>6370</v>
      </c>
      <c r="O450" s="8"/>
      <c r="P450" s="1"/>
      <c r="Q450" s="1"/>
      <c r="R450" s="1"/>
      <c r="S450" s="3"/>
      <c r="T450" s="3"/>
      <c r="U450" s="3"/>
      <c r="V450" s="3"/>
      <c r="W450" s="3"/>
      <c r="X450" s="3"/>
      <c r="Y450" s="3">
        <v>10500</v>
      </c>
      <c r="Z450" s="27" t="s">
        <v>197</v>
      </c>
      <c r="AA450" t="s">
        <v>198</v>
      </c>
    </row>
    <row r="451" spans="1:27" x14ac:dyDescent="0.25">
      <c r="A451" s="12">
        <v>123</v>
      </c>
      <c r="B451" s="12">
        <v>2</v>
      </c>
      <c r="C451">
        <f t="shared" si="59"/>
        <v>12302</v>
      </c>
      <c r="D451" s="3" t="s">
        <v>87</v>
      </c>
      <c r="E451" s="11">
        <f t="shared" si="62"/>
        <v>-22.433333333333334</v>
      </c>
      <c r="F451" s="11">
        <f t="shared" si="63"/>
        <v>-40.4</v>
      </c>
      <c r="G451" s="12" t="s">
        <v>95</v>
      </c>
      <c r="H451" s="12" t="s">
        <v>13</v>
      </c>
      <c r="I451" s="4">
        <v>38718</v>
      </c>
      <c r="J451" s="12" t="s">
        <v>196</v>
      </c>
      <c r="K451" s="2">
        <v>0</v>
      </c>
      <c r="L451" s="2"/>
      <c r="M451" s="20"/>
      <c r="N451" s="3">
        <v>7420</v>
      </c>
      <c r="O451" s="8"/>
      <c r="P451" s="1"/>
      <c r="Q451" s="1"/>
      <c r="R451" s="1"/>
      <c r="S451" s="3"/>
      <c r="T451" s="3"/>
      <c r="U451" s="3"/>
      <c r="V451" s="3"/>
      <c r="W451" s="3"/>
      <c r="X451" s="3"/>
      <c r="Y451" s="3">
        <v>12500</v>
      </c>
      <c r="Z451" s="27" t="s">
        <v>197</v>
      </c>
      <c r="AA451" t="s">
        <v>198</v>
      </c>
    </row>
    <row r="452" spans="1:27" x14ac:dyDescent="0.25">
      <c r="A452" s="12">
        <v>123</v>
      </c>
      <c r="B452" s="12">
        <v>2</v>
      </c>
      <c r="C452">
        <f t="shared" si="59"/>
        <v>12302</v>
      </c>
      <c r="D452" s="3" t="s">
        <v>87</v>
      </c>
      <c r="E452" s="11">
        <f t="shared" si="62"/>
        <v>-22.433333333333334</v>
      </c>
      <c r="F452" s="11">
        <f t="shared" si="63"/>
        <v>-40.4</v>
      </c>
      <c r="G452" s="12" t="s">
        <v>95</v>
      </c>
      <c r="H452" s="12" t="s">
        <v>13</v>
      </c>
      <c r="I452" s="4">
        <v>38718</v>
      </c>
      <c r="J452" s="12" t="s">
        <v>196</v>
      </c>
      <c r="K452" s="2">
        <v>0</v>
      </c>
      <c r="L452" s="2"/>
      <c r="M452" s="20"/>
      <c r="N452" s="3">
        <v>6770</v>
      </c>
      <c r="O452" s="8"/>
      <c r="P452" s="1"/>
      <c r="Q452" s="1"/>
      <c r="R452" s="1"/>
      <c r="S452" s="3"/>
      <c r="T452" s="3"/>
      <c r="U452" s="3"/>
      <c r="V452" s="3"/>
      <c r="W452" s="3"/>
      <c r="X452" s="3"/>
      <c r="Y452" s="3">
        <v>11500</v>
      </c>
      <c r="Z452" s="27" t="s">
        <v>197</v>
      </c>
      <c r="AA452" t="s">
        <v>198</v>
      </c>
    </row>
    <row r="453" spans="1:27" x14ac:dyDescent="0.25">
      <c r="A453" s="12">
        <v>123</v>
      </c>
      <c r="B453" s="12">
        <v>2</v>
      </c>
      <c r="C453">
        <f t="shared" si="59"/>
        <v>12302</v>
      </c>
      <c r="D453" s="3" t="s">
        <v>87</v>
      </c>
      <c r="E453" s="11">
        <f t="shared" si="62"/>
        <v>-22.433333333333334</v>
      </c>
      <c r="F453" s="11">
        <f t="shared" si="63"/>
        <v>-40.4</v>
      </c>
      <c r="G453" s="12" t="s">
        <v>95</v>
      </c>
      <c r="H453" s="12" t="s">
        <v>13</v>
      </c>
      <c r="I453" s="4">
        <v>38718</v>
      </c>
      <c r="J453" s="12" t="s">
        <v>196</v>
      </c>
      <c r="K453" s="2">
        <v>0</v>
      </c>
      <c r="L453" s="2"/>
      <c r="M453" s="20"/>
      <c r="N453" s="3">
        <v>7140</v>
      </c>
      <c r="O453" s="8"/>
      <c r="P453" s="1"/>
      <c r="Q453" s="1"/>
      <c r="R453" s="1"/>
      <c r="S453" s="3"/>
      <c r="T453" s="3"/>
      <c r="U453" s="3"/>
      <c r="V453" s="3"/>
      <c r="W453" s="3"/>
      <c r="X453" s="3"/>
      <c r="Y453" s="3">
        <v>12200</v>
      </c>
      <c r="Z453" s="27" t="s">
        <v>197</v>
      </c>
      <c r="AA453" t="s">
        <v>198</v>
      </c>
    </row>
    <row r="454" spans="1:27" x14ac:dyDescent="0.25">
      <c r="A454" s="12">
        <v>123</v>
      </c>
      <c r="B454" s="12">
        <v>2</v>
      </c>
      <c r="C454">
        <f t="shared" si="59"/>
        <v>12302</v>
      </c>
      <c r="D454" s="3" t="s">
        <v>87</v>
      </c>
      <c r="E454" s="11">
        <f t="shared" si="62"/>
        <v>-22.433333333333334</v>
      </c>
      <c r="F454" s="11">
        <f t="shared" si="63"/>
        <v>-40.4</v>
      </c>
      <c r="G454" s="12" t="s">
        <v>95</v>
      </c>
      <c r="H454" s="12" t="s">
        <v>13</v>
      </c>
      <c r="I454" s="4">
        <v>38718</v>
      </c>
      <c r="J454" s="12" t="s">
        <v>196</v>
      </c>
      <c r="K454" s="2">
        <v>0</v>
      </c>
      <c r="L454" s="2"/>
      <c r="M454" s="20"/>
      <c r="N454" s="3">
        <v>7250</v>
      </c>
      <c r="O454" s="8"/>
      <c r="P454" s="1"/>
      <c r="Q454" s="1"/>
      <c r="R454" s="1"/>
      <c r="S454" s="3"/>
      <c r="T454" s="3"/>
      <c r="U454" s="3"/>
      <c r="V454" s="3"/>
      <c r="W454" s="3"/>
      <c r="X454" s="3"/>
      <c r="Y454" s="3">
        <v>12500</v>
      </c>
      <c r="Z454" s="27" t="s">
        <v>197</v>
      </c>
      <c r="AA454" t="s">
        <v>198</v>
      </c>
    </row>
    <row r="455" spans="1:27" x14ac:dyDescent="0.25">
      <c r="A455" s="12">
        <v>123</v>
      </c>
      <c r="B455" s="12">
        <v>2</v>
      </c>
      <c r="C455">
        <f t="shared" si="59"/>
        <v>12302</v>
      </c>
      <c r="D455" s="3" t="s">
        <v>87</v>
      </c>
      <c r="E455" s="11">
        <f t="shared" si="62"/>
        <v>-22.433333333333334</v>
      </c>
      <c r="F455" s="11">
        <f t="shared" si="63"/>
        <v>-40.4</v>
      </c>
      <c r="G455" s="12" t="s">
        <v>95</v>
      </c>
      <c r="H455" s="12" t="s">
        <v>13</v>
      </c>
      <c r="I455" s="4">
        <v>38718</v>
      </c>
      <c r="J455" s="12" t="s">
        <v>199</v>
      </c>
      <c r="K455" s="2">
        <v>0</v>
      </c>
      <c r="L455" s="2"/>
      <c r="M455" s="20"/>
      <c r="N455" s="3">
        <v>820</v>
      </c>
      <c r="O455" s="8"/>
      <c r="P455" s="1"/>
      <c r="Q455" s="1"/>
      <c r="R455" s="1"/>
      <c r="S455" s="3"/>
      <c r="T455" s="3"/>
      <c r="U455" s="3"/>
      <c r="V455" s="3"/>
      <c r="W455" s="3"/>
      <c r="X455" s="3"/>
      <c r="Y455" s="3">
        <v>1550</v>
      </c>
      <c r="Z455" s="27" t="s">
        <v>197</v>
      </c>
      <c r="AA455" t="s">
        <v>198</v>
      </c>
    </row>
    <row r="456" spans="1:27" x14ac:dyDescent="0.25">
      <c r="A456" s="12">
        <v>123</v>
      </c>
      <c r="B456" s="12">
        <v>2</v>
      </c>
      <c r="C456">
        <f t="shared" si="59"/>
        <v>12302</v>
      </c>
      <c r="D456" s="3" t="s">
        <v>87</v>
      </c>
      <c r="E456" s="11">
        <f t="shared" si="62"/>
        <v>-22.433333333333334</v>
      </c>
      <c r="F456" s="11">
        <f t="shared" si="63"/>
        <v>-40.4</v>
      </c>
      <c r="G456" s="12" t="s">
        <v>95</v>
      </c>
      <c r="H456" s="12" t="s">
        <v>13</v>
      </c>
      <c r="I456" s="4">
        <v>38718</v>
      </c>
      <c r="J456" s="12" t="s">
        <v>199</v>
      </c>
      <c r="K456" s="2">
        <v>0</v>
      </c>
      <c r="L456" s="2"/>
      <c r="M456" s="20"/>
      <c r="N456" s="3">
        <v>700</v>
      </c>
      <c r="O456" s="8"/>
      <c r="P456" s="1"/>
      <c r="Q456" s="1"/>
      <c r="R456" s="1"/>
      <c r="S456" s="3"/>
      <c r="T456" s="3"/>
      <c r="U456" s="3"/>
      <c r="V456" s="3"/>
      <c r="W456" s="3"/>
      <c r="X456" s="3"/>
      <c r="Y456" s="3">
        <v>1360</v>
      </c>
      <c r="Z456" s="27" t="s">
        <v>197</v>
      </c>
      <c r="AA456" t="s">
        <v>198</v>
      </c>
    </row>
    <row r="457" spans="1:27" x14ac:dyDescent="0.25">
      <c r="A457" s="12">
        <v>123</v>
      </c>
      <c r="B457" s="12">
        <v>2</v>
      </c>
      <c r="C457">
        <f t="shared" si="59"/>
        <v>12302</v>
      </c>
      <c r="D457" s="3" t="s">
        <v>87</v>
      </c>
      <c r="E457" s="11">
        <f t="shared" si="62"/>
        <v>-22.433333333333334</v>
      </c>
      <c r="F457" s="11">
        <f t="shared" si="63"/>
        <v>-40.4</v>
      </c>
      <c r="G457" s="12" t="s">
        <v>95</v>
      </c>
      <c r="H457" s="12" t="s">
        <v>13</v>
      </c>
      <c r="I457" s="4">
        <v>38718</v>
      </c>
      <c r="J457" s="12" t="s">
        <v>199</v>
      </c>
      <c r="K457" s="2">
        <v>0</v>
      </c>
      <c r="L457" s="2"/>
      <c r="M457" s="20"/>
      <c r="N457" s="3">
        <v>840</v>
      </c>
      <c r="O457" s="8"/>
      <c r="P457" s="1"/>
      <c r="Q457" s="1"/>
      <c r="R457" s="1"/>
      <c r="S457" s="3"/>
      <c r="T457" s="3"/>
      <c r="U457" s="3"/>
      <c r="V457" s="3"/>
      <c r="W457" s="3"/>
      <c r="X457" s="3"/>
      <c r="Y457" s="3">
        <v>1720</v>
      </c>
      <c r="Z457" s="27" t="s">
        <v>197</v>
      </c>
      <c r="AA457" t="s">
        <v>198</v>
      </c>
    </row>
    <row r="458" spans="1:27" x14ac:dyDescent="0.25">
      <c r="A458" s="12">
        <v>123</v>
      </c>
      <c r="B458" s="12">
        <v>3</v>
      </c>
      <c r="C458">
        <f t="shared" si="59"/>
        <v>12303</v>
      </c>
      <c r="D458" s="3" t="s">
        <v>87</v>
      </c>
      <c r="E458" s="11">
        <f t="shared" ref="E458:E503" si="64">-(22+25/60)</f>
        <v>-22.416666666666668</v>
      </c>
      <c r="F458" s="11">
        <f t="shared" ref="F458:F503" si="65">-(40+23/60)</f>
        <v>-40.383333333333333</v>
      </c>
      <c r="G458" s="12" t="s">
        <v>95</v>
      </c>
      <c r="H458" s="12" t="s">
        <v>13</v>
      </c>
      <c r="I458" s="4">
        <v>38718</v>
      </c>
      <c r="J458" s="12" t="s">
        <v>196</v>
      </c>
      <c r="K458" s="2">
        <v>0</v>
      </c>
      <c r="L458" s="2"/>
      <c r="M458" s="20"/>
      <c r="N458" s="3">
        <v>710</v>
      </c>
      <c r="O458" s="8"/>
      <c r="P458" s="1"/>
      <c r="Q458" s="1"/>
      <c r="R458" s="1"/>
      <c r="S458" s="3"/>
      <c r="T458" s="3"/>
      <c r="U458" s="3"/>
      <c r="V458" s="3"/>
      <c r="W458" s="3"/>
      <c r="X458" s="3"/>
      <c r="Y458" s="3">
        <v>1020</v>
      </c>
      <c r="Z458" s="27" t="s">
        <v>197</v>
      </c>
      <c r="AA458" t="s">
        <v>200</v>
      </c>
    </row>
    <row r="459" spans="1:27" x14ac:dyDescent="0.25">
      <c r="A459" s="12">
        <v>123</v>
      </c>
      <c r="B459" s="12">
        <v>3</v>
      </c>
      <c r="C459">
        <f t="shared" si="59"/>
        <v>12303</v>
      </c>
      <c r="D459" s="3" t="s">
        <v>87</v>
      </c>
      <c r="E459" s="11">
        <f t="shared" si="64"/>
        <v>-22.416666666666668</v>
      </c>
      <c r="F459" s="11">
        <f t="shared" si="65"/>
        <v>-40.383333333333333</v>
      </c>
      <c r="G459" s="12" t="s">
        <v>95</v>
      </c>
      <c r="H459" s="12" t="s">
        <v>13</v>
      </c>
      <c r="I459" s="4">
        <v>38718</v>
      </c>
      <c r="J459" s="12" t="s">
        <v>196</v>
      </c>
      <c r="K459" s="2">
        <v>0</v>
      </c>
      <c r="L459" s="2"/>
      <c r="M459" s="20"/>
      <c r="N459" s="3">
        <v>660</v>
      </c>
      <c r="O459" s="8"/>
      <c r="P459" s="1"/>
      <c r="Q459" s="1"/>
      <c r="R459" s="1"/>
      <c r="S459" s="3"/>
      <c r="T459" s="3"/>
      <c r="U459" s="3"/>
      <c r="V459" s="3"/>
      <c r="W459" s="3"/>
      <c r="X459" s="3"/>
      <c r="Y459" s="3">
        <v>1030</v>
      </c>
      <c r="Z459" s="27" t="s">
        <v>197</v>
      </c>
      <c r="AA459" t="s">
        <v>200</v>
      </c>
    </row>
    <row r="460" spans="1:27" x14ac:dyDescent="0.25">
      <c r="A460" s="12">
        <v>123</v>
      </c>
      <c r="B460" s="12">
        <v>3</v>
      </c>
      <c r="C460">
        <f t="shared" si="59"/>
        <v>12303</v>
      </c>
      <c r="D460" s="3" t="s">
        <v>87</v>
      </c>
      <c r="E460" s="11">
        <f t="shared" si="64"/>
        <v>-22.416666666666668</v>
      </c>
      <c r="F460" s="11">
        <f t="shared" si="65"/>
        <v>-40.383333333333333</v>
      </c>
      <c r="G460" s="12" t="s">
        <v>95</v>
      </c>
      <c r="H460" s="12" t="s">
        <v>13</v>
      </c>
      <c r="I460" s="4">
        <v>38718</v>
      </c>
      <c r="J460" s="12" t="s">
        <v>196</v>
      </c>
      <c r="K460" s="2">
        <v>0</v>
      </c>
      <c r="L460" s="2"/>
      <c r="M460" s="20"/>
      <c r="N460" s="3">
        <v>700</v>
      </c>
      <c r="O460" s="8"/>
      <c r="P460" s="1"/>
      <c r="Q460" s="1"/>
      <c r="R460" s="1"/>
      <c r="S460" s="3"/>
      <c r="T460" s="3"/>
      <c r="U460" s="3"/>
      <c r="V460" s="3"/>
      <c r="W460" s="3"/>
      <c r="X460" s="3"/>
      <c r="Y460" s="3">
        <v>1520</v>
      </c>
      <c r="Z460" s="27" t="s">
        <v>197</v>
      </c>
      <c r="AA460" t="s">
        <v>200</v>
      </c>
    </row>
    <row r="461" spans="1:27" x14ac:dyDescent="0.25">
      <c r="A461" s="12">
        <v>123</v>
      </c>
      <c r="B461" s="12">
        <v>3</v>
      </c>
      <c r="C461">
        <f t="shared" si="59"/>
        <v>12303</v>
      </c>
      <c r="D461" s="3" t="s">
        <v>87</v>
      </c>
      <c r="E461" s="11">
        <f t="shared" si="64"/>
        <v>-22.416666666666668</v>
      </c>
      <c r="F461" s="11">
        <f t="shared" si="65"/>
        <v>-40.383333333333333</v>
      </c>
      <c r="G461" s="12" t="s">
        <v>95</v>
      </c>
      <c r="H461" s="12" t="s">
        <v>13</v>
      </c>
      <c r="I461" s="4">
        <v>38718</v>
      </c>
      <c r="J461" s="12" t="s">
        <v>196</v>
      </c>
      <c r="K461" s="2">
        <v>0</v>
      </c>
      <c r="L461" s="2"/>
      <c r="M461" s="20"/>
      <c r="N461" s="3">
        <v>580</v>
      </c>
      <c r="O461" s="8"/>
      <c r="P461" s="1"/>
      <c r="Q461" s="1"/>
      <c r="R461" s="1"/>
      <c r="S461" s="3"/>
      <c r="T461" s="3"/>
      <c r="U461" s="3"/>
      <c r="V461" s="3"/>
      <c r="W461" s="3"/>
      <c r="X461" s="3"/>
      <c r="Y461" s="3">
        <v>1400</v>
      </c>
      <c r="Z461" s="27" t="s">
        <v>197</v>
      </c>
      <c r="AA461" t="s">
        <v>200</v>
      </c>
    </row>
    <row r="462" spans="1:27" x14ac:dyDescent="0.25">
      <c r="A462" s="12">
        <v>123</v>
      </c>
      <c r="B462" s="12">
        <v>3</v>
      </c>
      <c r="C462">
        <f t="shared" si="59"/>
        <v>12303</v>
      </c>
      <c r="D462" s="3" t="s">
        <v>87</v>
      </c>
      <c r="E462" s="11">
        <f t="shared" si="64"/>
        <v>-22.416666666666668</v>
      </c>
      <c r="F462" s="11">
        <f t="shared" si="65"/>
        <v>-40.383333333333333</v>
      </c>
      <c r="G462" s="12" t="s">
        <v>95</v>
      </c>
      <c r="H462" s="12" t="s">
        <v>13</v>
      </c>
      <c r="I462" s="4">
        <v>38718</v>
      </c>
      <c r="J462" s="12" t="s">
        <v>196</v>
      </c>
      <c r="K462" s="2">
        <v>0</v>
      </c>
      <c r="L462" s="2"/>
      <c r="M462" s="20"/>
      <c r="N462" s="3">
        <v>260</v>
      </c>
      <c r="O462" s="8"/>
      <c r="P462" s="1"/>
      <c r="Q462" s="1"/>
      <c r="R462" s="1"/>
      <c r="S462" s="3"/>
      <c r="T462" s="3"/>
      <c r="U462" s="3"/>
      <c r="V462" s="3"/>
      <c r="W462" s="3"/>
      <c r="X462" s="3"/>
      <c r="Y462" s="3">
        <v>655</v>
      </c>
      <c r="Z462" s="27" t="s">
        <v>197</v>
      </c>
      <c r="AA462" t="s">
        <v>200</v>
      </c>
    </row>
    <row r="463" spans="1:27" x14ac:dyDescent="0.25">
      <c r="A463" s="12">
        <v>123</v>
      </c>
      <c r="B463" s="12">
        <v>3</v>
      </c>
      <c r="C463">
        <f t="shared" si="59"/>
        <v>12303</v>
      </c>
      <c r="D463" s="3" t="s">
        <v>87</v>
      </c>
      <c r="E463" s="11">
        <f t="shared" si="64"/>
        <v>-22.416666666666668</v>
      </c>
      <c r="F463" s="11">
        <f t="shared" si="65"/>
        <v>-40.383333333333333</v>
      </c>
      <c r="G463" s="12" t="s">
        <v>95</v>
      </c>
      <c r="H463" s="12" t="s">
        <v>13</v>
      </c>
      <c r="I463" s="4">
        <v>38718</v>
      </c>
      <c r="J463" s="12" t="s">
        <v>196</v>
      </c>
      <c r="K463" s="2">
        <v>0</v>
      </c>
      <c r="L463" s="2"/>
      <c r="M463" s="20"/>
      <c r="N463" s="3">
        <v>1180</v>
      </c>
      <c r="O463" s="8"/>
      <c r="P463" s="1"/>
      <c r="Q463" s="1"/>
      <c r="R463" s="1"/>
      <c r="S463" s="3"/>
      <c r="T463" s="3"/>
      <c r="U463" s="3"/>
      <c r="V463" s="3"/>
      <c r="W463" s="3"/>
      <c r="X463" s="3"/>
      <c r="Y463" s="3">
        <v>3020</v>
      </c>
      <c r="Z463" s="27" t="s">
        <v>197</v>
      </c>
      <c r="AA463" t="s">
        <v>200</v>
      </c>
    </row>
    <row r="464" spans="1:27" x14ac:dyDescent="0.25">
      <c r="A464" s="12">
        <v>123</v>
      </c>
      <c r="B464" s="12">
        <v>3</v>
      </c>
      <c r="C464">
        <f t="shared" si="59"/>
        <v>12303</v>
      </c>
      <c r="D464" s="3" t="s">
        <v>87</v>
      </c>
      <c r="E464" s="11">
        <f t="shared" si="64"/>
        <v>-22.416666666666668</v>
      </c>
      <c r="F464" s="11">
        <f t="shared" si="65"/>
        <v>-40.383333333333333</v>
      </c>
      <c r="G464" s="12" t="s">
        <v>95</v>
      </c>
      <c r="H464" s="12" t="s">
        <v>13</v>
      </c>
      <c r="I464" s="4">
        <v>38718</v>
      </c>
      <c r="J464" s="12" t="s">
        <v>125</v>
      </c>
      <c r="K464" s="2">
        <v>0</v>
      </c>
      <c r="L464" s="2"/>
      <c r="M464" s="20"/>
      <c r="N464" s="3">
        <v>2230</v>
      </c>
      <c r="O464" s="8"/>
      <c r="P464" s="1"/>
      <c r="Q464" s="1"/>
      <c r="R464" s="1"/>
      <c r="S464" s="3"/>
      <c r="T464" s="3"/>
      <c r="U464" s="3"/>
      <c r="V464" s="3"/>
      <c r="W464" s="3"/>
      <c r="X464" s="3"/>
      <c r="Y464" s="3">
        <v>6900</v>
      </c>
      <c r="Z464" s="27" t="s">
        <v>197</v>
      </c>
      <c r="AA464" t="s">
        <v>200</v>
      </c>
    </row>
    <row r="465" spans="1:27" x14ac:dyDescent="0.25">
      <c r="A465" s="12">
        <v>123</v>
      </c>
      <c r="B465" s="12">
        <v>3</v>
      </c>
      <c r="C465">
        <f t="shared" si="59"/>
        <v>12303</v>
      </c>
      <c r="D465" s="3" t="s">
        <v>87</v>
      </c>
      <c r="E465" s="11">
        <f t="shared" si="64"/>
        <v>-22.416666666666668</v>
      </c>
      <c r="F465" s="11">
        <f t="shared" si="65"/>
        <v>-40.383333333333333</v>
      </c>
      <c r="G465" s="12" t="s">
        <v>95</v>
      </c>
      <c r="H465" s="12" t="s">
        <v>13</v>
      </c>
      <c r="I465" s="4">
        <v>38718</v>
      </c>
      <c r="J465" s="12" t="s">
        <v>201</v>
      </c>
      <c r="K465" s="2">
        <v>0</v>
      </c>
      <c r="L465" s="2"/>
      <c r="M465" s="20"/>
      <c r="N465" s="3">
        <v>2740</v>
      </c>
      <c r="O465" s="8"/>
      <c r="P465" s="1"/>
      <c r="Q465" s="1"/>
      <c r="R465" s="1"/>
      <c r="S465" s="3"/>
      <c r="T465" s="3"/>
      <c r="U465" s="3"/>
      <c r="V465" s="3"/>
      <c r="W465" s="3"/>
      <c r="X465" s="3"/>
      <c r="Y465" s="3">
        <v>8690</v>
      </c>
      <c r="Z465" s="27" t="s">
        <v>197</v>
      </c>
      <c r="AA465" t="s">
        <v>200</v>
      </c>
    </row>
    <row r="466" spans="1:27" x14ac:dyDescent="0.25">
      <c r="A466" s="12">
        <v>123</v>
      </c>
      <c r="B466" s="12">
        <v>3</v>
      </c>
      <c r="C466">
        <f t="shared" si="59"/>
        <v>12303</v>
      </c>
      <c r="D466" s="3" t="s">
        <v>87</v>
      </c>
      <c r="E466" s="11">
        <f t="shared" si="64"/>
        <v>-22.416666666666668</v>
      </c>
      <c r="F466" s="11">
        <f t="shared" si="65"/>
        <v>-40.383333333333333</v>
      </c>
      <c r="G466" s="12" t="s">
        <v>95</v>
      </c>
      <c r="H466" s="12" t="s">
        <v>13</v>
      </c>
      <c r="I466" s="4">
        <v>38718</v>
      </c>
      <c r="J466" s="12" t="s">
        <v>125</v>
      </c>
      <c r="K466" s="2">
        <v>0</v>
      </c>
      <c r="L466" s="2"/>
      <c r="M466" s="20"/>
      <c r="N466" s="3">
        <v>3630</v>
      </c>
      <c r="O466" s="8"/>
      <c r="P466" s="1"/>
      <c r="Q466" s="1"/>
      <c r="R466" s="1"/>
      <c r="S466" s="3"/>
      <c r="T466" s="3"/>
      <c r="U466" s="3"/>
      <c r="V466" s="3"/>
      <c r="W466" s="3"/>
      <c r="X466" s="3"/>
      <c r="Y466" s="3">
        <v>11800</v>
      </c>
      <c r="Z466" s="27" t="s">
        <v>197</v>
      </c>
      <c r="AA466" t="s">
        <v>200</v>
      </c>
    </row>
    <row r="467" spans="1:27" x14ac:dyDescent="0.25">
      <c r="A467" s="12">
        <v>123</v>
      </c>
      <c r="B467" s="12">
        <v>3</v>
      </c>
      <c r="C467">
        <f t="shared" si="59"/>
        <v>12303</v>
      </c>
      <c r="D467" s="3" t="s">
        <v>87</v>
      </c>
      <c r="E467" s="11">
        <f t="shared" si="64"/>
        <v>-22.416666666666668</v>
      </c>
      <c r="F467" s="11">
        <f t="shared" si="65"/>
        <v>-40.383333333333333</v>
      </c>
      <c r="G467" s="12" t="s">
        <v>95</v>
      </c>
      <c r="H467" s="12" t="s">
        <v>13</v>
      </c>
      <c r="I467" s="4">
        <v>38718</v>
      </c>
      <c r="J467" s="12" t="s">
        <v>125</v>
      </c>
      <c r="K467" s="2">
        <v>0</v>
      </c>
      <c r="L467" s="2"/>
      <c r="M467" s="20"/>
      <c r="N467" s="3">
        <v>5790</v>
      </c>
      <c r="O467" s="8"/>
      <c r="P467" s="1"/>
      <c r="Q467" s="1"/>
      <c r="R467" s="1"/>
      <c r="S467" s="3"/>
      <c r="T467" s="3"/>
      <c r="U467" s="3"/>
      <c r="V467" s="3"/>
      <c r="W467" s="3"/>
      <c r="X467" s="3"/>
      <c r="Y467" s="3">
        <v>19400</v>
      </c>
      <c r="Z467" s="27" t="s">
        <v>197</v>
      </c>
      <c r="AA467" t="s">
        <v>200</v>
      </c>
    </row>
    <row r="468" spans="1:27" x14ac:dyDescent="0.25">
      <c r="A468" s="12">
        <v>123</v>
      </c>
      <c r="B468" s="12">
        <v>3</v>
      </c>
      <c r="C468">
        <f t="shared" si="59"/>
        <v>12303</v>
      </c>
      <c r="D468" s="3" t="s">
        <v>87</v>
      </c>
      <c r="E468" s="11">
        <f t="shared" si="64"/>
        <v>-22.416666666666668</v>
      </c>
      <c r="F468" s="11">
        <f t="shared" si="65"/>
        <v>-40.383333333333333</v>
      </c>
      <c r="G468" s="12" t="s">
        <v>95</v>
      </c>
      <c r="H468" s="12" t="s">
        <v>13</v>
      </c>
      <c r="I468" s="4">
        <v>38718</v>
      </c>
      <c r="J468" s="12" t="s">
        <v>196</v>
      </c>
      <c r="K468" s="2">
        <v>0</v>
      </c>
      <c r="L468" s="2"/>
      <c r="M468" s="20"/>
      <c r="N468" s="3">
        <v>1430</v>
      </c>
      <c r="O468" s="8"/>
      <c r="P468" s="1"/>
      <c r="Q468" s="1"/>
      <c r="R468" s="1"/>
      <c r="S468" s="3"/>
      <c r="T468" s="3"/>
      <c r="U468" s="3"/>
      <c r="V468" s="3"/>
      <c r="W468" s="3"/>
      <c r="X468" s="3"/>
      <c r="Y468" s="3">
        <v>4800</v>
      </c>
      <c r="Z468" s="27" t="s">
        <v>197</v>
      </c>
      <c r="AA468" t="s">
        <v>200</v>
      </c>
    </row>
    <row r="469" spans="1:27" x14ac:dyDescent="0.25">
      <c r="A469" s="12">
        <v>123</v>
      </c>
      <c r="B469" s="12">
        <v>3</v>
      </c>
      <c r="C469">
        <f t="shared" si="59"/>
        <v>12303</v>
      </c>
      <c r="D469" s="3" t="s">
        <v>87</v>
      </c>
      <c r="E469" s="11">
        <f t="shared" si="64"/>
        <v>-22.416666666666668</v>
      </c>
      <c r="F469" s="11">
        <f t="shared" si="65"/>
        <v>-40.383333333333333</v>
      </c>
      <c r="G469" s="12" t="s">
        <v>95</v>
      </c>
      <c r="H469" s="12" t="s">
        <v>13</v>
      </c>
      <c r="I469" s="4">
        <v>38718</v>
      </c>
      <c r="J469" s="12" t="s">
        <v>196</v>
      </c>
      <c r="K469" s="2">
        <v>0</v>
      </c>
      <c r="L469" s="2"/>
      <c r="M469" s="20"/>
      <c r="N469" s="3">
        <v>420</v>
      </c>
      <c r="O469" s="8"/>
      <c r="P469" s="1"/>
      <c r="Q469" s="1"/>
      <c r="R469" s="1"/>
      <c r="S469" s="3"/>
      <c r="T469" s="3"/>
      <c r="U469" s="3"/>
      <c r="V469" s="3"/>
      <c r="W469" s="3"/>
      <c r="X469" s="3"/>
      <c r="Y469" s="3">
        <v>1750</v>
      </c>
      <c r="Z469" s="27" t="s">
        <v>197</v>
      </c>
      <c r="AA469" t="s">
        <v>200</v>
      </c>
    </row>
    <row r="470" spans="1:27" x14ac:dyDescent="0.25">
      <c r="A470" s="12">
        <v>123</v>
      </c>
      <c r="B470" s="12">
        <v>3</v>
      </c>
      <c r="C470">
        <f t="shared" si="59"/>
        <v>12303</v>
      </c>
      <c r="D470" s="3" t="s">
        <v>87</v>
      </c>
      <c r="E470" s="11">
        <f t="shared" si="64"/>
        <v>-22.416666666666668</v>
      </c>
      <c r="F470" s="11">
        <f t="shared" si="65"/>
        <v>-40.383333333333333</v>
      </c>
      <c r="G470" s="12" t="s">
        <v>95</v>
      </c>
      <c r="H470" s="12" t="s">
        <v>13</v>
      </c>
      <c r="I470" s="4">
        <v>38718</v>
      </c>
      <c r="J470" s="12" t="s">
        <v>196</v>
      </c>
      <c r="K470" s="2">
        <v>0</v>
      </c>
      <c r="L470" s="2"/>
      <c r="M470" s="20"/>
      <c r="N470" s="3">
        <v>1620</v>
      </c>
      <c r="O470" s="8"/>
      <c r="P470" s="1"/>
      <c r="Q470" s="1"/>
      <c r="R470" s="1"/>
      <c r="S470" s="3"/>
      <c r="T470" s="3"/>
      <c r="U470" s="3"/>
      <c r="V470" s="3"/>
      <c r="W470" s="3"/>
      <c r="X470" s="3"/>
      <c r="Y470" s="3">
        <v>6830</v>
      </c>
      <c r="Z470" s="27" t="s">
        <v>197</v>
      </c>
      <c r="AA470" t="s">
        <v>200</v>
      </c>
    </row>
    <row r="471" spans="1:27" x14ac:dyDescent="0.25">
      <c r="A471" s="12">
        <v>123</v>
      </c>
      <c r="B471" s="12">
        <v>3</v>
      </c>
      <c r="C471">
        <f t="shared" si="59"/>
        <v>12303</v>
      </c>
      <c r="D471" s="3" t="s">
        <v>87</v>
      </c>
      <c r="E471" s="11">
        <f t="shared" si="64"/>
        <v>-22.416666666666668</v>
      </c>
      <c r="F471" s="11">
        <f t="shared" si="65"/>
        <v>-40.383333333333333</v>
      </c>
      <c r="G471" s="12" t="s">
        <v>95</v>
      </c>
      <c r="H471" s="12" t="s">
        <v>13</v>
      </c>
      <c r="I471" s="4">
        <v>38718</v>
      </c>
      <c r="J471" s="12" t="s">
        <v>196</v>
      </c>
      <c r="K471" s="2">
        <v>0</v>
      </c>
      <c r="L471" s="2"/>
      <c r="M471" s="20"/>
      <c r="N471" s="3">
        <v>3210</v>
      </c>
      <c r="O471" s="8"/>
      <c r="P471" s="1"/>
      <c r="Q471" s="1"/>
      <c r="R471" s="1"/>
      <c r="S471" s="3"/>
      <c r="T471" s="3"/>
      <c r="U471" s="3"/>
      <c r="V471" s="3"/>
      <c r="W471" s="3"/>
      <c r="X471" s="3"/>
      <c r="Y471" s="3">
        <v>13600</v>
      </c>
      <c r="Z471" s="27" t="s">
        <v>197</v>
      </c>
      <c r="AA471" t="s">
        <v>200</v>
      </c>
    </row>
    <row r="472" spans="1:27" x14ac:dyDescent="0.25">
      <c r="A472" s="12">
        <v>123</v>
      </c>
      <c r="B472" s="12">
        <v>3</v>
      </c>
      <c r="C472">
        <f t="shared" si="59"/>
        <v>12303</v>
      </c>
      <c r="D472" s="3" t="s">
        <v>87</v>
      </c>
      <c r="E472" s="11">
        <f t="shared" si="64"/>
        <v>-22.416666666666668</v>
      </c>
      <c r="F472" s="11">
        <f t="shared" si="65"/>
        <v>-40.383333333333333</v>
      </c>
      <c r="G472" s="12" t="s">
        <v>95</v>
      </c>
      <c r="H472" s="12" t="s">
        <v>13</v>
      </c>
      <c r="I472" s="4">
        <v>38718</v>
      </c>
      <c r="J472" s="12" t="s">
        <v>196</v>
      </c>
      <c r="K472" s="2">
        <v>0</v>
      </c>
      <c r="L472" s="2"/>
      <c r="M472" s="20"/>
      <c r="N472" s="3">
        <v>2850</v>
      </c>
      <c r="O472" s="8"/>
      <c r="P472" s="1"/>
      <c r="Q472" s="1"/>
      <c r="R472" s="1"/>
      <c r="S472" s="3"/>
      <c r="T472" s="3"/>
      <c r="U472" s="3"/>
      <c r="V472" s="3"/>
      <c r="W472" s="3"/>
      <c r="X472" s="3"/>
      <c r="Y472" s="3">
        <v>12400</v>
      </c>
      <c r="Z472" s="27" t="s">
        <v>197</v>
      </c>
      <c r="AA472" t="s">
        <v>200</v>
      </c>
    </row>
    <row r="473" spans="1:27" x14ac:dyDescent="0.25">
      <c r="A473" s="12">
        <v>123</v>
      </c>
      <c r="B473" s="12">
        <v>3</v>
      </c>
      <c r="C473">
        <f t="shared" si="59"/>
        <v>12303</v>
      </c>
      <c r="D473" s="3" t="s">
        <v>87</v>
      </c>
      <c r="E473" s="11">
        <f t="shared" si="64"/>
        <v>-22.416666666666668</v>
      </c>
      <c r="F473" s="11">
        <f t="shared" si="65"/>
        <v>-40.383333333333333</v>
      </c>
      <c r="G473" s="12" t="s">
        <v>95</v>
      </c>
      <c r="H473" s="12" t="s">
        <v>13</v>
      </c>
      <c r="I473" s="4">
        <v>38718</v>
      </c>
      <c r="J473" s="12" t="s">
        <v>196</v>
      </c>
      <c r="K473" s="2">
        <v>0</v>
      </c>
      <c r="L473" s="2"/>
      <c r="M473" s="20"/>
      <c r="N473" s="3">
        <v>2920</v>
      </c>
      <c r="O473" s="8"/>
      <c r="P473" s="1"/>
      <c r="Q473" s="1"/>
      <c r="R473" s="1"/>
      <c r="S473" s="3"/>
      <c r="T473" s="3"/>
      <c r="U473" s="3"/>
      <c r="V473" s="3"/>
      <c r="W473" s="3"/>
      <c r="X473" s="3"/>
      <c r="Y473" s="3">
        <v>13400</v>
      </c>
      <c r="Z473" s="27" t="s">
        <v>197</v>
      </c>
      <c r="AA473" t="s">
        <v>200</v>
      </c>
    </row>
    <row r="474" spans="1:27" x14ac:dyDescent="0.25">
      <c r="A474" s="12">
        <v>123</v>
      </c>
      <c r="B474" s="12">
        <v>3</v>
      </c>
      <c r="C474">
        <f t="shared" si="59"/>
        <v>12303</v>
      </c>
      <c r="D474" s="3" t="s">
        <v>87</v>
      </c>
      <c r="E474" s="11">
        <f t="shared" si="64"/>
        <v>-22.416666666666668</v>
      </c>
      <c r="F474" s="11">
        <f t="shared" si="65"/>
        <v>-40.383333333333333</v>
      </c>
      <c r="G474" s="12" t="s">
        <v>95</v>
      </c>
      <c r="H474" s="12" t="s">
        <v>13</v>
      </c>
      <c r="I474" s="4">
        <v>38718</v>
      </c>
      <c r="J474" s="12" t="s">
        <v>196</v>
      </c>
      <c r="K474" s="2">
        <v>0</v>
      </c>
      <c r="L474" s="2"/>
      <c r="M474" s="20"/>
      <c r="N474" s="3">
        <v>4330</v>
      </c>
      <c r="O474" s="8"/>
      <c r="P474" s="1"/>
      <c r="Q474" s="1"/>
      <c r="R474" s="1"/>
      <c r="S474" s="3"/>
      <c r="T474" s="3"/>
      <c r="U474" s="3"/>
      <c r="V474" s="3"/>
      <c r="W474" s="3"/>
      <c r="X474" s="3"/>
      <c r="Y474" s="3">
        <v>21900</v>
      </c>
      <c r="Z474" s="27" t="s">
        <v>197</v>
      </c>
      <c r="AA474" t="s">
        <v>200</v>
      </c>
    </row>
    <row r="475" spans="1:27" x14ac:dyDescent="0.25">
      <c r="A475" s="12">
        <v>123</v>
      </c>
      <c r="B475" s="12">
        <v>3</v>
      </c>
      <c r="C475">
        <f t="shared" si="59"/>
        <v>12303</v>
      </c>
      <c r="D475" s="3" t="s">
        <v>87</v>
      </c>
      <c r="E475" s="11">
        <f t="shared" si="64"/>
        <v>-22.416666666666668</v>
      </c>
      <c r="F475" s="11">
        <f t="shared" si="65"/>
        <v>-40.383333333333333</v>
      </c>
      <c r="G475" s="12" t="s">
        <v>95</v>
      </c>
      <c r="H475" s="12" t="s">
        <v>13</v>
      </c>
      <c r="I475" s="4">
        <v>38718</v>
      </c>
      <c r="J475" s="12" t="s">
        <v>196</v>
      </c>
      <c r="K475" s="2">
        <v>0</v>
      </c>
      <c r="L475" s="2"/>
      <c r="M475" s="20"/>
      <c r="N475" s="3">
        <v>6320</v>
      </c>
      <c r="O475" s="8"/>
      <c r="P475" s="1"/>
      <c r="Q475" s="1"/>
      <c r="R475" s="1"/>
      <c r="S475" s="3"/>
      <c r="T475" s="3"/>
      <c r="U475" s="3"/>
      <c r="V475" s="3"/>
      <c r="W475" s="3"/>
      <c r="X475" s="3"/>
      <c r="Y475" s="3">
        <v>33000</v>
      </c>
      <c r="Z475" s="27" t="s">
        <v>197</v>
      </c>
      <c r="AA475" t="s">
        <v>200</v>
      </c>
    </row>
    <row r="476" spans="1:27" x14ac:dyDescent="0.25">
      <c r="A476" s="12">
        <v>123</v>
      </c>
      <c r="B476" s="12">
        <v>3</v>
      </c>
      <c r="C476">
        <f t="shared" si="59"/>
        <v>12303</v>
      </c>
      <c r="D476" s="3" t="s">
        <v>87</v>
      </c>
      <c r="E476" s="11">
        <f t="shared" si="64"/>
        <v>-22.416666666666668</v>
      </c>
      <c r="F476" s="11">
        <f t="shared" si="65"/>
        <v>-40.383333333333333</v>
      </c>
      <c r="G476" s="12" t="s">
        <v>95</v>
      </c>
      <c r="H476" s="12" t="s">
        <v>13</v>
      </c>
      <c r="I476" s="4">
        <v>38718</v>
      </c>
      <c r="J476" s="12" t="s">
        <v>196</v>
      </c>
      <c r="K476" s="2">
        <v>0</v>
      </c>
      <c r="L476" s="2"/>
      <c r="M476" s="20"/>
      <c r="N476" s="3">
        <v>4960</v>
      </c>
      <c r="O476" s="8"/>
      <c r="P476" s="1"/>
      <c r="Q476" s="1"/>
      <c r="R476" s="1"/>
      <c r="S476" s="3"/>
      <c r="T476" s="3"/>
      <c r="U476" s="3"/>
      <c r="V476" s="3"/>
      <c r="W476" s="3"/>
      <c r="X476" s="3"/>
      <c r="Y476" s="3">
        <v>26400</v>
      </c>
      <c r="Z476" s="27" t="s">
        <v>197</v>
      </c>
      <c r="AA476" t="s">
        <v>200</v>
      </c>
    </row>
    <row r="477" spans="1:27" x14ac:dyDescent="0.25">
      <c r="A477" s="12">
        <v>123</v>
      </c>
      <c r="B477" s="12">
        <v>3</v>
      </c>
      <c r="C477">
        <f t="shared" si="59"/>
        <v>12303</v>
      </c>
      <c r="D477" s="3" t="s">
        <v>87</v>
      </c>
      <c r="E477" s="11">
        <f t="shared" si="64"/>
        <v>-22.416666666666668</v>
      </c>
      <c r="F477" s="11">
        <f t="shared" si="65"/>
        <v>-40.383333333333333</v>
      </c>
      <c r="G477" s="12" t="s">
        <v>95</v>
      </c>
      <c r="H477" s="12" t="s">
        <v>13</v>
      </c>
      <c r="I477" s="4">
        <v>38718</v>
      </c>
      <c r="J477" s="12" t="s">
        <v>196</v>
      </c>
      <c r="K477" s="2">
        <v>0</v>
      </c>
      <c r="L477" s="2"/>
      <c r="M477" s="20"/>
      <c r="N477" s="3">
        <v>7230</v>
      </c>
      <c r="O477" s="8"/>
      <c r="P477" s="1"/>
      <c r="Q477" s="1"/>
      <c r="R477" s="1"/>
      <c r="S477" s="3"/>
      <c r="T477" s="3"/>
      <c r="U477" s="3"/>
      <c r="V477" s="3"/>
      <c r="W477" s="3"/>
      <c r="X477" s="3"/>
      <c r="Y477" s="3">
        <v>39500</v>
      </c>
      <c r="Z477" s="27" t="s">
        <v>197</v>
      </c>
      <c r="AA477" t="s">
        <v>200</v>
      </c>
    </row>
    <row r="478" spans="1:27" x14ac:dyDescent="0.25">
      <c r="A478" s="12">
        <v>123</v>
      </c>
      <c r="B478" s="12">
        <v>3</v>
      </c>
      <c r="C478">
        <f t="shared" ref="C478:C541" si="66">A478*100+B478</f>
        <v>12303</v>
      </c>
      <c r="D478" s="3" t="s">
        <v>87</v>
      </c>
      <c r="E478" s="11">
        <f t="shared" si="64"/>
        <v>-22.416666666666668</v>
      </c>
      <c r="F478" s="11">
        <f t="shared" si="65"/>
        <v>-40.383333333333333</v>
      </c>
      <c r="G478" s="12" t="s">
        <v>95</v>
      </c>
      <c r="H478" s="12" t="s">
        <v>13</v>
      </c>
      <c r="I478" s="4">
        <v>38718</v>
      </c>
      <c r="J478" s="12" t="s">
        <v>201</v>
      </c>
      <c r="K478" s="2">
        <v>0</v>
      </c>
      <c r="L478" s="2"/>
      <c r="M478" s="20"/>
      <c r="N478" s="3">
        <v>13600</v>
      </c>
      <c r="O478" s="8"/>
      <c r="P478" s="1"/>
      <c r="Q478" s="1"/>
      <c r="R478" s="1"/>
      <c r="S478" s="3"/>
      <c r="T478" s="3"/>
      <c r="U478" s="3"/>
      <c r="V478" s="3"/>
      <c r="W478" s="3"/>
      <c r="X478" s="3"/>
      <c r="Y478" s="3">
        <v>76500</v>
      </c>
      <c r="Z478" s="27" t="s">
        <v>197</v>
      </c>
      <c r="AA478" t="s">
        <v>200</v>
      </c>
    </row>
    <row r="479" spans="1:27" x14ac:dyDescent="0.25">
      <c r="A479" s="12">
        <v>123</v>
      </c>
      <c r="B479" s="12">
        <v>3</v>
      </c>
      <c r="C479">
        <f t="shared" si="66"/>
        <v>12303</v>
      </c>
      <c r="D479" s="3" t="s">
        <v>87</v>
      </c>
      <c r="E479" s="11">
        <f t="shared" si="64"/>
        <v>-22.416666666666668</v>
      </c>
      <c r="F479" s="11">
        <f t="shared" si="65"/>
        <v>-40.383333333333333</v>
      </c>
      <c r="G479" s="12" t="s">
        <v>95</v>
      </c>
      <c r="H479" s="12" t="s">
        <v>13</v>
      </c>
      <c r="I479" s="4">
        <v>38718</v>
      </c>
      <c r="J479" s="12" t="s">
        <v>196</v>
      </c>
      <c r="K479" s="2">
        <v>0</v>
      </c>
      <c r="L479" s="2"/>
      <c r="M479" s="20"/>
      <c r="N479" s="3">
        <v>8620</v>
      </c>
      <c r="O479" s="8"/>
      <c r="P479" s="1"/>
      <c r="Q479" s="1"/>
      <c r="R479" s="1"/>
      <c r="S479" s="3"/>
      <c r="T479" s="3"/>
      <c r="U479" s="3"/>
      <c r="V479" s="3"/>
      <c r="W479" s="3"/>
      <c r="X479" s="3"/>
      <c r="Y479" s="3">
        <v>48700</v>
      </c>
      <c r="Z479" s="27" t="s">
        <v>197</v>
      </c>
      <c r="AA479" t="s">
        <v>200</v>
      </c>
    </row>
    <row r="480" spans="1:27" x14ac:dyDescent="0.25">
      <c r="A480" s="12">
        <v>123</v>
      </c>
      <c r="B480" s="12">
        <v>3</v>
      </c>
      <c r="C480">
        <f t="shared" si="66"/>
        <v>12303</v>
      </c>
      <c r="D480" s="3" t="s">
        <v>87</v>
      </c>
      <c r="E480" s="11">
        <f t="shared" si="64"/>
        <v>-22.416666666666668</v>
      </c>
      <c r="F480" s="11">
        <f t="shared" si="65"/>
        <v>-40.383333333333333</v>
      </c>
      <c r="G480" s="12" t="s">
        <v>95</v>
      </c>
      <c r="H480" s="12" t="s">
        <v>13</v>
      </c>
      <c r="I480" s="4">
        <v>38718</v>
      </c>
      <c r="J480" s="12" t="s">
        <v>125</v>
      </c>
      <c r="K480" s="2">
        <v>0</v>
      </c>
      <c r="L480" s="2"/>
      <c r="M480" s="20"/>
      <c r="N480" s="3">
        <v>11400</v>
      </c>
      <c r="O480" s="8"/>
      <c r="P480" s="1"/>
      <c r="Q480" s="1"/>
      <c r="R480" s="1"/>
      <c r="S480" s="3"/>
      <c r="T480" s="3"/>
      <c r="U480" s="3"/>
      <c r="V480" s="3"/>
      <c r="W480" s="3"/>
      <c r="X480" s="3"/>
      <c r="Y480" s="3">
        <v>66900</v>
      </c>
      <c r="Z480" s="27" t="s">
        <v>197</v>
      </c>
      <c r="AA480" t="s">
        <v>200</v>
      </c>
    </row>
    <row r="481" spans="1:27" x14ac:dyDescent="0.25">
      <c r="A481" s="12">
        <v>123</v>
      </c>
      <c r="B481" s="12">
        <v>3</v>
      </c>
      <c r="C481">
        <f t="shared" si="66"/>
        <v>12303</v>
      </c>
      <c r="D481" s="3" t="s">
        <v>87</v>
      </c>
      <c r="E481" s="11">
        <f t="shared" si="64"/>
        <v>-22.416666666666668</v>
      </c>
      <c r="F481" s="11">
        <f t="shared" si="65"/>
        <v>-40.383333333333333</v>
      </c>
      <c r="G481" s="12" t="s">
        <v>95</v>
      </c>
      <c r="H481" s="12" t="s">
        <v>13</v>
      </c>
      <c r="I481" s="4">
        <v>38718</v>
      </c>
      <c r="J481" s="12" t="s">
        <v>125</v>
      </c>
      <c r="K481" s="2">
        <v>0</v>
      </c>
      <c r="L481" s="2"/>
      <c r="M481" s="20"/>
      <c r="N481" s="3">
        <v>22800</v>
      </c>
      <c r="O481" s="8"/>
      <c r="P481" s="1"/>
      <c r="Q481" s="1"/>
      <c r="R481" s="1"/>
      <c r="S481" s="3"/>
      <c r="T481" s="3"/>
      <c r="U481" s="3"/>
      <c r="V481" s="3"/>
      <c r="W481" s="3"/>
      <c r="X481" s="3"/>
      <c r="Y481" s="3">
        <v>134000</v>
      </c>
      <c r="Z481" s="27" t="s">
        <v>197</v>
      </c>
      <c r="AA481" t="s">
        <v>200</v>
      </c>
    </row>
    <row r="482" spans="1:27" x14ac:dyDescent="0.25">
      <c r="A482" s="12">
        <v>123</v>
      </c>
      <c r="B482" s="12">
        <v>3</v>
      </c>
      <c r="C482">
        <f t="shared" si="66"/>
        <v>12303</v>
      </c>
      <c r="D482" s="3" t="s">
        <v>87</v>
      </c>
      <c r="E482" s="11">
        <f t="shared" si="64"/>
        <v>-22.416666666666668</v>
      </c>
      <c r="F482" s="11">
        <f t="shared" si="65"/>
        <v>-40.383333333333333</v>
      </c>
      <c r="G482" s="12" t="s">
        <v>95</v>
      </c>
      <c r="H482" s="12" t="s">
        <v>13</v>
      </c>
      <c r="I482" s="4">
        <v>38718</v>
      </c>
      <c r="J482" s="12" t="s">
        <v>196</v>
      </c>
      <c r="K482" s="2">
        <v>0</v>
      </c>
      <c r="L482" s="2"/>
      <c r="M482" s="20"/>
      <c r="N482" s="3">
        <v>12000</v>
      </c>
      <c r="O482" s="8"/>
      <c r="P482" s="1"/>
      <c r="Q482" s="1"/>
      <c r="R482" s="1"/>
      <c r="S482" s="3"/>
      <c r="T482" s="3"/>
      <c r="U482" s="3"/>
      <c r="V482" s="3"/>
      <c r="W482" s="3"/>
      <c r="X482" s="3"/>
      <c r="Y482" s="3">
        <v>71000</v>
      </c>
      <c r="Z482" s="27" t="s">
        <v>197</v>
      </c>
      <c r="AA482" t="s">
        <v>200</v>
      </c>
    </row>
    <row r="483" spans="1:27" x14ac:dyDescent="0.25">
      <c r="A483" s="12">
        <v>123</v>
      </c>
      <c r="B483" s="12">
        <v>3</v>
      </c>
      <c r="C483">
        <f t="shared" si="66"/>
        <v>12303</v>
      </c>
      <c r="D483" s="3" t="s">
        <v>87</v>
      </c>
      <c r="E483" s="11">
        <f t="shared" si="64"/>
        <v>-22.416666666666668</v>
      </c>
      <c r="F483" s="11">
        <f t="shared" si="65"/>
        <v>-40.383333333333333</v>
      </c>
      <c r="G483" s="12" t="s">
        <v>95</v>
      </c>
      <c r="H483" s="12" t="s">
        <v>13</v>
      </c>
      <c r="I483" s="4">
        <v>38718</v>
      </c>
      <c r="J483" s="12" t="s">
        <v>201</v>
      </c>
      <c r="K483" s="2">
        <v>0</v>
      </c>
      <c r="L483" s="2"/>
      <c r="M483" s="20"/>
      <c r="N483" s="3">
        <v>22800</v>
      </c>
      <c r="O483" s="8"/>
      <c r="P483" s="1"/>
      <c r="Q483" s="1"/>
      <c r="R483" s="1"/>
      <c r="S483" s="3"/>
      <c r="T483" s="3"/>
      <c r="U483" s="3"/>
      <c r="V483" s="3"/>
      <c r="W483" s="3"/>
      <c r="X483" s="3"/>
      <c r="Y483" s="3">
        <v>136000</v>
      </c>
      <c r="Z483" s="27" t="s">
        <v>197</v>
      </c>
      <c r="AA483" t="s">
        <v>200</v>
      </c>
    </row>
    <row r="484" spans="1:27" x14ac:dyDescent="0.25">
      <c r="A484" s="12">
        <v>123</v>
      </c>
      <c r="B484" s="12">
        <v>3</v>
      </c>
      <c r="C484">
        <f t="shared" si="66"/>
        <v>12303</v>
      </c>
      <c r="D484" s="3" t="s">
        <v>87</v>
      </c>
      <c r="E484" s="11">
        <f t="shared" si="64"/>
        <v>-22.416666666666668</v>
      </c>
      <c r="F484" s="11">
        <f t="shared" si="65"/>
        <v>-40.383333333333333</v>
      </c>
      <c r="G484" s="12" t="s">
        <v>95</v>
      </c>
      <c r="H484" s="12" t="s">
        <v>13</v>
      </c>
      <c r="I484" s="4">
        <v>38718</v>
      </c>
      <c r="J484" s="12" t="s">
        <v>125</v>
      </c>
      <c r="K484" s="2">
        <v>0</v>
      </c>
      <c r="L484" s="2"/>
      <c r="M484" s="20"/>
      <c r="N484" s="3">
        <v>13900</v>
      </c>
      <c r="O484" s="8"/>
      <c r="P484" s="1"/>
      <c r="Q484" s="1"/>
      <c r="R484" s="1"/>
      <c r="S484" s="3"/>
      <c r="T484" s="3"/>
      <c r="U484" s="3"/>
      <c r="V484" s="3"/>
      <c r="W484" s="3"/>
      <c r="X484" s="3"/>
      <c r="Y484" s="3">
        <v>83400</v>
      </c>
      <c r="Z484" s="27" t="s">
        <v>197</v>
      </c>
      <c r="AA484" t="s">
        <v>200</v>
      </c>
    </row>
    <row r="485" spans="1:27" x14ac:dyDescent="0.25">
      <c r="A485" s="12">
        <v>123</v>
      </c>
      <c r="B485" s="12">
        <v>3</v>
      </c>
      <c r="C485">
        <f t="shared" si="66"/>
        <v>12303</v>
      </c>
      <c r="D485" s="3" t="s">
        <v>87</v>
      </c>
      <c r="E485" s="11">
        <f t="shared" si="64"/>
        <v>-22.416666666666668</v>
      </c>
      <c r="F485" s="11">
        <f t="shared" si="65"/>
        <v>-40.383333333333333</v>
      </c>
      <c r="G485" s="12" t="s">
        <v>95</v>
      </c>
      <c r="H485" s="12" t="s">
        <v>13</v>
      </c>
      <c r="I485" s="4">
        <v>38718</v>
      </c>
      <c r="J485" s="12" t="s">
        <v>201</v>
      </c>
      <c r="K485" s="2">
        <v>0</v>
      </c>
      <c r="L485" s="2"/>
      <c r="M485" s="20"/>
      <c r="N485" s="3">
        <v>17900</v>
      </c>
      <c r="O485" s="8"/>
      <c r="P485" s="1"/>
      <c r="Q485" s="1"/>
      <c r="R485" s="1"/>
      <c r="S485" s="3"/>
      <c r="T485" s="3"/>
      <c r="U485" s="3"/>
      <c r="V485" s="3"/>
      <c r="W485" s="3"/>
      <c r="X485" s="3"/>
      <c r="Y485" s="3">
        <v>108000</v>
      </c>
      <c r="Z485" s="27" t="s">
        <v>197</v>
      </c>
      <c r="AA485" t="s">
        <v>200</v>
      </c>
    </row>
    <row r="486" spans="1:27" x14ac:dyDescent="0.25">
      <c r="A486" s="12">
        <v>123</v>
      </c>
      <c r="B486" s="12">
        <v>3</v>
      </c>
      <c r="C486">
        <f t="shared" si="66"/>
        <v>12303</v>
      </c>
      <c r="D486" s="3" t="s">
        <v>87</v>
      </c>
      <c r="E486" s="11">
        <f t="shared" si="64"/>
        <v>-22.416666666666668</v>
      </c>
      <c r="F486" s="11">
        <f t="shared" si="65"/>
        <v>-40.383333333333333</v>
      </c>
      <c r="G486" s="12" t="s">
        <v>95</v>
      </c>
      <c r="H486" s="12" t="s">
        <v>13</v>
      </c>
      <c r="I486" s="4">
        <v>38718</v>
      </c>
      <c r="J486" s="12" t="s">
        <v>201</v>
      </c>
      <c r="K486" s="2">
        <v>0</v>
      </c>
      <c r="L486" s="2"/>
      <c r="M486" s="20"/>
      <c r="N486" s="3">
        <v>25600</v>
      </c>
      <c r="O486" s="8"/>
      <c r="P486" s="1"/>
      <c r="Q486" s="1"/>
      <c r="R486" s="1"/>
      <c r="S486" s="3"/>
      <c r="T486" s="3"/>
      <c r="U486" s="3"/>
      <c r="V486" s="3"/>
      <c r="W486" s="3"/>
      <c r="X486" s="3"/>
      <c r="Y486" s="3">
        <v>155000</v>
      </c>
      <c r="Z486" s="27" t="s">
        <v>197</v>
      </c>
      <c r="AA486" t="s">
        <v>200</v>
      </c>
    </row>
    <row r="487" spans="1:27" x14ac:dyDescent="0.25">
      <c r="A487" s="12">
        <v>123</v>
      </c>
      <c r="B487" s="12">
        <v>3</v>
      </c>
      <c r="C487">
        <f t="shared" si="66"/>
        <v>12303</v>
      </c>
      <c r="D487" s="3" t="s">
        <v>87</v>
      </c>
      <c r="E487" s="11">
        <f t="shared" si="64"/>
        <v>-22.416666666666668</v>
      </c>
      <c r="F487" s="11">
        <f t="shared" si="65"/>
        <v>-40.383333333333333</v>
      </c>
      <c r="G487" s="12" t="s">
        <v>95</v>
      </c>
      <c r="H487" s="12" t="s">
        <v>13</v>
      </c>
      <c r="I487" s="4">
        <v>38718</v>
      </c>
      <c r="J487" s="12" t="s">
        <v>125</v>
      </c>
      <c r="K487" s="2">
        <v>0</v>
      </c>
      <c r="L487" s="2"/>
      <c r="M487" s="20"/>
      <c r="N487" s="3">
        <v>12400</v>
      </c>
      <c r="O487" s="8"/>
      <c r="P487" s="1"/>
      <c r="Q487" s="1"/>
      <c r="R487" s="1"/>
      <c r="S487" s="3"/>
      <c r="T487" s="3"/>
      <c r="U487" s="3"/>
      <c r="V487" s="3"/>
      <c r="W487" s="3"/>
      <c r="X487" s="3"/>
      <c r="Y487" s="3">
        <v>75200</v>
      </c>
      <c r="Z487" s="27" t="s">
        <v>197</v>
      </c>
      <c r="AA487" t="s">
        <v>200</v>
      </c>
    </row>
    <row r="488" spans="1:27" x14ac:dyDescent="0.25">
      <c r="A488" s="12">
        <v>123</v>
      </c>
      <c r="B488" s="12">
        <v>3</v>
      </c>
      <c r="C488">
        <f t="shared" si="66"/>
        <v>12303</v>
      </c>
      <c r="D488" s="3" t="s">
        <v>87</v>
      </c>
      <c r="E488" s="11">
        <f t="shared" si="64"/>
        <v>-22.416666666666668</v>
      </c>
      <c r="F488" s="11">
        <f t="shared" si="65"/>
        <v>-40.383333333333333</v>
      </c>
      <c r="G488" s="12" t="s">
        <v>95</v>
      </c>
      <c r="H488" s="12" t="s">
        <v>13</v>
      </c>
      <c r="I488" s="4">
        <v>38718</v>
      </c>
      <c r="J488" s="12" t="s">
        <v>201</v>
      </c>
      <c r="K488" s="2">
        <v>0</v>
      </c>
      <c r="L488" s="2"/>
      <c r="M488" s="20"/>
      <c r="N488" s="3">
        <v>32700.000000000004</v>
      </c>
      <c r="O488" s="8"/>
      <c r="P488" s="1"/>
      <c r="Q488" s="1"/>
      <c r="R488" s="1"/>
      <c r="S488" s="3"/>
      <c r="T488" s="3"/>
      <c r="U488" s="3"/>
      <c r="V488" s="3"/>
      <c r="W488" s="3"/>
      <c r="X488" s="3"/>
      <c r="Y488" s="3">
        <v>199000</v>
      </c>
      <c r="Z488" s="27" t="s">
        <v>197</v>
      </c>
      <c r="AA488" t="s">
        <v>200</v>
      </c>
    </row>
    <row r="489" spans="1:27" x14ac:dyDescent="0.25">
      <c r="A489" s="12">
        <v>123</v>
      </c>
      <c r="B489" s="12">
        <v>3</v>
      </c>
      <c r="C489">
        <f t="shared" si="66"/>
        <v>12303</v>
      </c>
      <c r="D489" s="3" t="s">
        <v>87</v>
      </c>
      <c r="E489" s="11">
        <f t="shared" si="64"/>
        <v>-22.416666666666668</v>
      </c>
      <c r="F489" s="11">
        <f t="shared" si="65"/>
        <v>-40.383333333333333</v>
      </c>
      <c r="G489" s="12" t="s">
        <v>95</v>
      </c>
      <c r="H489" s="12" t="s">
        <v>13</v>
      </c>
      <c r="I489" s="4">
        <v>38718</v>
      </c>
      <c r="J489" s="12" t="s">
        <v>125</v>
      </c>
      <c r="K489" s="2">
        <v>0</v>
      </c>
      <c r="L489" s="2"/>
      <c r="M489" s="20"/>
      <c r="N489" s="3">
        <v>22400</v>
      </c>
      <c r="O489" s="8"/>
      <c r="P489" s="1"/>
      <c r="Q489" s="1"/>
      <c r="R489" s="1"/>
      <c r="S489" s="3"/>
      <c r="T489" s="3"/>
      <c r="U489" s="3"/>
      <c r="V489" s="3"/>
      <c r="W489" s="3"/>
      <c r="X489" s="3"/>
      <c r="Y489" s="3">
        <v>137000</v>
      </c>
      <c r="Z489" s="27" t="s">
        <v>197</v>
      </c>
      <c r="AA489" t="s">
        <v>200</v>
      </c>
    </row>
    <row r="490" spans="1:27" x14ac:dyDescent="0.25">
      <c r="A490" s="12">
        <v>123</v>
      </c>
      <c r="B490" s="12">
        <v>3</v>
      </c>
      <c r="C490">
        <f t="shared" si="66"/>
        <v>12303</v>
      </c>
      <c r="D490" s="3" t="s">
        <v>87</v>
      </c>
      <c r="E490" s="11">
        <f t="shared" si="64"/>
        <v>-22.416666666666668</v>
      </c>
      <c r="F490" s="11">
        <f t="shared" si="65"/>
        <v>-40.383333333333333</v>
      </c>
      <c r="G490" s="12" t="s">
        <v>95</v>
      </c>
      <c r="H490" s="12" t="s">
        <v>13</v>
      </c>
      <c r="I490" s="4">
        <v>38718</v>
      </c>
      <c r="J490" s="12" t="s">
        <v>125</v>
      </c>
      <c r="K490" s="2">
        <v>0</v>
      </c>
      <c r="L490" s="2"/>
      <c r="M490" s="20"/>
      <c r="N490" s="3">
        <v>22300</v>
      </c>
      <c r="O490" s="8"/>
      <c r="P490" s="1"/>
      <c r="Q490" s="1"/>
      <c r="R490" s="1"/>
      <c r="S490" s="3"/>
      <c r="T490" s="3"/>
      <c r="U490" s="3"/>
      <c r="V490" s="3"/>
      <c r="W490" s="3"/>
      <c r="X490" s="3"/>
      <c r="Y490" s="3">
        <v>138000</v>
      </c>
      <c r="Z490" s="27" t="s">
        <v>197</v>
      </c>
      <c r="AA490" t="s">
        <v>200</v>
      </c>
    </row>
    <row r="491" spans="1:27" x14ac:dyDescent="0.25">
      <c r="A491" s="12">
        <v>123</v>
      </c>
      <c r="B491" s="12">
        <v>3</v>
      </c>
      <c r="C491">
        <f t="shared" si="66"/>
        <v>12303</v>
      </c>
      <c r="D491" s="3" t="s">
        <v>87</v>
      </c>
      <c r="E491" s="11">
        <f t="shared" si="64"/>
        <v>-22.416666666666668</v>
      </c>
      <c r="F491" s="11">
        <f t="shared" si="65"/>
        <v>-40.383333333333333</v>
      </c>
      <c r="G491" s="12" t="s">
        <v>95</v>
      </c>
      <c r="H491" s="12" t="s">
        <v>13</v>
      </c>
      <c r="I491" s="4">
        <v>38718</v>
      </c>
      <c r="J491" s="12" t="s">
        <v>196</v>
      </c>
      <c r="K491" s="2">
        <v>0</v>
      </c>
      <c r="L491" s="2"/>
      <c r="M491" s="20"/>
      <c r="N491" s="3">
        <v>15000</v>
      </c>
      <c r="O491" s="8"/>
      <c r="P491" s="1"/>
      <c r="Q491" s="1"/>
      <c r="R491" s="1"/>
      <c r="S491" s="3"/>
      <c r="T491" s="3"/>
      <c r="U491" s="3"/>
      <c r="V491" s="3"/>
      <c r="W491" s="3"/>
      <c r="X491" s="3"/>
      <c r="Y491" s="3">
        <v>93000</v>
      </c>
      <c r="Z491" s="27" t="s">
        <v>197</v>
      </c>
      <c r="AA491" t="s">
        <v>200</v>
      </c>
    </row>
    <row r="492" spans="1:27" x14ac:dyDescent="0.25">
      <c r="A492" s="12">
        <v>123</v>
      </c>
      <c r="B492" s="12">
        <v>3</v>
      </c>
      <c r="C492">
        <f t="shared" si="66"/>
        <v>12303</v>
      </c>
      <c r="D492" s="3" t="s">
        <v>87</v>
      </c>
      <c r="E492" s="11">
        <f t="shared" si="64"/>
        <v>-22.416666666666668</v>
      </c>
      <c r="F492" s="11">
        <f t="shared" si="65"/>
        <v>-40.383333333333333</v>
      </c>
      <c r="G492" s="12" t="s">
        <v>95</v>
      </c>
      <c r="H492" s="12" t="s">
        <v>13</v>
      </c>
      <c r="I492" s="4">
        <v>38718</v>
      </c>
      <c r="J492" s="12" t="s">
        <v>125</v>
      </c>
      <c r="K492" s="2">
        <v>0</v>
      </c>
      <c r="L492" s="2"/>
      <c r="M492" s="20"/>
      <c r="N492" s="3">
        <v>27400</v>
      </c>
      <c r="O492" s="8"/>
      <c r="P492" s="1"/>
      <c r="Q492" s="1"/>
      <c r="R492" s="1"/>
      <c r="S492" s="3"/>
      <c r="T492" s="3"/>
      <c r="U492" s="3"/>
      <c r="V492" s="3"/>
      <c r="W492" s="3"/>
      <c r="X492" s="3"/>
      <c r="Y492" s="3">
        <v>170000</v>
      </c>
      <c r="Z492" s="27" t="s">
        <v>197</v>
      </c>
      <c r="AA492" t="s">
        <v>200</v>
      </c>
    </row>
    <row r="493" spans="1:27" x14ac:dyDescent="0.25">
      <c r="A493" s="12">
        <v>123</v>
      </c>
      <c r="B493" s="12">
        <v>3</v>
      </c>
      <c r="C493">
        <f t="shared" si="66"/>
        <v>12303</v>
      </c>
      <c r="D493" s="3" t="s">
        <v>87</v>
      </c>
      <c r="E493" s="11">
        <f t="shared" si="64"/>
        <v>-22.416666666666668</v>
      </c>
      <c r="F493" s="11">
        <f t="shared" si="65"/>
        <v>-40.383333333333333</v>
      </c>
      <c r="G493" s="12" t="s">
        <v>95</v>
      </c>
      <c r="H493" s="12" t="s">
        <v>13</v>
      </c>
      <c r="I493" s="4">
        <v>38718</v>
      </c>
      <c r="J493" s="12" t="s">
        <v>125</v>
      </c>
      <c r="K493" s="2">
        <v>0</v>
      </c>
      <c r="L493" s="2"/>
      <c r="M493" s="20"/>
      <c r="N493" s="3">
        <v>20600</v>
      </c>
      <c r="O493" s="8"/>
      <c r="P493" s="1"/>
      <c r="Q493" s="1"/>
      <c r="R493" s="1"/>
      <c r="S493" s="3"/>
      <c r="T493" s="3"/>
      <c r="U493" s="3"/>
      <c r="V493" s="3"/>
      <c r="W493" s="3"/>
      <c r="X493" s="3"/>
      <c r="Y493" s="3">
        <v>128000</v>
      </c>
      <c r="Z493" s="27" t="s">
        <v>197</v>
      </c>
      <c r="AA493" t="s">
        <v>200</v>
      </c>
    </row>
    <row r="494" spans="1:27" x14ac:dyDescent="0.25">
      <c r="A494" s="12">
        <v>123</v>
      </c>
      <c r="B494" s="12">
        <v>3</v>
      </c>
      <c r="C494">
        <f t="shared" si="66"/>
        <v>12303</v>
      </c>
      <c r="D494" s="3" t="s">
        <v>87</v>
      </c>
      <c r="E494" s="11">
        <f t="shared" si="64"/>
        <v>-22.416666666666668</v>
      </c>
      <c r="F494" s="11">
        <f t="shared" si="65"/>
        <v>-40.383333333333333</v>
      </c>
      <c r="G494" s="12" t="s">
        <v>95</v>
      </c>
      <c r="H494" s="12" t="s">
        <v>13</v>
      </c>
      <c r="I494" s="4">
        <v>38718</v>
      </c>
      <c r="J494" s="12" t="s">
        <v>125</v>
      </c>
      <c r="K494" s="2">
        <v>0</v>
      </c>
      <c r="L494" s="2"/>
      <c r="M494" s="20"/>
      <c r="N494" s="3">
        <v>31500</v>
      </c>
      <c r="O494" s="8"/>
      <c r="P494" s="1"/>
      <c r="Q494" s="1"/>
      <c r="R494" s="1"/>
      <c r="S494" s="3"/>
      <c r="T494" s="3"/>
      <c r="U494" s="3"/>
      <c r="V494" s="3"/>
      <c r="W494" s="3"/>
      <c r="X494" s="3"/>
      <c r="Y494" s="3">
        <v>196000</v>
      </c>
      <c r="Z494" s="27" t="s">
        <v>197</v>
      </c>
      <c r="AA494" t="s">
        <v>200</v>
      </c>
    </row>
    <row r="495" spans="1:27" x14ac:dyDescent="0.25">
      <c r="A495" s="12">
        <v>123</v>
      </c>
      <c r="B495" s="12">
        <v>3</v>
      </c>
      <c r="C495">
        <f t="shared" si="66"/>
        <v>12303</v>
      </c>
      <c r="D495" s="3" t="s">
        <v>87</v>
      </c>
      <c r="E495" s="11">
        <f t="shared" si="64"/>
        <v>-22.416666666666668</v>
      </c>
      <c r="F495" s="11">
        <f t="shared" si="65"/>
        <v>-40.383333333333333</v>
      </c>
      <c r="G495" s="12" t="s">
        <v>95</v>
      </c>
      <c r="H495" s="12" t="s">
        <v>13</v>
      </c>
      <c r="I495" s="4">
        <v>38718</v>
      </c>
      <c r="J495" s="12" t="s">
        <v>125</v>
      </c>
      <c r="K495" s="2">
        <v>0</v>
      </c>
      <c r="L495" s="2"/>
      <c r="M495" s="20"/>
      <c r="N495" s="3">
        <v>28300</v>
      </c>
      <c r="O495" s="8"/>
      <c r="P495" s="1"/>
      <c r="Q495" s="1"/>
      <c r="R495" s="1"/>
      <c r="S495" s="3"/>
      <c r="T495" s="3"/>
      <c r="U495" s="3"/>
      <c r="V495" s="3"/>
      <c r="W495" s="3"/>
      <c r="X495" s="3"/>
      <c r="Y495" s="3">
        <v>177000</v>
      </c>
      <c r="Z495" s="27" t="s">
        <v>197</v>
      </c>
      <c r="AA495" t="s">
        <v>200</v>
      </c>
    </row>
    <row r="496" spans="1:27" x14ac:dyDescent="0.25">
      <c r="A496" s="12">
        <v>123</v>
      </c>
      <c r="B496" s="12">
        <v>3</v>
      </c>
      <c r="C496">
        <f t="shared" si="66"/>
        <v>12303</v>
      </c>
      <c r="D496" s="3" t="s">
        <v>87</v>
      </c>
      <c r="E496" s="11">
        <f t="shared" si="64"/>
        <v>-22.416666666666668</v>
      </c>
      <c r="F496" s="11">
        <f t="shared" si="65"/>
        <v>-40.383333333333333</v>
      </c>
      <c r="G496" s="12" t="s">
        <v>95</v>
      </c>
      <c r="H496" s="12" t="s">
        <v>13</v>
      </c>
      <c r="I496" s="4">
        <v>38718</v>
      </c>
      <c r="J496" s="12" t="s">
        <v>125</v>
      </c>
      <c r="K496" s="2">
        <v>0</v>
      </c>
      <c r="L496" s="2"/>
      <c r="M496" s="20"/>
      <c r="N496" s="3">
        <v>28000</v>
      </c>
      <c r="O496" s="8"/>
      <c r="P496" s="1"/>
      <c r="Q496" s="1"/>
      <c r="R496" s="1"/>
      <c r="S496" s="3"/>
      <c r="T496" s="3"/>
      <c r="U496" s="3"/>
      <c r="V496" s="3"/>
      <c r="W496" s="3"/>
      <c r="X496" s="3"/>
      <c r="Y496" s="3">
        <v>177000</v>
      </c>
      <c r="Z496" s="27" t="s">
        <v>197</v>
      </c>
      <c r="AA496" t="s">
        <v>200</v>
      </c>
    </row>
    <row r="497" spans="1:27" x14ac:dyDescent="0.25">
      <c r="A497" s="12">
        <v>123</v>
      </c>
      <c r="B497" s="12">
        <v>3</v>
      </c>
      <c r="C497">
        <f t="shared" si="66"/>
        <v>12303</v>
      </c>
      <c r="D497" s="3" t="s">
        <v>87</v>
      </c>
      <c r="E497" s="11">
        <f t="shared" si="64"/>
        <v>-22.416666666666668</v>
      </c>
      <c r="F497" s="11">
        <f t="shared" si="65"/>
        <v>-40.383333333333333</v>
      </c>
      <c r="G497" s="12" t="s">
        <v>95</v>
      </c>
      <c r="H497" s="12" t="s">
        <v>13</v>
      </c>
      <c r="I497" s="4">
        <v>38718</v>
      </c>
      <c r="J497" s="12" t="s">
        <v>125</v>
      </c>
      <c r="K497" s="2">
        <v>0</v>
      </c>
      <c r="L497" s="2"/>
      <c r="M497" s="20"/>
      <c r="N497" s="3">
        <v>24400</v>
      </c>
      <c r="O497" s="8"/>
      <c r="P497" s="1"/>
      <c r="Q497" s="1"/>
      <c r="R497" s="1"/>
      <c r="S497" s="3"/>
      <c r="T497" s="3"/>
      <c r="U497" s="3"/>
      <c r="V497" s="3"/>
      <c r="W497" s="3"/>
      <c r="X497" s="3"/>
      <c r="Y497" s="3">
        <v>155000</v>
      </c>
      <c r="Z497" s="27" t="s">
        <v>197</v>
      </c>
      <c r="AA497" t="s">
        <v>200</v>
      </c>
    </row>
    <row r="498" spans="1:27" x14ac:dyDescent="0.25">
      <c r="A498" s="12">
        <v>123</v>
      </c>
      <c r="B498" s="12">
        <v>3</v>
      </c>
      <c r="C498">
        <f t="shared" si="66"/>
        <v>12303</v>
      </c>
      <c r="D498" s="3" t="s">
        <v>87</v>
      </c>
      <c r="E498" s="11">
        <f t="shared" si="64"/>
        <v>-22.416666666666668</v>
      </c>
      <c r="F498" s="11">
        <f t="shared" si="65"/>
        <v>-40.383333333333333</v>
      </c>
      <c r="G498" s="12" t="s">
        <v>95</v>
      </c>
      <c r="H498" s="12" t="s">
        <v>13</v>
      </c>
      <c r="I498" s="4">
        <v>38718</v>
      </c>
      <c r="J498" s="12" t="s">
        <v>125</v>
      </c>
      <c r="K498" s="2">
        <v>0</v>
      </c>
      <c r="L498" s="2"/>
      <c r="M498" s="20"/>
      <c r="N498" s="3">
        <v>27300</v>
      </c>
      <c r="O498" s="8"/>
      <c r="P498" s="1"/>
      <c r="Q498" s="1"/>
      <c r="R498" s="1"/>
      <c r="S498" s="3"/>
      <c r="T498" s="3"/>
      <c r="U498" s="3"/>
      <c r="V498" s="3"/>
      <c r="W498" s="3"/>
      <c r="X498" s="3"/>
      <c r="Y498" s="3">
        <v>174000</v>
      </c>
      <c r="Z498" s="27" t="s">
        <v>197</v>
      </c>
      <c r="AA498" t="s">
        <v>200</v>
      </c>
    </row>
    <row r="499" spans="1:27" x14ac:dyDescent="0.25">
      <c r="A499" s="12">
        <v>123</v>
      </c>
      <c r="B499" s="12">
        <v>3</v>
      </c>
      <c r="C499">
        <f t="shared" si="66"/>
        <v>12303</v>
      </c>
      <c r="D499" s="3" t="s">
        <v>87</v>
      </c>
      <c r="E499" s="11">
        <f t="shared" si="64"/>
        <v>-22.416666666666668</v>
      </c>
      <c r="F499" s="11">
        <f t="shared" si="65"/>
        <v>-40.383333333333333</v>
      </c>
      <c r="G499" s="12" t="s">
        <v>95</v>
      </c>
      <c r="H499" s="12" t="s">
        <v>13</v>
      </c>
      <c r="I499" s="4">
        <v>38718</v>
      </c>
      <c r="J499" s="12" t="s">
        <v>196</v>
      </c>
      <c r="K499" s="2">
        <v>0</v>
      </c>
      <c r="L499" s="2"/>
      <c r="M499" s="20"/>
      <c r="N499" s="3">
        <v>24100</v>
      </c>
      <c r="O499" s="8"/>
      <c r="P499" s="1"/>
      <c r="Q499" s="1"/>
      <c r="R499" s="1"/>
      <c r="S499" s="3"/>
      <c r="T499" s="3"/>
      <c r="U499" s="3"/>
      <c r="V499" s="3"/>
      <c r="W499" s="3"/>
      <c r="X499" s="3"/>
      <c r="Y499" s="3">
        <v>154000</v>
      </c>
      <c r="Z499" s="27" t="s">
        <v>197</v>
      </c>
      <c r="AA499" t="s">
        <v>200</v>
      </c>
    </row>
    <row r="500" spans="1:27" x14ac:dyDescent="0.25">
      <c r="A500" s="12">
        <v>123</v>
      </c>
      <c r="B500" s="12">
        <v>3</v>
      </c>
      <c r="C500">
        <f t="shared" si="66"/>
        <v>12303</v>
      </c>
      <c r="D500" s="3" t="s">
        <v>87</v>
      </c>
      <c r="E500" s="11">
        <f t="shared" si="64"/>
        <v>-22.416666666666668</v>
      </c>
      <c r="F500" s="11">
        <f t="shared" si="65"/>
        <v>-40.383333333333333</v>
      </c>
      <c r="G500" s="12" t="s">
        <v>95</v>
      </c>
      <c r="H500" s="12" t="s">
        <v>13</v>
      </c>
      <c r="I500" s="4">
        <v>38718</v>
      </c>
      <c r="J500" s="12" t="s">
        <v>125</v>
      </c>
      <c r="K500" s="2">
        <v>0</v>
      </c>
      <c r="L500" s="2"/>
      <c r="M500" s="20"/>
      <c r="N500" s="3">
        <v>34600</v>
      </c>
      <c r="O500" s="8"/>
      <c r="P500" s="1"/>
      <c r="Q500" s="1"/>
      <c r="R500" s="1"/>
      <c r="S500" s="3"/>
      <c r="T500" s="3"/>
      <c r="U500" s="3"/>
      <c r="V500" s="3"/>
      <c r="W500" s="3"/>
      <c r="X500" s="3"/>
      <c r="Y500" s="3">
        <v>222000</v>
      </c>
      <c r="Z500" s="27" t="s">
        <v>197</v>
      </c>
      <c r="AA500" t="s">
        <v>200</v>
      </c>
    </row>
    <row r="501" spans="1:27" x14ac:dyDescent="0.25">
      <c r="A501" s="12">
        <v>123</v>
      </c>
      <c r="B501" s="12">
        <v>3</v>
      </c>
      <c r="C501">
        <f t="shared" si="66"/>
        <v>12303</v>
      </c>
      <c r="D501" s="3" t="s">
        <v>87</v>
      </c>
      <c r="E501" s="11">
        <f t="shared" si="64"/>
        <v>-22.416666666666668</v>
      </c>
      <c r="F501" s="11">
        <f t="shared" si="65"/>
        <v>-40.383333333333333</v>
      </c>
      <c r="G501" s="12" t="s">
        <v>95</v>
      </c>
      <c r="H501" s="12" t="s">
        <v>13</v>
      </c>
      <c r="I501" s="4">
        <v>38718</v>
      </c>
      <c r="J501" s="12" t="s">
        <v>125</v>
      </c>
      <c r="K501" s="2">
        <v>0</v>
      </c>
      <c r="L501" s="2"/>
      <c r="M501" s="20"/>
      <c r="N501" s="3">
        <v>14800</v>
      </c>
      <c r="O501" s="8"/>
      <c r="P501" s="1"/>
      <c r="Q501" s="1"/>
      <c r="R501" s="1"/>
      <c r="S501" s="3"/>
      <c r="T501" s="3"/>
      <c r="U501" s="3"/>
      <c r="V501" s="3"/>
      <c r="W501" s="3"/>
      <c r="X501" s="3"/>
      <c r="Y501" s="3">
        <v>95200</v>
      </c>
      <c r="Z501" s="27" t="s">
        <v>197</v>
      </c>
      <c r="AA501" t="s">
        <v>200</v>
      </c>
    </row>
    <row r="502" spans="1:27" x14ac:dyDescent="0.25">
      <c r="A502" s="12">
        <v>123</v>
      </c>
      <c r="B502" s="12">
        <v>3</v>
      </c>
      <c r="C502">
        <f t="shared" si="66"/>
        <v>12303</v>
      </c>
      <c r="D502" s="3" t="s">
        <v>87</v>
      </c>
      <c r="E502" s="11">
        <f t="shared" si="64"/>
        <v>-22.416666666666668</v>
      </c>
      <c r="F502" s="11">
        <f t="shared" si="65"/>
        <v>-40.383333333333333</v>
      </c>
      <c r="G502" s="12" t="s">
        <v>95</v>
      </c>
      <c r="H502" s="12" t="s">
        <v>13</v>
      </c>
      <c r="I502" s="4">
        <v>38718</v>
      </c>
      <c r="J502" s="12" t="s">
        <v>125</v>
      </c>
      <c r="K502" s="2">
        <v>0</v>
      </c>
      <c r="L502" s="2"/>
      <c r="M502" s="20"/>
      <c r="N502" s="3">
        <v>25600</v>
      </c>
      <c r="O502" s="8"/>
      <c r="P502" s="1"/>
      <c r="Q502" s="1"/>
      <c r="R502" s="1"/>
      <c r="S502" s="3"/>
      <c r="T502" s="3"/>
      <c r="U502" s="3"/>
      <c r="V502" s="3"/>
      <c r="W502" s="3"/>
      <c r="X502" s="3"/>
      <c r="Y502" s="3">
        <v>166000</v>
      </c>
      <c r="Z502" s="27" t="s">
        <v>197</v>
      </c>
      <c r="AA502" t="s">
        <v>200</v>
      </c>
    </row>
    <row r="503" spans="1:27" x14ac:dyDescent="0.25">
      <c r="A503" s="12">
        <v>123</v>
      </c>
      <c r="B503" s="12">
        <v>3</v>
      </c>
      <c r="C503">
        <f t="shared" si="66"/>
        <v>12303</v>
      </c>
      <c r="D503" s="3" t="s">
        <v>87</v>
      </c>
      <c r="E503" s="11">
        <f t="shared" si="64"/>
        <v>-22.416666666666668</v>
      </c>
      <c r="F503" s="11">
        <f t="shared" si="65"/>
        <v>-40.383333333333333</v>
      </c>
      <c r="G503" s="12" t="s">
        <v>95</v>
      </c>
      <c r="H503" s="12" t="s">
        <v>13</v>
      </c>
      <c r="I503" s="4">
        <v>38718</v>
      </c>
      <c r="J503" s="12" t="s">
        <v>125</v>
      </c>
      <c r="K503" s="2">
        <v>0</v>
      </c>
      <c r="L503" s="2"/>
      <c r="M503" s="20"/>
      <c r="N503" s="3">
        <v>24400</v>
      </c>
      <c r="O503" s="8"/>
      <c r="P503" s="1"/>
      <c r="Q503" s="1"/>
      <c r="R503" s="1"/>
      <c r="S503" s="3"/>
      <c r="T503" s="3"/>
      <c r="U503" s="3"/>
      <c r="V503" s="3"/>
      <c r="W503" s="3"/>
      <c r="X503" s="3"/>
      <c r="Y503" s="3">
        <v>169000</v>
      </c>
      <c r="Z503" s="27" t="s">
        <v>197</v>
      </c>
      <c r="AA503" t="s">
        <v>200</v>
      </c>
    </row>
    <row r="504" spans="1:27" x14ac:dyDescent="0.25">
      <c r="A504" s="12">
        <v>123</v>
      </c>
      <c r="B504" s="12">
        <v>3</v>
      </c>
      <c r="C504">
        <f t="shared" si="66"/>
        <v>12303</v>
      </c>
      <c r="D504" s="3" t="s">
        <v>86</v>
      </c>
      <c r="E504" s="11">
        <f t="shared" ref="E504:E522" si="67">-(22+27/60+2/3600)</f>
        <v>-22.450555555555553</v>
      </c>
      <c r="F504" s="11">
        <f t="shared" ref="F504:F522" si="68">-(40+24/60+42/3600)</f>
        <v>-40.411666666666662</v>
      </c>
      <c r="G504" s="12" t="s">
        <v>95</v>
      </c>
      <c r="H504" s="12" t="s">
        <v>13</v>
      </c>
      <c r="I504" s="4">
        <v>38718</v>
      </c>
      <c r="J504" s="12" t="s">
        <v>201</v>
      </c>
      <c r="K504" s="2">
        <v>0</v>
      </c>
      <c r="L504" s="2"/>
      <c r="M504" s="20"/>
      <c r="N504" s="3">
        <v>660</v>
      </c>
      <c r="O504" s="8"/>
      <c r="P504" s="1"/>
      <c r="Q504" s="1"/>
      <c r="R504" s="1"/>
      <c r="S504" s="3"/>
      <c r="T504" s="3"/>
      <c r="U504" s="3"/>
      <c r="V504" s="3"/>
      <c r="W504" s="3"/>
      <c r="X504" s="3"/>
      <c r="Y504" s="3">
        <v>760</v>
      </c>
      <c r="Z504" s="27" t="s">
        <v>197</v>
      </c>
      <c r="AA504" t="s">
        <v>205</v>
      </c>
    </row>
    <row r="505" spans="1:27" x14ac:dyDescent="0.25">
      <c r="A505" s="12">
        <v>123</v>
      </c>
      <c r="B505" s="12">
        <v>3</v>
      </c>
      <c r="C505">
        <f t="shared" si="66"/>
        <v>12303</v>
      </c>
      <c r="D505" s="3" t="s">
        <v>86</v>
      </c>
      <c r="E505" s="11">
        <f t="shared" si="67"/>
        <v>-22.450555555555553</v>
      </c>
      <c r="F505" s="11">
        <f t="shared" si="68"/>
        <v>-40.411666666666662</v>
      </c>
      <c r="G505" s="12" t="s">
        <v>95</v>
      </c>
      <c r="H505" s="12" t="s">
        <v>13</v>
      </c>
      <c r="I505" s="4">
        <v>38718</v>
      </c>
      <c r="J505" s="12" t="s">
        <v>125</v>
      </c>
      <c r="K505" s="2">
        <v>0</v>
      </c>
      <c r="L505" s="2"/>
      <c r="M505" s="20"/>
      <c r="N505" s="3">
        <v>15400</v>
      </c>
      <c r="O505" s="8"/>
      <c r="P505" s="1"/>
      <c r="Q505" s="1"/>
      <c r="R505" s="1"/>
      <c r="S505" s="3"/>
      <c r="T505" s="3"/>
      <c r="U505" s="3"/>
      <c r="V505" s="3"/>
      <c r="W505" s="3"/>
      <c r="X505" s="3"/>
      <c r="Y505" s="3">
        <v>23700</v>
      </c>
      <c r="Z505" s="27" t="s">
        <v>197</v>
      </c>
      <c r="AA505" t="s">
        <v>205</v>
      </c>
    </row>
    <row r="506" spans="1:27" x14ac:dyDescent="0.25">
      <c r="A506" s="12">
        <v>123</v>
      </c>
      <c r="B506" s="12">
        <v>3</v>
      </c>
      <c r="C506">
        <f t="shared" si="66"/>
        <v>12303</v>
      </c>
      <c r="D506" s="3" t="s">
        <v>86</v>
      </c>
      <c r="E506" s="11">
        <f t="shared" si="67"/>
        <v>-22.450555555555553</v>
      </c>
      <c r="F506" s="11">
        <f t="shared" si="68"/>
        <v>-40.411666666666662</v>
      </c>
      <c r="G506" s="12" t="s">
        <v>95</v>
      </c>
      <c r="H506" s="12" t="s">
        <v>13</v>
      </c>
      <c r="I506" s="4">
        <v>38718</v>
      </c>
      <c r="J506" s="12" t="s">
        <v>201</v>
      </c>
      <c r="K506" s="2">
        <v>0</v>
      </c>
      <c r="L506" s="2"/>
      <c r="M506" s="20"/>
      <c r="N506" s="3">
        <v>17000</v>
      </c>
      <c r="O506" s="8"/>
      <c r="P506" s="1"/>
      <c r="Q506" s="1"/>
      <c r="R506" s="1"/>
      <c r="S506" s="3"/>
      <c r="T506" s="3"/>
      <c r="U506" s="3"/>
      <c r="V506" s="3"/>
      <c r="W506" s="3"/>
      <c r="X506" s="3"/>
      <c r="Y506" s="3">
        <v>27000</v>
      </c>
      <c r="Z506" s="27" t="s">
        <v>197</v>
      </c>
      <c r="AA506" t="s">
        <v>205</v>
      </c>
    </row>
    <row r="507" spans="1:27" x14ac:dyDescent="0.25">
      <c r="A507" s="12">
        <v>123</v>
      </c>
      <c r="B507" s="12">
        <v>3</v>
      </c>
      <c r="C507">
        <f t="shared" si="66"/>
        <v>12303</v>
      </c>
      <c r="D507" s="3" t="s">
        <v>86</v>
      </c>
      <c r="E507" s="11">
        <f t="shared" si="67"/>
        <v>-22.450555555555553</v>
      </c>
      <c r="F507" s="11">
        <f t="shared" si="68"/>
        <v>-40.411666666666662</v>
      </c>
      <c r="G507" s="12" t="s">
        <v>95</v>
      </c>
      <c r="H507" s="12" t="s">
        <v>13</v>
      </c>
      <c r="I507" s="4">
        <v>38718</v>
      </c>
      <c r="J507" s="12" t="s">
        <v>196</v>
      </c>
      <c r="K507" s="2">
        <v>0</v>
      </c>
      <c r="L507" s="2"/>
      <c r="M507" s="20"/>
      <c r="N507" s="3">
        <v>14500</v>
      </c>
      <c r="O507" s="8"/>
      <c r="P507" s="1"/>
      <c r="Q507" s="1"/>
      <c r="R507" s="1"/>
      <c r="S507" s="3"/>
      <c r="T507" s="3"/>
      <c r="U507" s="3"/>
      <c r="V507" s="3"/>
      <c r="W507" s="3"/>
      <c r="X507" s="3"/>
      <c r="Y507" s="3">
        <v>23600</v>
      </c>
      <c r="Z507" s="27" t="s">
        <v>197</v>
      </c>
      <c r="AA507" t="s">
        <v>205</v>
      </c>
    </row>
    <row r="508" spans="1:27" x14ac:dyDescent="0.25">
      <c r="A508" s="12">
        <v>123</v>
      </c>
      <c r="B508" s="12">
        <v>3</v>
      </c>
      <c r="C508">
        <f t="shared" si="66"/>
        <v>12303</v>
      </c>
      <c r="D508" s="3" t="s">
        <v>86</v>
      </c>
      <c r="E508" s="11">
        <f t="shared" si="67"/>
        <v>-22.450555555555553</v>
      </c>
      <c r="F508" s="11">
        <f t="shared" si="68"/>
        <v>-40.411666666666662</v>
      </c>
      <c r="G508" s="12" t="s">
        <v>95</v>
      </c>
      <c r="H508" s="12" t="s">
        <v>13</v>
      </c>
      <c r="I508" s="4">
        <v>38718</v>
      </c>
      <c r="J508" s="12" t="s">
        <v>196</v>
      </c>
      <c r="K508" s="2">
        <v>0</v>
      </c>
      <c r="L508" s="2"/>
      <c r="M508" s="20"/>
      <c r="N508" s="3">
        <v>950</v>
      </c>
      <c r="O508" s="8"/>
      <c r="P508" s="1"/>
      <c r="Q508" s="1"/>
      <c r="R508" s="1"/>
      <c r="S508" s="3"/>
      <c r="T508" s="3"/>
      <c r="U508" s="3"/>
      <c r="V508" s="3"/>
      <c r="W508" s="3"/>
      <c r="X508" s="3"/>
      <c r="Y508" s="3">
        <v>1580</v>
      </c>
      <c r="Z508" s="27" t="s">
        <v>197</v>
      </c>
      <c r="AA508" t="s">
        <v>205</v>
      </c>
    </row>
    <row r="509" spans="1:27" x14ac:dyDescent="0.25">
      <c r="A509" s="12">
        <v>123</v>
      </c>
      <c r="B509" s="12">
        <v>3</v>
      </c>
      <c r="C509">
        <f t="shared" si="66"/>
        <v>12303</v>
      </c>
      <c r="D509" s="3" t="s">
        <v>86</v>
      </c>
      <c r="E509" s="11">
        <f t="shared" si="67"/>
        <v>-22.450555555555553</v>
      </c>
      <c r="F509" s="11">
        <f t="shared" si="68"/>
        <v>-40.411666666666662</v>
      </c>
      <c r="G509" s="12" t="s">
        <v>95</v>
      </c>
      <c r="H509" s="12" t="s">
        <v>13</v>
      </c>
      <c r="I509" s="4">
        <v>38718</v>
      </c>
      <c r="J509" s="12" t="s">
        <v>201</v>
      </c>
      <c r="K509" s="2">
        <v>0</v>
      </c>
      <c r="L509" s="2"/>
      <c r="M509" s="20"/>
      <c r="N509" s="3">
        <v>13900</v>
      </c>
      <c r="O509" s="8"/>
      <c r="P509" s="1"/>
      <c r="Q509" s="1"/>
      <c r="R509" s="1"/>
      <c r="S509" s="3"/>
      <c r="T509" s="3"/>
      <c r="U509" s="3"/>
      <c r="V509" s="3"/>
      <c r="W509" s="3"/>
      <c r="X509" s="3"/>
      <c r="Y509" s="3">
        <v>23600</v>
      </c>
      <c r="Z509" s="27" t="s">
        <v>197</v>
      </c>
      <c r="AA509" t="s">
        <v>205</v>
      </c>
    </row>
    <row r="510" spans="1:27" x14ac:dyDescent="0.25">
      <c r="A510" s="12">
        <v>123</v>
      </c>
      <c r="B510" s="12">
        <v>3</v>
      </c>
      <c r="C510">
        <f t="shared" si="66"/>
        <v>12303</v>
      </c>
      <c r="D510" s="3" t="s">
        <v>86</v>
      </c>
      <c r="E510" s="11">
        <f t="shared" si="67"/>
        <v>-22.450555555555553</v>
      </c>
      <c r="F510" s="11">
        <f t="shared" si="68"/>
        <v>-40.411666666666662</v>
      </c>
      <c r="G510" s="12" t="s">
        <v>95</v>
      </c>
      <c r="H510" s="12" t="s">
        <v>13</v>
      </c>
      <c r="I510" s="4">
        <v>38718</v>
      </c>
      <c r="J510" s="12" t="s">
        <v>201</v>
      </c>
      <c r="K510" s="2">
        <v>0</v>
      </c>
      <c r="L510" s="2"/>
      <c r="M510" s="20"/>
      <c r="N510" s="3">
        <v>1000</v>
      </c>
      <c r="O510" s="8"/>
      <c r="P510" s="1"/>
      <c r="Q510" s="1"/>
      <c r="R510" s="1"/>
      <c r="S510" s="3"/>
      <c r="T510" s="3"/>
      <c r="U510" s="3"/>
      <c r="V510" s="3"/>
      <c r="W510" s="3"/>
      <c r="X510" s="3"/>
      <c r="Y510" s="3">
        <v>1700</v>
      </c>
      <c r="Z510" s="27" t="s">
        <v>197</v>
      </c>
      <c r="AA510" t="s">
        <v>205</v>
      </c>
    </row>
    <row r="511" spans="1:27" x14ac:dyDescent="0.25">
      <c r="A511" s="12">
        <v>123</v>
      </c>
      <c r="B511" s="12">
        <v>3</v>
      </c>
      <c r="C511">
        <f t="shared" si="66"/>
        <v>12303</v>
      </c>
      <c r="D511" s="3" t="s">
        <v>86</v>
      </c>
      <c r="E511" s="11">
        <f t="shared" si="67"/>
        <v>-22.450555555555553</v>
      </c>
      <c r="F511" s="11">
        <f t="shared" si="68"/>
        <v>-40.411666666666662</v>
      </c>
      <c r="G511" s="12" t="s">
        <v>95</v>
      </c>
      <c r="H511" s="12" t="s">
        <v>13</v>
      </c>
      <c r="I511" s="4">
        <v>38718</v>
      </c>
      <c r="J511" s="12" t="s">
        <v>201</v>
      </c>
      <c r="K511" s="2">
        <v>0</v>
      </c>
      <c r="L511" s="2"/>
      <c r="M511" s="20"/>
      <c r="N511" s="3">
        <v>14000</v>
      </c>
      <c r="O511" s="8"/>
      <c r="P511" s="1"/>
      <c r="Q511" s="1"/>
      <c r="R511" s="1"/>
      <c r="S511" s="3"/>
      <c r="T511" s="3"/>
      <c r="U511" s="3"/>
      <c r="V511" s="3"/>
      <c r="W511" s="3"/>
      <c r="X511" s="3"/>
      <c r="Y511" s="3">
        <v>24900</v>
      </c>
      <c r="Z511" s="27" t="s">
        <v>197</v>
      </c>
      <c r="AA511" t="s">
        <v>205</v>
      </c>
    </row>
    <row r="512" spans="1:27" x14ac:dyDescent="0.25">
      <c r="A512" s="12">
        <v>123</v>
      </c>
      <c r="B512" s="12">
        <v>3</v>
      </c>
      <c r="C512">
        <f t="shared" si="66"/>
        <v>12303</v>
      </c>
      <c r="D512" s="3" t="s">
        <v>86</v>
      </c>
      <c r="E512" s="11">
        <f t="shared" si="67"/>
        <v>-22.450555555555553</v>
      </c>
      <c r="F512" s="11">
        <f t="shared" si="68"/>
        <v>-40.411666666666662</v>
      </c>
      <c r="G512" s="12" t="s">
        <v>95</v>
      </c>
      <c r="H512" s="12" t="s">
        <v>13</v>
      </c>
      <c r="I512" s="4">
        <v>38718</v>
      </c>
      <c r="J512" s="12" t="s">
        <v>201</v>
      </c>
      <c r="K512" s="2">
        <v>0</v>
      </c>
      <c r="L512" s="2"/>
      <c r="M512" s="20"/>
      <c r="N512" s="3">
        <v>1380</v>
      </c>
      <c r="O512" s="8"/>
      <c r="P512" s="1"/>
      <c r="Q512" s="1"/>
      <c r="R512" s="1"/>
      <c r="S512" s="3"/>
      <c r="T512" s="3"/>
      <c r="U512" s="3"/>
      <c r="V512" s="3"/>
      <c r="W512" s="3"/>
      <c r="X512" s="3"/>
      <c r="Y512" s="3">
        <v>2470</v>
      </c>
      <c r="Z512" s="27" t="s">
        <v>197</v>
      </c>
      <c r="AA512" t="s">
        <v>205</v>
      </c>
    </row>
    <row r="513" spans="1:27" x14ac:dyDescent="0.25">
      <c r="A513" s="12">
        <v>123</v>
      </c>
      <c r="B513" s="12">
        <v>3</v>
      </c>
      <c r="C513">
        <f t="shared" si="66"/>
        <v>12303</v>
      </c>
      <c r="D513" s="3" t="s">
        <v>86</v>
      </c>
      <c r="E513" s="11">
        <f t="shared" si="67"/>
        <v>-22.450555555555553</v>
      </c>
      <c r="F513" s="11">
        <f t="shared" si="68"/>
        <v>-40.411666666666662</v>
      </c>
      <c r="G513" s="12" t="s">
        <v>95</v>
      </c>
      <c r="H513" s="12" t="s">
        <v>13</v>
      </c>
      <c r="I513" s="4">
        <v>38718</v>
      </c>
      <c r="J513" s="12" t="s">
        <v>201</v>
      </c>
      <c r="K513" s="2">
        <v>0</v>
      </c>
      <c r="L513" s="2"/>
      <c r="M513" s="20"/>
      <c r="N513" s="3">
        <v>13100</v>
      </c>
      <c r="O513" s="8"/>
      <c r="P513" s="1"/>
      <c r="Q513" s="1"/>
      <c r="R513" s="1"/>
      <c r="S513" s="3"/>
      <c r="T513" s="3"/>
      <c r="U513" s="3"/>
      <c r="V513" s="3"/>
      <c r="W513" s="3"/>
      <c r="X513" s="3"/>
      <c r="Y513" s="3">
        <v>23600</v>
      </c>
      <c r="Z513" s="27" t="s">
        <v>197</v>
      </c>
      <c r="AA513" t="s">
        <v>205</v>
      </c>
    </row>
    <row r="514" spans="1:27" x14ac:dyDescent="0.25">
      <c r="A514" s="12">
        <v>123</v>
      </c>
      <c r="B514" s="12">
        <v>3</v>
      </c>
      <c r="C514">
        <f t="shared" si="66"/>
        <v>12303</v>
      </c>
      <c r="D514" s="3" t="s">
        <v>86</v>
      </c>
      <c r="E514" s="11">
        <f t="shared" si="67"/>
        <v>-22.450555555555553</v>
      </c>
      <c r="F514" s="11">
        <f t="shared" si="68"/>
        <v>-40.411666666666662</v>
      </c>
      <c r="G514" s="12" t="s">
        <v>95</v>
      </c>
      <c r="H514" s="12" t="s">
        <v>13</v>
      </c>
      <c r="I514" s="4">
        <v>38718</v>
      </c>
      <c r="J514" s="12" t="s">
        <v>201</v>
      </c>
      <c r="K514" s="2">
        <v>0</v>
      </c>
      <c r="L514" s="2"/>
      <c r="M514" s="20"/>
      <c r="N514" s="3">
        <v>12700</v>
      </c>
      <c r="O514" s="8"/>
      <c r="P514" s="1"/>
      <c r="Q514" s="1"/>
      <c r="R514" s="1"/>
      <c r="S514" s="3"/>
      <c r="T514" s="3"/>
      <c r="U514" s="3"/>
      <c r="V514" s="3"/>
      <c r="W514" s="3"/>
      <c r="X514" s="3"/>
      <c r="Y514" s="3">
        <v>23600</v>
      </c>
      <c r="Z514" s="27" t="s">
        <v>197</v>
      </c>
      <c r="AA514" t="s">
        <v>205</v>
      </c>
    </row>
    <row r="515" spans="1:27" x14ac:dyDescent="0.25">
      <c r="A515" s="12">
        <v>123</v>
      </c>
      <c r="B515" s="12">
        <v>3</v>
      </c>
      <c r="C515">
        <f t="shared" si="66"/>
        <v>12303</v>
      </c>
      <c r="D515" s="3" t="s">
        <v>86</v>
      </c>
      <c r="E515" s="11">
        <f t="shared" si="67"/>
        <v>-22.450555555555553</v>
      </c>
      <c r="F515" s="11">
        <f t="shared" si="68"/>
        <v>-40.411666666666662</v>
      </c>
      <c r="G515" s="12" t="s">
        <v>95</v>
      </c>
      <c r="H515" s="12" t="s">
        <v>13</v>
      </c>
      <c r="I515" s="4">
        <v>38718</v>
      </c>
      <c r="J515" s="12" t="s">
        <v>125</v>
      </c>
      <c r="K515" s="2">
        <v>0</v>
      </c>
      <c r="L515" s="2"/>
      <c r="M515" s="20"/>
      <c r="N515" s="3">
        <v>1360</v>
      </c>
      <c r="O515" s="8"/>
      <c r="P515" s="1"/>
      <c r="Q515" s="1"/>
      <c r="R515" s="1"/>
      <c r="S515" s="3"/>
      <c r="T515" s="3"/>
      <c r="U515" s="3"/>
      <c r="V515" s="3"/>
      <c r="W515" s="3"/>
      <c r="X515" s="3"/>
      <c r="Y515" s="3">
        <v>2540</v>
      </c>
      <c r="Z515" s="27" t="s">
        <v>197</v>
      </c>
      <c r="AA515" t="s">
        <v>205</v>
      </c>
    </row>
    <row r="516" spans="1:27" x14ac:dyDescent="0.25">
      <c r="A516" s="12">
        <v>123</v>
      </c>
      <c r="B516" s="12">
        <v>3</v>
      </c>
      <c r="C516">
        <f t="shared" si="66"/>
        <v>12303</v>
      </c>
      <c r="D516" s="3" t="s">
        <v>86</v>
      </c>
      <c r="E516" s="11">
        <f t="shared" si="67"/>
        <v>-22.450555555555553</v>
      </c>
      <c r="F516" s="11">
        <f t="shared" si="68"/>
        <v>-40.411666666666662</v>
      </c>
      <c r="G516" s="12" t="s">
        <v>95</v>
      </c>
      <c r="H516" s="12" t="s">
        <v>13</v>
      </c>
      <c r="I516" s="4">
        <v>38718</v>
      </c>
      <c r="J516" s="12" t="s">
        <v>196</v>
      </c>
      <c r="K516" s="2">
        <v>0</v>
      </c>
      <c r="L516" s="2"/>
      <c r="M516" s="20"/>
      <c r="N516" s="3">
        <v>760</v>
      </c>
      <c r="O516" s="8"/>
      <c r="P516" s="1"/>
      <c r="Q516" s="1"/>
      <c r="R516" s="1"/>
      <c r="S516" s="3"/>
      <c r="T516" s="3"/>
      <c r="U516" s="3"/>
      <c r="V516" s="3"/>
      <c r="W516" s="3"/>
      <c r="X516" s="3"/>
      <c r="Y516" s="3">
        <v>1440</v>
      </c>
      <c r="Z516" s="27" t="s">
        <v>197</v>
      </c>
      <c r="AA516" t="s">
        <v>205</v>
      </c>
    </row>
    <row r="517" spans="1:27" x14ac:dyDescent="0.25">
      <c r="A517" s="12">
        <v>123</v>
      </c>
      <c r="B517" s="12">
        <v>3</v>
      </c>
      <c r="C517">
        <f t="shared" si="66"/>
        <v>12303</v>
      </c>
      <c r="D517" s="3" t="s">
        <v>86</v>
      </c>
      <c r="E517" s="11">
        <f t="shared" si="67"/>
        <v>-22.450555555555553</v>
      </c>
      <c r="F517" s="11">
        <f t="shared" si="68"/>
        <v>-40.411666666666662</v>
      </c>
      <c r="G517" s="12" t="s">
        <v>95</v>
      </c>
      <c r="H517" s="12" t="s">
        <v>13</v>
      </c>
      <c r="I517" s="4">
        <v>38718</v>
      </c>
      <c r="J517" s="12" t="s">
        <v>201</v>
      </c>
      <c r="K517" s="2">
        <v>0</v>
      </c>
      <c r="L517" s="2"/>
      <c r="M517" s="20"/>
      <c r="N517" s="3">
        <v>1020</v>
      </c>
      <c r="O517" s="8"/>
      <c r="P517" s="1"/>
      <c r="Q517" s="1"/>
      <c r="R517" s="1"/>
      <c r="S517" s="3"/>
      <c r="T517" s="3"/>
      <c r="U517" s="3"/>
      <c r="V517" s="3"/>
      <c r="W517" s="3"/>
      <c r="X517" s="3"/>
      <c r="Y517" s="3">
        <v>2000</v>
      </c>
      <c r="Z517" s="27" t="s">
        <v>197</v>
      </c>
      <c r="AA517" t="s">
        <v>205</v>
      </c>
    </row>
    <row r="518" spans="1:27" x14ac:dyDescent="0.25">
      <c r="A518" s="12">
        <v>123</v>
      </c>
      <c r="B518" s="12">
        <v>3</v>
      </c>
      <c r="C518">
        <f t="shared" si="66"/>
        <v>12303</v>
      </c>
      <c r="D518" s="3" t="s">
        <v>86</v>
      </c>
      <c r="E518" s="11">
        <f t="shared" si="67"/>
        <v>-22.450555555555553</v>
      </c>
      <c r="F518" s="11">
        <f t="shared" si="68"/>
        <v>-40.411666666666662</v>
      </c>
      <c r="G518" s="12" t="s">
        <v>95</v>
      </c>
      <c r="H518" s="12" t="s">
        <v>13</v>
      </c>
      <c r="I518" s="4">
        <v>38718</v>
      </c>
      <c r="J518" s="12" t="s">
        <v>196</v>
      </c>
      <c r="K518" s="2">
        <v>0</v>
      </c>
      <c r="L518" s="2"/>
      <c r="M518" s="20"/>
      <c r="N518" s="3">
        <v>1210</v>
      </c>
      <c r="O518" s="8"/>
      <c r="P518" s="1"/>
      <c r="Q518" s="1"/>
      <c r="R518" s="1"/>
      <c r="S518" s="3"/>
      <c r="T518" s="3"/>
      <c r="U518" s="3"/>
      <c r="V518" s="3"/>
      <c r="W518" s="3"/>
      <c r="X518" s="3"/>
      <c r="Y518" s="3">
        <v>2390</v>
      </c>
      <c r="Z518" s="27" t="s">
        <v>197</v>
      </c>
      <c r="AA518" t="s">
        <v>205</v>
      </c>
    </row>
    <row r="519" spans="1:27" x14ac:dyDescent="0.25">
      <c r="A519" s="12">
        <v>123</v>
      </c>
      <c r="B519" s="12">
        <v>3</v>
      </c>
      <c r="C519">
        <f t="shared" si="66"/>
        <v>12303</v>
      </c>
      <c r="D519" s="3" t="s">
        <v>86</v>
      </c>
      <c r="E519" s="11">
        <f t="shared" si="67"/>
        <v>-22.450555555555553</v>
      </c>
      <c r="F519" s="11">
        <f t="shared" si="68"/>
        <v>-40.411666666666662</v>
      </c>
      <c r="G519" s="12" t="s">
        <v>95</v>
      </c>
      <c r="H519" s="12" t="s">
        <v>13</v>
      </c>
      <c r="I519" s="4">
        <v>38718</v>
      </c>
      <c r="J519" s="12" t="s">
        <v>125</v>
      </c>
      <c r="K519" s="2">
        <v>0</v>
      </c>
      <c r="L519" s="2"/>
      <c r="M519" s="20"/>
      <c r="N519" s="3">
        <v>11600</v>
      </c>
      <c r="O519" s="8"/>
      <c r="P519" s="1"/>
      <c r="Q519" s="1"/>
      <c r="R519" s="1"/>
      <c r="S519" s="3"/>
      <c r="T519" s="3"/>
      <c r="U519" s="3"/>
      <c r="V519" s="3"/>
      <c r="W519" s="3"/>
      <c r="X519" s="3"/>
      <c r="Y519" s="3">
        <v>24700</v>
      </c>
      <c r="Z519" s="27" t="s">
        <v>197</v>
      </c>
      <c r="AA519" t="s">
        <v>205</v>
      </c>
    </row>
    <row r="520" spans="1:27" x14ac:dyDescent="0.25">
      <c r="A520" s="12">
        <v>123</v>
      </c>
      <c r="B520" s="12">
        <v>3</v>
      </c>
      <c r="C520">
        <f t="shared" si="66"/>
        <v>12303</v>
      </c>
      <c r="D520" s="3" t="s">
        <v>86</v>
      </c>
      <c r="E520" s="11">
        <f t="shared" si="67"/>
        <v>-22.450555555555553</v>
      </c>
      <c r="F520" s="11">
        <f t="shared" si="68"/>
        <v>-40.411666666666662</v>
      </c>
      <c r="G520" s="12" t="s">
        <v>95</v>
      </c>
      <c r="H520" s="12" t="s">
        <v>13</v>
      </c>
      <c r="I520" s="4">
        <v>38718</v>
      </c>
      <c r="J520" s="12" t="s">
        <v>196</v>
      </c>
      <c r="K520" s="2">
        <v>0</v>
      </c>
      <c r="L520" s="2"/>
      <c r="M520" s="20"/>
      <c r="N520" s="3">
        <v>1310</v>
      </c>
      <c r="O520" s="8"/>
      <c r="P520" s="1"/>
      <c r="Q520" s="1"/>
      <c r="R520" s="1"/>
      <c r="S520" s="3"/>
      <c r="T520" s="3"/>
      <c r="U520" s="3"/>
      <c r="V520" s="3"/>
      <c r="W520" s="3"/>
      <c r="X520" s="3"/>
      <c r="Y520" s="3">
        <v>2910</v>
      </c>
      <c r="Z520" s="27" t="s">
        <v>197</v>
      </c>
      <c r="AA520" t="s">
        <v>205</v>
      </c>
    </row>
    <row r="521" spans="1:27" x14ac:dyDescent="0.25">
      <c r="A521" s="12">
        <v>123</v>
      </c>
      <c r="B521" s="12">
        <v>3</v>
      </c>
      <c r="C521">
        <f t="shared" si="66"/>
        <v>12303</v>
      </c>
      <c r="D521" s="3" t="s">
        <v>86</v>
      </c>
      <c r="E521" s="11">
        <f t="shared" si="67"/>
        <v>-22.450555555555553</v>
      </c>
      <c r="F521" s="11">
        <f t="shared" si="68"/>
        <v>-40.411666666666662</v>
      </c>
      <c r="G521" s="12" t="s">
        <v>95</v>
      </c>
      <c r="H521" s="12" t="s">
        <v>13</v>
      </c>
      <c r="I521" s="4">
        <v>38718</v>
      </c>
      <c r="J521" s="12" t="s">
        <v>196</v>
      </c>
      <c r="K521" s="2">
        <v>0</v>
      </c>
      <c r="L521" s="2"/>
      <c r="M521" s="20"/>
      <c r="N521" s="3">
        <v>5330</v>
      </c>
      <c r="O521" s="8"/>
      <c r="P521" s="1"/>
      <c r="Q521" s="1"/>
      <c r="R521" s="1"/>
      <c r="S521" s="3"/>
      <c r="T521" s="3"/>
      <c r="U521" s="3"/>
      <c r="V521" s="3"/>
      <c r="W521" s="3"/>
      <c r="X521" s="3"/>
      <c r="Y521" s="3">
        <v>12500</v>
      </c>
      <c r="Z521" s="27" t="s">
        <v>197</v>
      </c>
      <c r="AA521" t="s">
        <v>205</v>
      </c>
    </row>
    <row r="522" spans="1:27" x14ac:dyDescent="0.25">
      <c r="A522" s="12">
        <v>123</v>
      </c>
      <c r="B522" s="12">
        <v>3</v>
      </c>
      <c r="C522">
        <f t="shared" si="66"/>
        <v>12303</v>
      </c>
      <c r="D522" s="3" t="s">
        <v>86</v>
      </c>
      <c r="E522" s="11">
        <f t="shared" si="67"/>
        <v>-22.450555555555553</v>
      </c>
      <c r="F522" s="11">
        <f t="shared" si="68"/>
        <v>-40.411666666666662</v>
      </c>
      <c r="G522" s="12" t="s">
        <v>95</v>
      </c>
      <c r="H522" s="12" t="s">
        <v>13</v>
      </c>
      <c r="I522" s="4">
        <v>38718</v>
      </c>
      <c r="J522" s="12" t="s">
        <v>196</v>
      </c>
      <c r="K522" s="2">
        <v>0</v>
      </c>
      <c r="L522" s="2"/>
      <c r="M522" s="20"/>
      <c r="N522" s="3">
        <v>260</v>
      </c>
      <c r="O522" s="8"/>
      <c r="P522" s="1"/>
      <c r="Q522" s="1"/>
      <c r="R522" s="1"/>
      <c r="S522" s="3"/>
      <c r="T522" s="3"/>
      <c r="U522" s="3"/>
      <c r="V522" s="3"/>
      <c r="W522" s="3"/>
      <c r="X522" s="3"/>
      <c r="Y522" s="3">
        <v>690</v>
      </c>
      <c r="Z522" s="27" t="s">
        <v>197</v>
      </c>
      <c r="AA522" t="s">
        <v>205</v>
      </c>
    </row>
    <row r="523" spans="1:27" x14ac:dyDescent="0.25">
      <c r="A523" s="12">
        <v>124</v>
      </c>
      <c r="B523">
        <v>1</v>
      </c>
      <c r="C523">
        <f t="shared" si="66"/>
        <v>12401</v>
      </c>
      <c r="D523" s="3" t="s">
        <v>86</v>
      </c>
      <c r="E523" s="11">
        <f>65+4/60+5.07/3600</f>
        <v>65.068074999999993</v>
      </c>
      <c r="F523" s="11">
        <f>6+36/60+40.44/3600</f>
        <v>6.6112333333333329</v>
      </c>
      <c r="G523" s="12" t="s">
        <v>144</v>
      </c>
      <c r="H523" s="12" t="s">
        <v>47</v>
      </c>
      <c r="I523">
        <v>2002</v>
      </c>
      <c r="J523" s="12" t="s">
        <v>163</v>
      </c>
      <c r="K523" s="2">
        <v>0</v>
      </c>
      <c r="L523" s="2"/>
      <c r="M523" s="33">
        <v>3.1549999999999998</v>
      </c>
      <c r="N523" s="33"/>
      <c r="O523" s="8"/>
      <c r="P523" s="1"/>
      <c r="Q523" s="1"/>
      <c r="R523" s="1"/>
      <c r="S523" s="3"/>
      <c r="T523" s="3"/>
      <c r="U523" s="3"/>
      <c r="V523" s="3"/>
      <c r="W523" s="3"/>
      <c r="X523" s="3"/>
      <c r="Y523" s="3"/>
      <c r="Z523" s="27" t="s">
        <v>247</v>
      </c>
      <c r="AA523" t="s">
        <v>424</v>
      </c>
    </row>
    <row r="524" spans="1:27" x14ac:dyDescent="0.25">
      <c r="A524" s="12">
        <v>124</v>
      </c>
      <c r="B524">
        <v>1</v>
      </c>
      <c r="C524">
        <f t="shared" si="66"/>
        <v>12401</v>
      </c>
      <c r="D524" s="3" t="s">
        <v>86</v>
      </c>
      <c r="E524" s="11">
        <f t="shared" ref="E524:E542" si="69">65+4/60+5.07/3600</f>
        <v>65.068074999999993</v>
      </c>
      <c r="F524" s="11">
        <f t="shared" ref="F524:F542" si="70">6+36/60+40.44/3600</f>
        <v>6.6112333333333329</v>
      </c>
      <c r="G524" s="12" t="s">
        <v>144</v>
      </c>
      <c r="H524" s="12" t="s">
        <v>47</v>
      </c>
      <c r="I524">
        <v>2003</v>
      </c>
      <c r="J524" s="12" t="s">
        <v>163</v>
      </c>
      <c r="K524" s="2">
        <v>0</v>
      </c>
      <c r="L524" s="2"/>
      <c r="M524" s="33">
        <v>0.9758</v>
      </c>
      <c r="N524" s="33"/>
      <c r="O524" s="8"/>
      <c r="P524" s="1"/>
      <c r="Q524" s="1"/>
      <c r="R524" s="1"/>
      <c r="S524" s="3"/>
      <c r="T524" s="3"/>
      <c r="U524" s="3"/>
      <c r="V524" s="3"/>
      <c r="W524" s="3"/>
      <c r="X524" s="3"/>
      <c r="Y524" s="3"/>
      <c r="Z524" s="27" t="s">
        <v>247</v>
      </c>
      <c r="AA524" t="s">
        <v>424</v>
      </c>
    </row>
    <row r="525" spans="1:27" x14ac:dyDescent="0.25">
      <c r="A525" s="12">
        <v>124</v>
      </c>
      <c r="B525">
        <v>1</v>
      </c>
      <c r="C525">
        <f t="shared" si="66"/>
        <v>12401</v>
      </c>
      <c r="D525" s="3" t="s">
        <v>86</v>
      </c>
      <c r="E525" s="11">
        <f t="shared" si="69"/>
        <v>65.068074999999993</v>
      </c>
      <c r="F525" s="11">
        <f t="shared" si="70"/>
        <v>6.6112333333333329</v>
      </c>
      <c r="G525" s="12" t="s">
        <v>144</v>
      </c>
      <c r="H525" s="12" t="s">
        <v>47</v>
      </c>
      <c r="I525">
        <v>2004</v>
      </c>
      <c r="J525" s="12" t="s">
        <v>163</v>
      </c>
      <c r="K525" s="2">
        <v>0</v>
      </c>
      <c r="L525" s="2"/>
      <c r="M525" s="33">
        <v>1.3351480145000001</v>
      </c>
      <c r="N525" s="33"/>
      <c r="O525" s="8"/>
      <c r="P525" s="1"/>
      <c r="Q525" s="1"/>
      <c r="R525" s="1"/>
      <c r="S525" s="3"/>
      <c r="T525" s="3"/>
      <c r="U525" s="3"/>
      <c r="V525" s="3"/>
      <c r="W525" s="3"/>
      <c r="X525" s="3"/>
      <c r="Y525" s="3"/>
      <c r="Z525" s="27" t="s">
        <v>247</v>
      </c>
      <c r="AA525" t="s">
        <v>424</v>
      </c>
    </row>
    <row r="526" spans="1:27" x14ac:dyDescent="0.25">
      <c r="A526" s="12">
        <v>124</v>
      </c>
      <c r="B526">
        <v>1</v>
      </c>
      <c r="C526">
        <f t="shared" si="66"/>
        <v>12401</v>
      </c>
      <c r="D526" s="3" t="s">
        <v>86</v>
      </c>
      <c r="E526" s="11">
        <f t="shared" si="69"/>
        <v>65.068074999999993</v>
      </c>
      <c r="F526" s="11">
        <f t="shared" si="70"/>
        <v>6.6112333333333329</v>
      </c>
      <c r="G526" s="12" t="s">
        <v>144</v>
      </c>
      <c r="H526" s="12" t="s">
        <v>47</v>
      </c>
      <c r="I526">
        <v>2005</v>
      </c>
      <c r="J526" s="12" t="s">
        <v>163</v>
      </c>
      <c r="K526" s="2">
        <v>0</v>
      </c>
      <c r="L526" s="2"/>
      <c r="M526" s="33">
        <v>1.066142331</v>
      </c>
      <c r="N526" s="33">
        <v>1.1805746054999999</v>
      </c>
      <c r="O526" s="8"/>
      <c r="P526" s="1"/>
      <c r="Q526" s="1"/>
      <c r="R526" s="1"/>
      <c r="S526" s="3"/>
      <c r="T526" s="3"/>
      <c r="U526" s="3"/>
      <c r="V526" s="3"/>
      <c r="W526" s="3"/>
      <c r="X526" s="3"/>
      <c r="Y526" s="3"/>
      <c r="Z526" s="27" t="s">
        <v>247</v>
      </c>
      <c r="AA526" t="s">
        <v>424</v>
      </c>
    </row>
    <row r="527" spans="1:27" x14ac:dyDescent="0.25">
      <c r="A527" s="12">
        <v>124</v>
      </c>
      <c r="B527">
        <v>1</v>
      </c>
      <c r="C527">
        <f t="shared" si="66"/>
        <v>12401</v>
      </c>
      <c r="D527" s="3" t="s">
        <v>86</v>
      </c>
      <c r="E527" s="11">
        <f t="shared" si="69"/>
        <v>65.068074999999993</v>
      </c>
      <c r="F527" s="11">
        <f t="shared" si="70"/>
        <v>6.6112333333333329</v>
      </c>
      <c r="G527" s="12" t="s">
        <v>144</v>
      </c>
      <c r="H527" s="12" t="s">
        <v>47</v>
      </c>
      <c r="I527">
        <v>2006</v>
      </c>
      <c r="J527" s="12" t="s">
        <v>163</v>
      </c>
      <c r="K527" s="2">
        <v>0</v>
      </c>
      <c r="L527" s="2"/>
      <c r="M527" s="33">
        <v>1.7935127515</v>
      </c>
      <c r="N527" s="33">
        <v>1.5228769085</v>
      </c>
      <c r="O527" s="8"/>
      <c r="P527" s="1"/>
      <c r="Q527" s="1"/>
      <c r="R527" s="1"/>
      <c r="S527" s="3"/>
      <c r="T527" s="3"/>
      <c r="U527" s="3"/>
      <c r="V527" s="3"/>
      <c r="W527" s="3"/>
      <c r="X527" s="3"/>
      <c r="Y527" s="3"/>
      <c r="Z527" s="27" t="s">
        <v>247</v>
      </c>
      <c r="AA527" t="s">
        <v>424</v>
      </c>
    </row>
    <row r="528" spans="1:27" x14ac:dyDescent="0.25">
      <c r="A528" s="12">
        <v>124</v>
      </c>
      <c r="B528">
        <v>1</v>
      </c>
      <c r="C528">
        <f t="shared" si="66"/>
        <v>12401</v>
      </c>
      <c r="D528" s="3" t="s">
        <v>86</v>
      </c>
      <c r="E528" s="11">
        <f t="shared" si="69"/>
        <v>65.068074999999993</v>
      </c>
      <c r="F528" s="11">
        <f t="shared" si="70"/>
        <v>6.6112333333333329</v>
      </c>
      <c r="G528" s="12" t="s">
        <v>144</v>
      </c>
      <c r="H528" s="12" t="s">
        <v>47</v>
      </c>
      <c r="I528">
        <v>2007</v>
      </c>
      <c r="J528" s="12" t="s">
        <v>163</v>
      </c>
      <c r="K528" s="2">
        <v>0</v>
      </c>
      <c r="L528" s="2"/>
      <c r="M528" s="33">
        <v>3.3079049999999999</v>
      </c>
      <c r="N528" s="33">
        <v>3.4142350000000001</v>
      </c>
      <c r="O528" s="8"/>
      <c r="P528" s="1"/>
      <c r="Q528" s="1"/>
      <c r="R528" s="1"/>
      <c r="S528" s="3"/>
      <c r="T528" s="3"/>
      <c r="U528" s="3"/>
      <c r="V528" s="3"/>
      <c r="W528" s="3"/>
      <c r="X528" s="3"/>
      <c r="Y528" s="3"/>
      <c r="Z528" s="27" t="s">
        <v>247</v>
      </c>
      <c r="AA528" t="s">
        <v>424</v>
      </c>
    </row>
    <row r="529" spans="1:27" x14ac:dyDescent="0.25">
      <c r="A529" s="12">
        <v>124</v>
      </c>
      <c r="B529">
        <v>1</v>
      </c>
      <c r="C529">
        <f t="shared" si="66"/>
        <v>12401</v>
      </c>
      <c r="D529" s="3" t="s">
        <v>86</v>
      </c>
      <c r="E529" s="11">
        <f t="shared" si="69"/>
        <v>65.068074999999993</v>
      </c>
      <c r="F529" s="11">
        <f t="shared" si="70"/>
        <v>6.6112333333333329</v>
      </c>
      <c r="G529" s="12" t="s">
        <v>144</v>
      </c>
      <c r="H529" s="12" t="s">
        <v>47</v>
      </c>
      <c r="I529">
        <v>2008</v>
      </c>
      <c r="J529" s="12" t="s">
        <v>163</v>
      </c>
      <c r="K529" s="2">
        <v>0</v>
      </c>
      <c r="L529" s="2"/>
      <c r="M529" s="33">
        <v>3.3104009479999998</v>
      </c>
      <c r="N529" s="33">
        <v>3.6403722319999998</v>
      </c>
      <c r="O529" s="8"/>
      <c r="P529" s="1"/>
      <c r="Q529" s="1"/>
      <c r="R529" s="1"/>
      <c r="S529" s="3"/>
      <c r="T529" s="3"/>
      <c r="U529" s="3"/>
      <c r="V529" s="3"/>
      <c r="W529" s="3"/>
      <c r="X529" s="3"/>
      <c r="Y529" s="3"/>
      <c r="Z529" s="27" t="s">
        <v>247</v>
      </c>
      <c r="AA529" t="s">
        <v>424</v>
      </c>
    </row>
    <row r="530" spans="1:27" x14ac:dyDescent="0.25">
      <c r="A530" s="12">
        <v>124</v>
      </c>
      <c r="B530">
        <v>1</v>
      </c>
      <c r="C530">
        <f t="shared" si="66"/>
        <v>12401</v>
      </c>
      <c r="D530" s="3" t="s">
        <v>86</v>
      </c>
      <c r="E530" s="11">
        <f t="shared" si="69"/>
        <v>65.068074999999993</v>
      </c>
      <c r="F530" s="11">
        <f t="shared" si="70"/>
        <v>6.6112333333333329</v>
      </c>
      <c r="G530" s="12" t="s">
        <v>144</v>
      </c>
      <c r="H530" s="12" t="s">
        <v>47</v>
      </c>
      <c r="I530">
        <v>2009</v>
      </c>
      <c r="J530" s="12" t="s">
        <v>163</v>
      </c>
      <c r="K530" s="2">
        <v>0</v>
      </c>
      <c r="L530" s="2"/>
      <c r="M530" s="33">
        <v>5.0247277390000002</v>
      </c>
      <c r="N530" s="33">
        <v>4.9311617625000004</v>
      </c>
      <c r="O530" s="8"/>
      <c r="P530" s="1"/>
      <c r="Q530" s="1"/>
      <c r="R530" s="1"/>
      <c r="S530" s="3"/>
      <c r="T530" s="3"/>
      <c r="U530" s="3"/>
      <c r="V530" s="3"/>
      <c r="W530" s="3"/>
      <c r="X530" s="3"/>
      <c r="Y530" s="3"/>
      <c r="Z530" s="27" t="s">
        <v>247</v>
      </c>
      <c r="AA530" t="s">
        <v>424</v>
      </c>
    </row>
    <row r="531" spans="1:27" x14ac:dyDescent="0.25">
      <c r="A531" s="12">
        <v>124</v>
      </c>
      <c r="B531">
        <v>1</v>
      </c>
      <c r="C531">
        <f t="shared" si="66"/>
        <v>12401</v>
      </c>
      <c r="D531" s="3" t="s">
        <v>86</v>
      </c>
      <c r="E531" s="11">
        <f t="shared" si="69"/>
        <v>65.068074999999993</v>
      </c>
      <c r="F531" s="11">
        <f t="shared" si="70"/>
        <v>6.6112333333333329</v>
      </c>
      <c r="G531" s="12" t="s">
        <v>144</v>
      </c>
      <c r="H531" s="12" t="s">
        <v>47</v>
      </c>
      <c r="I531">
        <v>2010</v>
      </c>
      <c r="J531" s="12" t="s">
        <v>163</v>
      </c>
      <c r="K531" s="2">
        <v>0</v>
      </c>
      <c r="L531" s="2"/>
      <c r="M531" s="33">
        <v>4.9106225449999998</v>
      </c>
      <c r="N531" s="33">
        <v>5.3945184609999997</v>
      </c>
      <c r="O531" s="8"/>
      <c r="P531" s="1"/>
      <c r="Q531" s="1"/>
      <c r="R531" s="1"/>
      <c r="S531" s="3"/>
      <c r="T531" s="3"/>
      <c r="U531" s="3"/>
      <c r="V531" s="3"/>
      <c r="W531" s="3"/>
      <c r="X531" s="3"/>
      <c r="Y531" s="3"/>
      <c r="Z531" s="27" t="s">
        <v>247</v>
      </c>
      <c r="AA531" t="s">
        <v>424</v>
      </c>
    </row>
    <row r="532" spans="1:27" x14ac:dyDescent="0.25">
      <c r="A532" s="12">
        <v>124</v>
      </c>
      <c r="B532">
        <v>1</v>
      </c>
      <c r="C532">
        <f t="shared" si="66"/>
        <v>12401</v>
      </c>
      <c r="D532" s="3" t="s">
        <v>86</v>
      </c>
      <c r="E532" s="11">
        <f t="shared" si="69"/>
        <v>65.068074999999993</v>
      </c>
      <c r="F532" s="11">
        <f t="shared" si="70"/>
        <v>6.6112333333333329</v>
      </c>
      <c r="G532" s="12" t="s">
        <v>144</v>
      </c>
      <c r="H532" s="12" t="s">
        <v>47</v>
      </c>
      <c r="I532">
        <v>2011</v>
      </c>
      <c r="J532" s="12" t="s">
        <v>163</v>
      </c>
      <c r="K532" s="2">
        <v>0</v>
      </c>
      <c r="L532" s="2"/>
      <c r="M532" s="33">
        <v>4.9170279299999997</v>
      </c>
      <c r="N532" s="33">
        <v>4.7403484369999997</v>
      </c>
      <c r="O532" s="8"/>
      <c r="P532" s="1"/>
      <c r="Q532" s="1"/>
      <c r="R532" s="1"/>
      <c r="S532" s="3"/>
      <c r="T532" s="3"/>
      <c r="U532" s="3"/>
      <c r="V532" s="3"/>
      <c r="W532" s="3"/>
      <c r="X532" s="3"/>
      <c r="Y532" s="3"/>
      <c r="Z532" s="27" t="s">
        <v>247</v>
      </c>
      <c r="AA532" t="s">
        <v>424</v>
      </c>
    </row>
    <row r="533" spans="1:27" x14ac:dyDescent="0.25">
      <c r="A533" s="12">
        <v>124</v>
      </c>
      <c r="B533">
        <v>1</v>
      </c>
      <c r="C533">
        <f t="shared" si="66"/>
        <v>12401</v>
      </c>
      <c r="D533" s="3" t="s">
        <v>86</v>
      </c>
      <c r="E533" s="11">
        <f t="shared" si="69"/>
        <v>65.068074999999993</v>
      </c>
      <c r="F533" s="11">
        <f t="shared" si="70"/>
        <v>6.6112333333333329</v>
      </c>
      <c r="G533" s="12" t="s">
        <v>144</v>
      </c>
      <c r="H533" s="12" t="s">
        <v>47</v>
      </c>
      <c r="I533">
        <v>2012</v>
      </c>
      <c r="J533" s="12" t="s">
        <v>163</v>
      </c>
      <c r="K533" s="2">
        <v>0</v>
      </c>
      <c r="L533" s="2"/>
      <c r="M533" s="33">
        <v>4.8493075000000001</v>
      </c>
      <c r="N533" s="33">
        <v>3.9023326666666698</v>
      </c>
      <c r="O533" s="8"/>
      <c r="P533" s="1"/>
      <c r="Q533" s="1"/>
      <c r="R533" s="1"/>
      <c r="S533" s="3"/>
      <c r="T533" s="3"/>
      <c r="U533" s="3"/>
      <c r="V533" s="3"/>
      <c r="W533" s="3"/>
      <c r="X533" s="3"/>
      <c r="Y533" s="3"/>
      <c r="Z533" s="27" t="s">
        <v>247</v>
      </c>
      <c r="AA533" t="s">
        <v>424</v>
      </c>
    </row>
    <row r="534" spans="1:27" x14ac:dyDescent="0.25">
      <c r="A534" s="12">
        <v>124</v>
      </c>
      <c r="B534">
        <v>1</v>
      </c>
      <c r="C534">
        <f t="shared" si="66"/>
        <v>12401</v>
      </c>
      <c r="D534" s="3" t="s">
        <v>86</v>
      </c>
      <c r="E534" s="11">
        <f t="shared" si="69"/>
        <v>65.068074999999993</v>
      </c>
      <c r="F534" s="11">
        <f t="shared" si="70"/>
        <v>6.6112333333333329</v>
      </c>
      <c r="G534" s="12" t="s">
        <v>144</v>
      </c>
      <c r="H534" s="12" t="s">
        <v>47</v>
      </c>
      <c r="I534">
        <v>2013</v>
      </c>
      <c r="J534" s="12" t="s">
        <v>163</v>
      </c>
      <c r="K534" s="2">
        <v>0</v>
      </c>
      <c r="L534" s="2"/>
      <c r="M534" s="33">
        <v>5.1758401244256298</v>
      </c>
      <c r="N534" s="33">
        <v>4.4790107637174996</v>
      </c>
      <c r="O534" s="8"/>
      <c r="P534" s="1"/>
      <c r="Q534" s="1"/>
      <c r="R534" s="1"/>
      <c r="S534" s="3"/>
      <c r="T534" s="3"/>
      <c r="U534" s="3"/>
      <c r="V534" s="3"/>
      <c r="W534" s="3"/>
      <c r="X534" s="3"/>
      <c r="Y534" s="3"/>
      <c r="Z534" s="27" t="s">
        <v>247</v>
      </c>
      <c r="AA534" t="s">
        <v>424</v>
      </c>
    </row>
    <row r="535" spans="1:27" x14ac:dyDescent="0.25">
      <c r="A535" s="12">
        <v>124</v>
      </c>
      <c r="B535">
        <v>1</v>
      </c>
      <c r="C535">
        <f t="shared" si="66"/>
        <v>12401</v>
      </c>
      <c r="D535" s="3" t="s">
        <v>86</v>
      </c>
      <c r="E535" s="11">
        <f t="shared" si="69"/>
        <v>65.068074999999993</v>
      </c>
      <c r="F535" s="11">
        <f t="shared" si="70"/>
        <v>6.6112333333333329</v>
      </c>
      <c r="G535" s="12" t="s">
        <v>144</v>
      </c>
      <c r="H535" s="12" t="s">
        <v>47</v>
      </c>
      <c r="I535">
        <v>2014</v>
      </c>
      <c r="J535" s="12" t="s">
        <v>163</v>
      </c>
      <c r="K535" s="2">
        <v>0</v>
      </c>
      <c r="L535" s="2"/>
      <c r="M535" s="33">
        <v>5.2826225805749996</v>
      </c>
      <c r="N535" s="33">
        <v>4.0541336131524996</v>
      </c>
      <c r="O535" s="8"/>
      <c r="P535" s="1"/>
      <c r="Q535" s="1"/>
      <c r="R535" s="1"/>
      <c r="S535" s="3"/>
      <c r="T535" s="3"/>
      <c r="U535" s="3"/>
      <c r="V535" s="3"/>
      <c r="W535" s="3"/>
      <c r="X535" s="3"/>
      <c r="Y535" s="3"/>
      <c r="Z535" s="27" t="s">
        <v>247</v>
      </c>
      <c r="AA535" t="s">
        <v>424</v>
      </c>
    </row>
    <row r="536" spans="1:27" x14ac:dyDescent="0.25">
      <c r="A536" s="12">
        <v>124</v>
      </c>
      <c r="B536">
        <v>1</v>
      </c>
      <c r="C536">
        <f t="shared" si="66"/>
        <v>12401</v>
      </c>
      <c r="D536" s="3" t="s">
        <v>86</v>
      </c>
      <c r="E536" s="11">
        <f t="shared" si="69"/>
        <v>65.068074999999993</v>
      </c>
      <c r="F536" s="11">
        <f t="shared" si="70"/>
        <v>6.6112333333333329</v>
      </c>
      <c r="G536" s="12" t="s">
        <v>144</v>
      </c>
      <c r="H536" s="12" t="s">
        <v>47</v>
      </c>
      <c r="I536">
        <v>2015</v>
      </c>
      <c r="J536" s="12" t="s">
        <v>163</v>
      </c>
      <c r="K536" s="2">
        <v>0</v>
      </c>
      <c r="L536" s="2"/>
      <c r="M536" s="33">
        <v>5.0769541001813199</v>
      </c>
      <c r="N536" s="33">
        <v>3.88045590633013</v>
      </c>
      <c r="O536" s="8"/>
      <c r="P536" s="1"/>
      <c r="Q536" s="1"/>
      <c r="R536" s="1"/>
      <c r="S536" s="3"/>
      <c r="T536" s="3"/>
      <c r="U536" s="3"/>
      <c r="V536" s="3"/>
      <c r="W536" s="3"/>
      <c r="X536" s="3"/>
      <c r="Y536" s="3"/>
      <c r="Z536" s="27" t="s">
        <v>247</v>
      </c>
      <c r="AA536" t="s">
        <v>424</v>
      </c>
    </row>
    <row r="537" spans="1:27" x14ac:dyDescent="0.25">
      <c r="A537" s="12">
        <v>124</v>
      </c>
      <c r="B537">
        <v>1</v>
      </c>
      <c r="C537">
        <f t="shared" si="66"/>
        <v>12401</v>
      </c>
      <c r="D537" s="3" t="s">
        <v>86</v>
      </c>
      <c r="E537" s="11">
        <f t="shared" si="69"/>
        <v>65.068074999999993</v>
      </c>
      <c r="F537" s="11">
        <f t="shared" si="70"/>
        <v>6.6112333333333329</v>
      </c>
      <c r="G537" s="12" t="s">
        <v>144</v>
      </c>
      <c r="H537" s="12" t="s">
        <v>47</v>
      </c>
      <c r="I537">
        <v>2016</v>
      </c>
      <c r="J537" s="12" t="s">
        <v>163</v>
      </c>
      <c r="K537" s="2">
        <v>0</v>
      </c>
      <c r="L537" s="2"/>
      <c r="M537" s="33">
        <v>6.65449334314998</v>
      </c>
      <c r="N537" s="33">
        <v>5.4296928286461501</v>
      </c>
      <c r="O537" s="8"/>
      <c r="P537" s="1"/>
      <c r="Q537" s="1"/>
      <c r="R537" s="1"/>
      <c r="S537" s="3"/>
      <c r="T537" s="3"/>
      <c r="U537" s="3"/>
      <c r="V537" s="3"/>
      <c r="W537" s="3"/>
      <c r="X537" s="3"/>
      <c r="Y537" s="3"/>
      <c r="Z537" s="27" t="s">
        <v>247</v>
      </c>
      <c r="AA537" t="s">
        <v>424</v>
      </c>
    </row>
    <row r="538" spans="1:27" x14ac:dyDescent="0.25">
      <c r="A538" s="12">
        <v>124</v>
      </c>
      <c r="B538">
        <v>1</v>
      </c>
      <c r="C538">
        <f t="shared" si="66"/>
        <v>12401</v>
      </c>
      <c r="D538" s="3" t="s">
        <v>86</v>
      </c>
      <c r="E538" s="11">
        <f t="shared" si="69"/>
        <v>65.068074999999993</v>
      </c>
      <c r="F538" s="11">
        <f t="shared" si="70"/>
        <v>6.6112333333333329</v>
      </c>
      <c r="G538" s="12" t="s">
        <v>144</v>
      </c>
      <c r="H538" s="12" t="s">
        <v>47</v>
      </c>
      <c r="I538">
        <v>2017</v>
      </c>
      <c r="J538" s="12" t="s">
        <v>163</v>
      </c>
      <c r="K538" s="2">
        <v>0</v>
      </c>
      <c r="L538" s="2"/>
      <c r="M538" s="33">
        <v>5.4681438806700902</v>
      </c>
      <c r="N538" s="33">
        <v>5.0690880942793699</v>
      </c>
      <c r="O538" s="8"/>
      <c r="P538" s="1"/>
      <c r="Q538" s="1"/>
      <c r="R538" s="1"/>
      <c r="S538" s="3"/>
      <c r="T538" s="3"/>
      <c r="U538" s="3"/>
      <c r="V538" s="3"/>
      <c r="W538" s="3"/>
      <c r="X538" s="3"/>
      <c r="Y538" s="3"/>
      <c r="Z538" s="27" t="s">
        <v>247</v>
      </c>
      <c r="AA538" t="s">
        <v>424</v>
      </c>
    </row>
    <row r="539" spans="1:27" x14ac:dyDescent="0.25">
      <c r="A539" s="12">
        <v>124</v>
      </c>
      <c r="B539">
        <v>1</v>
      </c>
      <c r="C539">
        <f t="shared" si="66"/>
        <v>12401</v>
      </c>
      <c r="D539" s="3" t="s">
        <v>86</v>
      </c>
      <c r="E539" s="11">
        <f t="shared" si="69"/>
        <v>65.068074999999993</v>
      </c>
      <c r="F539" s="11">
        <f t="shared" si="70"/>
        <v>6.6112333333333329</v>
      </c>
      <c r="G539" s="12" t="s">
        <v>144</v>
      </c>
      <c r="H539" s="12" t="s">
        <v>47</v>
      </c>
      <c r="I539">
        <v>2018</v>
      </c>
      <c r="J539" s="12" t="s">
        <v>163</v>
      </c>
      <c r="K539" s="2">
        <v>0</v>
      </c>
      <c r="L539" s="2"/>
      <c r="M539" s="33">
        <v>5.1042056538072398</v>
      </c>
      <c r="N539" s="33">
        <v>4.6859414240081998</v>
      </c>
      <c r="O539" s="8"/>
      <c r="P539" s="1"/>
      <c r="Q539" s="1"/>
      <c r="R539" s="1"/>
      <c r="S539" s="3"/>
      <c r="T539" s="3"/>
      <c r="U539" s="3"/>
      <c r="V539" s="3"/>
      <c r="W539" s="3"/>
      <c r="X539" s="3"/>
      <c r="Y539" s="3"/>
      <c r="Z539" s="27" t="s">
        <v>247</v>
      </c>
      <c r="AA539" t="s">
        <v>424</v>
      </c>
    </row>
    <row r="540" spans="1:27" x14ac:dyDescent="0.25">
      <c r="A540" s="12">
        <v>124</v>
      </c>
      <c r="B540">
        <v>1</v>
      </c>
      <c r="C540">
        <f t="shared" si="66"/>
        <v>12401</v>
      </c>
      <c r="D540" s="3" t="s">
        <v>86</v>
      </c>
      <c r="E540" s="11">
        <f t="shared" si="69"/>
        <v>65.068074999999993</v>
      </c>
      <c r="F540" s="11">
        <f t="shared" si="70"/>
        <v>6.6112333333333329</v>
      </c>
      <c r="G540" s="12" t="s">
        <v>144</v>
      </c>
      <c r="H540" s="12" t="s">
        <v>47</v>
      </c>
      <c r="I540">
        <v>2019</v>
      </c>
      <c r="J540" s="12" t="s">
        <v>163</v>
      </c>
      <c r="K540" s="2">
        <v>0</v>
      </c>
      <c r="L540" s="2"/>
      <c r="M540" s="33">
        <v>5.5990909090909096</v>
      </c>
      <c r="N540" s="33">
        <v>5.75416666666667</v>
      </c>
      <c r="O540" s="8"/>
      <c r="P540" s="1"/>
      <c r="Q540" s="1"/>
      <c r="R540" s="1"/>
      <c r="S540" s="3"/>
      <c r="T540" s="3"/>
      <c r="U540" s="3"/>
      <c r="V540" s="3"/>
      <c r="W540" s="3"/>
      <c r="X540" s="3"/>
      <c r="Y540" s="3"/>
      <c r="Z540" s="27" t="s">
        <v>247</v>
      </c>
      <c r="AA540" t="s">
        <v>424</v>
      </c>
    </row>
    <row r="541" spans="1:27" x14ac:dyDescent="0.25">
      <c r="A541" s="12">
        <v>124</v>
      </c>
      <c r="B541">
        <v>1</v>
      </c>
      <c r="C541">
        <f t="shared" si="66"/>
        <v>12401</v>
      </c>
      <c r="D541" s="3" t="s">
        <v>86</v>
      </c>
      <c r="E541" s="11">
        <f t="shared" si="69"/>
        <v>65.068074999999993</v>
      </c>
      <c r="F541" s="11">
        <f t="shared" si="70"/>
        <v>6.6112333333333329</v>
      </c>
      <c r="G541" s="12" t="s">
        <v>144</v>
      </c>
      <c r="H541" s="12" t="s">
        <v>47</v>
      </c>
      <c r="I541">
        <v>2020</v>
      </c>
      <c r="J541" s="12" t="s">
        <v>163</v>
      </c>
      <c r="K541" s="2">
        <v>0</v>
      </c>
      <c r="L541" s="2"/>
      <c r="M541" s="33">
        <v>5.62158333333333</v>
      </c>
      <c r="N541" s="33">
        <v>5.9059166666666698</v>
      </c>
      <c r="O541" s="8"/>
      <c r="P541" s="1"/>
      <c r="Q541" s="1"/>
      <c r="R541" s="1"/>
      <c r="S541" s="3"/>
      <c r="T541" s="3"/>
      <c r="U541" s="3"/>
      <c r="V541" s="3"/>
      <c r="W541" s="3"/>
      <c r="X541" s="3"/>
      <c r="Y541" s="3"/>
      <c r="Z541" s="27" t="s">
        <v>247</v>
      </c>
      <c r="AA541" t="s">
        <v>424</v>
      </c>
    </row>
    <row r="542" spans="1:27" x14ac:dyDescent="0.25">
      <c r="A542" s="12">
        <v>124</v>
      </c>
      <c r="B542">
        <v>1</v>
      </c>
      <c r="C542">
        <f t="shared" ref="C542:C605" si="71">A542*100+B542</f>
        <v>12401</v>
      </c>
      <c r="D542" s="3" t="s">
        <v>86</v>
      </c>
      <c r="E542" s="11">
        <f t="shared" si="69"/>
        <v>65.068074999999993</v>
      </c>
      <c r="F542" s="11">
        <f t="shared" si="70"/>
        <v>6.6112333333333329</v>
      </c>
      <c r="G542" s="12" t="s">
        <v>144</v>
      </c>
      <c r="H542" s="12" t="s">
        <v>47</v>
      </c>
      <c r="I542">
        <v>2021</v>
      </c>
      <c r="J542" s="12" t="s">
        <v>163</v>
      </c>
      <c r="K542" s="2">
        <v>0</v>
      </c>
      <c r="L542" s="2"/>
      <c r="M542" s="33">
        <v>5.6974999999999998</v>
      </c>
      <c r="N542" s="33">
        <v>5.6335833333333296</v>
      </c>
      <c r="O542" s="8"/>
      <c r="P542" s="1"/>
      <c r="Q542" s="1"/>
      <c r="R542" s="1"/>
      <c r="S542" s="3"/>
      <c r="T542" s="3"/>
      <c r="U542" s="3"/>
      <c r="V542" s="3"/>
      <c r="W542" s="3"/>
      <c r="X542" s="3"/>
      <c r="Y542" s="3"/>
      <c r="Z542" s="27" t="s">
        <v>247</v>
      </c>
      <c r="AA542" t="s">
        <v>424</v>
      </c>
    </row>
    <row r="543" spans="1:27" x14ac:dyDescent="0.25">
      <c r="A543" s="12">
        <v>124</v>
      </c>
      <c r="B543">
        <v>2</v>
      </c>
      <c r="C543">
        <f t="shared" si="71"/>
        <v>12402</v>
      </c>
      <c r="D543" s="3" t="s">
        <v>86</v>
      </c>
      <c r="E543" s="11">
        <f>67+2/60+3.07/3600</f>
        <v>67.034186111111111</v>
      </c>
      <c r="F543" s="11">
        <f>7+2/60+34.38/3600</f>
        <v>7.0428833333333332</v>
      </c>
      <c r="G543" s="12" t="s">
        <v>144</v>
      </c>
      <c r="H543" s="12" t="s">
        <v>47</v>
      </c>
      <c r="I543">
        <v>2019</v>
      </c>
      <c r="J543" s="12" t="s">
        <v>163</v>
      </c>
      <c r="K543" s="2">
        <v>0</v>
      </c>
      <c r="L543" s="2"/>
      <c r="M543" s="33">
        <v>1.6666666666666701E-2</v>
      </c>
      <c r="N543" s="33">
        <v>1.375E-2</v>
      </c>
      <c r="O543" s="8"/>
      <c r="P543" s="1"/>
      <c r="Q543" s="1"/>
      <c r="R543" s="1"/>
      <c r="S543" s="3"/>
      <c r="T543" s="3"/>
      <c r="U543" s="3"/>
      <c r="V543" s="3"/>
      <c r="W543" s="3"/>
      <c r="X543" s="3"/>
      <c r="Y543" s="3"/>
      <c r="Z543" s="27" t="s">
        <v>247</v>
      </c>
      <c r="AA543" t="s">
        <v>244</v>
      </c>
    </row>
    <row r="544" spans="1:27" x14ac:dyDescent="0.25">
      <c r="A544" s="12">
        <v>124</v>
      </c>
      <c r="B544">
        <v>2</v>
      </c>
      <c r="C544">
        <f t="shared" si="71"/>
        <v>12402</v>
      </c>
      <c r="D544" s="3" t="s">
        <v>86</v>
      </c>
      <c r="E544" s="11">
        <f t="shared" ref="E544:E545" si="72">67+2/60+3.07/3600</f>
        <v>67.034186111111111</v>
      </c>
      <c r="F544" s="11">
        <f t="shared" ref="F544:F545" si="73">7+2/60+34.38/3600</f>
        <v>7.0428833333333332</v>
      </c>
      <c r="G544" s="12" t="s">
        <v>144</v>
      </c>
      <c r="H544" s="12" t="s">
        <v>47</v>
      </c>
      <c r="I544">
        <v>2020</v>
      </c>
      <c r="J544" s="12" t="s">
        <v>163</v>
      </c>
      <c r="K544" s="2">
        <v>0</v>
      </c>
      <c r="L544" s="2"/>
      <c r="M544" s="33">
        <v>1.4375000000000001E-2</v>
      </c>
      <c r="N544" s="33">
        <v>1.7250000000000001E-2</v>
      </c>
      <c r="O544" s="8"/>
      <c r="P544" s="1"/>
      <c r="Q544" s="1"/>
      <c r="R544" s="1"/>
      <c r="S544" s="3"/>
      <c r="T544" s="3"/>
      <c r="U544" s="3"/>
      <c r="V544" s="3"/>
      <c r="W544" s="3"/>
      <c r="X544" s="3"/>
      <c r="Y544" s="3"/>
      <c r="Z544" s="27" t="s">
        <v>247</v>
      </c>
      <c r="AA544" t="s">
        <v>244</v>
      </c>
    </row>
    <row r="545" spans="1:27" x14ac:dyDescent="0.25">
      <c r="A545" s="12">
        <v>124</v>
      </c>
      <c r="B545">
        <v>2</v>
      </c>
      <c r="C545">
        <f t="shared" si="71"/>
        <v>12402</v>
      </c>
      <c r="D545" s="3" t="s">
        <v>86</v>
      </c>
      <c r="E545" s="11">
        <f t="shared" si="72"/>
        <v>67.034186111111111</v>
      </c>
      <c r="F545" s="11">
        <f t="shared" si="73"/>
        <v>7.0428833333333332</v>
      </c>
      <c r="G545" s="12" t="s">
        <v>144</v>
      </c>
      <c r="H545" s="12" t="s">
        <v>47</v>
      </c>
      <c r="I545">
        <v>2021</v>
      </c>
      <c r="J545" s="12" t="s">
        <v>163</v>
      </c>
      <c r="K545" s="2">
        <v>0</v>
      </c>
      <c r="L545" s="2"/>
      <c r="M545" s="33">
        <v>3.3625000000000002E-2</v>
      </c>
      <c r="N545" s="33">
        <v>3.06666666666667E-2</v>
      </c>
      <c r="O545" s="8"/>
      <c r="P545" s="1"/>
      <c r="Q545" s="1"/>
      <c r="R545" s="1"/>
      <c r="S545" s="3"/>
      <c r="T545" s="3"/>
      <c r="U545" s="3"/>
      <c r="V545" s="3"/>
      <c r="W545" s="3"/>
      <c r="X545" s="3"/>
      <c r="Y545" s="3"/>
      <c r="Z545" s="27" t="s">
        <v>247</v>
      </c>
      <c r="AA545" t="s">
        <v>244</v>
      </c>
    </row>
    <row r="546" spans="1:27" x14ac:dyDescent="0.25">
      <c r="A546" s="12">
        <v>124</v>
      </c>
      <c r="B546">
        <v>3</v>
      </c>
      <c r="C546">
        <f t="shared" si="71"/>
        <v>12403</v>
      </c>
      <c r="D546" s="3" t="s">
        <v>86</v>
      </c>
      <c r="E546" s="11">
        <f>59+34/60+3.06/3600</f>
        <v>59.56751666666667</v>
      </c>
      <c r="F546" s="11">
        <f>1+59/60+54.42/3600</f>
        <v>1.9984500000000001</v>
      </c>
      <c r="G546" s="12" t="s">
        <v>144</v>
      </c>
      <c r="H546" s="12" t="s">
        <v>47</v>
      </c>
      <c r="I546">
        <v>2009</v>
      </c>
      <c r="J546" s="12" t="s">
        <v>163</v>
      </c>
      <c r="K546" s="2">
        <v>0</v>
      </c>
      <c r="L546" s="2"/>
      <c r="M546" s="33">
        <v>11.3</v>
      </c>
      <c r="N546" s="33">
        <v>13.3</v>
      </c>
      <c r="O546" s="8"/>
      <c r="P546" s="1"/>
      <c r="Q546" s="1"/>
      <c r="R546" s="1"/>
      <c r="S546" s="3"/>
      <c r="T546" s="3"/>
      <c r="U546" s="3"/>
      <c r="V546" s="3"/>
      <c r="W546" s="3"/>
      <c r="X546" s="3"/>
      <c r="Y546" s="3"/>
      <c r="Z546" s="27" t="s">
        <v>247</v>
      </c>
      <c r="AA546" t="s">
        <v>234</v>
      </c>
    </row>
    <row r="547" spans="1:27" x14ac:dyDescent="0.25">
      <c r="A547" s="12">
        <v>124</v>
      </c>
      <c r="B547">
        <v>3</v>
      </c>
      <c r="C547">
        <f t="shared" si="71"/>
        <v>12403</v>
      </c>
      <c r="D547" s="3" t="s">
        <v>86</v>
      </c>
      <c r="E547" s="11">
        <f t="shared" ref="E547:E558" si="74">59+34/60+3.06/3600</f>
        <v>59.56751666666667</v>
      </c>
      <c r="F547" s="11">
        <f t="shared" ref="F547:F558" si="75">1+59/60+54.42/3600</f>
        <v>1.9984500000000001</v>
      </c>
      <c r="G547" s="12" t="s">
        <v>144</v>
      </c>
      <c r="H547" s="12" t="s">
        <v>47</v>
      </c>
      <c r="I547">
        <v>2010</v>
      </c>
      <c r="J547" s="12" t="s">
        <v>163</v>
      </c>
      <c r="K547" s="2">
        <v>0</v>
      </c>
      <c r="L547" s="2"/>
      <c r="M547" s="33">
        <v>10.125</v>
      </c>
      <c r="N547" s="33">
        <v>11.975</v>
      </c>
      <c r="O547" s="8"/>
      <c r="P547" s="1"/>
      <c r="Q547" s="1"/>
      <c r="R547" s="1"/>
      <c r="S547" s="3"/>
      <c r="T547" s="3"/>
      <c r="U547" s="3"/>
      <c r="V547" s="3"/>
      <c r="W547" s="3"/>
      <c r="X547" s="3"/>
      <c r="Y547" s="3"/>
      <c r="Z547" s="27" t="s">
        <v>247</v>
      </c>
      <c r="AA547" t="s">
        <v>234</v>
      </c>
    </row>
    <row r="548" spans="1:27" x14ac:dyDescent="0.25">
      <c r="A548" s="12">
        <v>124</v>
      </c>
      <c r="B548">
        <v>3</v>
      </c>
      <c r="C548">
        <f t="shared" si="71"/>
        <v>12403</v>
      </c>
      <c r="D548" s="3" t="s">
        <v>86</v>
      </c>
      <c r="E548" s="11">
        <f t="shared" si="74"/>
        <v>59.56751666666667</v>
      </c>
      <c r="F548" s="11">
        <f t="shared" si="75"/>
        <v>1.9984500000000001</v>
      </c>
      <c r="G548" s="12" t="s">
        <v>144</v>
      </c>
      <c r="H548" s="12" t="s">
        <v>47</v>
      </c>
      <c r="I548">
        <v>2011</v>
      </c>
      <c r="J548" s="12" t="s">
        <v>163</v>
      </c>
      <c r="K548" s="2">
        <v>0</v>
      </c>
      <c r="L548" s="2"/>
      <c r="M548" s="33">
        <v>8.85</v>
      </c>
      <c r="N548" s="33">
        <v>10</v>
      </c>
      <c r="O548" s="8"/>
      <c r="P548" s="1"/>
      <c r="Q548" s="1"/>
      <c r="R548" s="1"/>
      <c r="S548" s="3"/>
      <c r="T548" s="3"/>
      <c r="U548" s="3"/>
      <c r="V548" s="3"/>
      <c r="W548" s="3"/>
      <c r="X548" s="3"/>
      <c r="Y548" s="3"/>
      <c r="Z548" s="27" t="s">
        <v>247</v>
      </c>
      <c r="AA548" t="s">
        <v>234</v>
      </c>
    </row>
    <row r="549" spans="1:27" x14ac:dyDescent="0.25">
      <c r="A549" s="12">
        <v>124</v>
      </c>
      <c r="B549">
        <v>3</v>
      </c>
      <c r="C549">
        <f t="shared" si="71"/>
        <v>12403</v>
      </c>
      <c r="D549" s="3" t="s">
        <v>86</v>
      </c>
      <c r="E549" s="11">
        <f t="shared" si="74"/>
        <v>59.56751666666667</v>
      </c>
      <c r="F549" s="11">
        <f t="shared" si="75"/>
        <v>1.9984500000000001</v>
      </c>
      <c r="G549" s="12" t="s">
        <v>144</v>
      </c>
      <c r="H549" s="12" t="s">
        <v>47</v>
      </c>
      <c r="I549">
        <v>2012</v>
      </c>
      <c r="J549" s="12" t="s">
        <v>163</v>
      </c>
      <c r="K549" s="2">
        <v>0</v>
      </c>
      <c r="L549" s="2"/>
      <c r="M549" s="33">
        <v>9.1</v>
      </c>
      <c r="N549" s="33">
        <v>9.8000000000000007</v>
      </c>
      <c r="O549" s="8"/>
      <c r="P549" s="1"/>
      <c r="Q549" s="1"/>
      <c r="R549" s="1"/>
      <c r="S549" s="3"/>
      <c r="T549" s="3"/>
      <c r="U549" s="3"/>
      <c r="V549" s="3"/>
      <c r="W549" s="3"/>
      <c r="X549" s="3"/>
      <c r="Y549" s="3"/>
      <c r="Z549" s="27" t="s">
        <v>247</v>
      </c>
      <c r="AA549" t="s">
        <v>234</v>
      </c>
    </row>
    <row r="550" spans="1:27" x14ac:dyDescent="0.25">
      <c r="A550" s="12">
        <v>124</v>
      </c>
      <c r="B550">
        <v>3</v>
      </c>
      <c r="C550">
        <f t="shared" si="71"/>
        <v>12403</v>
      </c>
      <c r="D550" s="3" t="s">
        <v>86</v>
      </c>
      <c r="E550" s="11">
        <f t="shared" si="74"/>
        <v>59.56751666666667</v>
      </c>
      <c r="F550" s="11">
        <f t="shared" si="75"/>
        <v>1.9984500000000001</v>
      </c>
      <c r="G550" s="12" t="s">
        <v>144</v>
      </c>
      <c r="H550" s="12" t="s">
        <v>47</v>
      </c>
      <c r="I550">
        <v>2013</v>
      </c>
      <c r="J550" s="12" t="s">
        <v>163</v>
      </c>
      <c r="K550" s="2">
        <v>0</v>
      </c>
      <c r="L550" s="2"/>
      <c r="M550" s="33">
        <v>8.4000252989750006</v>
      </c>
      <c r="N550" s="33">
        <v>9.2000157471833308</v>
      </c>
      <c r="O550" s="8"/>
      <c r="P550" s="1"/>
      <c r="Q550" s="1"/>
      <c r="R550" s="1"/>
      <c r="S550" s="3"/>
      <c r="T550" s="3"/>
      <c r="U550" s="3"/>
      <c r="V550" s="3"/>
      <c r="W550" s="3"/>
      <c r="X550" s="3"/>
      <c r="Y550" s="3"/>
      <c r="Z550" s="27" t="s">
        <v>247</v>
      </c>
      <c r="AA550" t="s">
        <v>234</v>
      </c>
    </row>
    <row r="551" spans="1:27" x14ac:dyDescent="0.25">
      <c r="A551" s="12">
        <v>124</v>
      </c>
      <c r="B551">
        <v>3</v>
      </c>
      <c r="C551">
        <f t="shared" si="71"/>
        <v>12403</v>
      </c>
      <c r="D551" s="3" t="s">
        <v>86</v>
      </c>
      <c r="E551" s="11">
        <f t="shared" si="74"/>
        <v>59.56751666666667</v>
      </c>
      <c r="F551" s="11">
        <f t="shared" si="75"/>
        <v>1.9984500000000001</v>
      </c>
      <c r="G551" s="12" t="s">
        <v>144</v>
      </c>
      <c r="H551" s="12" t="s">
        <v>47</v>
      </c>
      <c r="I551">
        <v>2014</v>
      </c>
      <c r="J551" s="12" t="s">
        <v>163</v>
      </c>
      <c r="K551" s="2">
        <v>0</v>
      </c>
      <c r="L551" s="2"/>
      <c r="M551" s="33">
        <v>7.5</v>
      </c>
      <c r="N551" s="33">
        <v>8.3249999999999993</v>
      </c>
      <c r="O551" s="8"/>
      <c r="P551" s="1"/>
      <c r="Q551" s="1"/>
      <c r="R551" s="1"/>
      <c r="S551" s="3"/>
      <c r="T551" s="3"/>
      <c r="U551" s="3"/>
      <c r="V551" s="3"/>
      <c r="W551" s="3"/>
      <c r="X551" s="3"/>
      <c r="Y551" s="3"/>
      <c r="Z551" s="27" t="s">
        <v>247</v>
      </c>
      <c r="AA551" t="s">
        <v>234</v>
      </c>
    </row>
    <row r="552" spans="1:27" x14ac:dyDescent="0.25">
      <c r="A552" s="12">
        <v>124</v>
      </c>
      <c r="B552">
        <v>3</v>
      </c>
      <c r="C552">
        <f t="shared" si="71"/>
        <v>12403</v>
      </c>
      <c r="D552" s="3" t="s">
        <v>86</v>
      </c>
      <c r="E552" s="11">
        <f t="shared" si="74"/>
        <v>59.56751666666667</v>
      </c>
      <c r="F552" s="11">
        <f t="shared" si="75"/>
        <v>1.9984500000000001</v>
      </c>
      <c r="G552" s="12" t="s">
        <v>144</v>
      </c>
      <c r="H552" s="12" t="s">
        <v>47</v>
      </c>
      <c r="I552">
        <v>2015</v>
      </c>
      <c r="J552" s="12" t="s">
        <v>163</v>
      </c>
      <c r="K552" s="2">
        <v>0</v>
      </c>
      <c r="L552" s="2"/>
      <c r="M552" s="33">
        <v>8.4666666666666703</v>
      </c>
      <c r="N552" s="33">
        <v>7.9666666666666703</v>
      </c>
      <c r="O552" s="8"/>
      <c r="P552" s="1"/>
      <c r="Q552" s="1"/>
      <c r="R552" s="1"/>
      <c r="S552" s="3"/>
      <c r="T552" s="3"/>
      <c r="U552" s="3"/>
      <c r="V552" s="3"/>
      <c r="W552" s="3"/>
      <c r="X552" s="3"/>
      <c r="Y552" s="3"/>
      <c r="Z552" s="27" t="s">
        <v>247</v>
      </c>
      <c r="AA552" t="s">
        <v>234</v>
      </c>
    </row>
    <row r="553" spans="1:27" x14ac:dyDescent="0.25">
      <c r="A553" s="12">
        <v>124</v>
      </c>
      <c r="B553">
        <v>3</v>
      </c>
      <c r="C553">
        <f t="shared" si="71"/>
        <v>12403</v>
      </c>
      <c r="D553" s="3" t="s">
        <v>86</v>
      </c>
      <c r="E553" s="11">
        <f t="shared" si="74"/>
        <v>59.56751666666667</v>
      </c>
      <c r="F553" s="11">
        <f t="shared" si="75"/>
        <v>1.9984500000000001</v>
      </c>
      <c r="G553" s="12" t="s">
        <v>144</v>
      </c>
      <c r="H553" s="12" t="s">
        <v>47</v>
      </c>
      <c r="I553">
        <v>2016</v>
      </c>
      <c r="J553" s="12" t="s">
        <v>163</v>
      </c>
      <c r="K553" s="2">
        <v>0</v>
      </c>
      <c r="L553" s="2"/>
      <c r="M553" s="33">
        <v>7.95</v>
      </c>
      <c r="N553" s="33">
        <v>8.3000000000000007</v>
      </c>
      <c r="O553" s="8"/>
      <c r="P553" s="1"/>
      <c r="Q553" s="1"/>
      <c r="R553" s="1"/>
      <c r="S553" s="3"/>
      <c r="T553" s="3"/>
      <c r="U553" s="3"/>
      <c r="V553" s="3"/>
      <c r="W553" s="3"/>
      <c r="X553" s="3"/>
      <c r="Y553" s="3"/>
      <c r="Z553" s="27" t="s">
        <v>247</v>
      </c>
      <c r="AA553" t="s">
        <v>234</v>
      </c>
    </row>
    <row r="554" spans="1:27" x14ac:dyDescent="0.25">
      <c r="A554" s="12">
        <v>124</v>
      </c>
      <c r="B554">
        <v>3</v>
      </c>
      <c r="C554">
        <f t="shared" si="71"/>
        <v>12403</v>
      </c>
      <c r="D554" s="3" t="s">
        <v>86</v>
      </c>
      <c r="E554" s="11">
        <f t="shared" si="74"/>
        <v>59.56751666666667</v>
      </c>
      <c r="F554" s="11">
        <f t="shared" si="75"/>
        <v>1.9984500000000001</v>
      </c>
      <c r="G554" s="12" t="s">
        <v>144</v>
      </c>
      <c r="H554" s="12" t="s">
        <v>47</v>
      </c>
      <c r="I554">
        <v>2017</v>
      </c>
      <c r="J554" s="12" t="s">
        <v>163</v>
      </c>
      <c r="K554" s="2">
        <v>0</v>
      </c>
      <c r="L554" s="2"/>
      <c r="M554" s="33">
        <v>8.1749973996000005</v>
      </c>
      <c r="N554" s="33">
        <v>9.0249894562000001</v>
      </c>
      <c r="O554" s="8"/>
      <c r="P554" s="1"/>
      <c r="Q554" s="1"/>
      <c r="R554" s="1"/>
      <c r="S554" s="3"/>
      <c r="T554" s="3"/>
      <c r="U554" s="3"/>
      <c r="V554" s="3"/>
      <c r="W554" s="3"/>
      <c r="X554" s="3"/>
      <c r="Y554" s="3"/>
      <c r="Z554" s="27" t="s">
        <v>247</v>
      </c>
      <c r="AA554" t="s">
        <v>234</v>
      </c>
    </row>
    <row r="555" spans="1:27" x14ac:dyDescent="0.25">
      <c r="A555" s="12">
        <v>124</v>
      </c>
      <c r="B555">
        <v>3</v>
      </c>
      <c r="C555">
        <f t="shared" si="71"/>
        <v>12403</v>
      </c>
      <c r="D555" s="3" t="s">
        <v>86</v>
      </c>
      <c r="E555" s="11">
        <f t="shared" si="74"/>
        <v>59.56751666666667</v>
      </c>
      <c r="F555" s="11">
        <f t="shared" si="75"/>
        <v>1.9984500000000001</v>
      </c>
      <c r="G555" s="12" t="s">
        <v>144</v>
      </c>
      <c r="H555" s="12" t="s">
        <v>47</v>
      </c>
      <c r="I555">
        <v>2018</v>
      </c>
      <c r="J555" s="12" t="s">
        <v>163</v>
      </c>
      <c r="K555" s="2">
        <v>0</v>
      </c>
      <c r="L555" s="2"/>
      <c r="M555" s="33">
        <v>8.1081275542285702</v>
      </c>
      <c r="N555" s="33">
        <v>8.6013212526499991</v>
      </c>
      <c r="O555" s="8"/>
      <c r="P555" s="1"/>
      <c r="Q555" s="1"/>
      <c r="R555" s="1"/>
      <c r="S555" s="3"/>
      <c r="T555" s="3"/>
      <c r="U555" s="3"/>
      <c r="V555" s="3"/>
      <c r="W555" s="3"/>
      <c r="X555" s="3"/>
      <c r="Y555" s="3"/>
      <c r="Z555" s="27" t="s">
        <v>247</v>
      </c>
      <c r="AA555" t="s">
        <v>234</v>
      </c>
    </row>
    <row r="556" spans="1:27" x14ac:dyDescent="0.25">
      <c r="A556" s="12">
        <v>124</v>
      </c>
      <c r="B556">
        <v>3</v>
      </c>
      <c r="C556">
        <f t="shared" si="71"/>
        <v>12403</v>
      </c>
      <c r="D556" s="3" t="s">
        <v>86</v>
      </c>
      <c r="E556" s="11">
        <f t="shared" si="74"/>
        <v>59.56751666666667</v>
      </c>
      <c r="F556" s="11">
        <f t="shared" si="75"/>
        <v>1.9984500000000001</v>
      </c>
      <c r="G556" s="12" t="s">
        <v>144</v>
      </c>
      <c r="H556" s="12" t="s">
        <v>47</v>
      </c>
      <c r="I556">
        <v>2019</v>
      </c>
      <c r="J556" s="12" t="s">
        <v>163</v>
      </c>
      <c r="K556" s="2">
        <v>0</v>
      </c>
      <c r="L556" s="2"/>
      <c r="M556" s="33">
        <v>8.6999999999999993</v>
      </c>
      <c r="N556" s="33">
        <v>8.7524999999999995</v>
      </c>
      <c r="O556" s="8"/>
      <c r="P556" s="1"/>
      <c r="Q556" s="1"/>
      <c r="R556" s="1"/>
      <c r="S556" s="3"/>
      <c r="T556" s="3"/>
      <c r="U556" s="3"/>
      <c r="V556" s="3"/>
      <c r="W556" s="3"/>
      <c r="X556" s="3"/>
      <c r="Y556" s="3"/>
      <c r="Z556" s="27" t="s">
        <v>247</v>
      </c>
      <c r="AA556" t="s">
        <v>234</v>
      </c>
    </row>
    <row r="557" spans="1:27" x14ac:dyDescent="0.25">
      <c r="A557" s="12">
        <v>124</v>
      </c>
      <c r="B557">
        <v>3</v>
      </c>
      <c r="C557">
        <f t="shared" si="71"/>
        <v>12403</v>
      </c>
      <c r="D557" s="3" t="s">
        <v>86</v>
      </c>
      <c r="E557" s="11">
        <f t="shared" si="74"/>
        <v>59.56751666666667</v>
      </c>
      <c r="F557" s="11">
        <f t="shared" si="75"/>
        <v>1.9984500000000001</v>
      </c>
      <c r="G557" s="12" t="s">
        <v>144</v>
      </c>
      <c r="H557" s="12" t="s">
        <v>47</v>
      </c>
      <c r="I557">
        <v>2020</v>
      </c>
      <c r="J557" s="12" t="s">
        <v>163</v>
      </c>
      <c r="K557" s="2">
        <v>0</v>
      </c>
      <c r="L557" s="2"/>
      <c r="M557" s="33">
        <v>7.72</v>
      </c>
      <c r="N557" s="33">
        <v>9.08</v>
      </c>
      <c r="O557" s="8"/>
      <c r="P557" s="1"/>
      <c r="Q557" s="1"/>
      <c r="R557" s="1"/>
      <c r="S557" s="3"/>
      <c r="T557" s="3"/>
      <c r="U557" s="3"/>
      <c r="V557" s="3"/>
      <c r="W557" s="3"/>
      <c r="X557" s="3"/>
      <c r="Y557" s="3"/>
      <c r="Z557" s="27" t="s">
        <v>247</v>
      </c>
      <c r="AA557" t="s">
        <v>234</v>
      </c>
    </row>
    <row r="558" spans="1:27" x14ac:dyDescent="0.25">
      <c r="A558" s="12">
        <v>124</v>
      </c>
      <c r="B558">
        <v>3</v>
      </c>
      <c r="C558">
        <f t="shared" si="71"/>
        <v>12403</v>
      </c>
      <c r="D558" s="3" t="s">
        <v>86</v>
      </c>
      <c r="E558" s="11">
        <f t="shared" si="74"/>
        <v>59.56751666666667</v>
      </c>
      <c r="F558" s="11">
        <f t="shared" si="75"/>
        <v>1.9984500000000001</v>
      </c>
      <c r="G558" s="12" t="s">
        <v>144</v>
      </c>
      <c r="H558" s="12" t="s">
        <v>47</v>
      </c>
      <c r="I558">
        <v>2021</v>
      </c>
      <c r="J558" s="12" t="s">
        <v>163</v>
      </c>
      <c r="K558" s="2">
        <v>0</v>
      </c>
      <c r="L558" s="2"/>
      <c r="M558" s="33">
        <v>6.9000000690599999</v>
      </c>
      <c r="N558" s="33">
        <v>8.30000002355</v>
      </c>
      <c r="O558" s="8"/>
      <c r="P558" s="1"/>
      <c r="Q558" s="1"/>
      <c r="R558" s="1"/>
      <c r="S558" s="3"/>
      <c r="T558" s="3"/>
      <c r="U558" s="3"/>
      <c r="V558" s="3"/>
      <c r="W558" s="3"/>
      <c r="X558" s="3"/>
      <c r="Y558" s="3"/>
      <c r="Z558" s="27" t="s">
        <v>247</v>
      </c>
      <c r="AA558" t="s">
        <v>234</v>
      </c>
    </row>
    <row r="559" spans="1:27" x14ac:dyDescent="0.25">
      <c r="A559" s="12">
        <v>124</v>
      </c>
      <c r="B559">
        <v>4</v>
      </c>
      <c r="C559">
        <f t="shared" si="71"/>
        <v>12404</v>
      </c>
      <c r="D559" s="3" t="s">
        <v>86</v>
      </c>
      <c r="E559" s="11">
        <f>59+11/60+29.78/3600</f>
        <v>59.191605555555554</v>
      </c>
      <c r="F559" s="11">
        <f>2+23/60+14.7/3600</f>
        <v>2.3874166666666667</v>
      </c>
      <c r="G559" s="12" t="s">
        <v>144</v>
      </c>
      <c r="H559" s="12" t="s">
        <v>47</v>
      </c>
      <c r="I559">
        <v>2002</v>
      </c>
      <c r="J559" s="12" t="s">
        <v>163</v>
      </c>
      <c r="K559" s="2">
        <v>0</v>
      </c>
      <c r="L559" s="2"/>
      <c r="M559" s="33">
        <v>2.7</v>
      </c>
      <c r="N559" s="33"/>
      <c r="O559" s="8"/>
      <c r="P559" s="1"/>
      <c r="Q559" s="1"/>
      <c r="R559" s="1"/>
      <c r="S559" s="3"/>
      <c r="T559" s="3"/>
      <c r="U559" s="3"/>
      <c r="V559" s="3"/>
      <c r="W559" s="3"/>
      <c r="X559" s="3"/>
      <c r="Y559" s="3"/>
      <c r="Z559" s="27" t="s">
        <v>247</v>
      </c>
      <c r="AA559" t="s">
        <v>206</v>
      </c>
    </row>
    <row r="560" spans="1:27" x14ac:dyDescent="0.25">
      <c r="A560" s="12">
        <v>124</v>
      </c>
      <c r="B560">
        <v>4</v>
      </c>
      <c r="C560">
        <f t="shared" si="71"/>
        <v>12404</v>
      </c>
      <c r="D560" s="3" t="s">
        <v>86</v>
      </c>
      <c r="E560" s="11">
        <f t="shared" ref="E560:E578" si="76">59+11/60+29.78/3600</f>
        <v>59.191605555555554</v>
      </c>
      <c r="F560" s="11">
        <f t="shared" ref="F560:F578" si="77">2+23/60+14.7/3600</f>
        <v>2.3874166666666667</v>
      </c>
      <c r="G560" s="12" t="s">
        <v>144</v>
      </c>
      <c r="H560" s="12" t="s">
        <v>47</v>
      </c>
      <c r="I560">
        <v>2003</v>
      </c>
      <c r="J560" s="12" t="s">
        <v>163</v>
      </c>
      <c r="K560" s="2">
        <v>0</v>
      </c>
      <c r="L560" s="2"/>
      <c r="M560" s="33">
        <v>3.3</v>
      </c>
      <c r="N560" s="33"/>
      <c r="O560" s="8"/>
      <c r="P560" s="1"/>
      <c r="Q560" s="1"/>
      <c r="R560" s="1"/>
      <c r="S560" s="3"/>
      <c r="T560" s="3"/>
      <c r="U560" s="3"/>
      <c r="V560" s="3"/>
      <c r="W560" s="3"/>
      <c r="X560" s="3"/>
      <c r="Y560" s="3"/>
      <c r="Z560" s="27" t="s">
        <v>247</v>
      </c>
      <c r="AA560" t="s">
        <v>206</v>
      </c>
    </row>
    <row r="561" spans="1:27" x14ac:dyDescent="0.25">
      <c r="A561" s="12">
        <v>124</v>
      </c>
      <c r="B561">
        <v>4</v>
      </c>
      <c r="C561">
        <f t="shared" si="71"/>
        <v>12404</v>
      </c>
      <c r="D561" s="3" t="s">
        <v>86</v>
      </c>
      <c r="E561" s="11">
        <f t="shared" si="76"/>
        <v>59.191605555555554</v>
      </c>
      <c r="F561" s="11">
        <f t="shared" si="77"/>
        <v>2.3874166666666667</v>
      </c>
      <c r="G561" s="12" t="s">
        <v>144</v>
      </c>
      <c r="H561" s="12" t="s">
        <v>47</v>
      </c>
      <c r="I561">
        <v>2004</v>
      </c>
      <c r="J561" s="12" t="s">
        <v>163</v>
      </c>
      <c r="K561" s="2">
        <v>0</v>
      </c>
      <c r="L561" s="2"/>
      <c r="M561" s="33">
        <v>3.75</v>
      </c>
      <c r="N561" s="33"/>
      <c r="O561" s="8"/>
      <c r="P561" s="1"/>
      <c r="Q561" s="1"/>
      <c r="R561" s="1"/>
      <c r="S561" s="3"/>
      <c r="T561" s="3"/>
      <c r="U561" s="3"/>
      <c r="V561" s="3"/>
      <c r="W561" s="3"/>
      <c r="X561" s="3"/>
      <c r="Y561" s="3"/>
      <c r="Z561" s="27" t="s">
        <v>247</v>
      </c>
      <c r="AA561" t="s">
        <v>206</v>
      </c>
    </row>
    <row r="562" spans="1:27" x14ac:dyDescent="0.25">
      <c r="A562" s="12">
        <v>124</v>
      </c>
      <c r="B562">
        <v>4</v>
      </c>
      <c r="C562">
        <f t="shared" si="71"/>
        <v>12404</v>
      </c>
      <c r="D562" s="3" t="s">
        <v>86</v>
      </c>
      <c r="E562" s="11">
        <f t="shared" si="76"/>
        <v>59.191605555555554</v>
      </c>
      <c r="F562" s="11">
        <f t="shared" si="77"/>
        <v>2.3874166666666667</v>
      </c>
      <c r="G562" s="12" t="s">
        <v>144</v>
      </c>
      <c r="H562" s="12" t="s">
        <v>47</v>
      </c>
      <c r="I562">
        <v>2005</v>
      </c>
      <c r="J562" s="12" t="s">
        <v>163</v>
      </c>
      <c r="K562" s="2">
        <v>0</v>
      </c>
      <c r="L562" s="2"/>
      <c r="M562" s="33">
        <v>3.43333333</v>
      </c>
      <c r="N562" s="33">
        <v>2.4700000000000002</v>
      </c>
      <c r="O562" s="8"/>
      <c r="P562" s="1"/>
      <c r="Q562" s="1"/>
      <c r="R562" s="1"/>
      <c r="S562" s="3"/>
      <c r="T562" s="3"/>
      <c r="U562" s="3"/>
      <c r="V562" s="3"/>
      <c r="W562" s="3"/>
      <c r="X562" s="3"/>
      <c r="Y562" s="3"/>
      <c r="Z562" s="27" t="s">
        <v>247</v>
      </c>
      <c r="AA562" t="s">
        <v>206</v>
      </c>
    </row>
    <row r="563" spans="1:27" x14ac:dyDescent="0.25">
      <c r="A563" s="12">
        <v>124</v>
      </c>
      <c r="B563">
        <v>4</v>
      </c>
      <c r="C563">
        <f t="shared" si="71"/>
        <v>12404</v>
      </c>
      <c r="D563" s="3" t="s">
        <v>86</v>
      </c>
      <c r="E563" s="11">
        <f t="shared" si="76"/>
        <v>59.191605555555554</v>
      </c>
      <c r="F563" s="11">
        <f t="shared" si="77"/>
        <v>2.3874166666666667</v>
      </c>
      <c r="G563" s="12" t="s">
        <v>144</v>
      </c>
      <c r="H563" s="12" t="s">
        <v>47</v>
      </c>
      <c r="I563">
        <v>2006</v>
      </c>
      <c r="J563" s="12" t="s">
        <v>163</v>
      </c>
      <c r="K563" s="2">
        <v>0</v>
      </c>
      <c r="L563" s="2"/>
      <c r="M563" s="33">
        <v>3.5083333350000001</v>
      </c>
      <c r="N563" s="33">
        <v>2.8583333350000002</v>
      </c>
      <c r="O563" s="8"/>
      <c r="P563" s="1"/>
      <c r="Q563" s="1"/>
      <c r="R563" s="1"/>
      <c r="S563" s="3"/>
      <c r="T563" s="3"/>
      <c r="U563" s="3"/>
      <c r="V563" s="3"/>
      <c r="W563" s="3"/>
      <c r="X563" s="3"/>
      <c r="Y563" s="3"/>
      <c r="Z563" s="27" t="s">
        <v>247</v>
      </c>
      <c r="AA563" t="s">
        <v>206</v>
      </c>
    </row>
    <row r="564" spans="1:27" x14ac:dyDescent="0.25">
      <c r="A564" s="12">
        <v>124</v>
      </c>
      <c r="B564">
        <v>4</v>
      </c>
      <c r="C564">
        <f t="shared" si="71"/>
        <v>12404</v>
      </c>
      <c r="D564" s="3" t="s">
        <v>86</v>
      </c>
      <c r="E564" s="11">
        <f t="shared" si="76"/>
        <v>59.191605555555554</v>
      </c>
      <c r="F564" s="11">
        <f t="shared" si="77"/>
        <v>2.3874166666666667</v>
      </c>
      <c r="G564" s="12" t="s">
        <v>144</v>
      </c>
      <c r="H564" s="12" t="s">
        <v>47</v>
      </c>
      <c r="I564">
        <v>2007</v>
      </c>
      <c r="J564" s="12" t="s">
        <v>163</v>
      </c>
      <c r="K564" s="2">
        <v>0</v>
      </c>
      <c r="L564" s="2"/>
      <c r="M564" s="33">
        <v>5.1687500000000002</v>
      </c>
      <c r="N564" s="33">
        <v>4.6812500000000004</v>
      </c>
      <c r="O564" s="8"/>
      <c r="P564" s="1"/>
      <c r="Q564" s="1"/>
      <c r="R564" s="1"/>
      <c r="S564" s="3"/>
      <c r="T564" s="3"/>
      <c r="U564" s="3"/>
      <c r="V564" s="3"/>
      <c r="W564" s="3"/>
      <c r="X564" s="3"/>
      <c r="Y564" s="3"/>
      <c r="Z564" s="27" t="s">
        <v>247</v>
      </c>
      <c r="AA564" t="s">
        <v>206</v>
      </c>
    </row>
    <row r="565" spans="1:27" x14ac:dyDescent="0.25">
      <c r="A565" s="12">
        <v>124</v>
      </c>
      <c r="B565">
        <v>4</v>
      </c>
      <c r="C565">
        <f t="shared" si="71"/>
        <v>12404</v>
      </c>
      <c r="D565" s="3" t="s">
        <v>86</v>
      </c>
      <c r="E565" s="11">
        <f t="shared" si="76"/>
        <v>59.191605555555554</v>
      </c>
      <c r="F565" s="11">
        <f t="shared" si="77"/>
        <v>2.3874166666666667</v>
      </c>
      <c r="G565" s="12" t="s">
        <v>144</v>
      </c>
      <c r="H565" s="12" t="s">
        <v>47</v>
      </c>
      <c r="I565">
        <v>2008</v>
      </c>
      <c r="J565" s="12" t="s">
        <v>163</v>
      </c>
      <c r="K565" s="2">
        <v>0</v>
      </c>
      <c r="L565" s="2"/>
      <c r="M565" s="33">
        <v>5.6</v>
      </c>
      <c r="N565" s="33">
        <v>6.7287499999999998</v>
      </c>
      <c r="O565" s="8"/>
      <c r="P565" s="1"/>
      <c r="Q565" s="1"/>
      <c r="R565" s="1"/>
      <c r="S565" s="3"/>
      <c r="T565" s="3"/>
      <c r="U565" s="3"/>
      <c r="V565" s="3"/>
      <c r="W565" s="3"/>
      <c r="X565" s="3"/>
      <c r="Y565" s="3"/>
      <c r="Z565" s="27" t="s">
        <v>247</v>
      </c>
      <c r="AA565" t="s">
        <v>206</v>
      </c>
    </row>
    <row r="566" spans="1:27" x14ac:dyDescent="0.25">
      <c r="A566" s="12">
        <v>124</v>
      </c>
      <c r="B566">
        <v>4</v>
      </c>
      <c r="C566">
        <f t="shared" si="71"/>
        <v>12404</v>
      </c>
      <c r="D566" s="3" t="s">
        <v>86</v>
      </c>
      <c r="E566" s="11">
        <f t="shared" si="76"/>
        <v>59.191605555555554</v>
      </c>
      <c r="F566" s="11">
        <f t="shared" si="77"/>
        <v>2.3874166666666667</v>
      </c>
      <c r="G566" s="12" t="s">
        <v>144</v>
      </c>
      <c r="H566" s="12" t="s">
        <v>47</v>
      </c>
      <c r="I566">
        <v>2009</v>
      </c>
      <c r="J566" s="12" t="s">
        <v>163</v>
      </c>
      <c r="K566" s="2">
        <v>0</v>
      </c>
      <c r="L566" s="2"/>
      <c r="M566" s="33">
        <v>8.373232325</v>
      </c>
      <c r="N566" s="33">
        <v>11.53313131</v>
      </c>
      <c r="O566" s="8"/>
      <c r="P566" s="1"/>
      <c r="Q566" s="1"/>
      <c r="R566" s="1"/>
      <c r="S566" s="3"/>
      <c r="T566" s="3"/>
      <c r="U566" s="3"/>
      <c r="V566" s="3"/>
      <c r="W566" s="3"/>
      <c r="X566" s="3"/>
      <c r="Y566" s="3"/>
      <c r="Z566" s="27" t="s">
        <v>247</v>
      </c>
      <c r="AA566" t="s">
        <v>206</v>
      </c>
    </row>
    <row r="567" spans="1:27" x14ac:dyDescent="0.25">
      <c r="A567" s="12">
        <v>124</v>
      </c>
      <c r="B567">
        <v>4</v>
      </c>
      <c r="C567">
        <f t="shared" si="71"/>
        <v>12404</v>
      </c>
      <c r="D567" s="3" t="s">
        <v>86</v>
      </c>
      <c r="E567" s="11">
        <f t="shared" si="76"/>
        <v>59.191605555555554</v>
      </c>
      <c r="F567" s="11">
        <f t="shared" si="77"/>
        <v>2.3874166666666667</v>
      </c>
      <c r="G567" s="12" t="s">
        <v>144</v>
      </c>
      <c r="H567" s="12" t="s">
        <v>47</v>
      </c>
      <c r="I567">
        <v>2010</v>
      </c>
      <c r="J567" s="12" t="s">
        <v>163</v>
      </c>
      <c r="K567" s="2">
        <v>0</v>
      </c>
      <c r="L567" s="2"/>
      <c r="M567" s="33">
        <v>8.9017518550000005</v>
      </c>
      <c r="N567" s="33">
        <v>12.089150932000001</v>
      </c>
      <c r="O567" s="8"/>
      <c r="P567" s="1"/>
      <c r="Q567" s="1"/>
      <c r="R567" s="1"/>
      <c r="S567" s="3"/>
      <c r="T567" s="3"/>
      <c r="U567" s="3"/>
      <c r="V567" s="3"/>
      <c r="W567" s="3"/>
      <c r="X567" s="3"/>
      <c r="Y567" s="3"/>
      <c r="Z567" s="27" t="s">
        <v>247</v>
      </c>
      <c r="AA567" t="s">
        <v>206</v>
      </c>
    </row>
    <row r="568" spans="1:27" x14ac:dyDescent="0.25">
      <c r="A568" s="12">
        <v>124</v>
      </c>
      <c r="B568">
        <v>4</v>
      </c>
      <c r="C568">
        <f t="shared" si="71"/>
        <v>12404</v>
      </c>
      <c r="D568" s="3" t="s">
        <v>86</v>
      </c>
      <c r="E568" s="11">
        <f t="shared" si="76"/>
        <v>59.191605555555554</v>
      </c>
      <c r="F568" s="11">
        <f t="shared" si="77"/>
        <v>2.3874166666666667</v>
      </c>
      <c r="G568" s="12" t="s">
        <v>144</v>
      </c>
      <c r="H568" s="12" t="s">
        <v>47</v>
      </c>
      <c r="I568">
        <v>2011</v>
      </c>
      <c r="J568" s="12" t="s">
        <v>163</v>
      </c>
      <c r="K568" s="2">
        <v>0</v>
      </c>
      <c r="L568" s="2"/>
      <c r="M568" s="33">
        <v>4.5235697640000003</v>
      </c>
      <c r="N568" s="33">
        <v>2.8402522729999999</v>
      </c>
      <c r="O568" s="8"/>
      <c r="P568" s="1"/>
      <c r="Q568" s="1"/>
      <c r="R568" s="1"/>
      <c r="S568" s="3"/>
      <c r="T568" s="3"/>
      <c r="U568" s="3"/>
      <c r="V568" s="3"/>
      <c r="W568" s="3"/>
      <c r="X568" s="3"/>
      <c r="Y568" s="3"/>
      <c r="Z568" s="27" t="s">
        <v>247</v>
      </c>
      <c r="AA568" t="s">
        <v>206</v>
      </c>
    </row>
    <row r="569" spans="1:27" x14ac:dyDescent="0.25">
      <c r="A569" s="12">
        <v>124</v>
      </c>
      <c r="B569">
        <v>4</v>
      </c>
      <c r="C569">
        <f t="shared" si="71"/>
        <v>12404</v>
      </c>
      <c r="D569" s="3" t="s">
        <v>86</v>
      </c>
      <c r="E569" s="11">
        <f t="shared" si="76"/>
        <v>59.191605555555554</v>
      </c>
      <c r="F569" s="11">
        <f t="shared" si="77"/>
        <v>2.3874166666666667</v>
      </c>
      <c r="G569" s="12" t="s">
        <v>144</v>
      </c>
      <c r="H569" s="12" t="s">
        <v>47</v>
      </c>
      <c r="I569">
        <v>2012</v>
      </c>
      <c r="J569" s="12" t="s">
        <v>163</v>
      </c>
      <c r="K569" s="2">
        <v>0</v>
      </c>
      <c r="L569" s="2"/>
      <c r="M569" s="33">
        <v>6.8714285714285701</v>
      </c>
      <c r="N569" s="33">
        <v>9.8342857142857092</v>
      </c>
      <c r="O569" s="8"/>
      <c r="P569" s="1"/>
      <c r="Q569" s="1"/>
      <c r="R569" s="1"/>
      <c r="S569" s="3"/>
      <c r="T569" s="3"/>
      <c r="U569" s="3"/>
      <c r="V569" s="3"/>
      <c r="W569" s="3"/>
      <c r="X569" s="3"/>
      <c r="Y569" s="3"/>
      <c r="Z569" s="27" t="s">
        <v>247</v>
      </c>
      <c r="AA569" t="s">
        <v>206</v>
      </c>
    </row>
    <row r="570" spans="1:27" x14ac:dyDescent="0.25">
      <c r="A570" s="12">
        <v>124</v>
      </c>
      <c r="B570">
        <v>4</v>
      </c>
      <c r="C570">
        <f t="shared" si="71"/>
        <v>12404</v>
      </c>
      <c r="D570" s="3" t="s">
        <v>86</v>
      </c>
      <c r="E570" s="11">
        <f t="shared" si="76"/>
        <v>59.191605555555554</v>
      </c>
      <c r="F570" s="11">
        <f t="shared" si="77"/>
        <v>2.3874166666666667</v>
      </c>
      <c r="G570" s="12" t="s">
        <v>144</v>
      </c>
      <c r="H570" s="12" t="s">
        <v>47</v>
      </c>
      <c r="I570">
        <v>2013</v>
      </c>
      <c r="J570" s="12" t="s">
        <v>163</v>
      </c>
      <c r="K570" s="2">
        <v>0</v>
      </c>
      <c r="L570" s="2"/>
      <c r="M570" s="33">
        <v>7.3599997759900004</v>
      </c>
      <c r="N570" s="33">
        <v>8.0480004480300007</v>
      </c>
      <c r="O570" s="8"/>
      <c r="P570" s="1"/>
      <c r="Q570" s="1"/>
      <c r="R570" s="1"/>
      <c r="S570" s="3"/>
      <c r="T570" s="3"/>
      <c r="U570" s="3"/>
      <c r="V570" s="3"/>
      <c r="W570" s="3"/>
      <c r="X570" s="3"/>
      <c r="Y570" s="3"/>
      <c r="Z570" s="27" t="s">
        <v>247</v>
      </c>
      <c r="AA570" t="s">
        <v>206</v>
      </c>
    </row>
    <row r="571" spans="1:27" x14ac:dyDescent="0.25">
      <c r="A571" s="12">
        <v>124</v>
      </c>
      <c r="B571">
        <v>4</v>
      </c>
      <c r="C571">
        <f t="shared" si="71"/>
        <v>12404</v>
      </c>
      <c r="D571" s="3" t="s">
        <v>86</v>
      </c>
      <c r="E571" s="11">
        <f t="shared" si="76"/>
        <v>59.191605555555554</v>
      </c>
      <c r="F571" s="11">
        <f t="shared" si="77"/>
        <v>2.3874166666666667</v>
      </c>
      <c r="G571" s="12" t="s">
        <v>144</v>
      </c>
      <c r="H571" s="12" t="s">
        <v>47</v>
      </c>
      <c r="I571">
        <v>2014</v>
      </c>
      <c r="J571" s="12" t="s">
        <v>163</v>
      </c>
      <c r="K571" s="2">
        <v>0</v>
      </c>
      <c r="L571" s="2"/>
      <c r="M571" s="33">
        <v>5.8143719702272696</v>
      </c>
      <c r="N571" s="33">
        <v>6.2710479473583298</v>
      </c>
      <c r="O571" s="8"/>
      <c r="P571" s="1"/>
      <c r="Q571" s="1"/>
      <c r="R571" s="1"/>
      <c r="S571" s="3"/>
      <c r="T571" s="3"/>
      <c r="U571" s="3"/>
      <c r="V571" s="3"/>
      <c r="W571" s="3"/>
      <c r="X571" s="3"/>
      <c r="Y571" s="3"/>
      <c r="Z571" s="27" t="s">
        <v>247</v>
      </c>
      <c r="AA571" t="s">
        <v>206</v>
      </c>
    </row>
    <row r="572" spans="1:27" x14ac:dyDescent="0.25">
      <c r="A572" s="12">
        <v>124</v>
      </c>
      <c r="B572">
        <v>4</v>
      </c>
      <c r="C572">
        <f t="shared" si="71"/>
        <v>12404</v>
      </c>
      <c r="D572" s="3" t="s">
        <v>86</v>
      </c>
      <c r="E572" s="11">
        <f t="shared" si="76"/>
        <v>59.191605555555554</v>
      </c>
      <c r="F572" s="11">
        <f t="shared" si="77"/>
        <v>2.3874166666666667</v>
      </c>
      <c r="G572" s="12" t="s">
        <v>144</v>
      </c>
      <c r="H572" s="12" t="s">
        <v>47</v>
      </c>
      <c r="I572">
        <v>2015</v>
      </c>
      <c r="J572" s="12" t="s">
        <v>163</v>
      </c>
      <c r="K572" s="2">
        <v>0</v>
      </c>
      <c r="L572" s="2"/>
      <c r="M572" s="33">
        <v>7.0125000000000002</v>
      </c>
      <c r="N572" s="33">
        <v>8.0833333333333304</v>
      </c>
      <c r="O572" s="8"/>
      <c r="P572" s="1"/>
      <c r="Q572" s="1"/>
      <c r="R572" s="1"/>
      <c r="S572" s="3"/>
      <c r="T572" s="3"/>
      <c r="U572" s="3"/>
      <c r="V572" s="3"/>
      <c r="W572" s="3"/>
      <c r="X572" s="3"/>
      <c r="Y572" s="3"/>
      <c r="Z572" s="27" t="s">
        <v>247</v>
      </c>
      <c r="AA572" t="s">
        <v>206</v>
      </c>
    </row>
    <row r="573" spans="1:27" x14ac:dyDescent="0.25">
      <c r="A573" s="12">
        <v>124</v>
      </c>
      <c r="B573">
        <v>4</v>
      </c>
      <c r="C573">
        <f t="shared" si="71"/>
        <v>12404</v>
      </c>
      <c r="D573" s="3" t="s">
        <v>86</v>
      </c>
      <c r="E573" s="11">
        <f t="shared" si="76"/>
        <v>59.191605555555554</v>
      </c>
      <c r="F573" s="11">
        <f t="shared" si="77"/>
        <v>2.3874166666666667</v>
      </c>
      <c r="G573" s="12" t="s">
        <v>144</v>
      </c>
      <c r="H573" s="12" t="s">
        <v>47</v>
      </c>
      <c r="I573">
        <v>2016</v>
      </c>
      <c r="J573" s="12" t="s">
        <v>163</v>
      </c>
      <c r="K573" s="2">
        <v>0</v>
      </c>
      <c r="L573" s="2"/>
      <c r="M573" s="33">
        <v>6.0250000000000004</v>
      </c>
      <c r="N573" s="33">
        <v>7.9</v>
      </c>
      <c r="O573" s="8"/>
      <c r="P573" s="1"/>
      <c r="Q573" s="1"/>
      <c r="R573" s="1"/>
      <c r="S573" s="3"/>
      <c r="T573" s="3"/>
      <c r="U573" s="3"/>
      <c r="V573" s="3"/>
      <c r="W573" s="3"/>
      <c r="X573" s="3"/>
      <c r="Y573" s="3"/>
      <c r="Z573" s="27" t="s">
        <v>247</v>
      </c>
      <c r="AA573" t="s">
        <v>206</v>
      </c>
    </row>
    <row r="574" spans="1:27" x14ac:dyDescent="0.25">
      <c r="A574" s="12">
        <v>124</v>
      </c>
      <c r="B574">
        <v>4</v>
      </c>
      <c r="C574">
        <f t="shared" si="71"/>
        <v>12404</v>
      </c>
      <c r="D574" s="3" t="s">
        <v>86</v>
      </c>
      <c r="E574" s="11">
        <f t="shared" si="76"/>
        <v>59.191605555555554</v>
      </c>
      <c r="F574" s="11">
        <f t="shared" si="77"/>
        <v>2.3874166666666667</v>
      </c>
      <c r="G574" s="12" t="s">
        <v>144</v>
      </c>
      <c r="H574" s="12" t="s">
        <v>47</v>
      </c>
      <c r="I574">
        <v>2017</v>
      </c>
      <c r="J574" s="12" t="s">
        <v>163</v>
      </c>
      <c r="K574" s="2">
        <v>0</v>
      </c>
      <c r="L574" s="2"/>
      <c r="M574" s="33">
        <v>6.25</v>
      </c>
      <c r="N574" s="33">
        <v>8.28571428571429</v>
      </c>
      <c r="O574" s="8"/>
      <c r="P574" s="1"/>
      <c r="Q574" s="1"/>
      <c r="R574" s="1"/>
      <c r="S574" s="3"/>
      <c r="T574" s="3"/>
      <c r="U574" s="3"/>
      <c r="V574" s="3"/>
      <c r="W574" s="3"/>
      <c r="X574" s="3"/>
      <c r="Y574" s="3"/>
      <c r="Z574" s="27" t="s">
        <v>247</v>
      </c>
      <c r="AA574" t="s">
        <v>206</v>
      </c>
    </row>
    <row r="575" spans="1:27" x14ac:dyDescent="0.25">
      <c r="A575" s="12">
        <v>124</v>
      </c>
      <c r="B575">
        <v>4</v>
      </c>
      <c r="C575">
        <f t="shared" si="71"/>
        <v>12404</v>
      </c>
      <c r="D575" s="3" t="s">
        <v>86</v>
      </c>
      <c r="E575" s="11">
        <f t="shared" si="76"/>
        <v>59.191605555555554</v>
      </c>
      <c r="F575" s="11">
        <f t="shared" si="77"/>
        <v>2.3874166666666667</v>
      </c>
      <c r="G575" s="12" t="s">
        <v>144</v>
      </c>
      <c r="H575" s="12" t="s">
        <v>47</v>
      </c>
      <c r="I575">
        <v>2018</v>
      </c>
      <c r="J575" s="12" t="s">
        <v>163</v>
      </c>
      <c r="K575" s="2">
        <v>0</v>
      </c>
      <c r="L575" s="2"/>
      <c r="M575" s="33">
        <v>6.4874999999999998</v>
      </c>
      <c r="N575" s="33">
        <v>7.4662499999999996</v>
      </c>
      <c r="O575" s="8"/>
      <c r="P575" s="1"/>
      <c r="Q575" s="1"/>
      <c r="R575" s="1"/>
      <c r="S575" s="3"/>
      <c r="T575" s="3"/>
      <c r="U575" s="3"/>
      <c r="V575" s="3"/>
      <c r="W575" s="3"/>
      <c r="X575" s="3"/>
      <c r="Y575" s="3"/>
      <c r="Z575" s="27" t="s">
        <v>247</v>
      </c>
      <c r="AA575" t="s">
        <v>206</v>
      </c>
    </row>
    <row r="576" spans="1:27" x14ac:dyDescent="0.25">
      <c r="A576" s="12">
        <v>124</v>
      </c>
      <c r="B576">
        <v>4</v>
      </c>
      <c r="C576">
        <f t="shared" si="71"/>
        <v>12404</v>
      </c>
      <c r="D576" s="3" t="s">
        <v>86</v>
      </c>
      <c r="E576" s="11">
        <f t="shared" si="76"/>
        <v>59.191605555555554</v>
      </c>
      <c r="F576" s="11">
        <f t="shared" si="77"/>
        <v>2.3874166666666667</v>
      </c>
      <c r="G576" s="12" t="s">
        <v>144</v>
      </c>
      <c r="H576" s="12" t="s">
        <v>47</v>
      </c>
      <c r="I576">
        <v>2019</v>
      </c>
      <c r="J576" s="12" t="s">
        <v>163</v>
      </c>
      <c r="K576" s="2">
        <v>0</v>
      </c>
      <c r="L576" s="2"/>
      <c r="M576" s="33">
        <v>6.3250000000000002</v>
      </c>
      <c r="N576" s="33">
        <v>7.3</v>
      </c>
      <c r="O576" s="8"/>
      <c r="P576" s="1"/>
      <c r="Q576" s="1"/>
      <c r="R576" s="1"/>
      <c r="S576" s="3"/>
      <c r="T576" s="3"/>
      <c r="U576" s="3"/>
      <c r="V576" s="3"/>
      <c r="W576" s="3"/>
      <c r="X576" s="3"/>
      <c r="Y576" s="3"/>
      <c r="Z576" s="27" t="s">
        <v>247</v>
      </c>
      <c r="AA576" t="s">
        <v>206</v>
      </c>
    </row>
    <row r="577" spans="1:27" x14ac:dyDescent="0.25">
      <c r="A577" s="12">
        <v>124</v>
      </c>
      <c r="B577">
        <v>4</v>
      </c>
      <c r="C577">
        <f t="shared" si="71"/>
        <v>12404</v>
      </c>
      <c r="D577" s="3" t="s">
        <v>86</v>
      </c>
      <c r="E577" s="11">
        <f t="shared" si="76"/>
        <v>59.191605555555554</v>
      </c>
      <c r="F577" s="11">
        <f t="shared" si="77"/>
        <v>2.3874166666666667</v>
      </c>
      <c r="G577" s="12" t="s">
        <v>144</v>
      </c>
      <c r="H577" s="12" t="s">
        <v>47</v>
      </c>
      <c r="I577">
        <v>2020</v>
      </c>
      <c r="J577" s="12" t="s">
        <v>163</v>
      </c>
      <c r="K577" s="2">
        <v>0</v>
      </c>
      <c r="L577" s="2"/>
      <c r="M577" s="33">
        <v>6.125</v>
      </c>
      <c r="N577" s="33">
        <v>8.4499999999999993</v>
      </c>
      <c r="O577" s="8"/>
      <c r="P577" s="1"/>
      <c r="Q577" s="1"/>
      <c r="R577" s="1"/>
      <c r="S577" s="3"/>
      <c r="T577" s="3"/>
      <c r="U577" s="3"/>
      <c r="V577" s="3"/>
      <c r="W577" s="3"/>
      <c r="X577" s="3"/>
      <c r="Y577" s="3"/>
      <c r="Z577" s="27" t="s">
        <v>247</v>
      </c>
      <c r="AA577" t="s">
        <v>206</v>
      </c>
    </row>
    <row r="578" spans="1:27" x14ac:dyDescent="0.25">
      <c r="A578" s="12">
        <v>124</v>
      </c>
      <c r="B578">
        <v>4</v>
      </c>
      <c r="C578">
        <f t="shared" si="71"/>
        <v>12404</v>
      </c>
      <c r="D578" s="3" t="s">
        <v>86</v>
      </c>
      <c r="E578" s="11">
        <f t="shared" si="76"/>
        <v>59.191605555555554</v>
      </c>
      <c r="F578" s="11">
        <f t="shared" si="77"/>
        <v>2.3874166666666667</v>
      </c>
      <c r="G578" s="12" t="s">
        <v>144</v>
      </c>
      <c r="H578" s="12" t="s">
        <v>47</v>
      </c>
      <c r="I578">
        <v>2021</v>
      </c>
      <c r="J578" s="12" t="s">
        <v>163</v>
      </c>
      <c r="K578" s="2">
        <v>0</v>
      </c>
      <c r="L578" s="2"/>
      <c r="M578" s="33">
        <v>5.5142857142857098</v>
      </c>
      <c r="N578" s="33">
        <v>6.7874999999999996</v>
      </c>
      <c r="O578" s="8"/>
      <c r="P578" s="1"/>
      <c r="Q578" s="1"/>
      <c r="R578" s="1"/>
      <c r="S578" s="3"/>
      <c r="T578" s="3"/>
      <c r="U578" s="3"/>
      <c r="V578" s="3"/>
      <c r="W578" s="3"/>
      <c r="X578" s="3"/>
      <c r="Y578" s="3"/>
      <c r="Z578" s="27" t="s">
        <v>247</v>
      </c>
      <c r="AA578" t="s">
        <v>206</v>
      </c>
    </row>
    <row r="579" spans="1:27" x14ac:dyDescent="0.25">
      <c r="A579" s="12">
        <v>124</v>
      </c>
      <c r="B579">
        <v>5</v>
      </c>
      <c r="C579">
        <f t="shared" si="71"/>
        <v>12405</v>
      </c>
      <c r="D579" s="3" t="s">
        <v>86</v>
      </c>
      <c r="E579" s="11">
        <f>60+32/60+33.21/3600</f>
        <v>60.542558333333332</v>
      </c>
      <c r="F579" s="11">
        <f>3+2/60+48.47/3600</f>
        <v>3.0467972222222222</v>
      </c>
      <c r="G579" s="12" t="s">
        <v>144</v>
      </c>
      <c r="H579" s="12" t="s">
        <v>47</v>
      </c>
      <c r="I579">
        <v>2002</v>
      </c>
      <c r="J579" s="12" t="s">
        <v>163</v>
      </c>
      <c r="K579" s="2">
        <v>0</v>
      </c>
      <c r="L579" s="2"/>
      <c r="M579" s="33">
        <v>0.233333333</v>
      </c>
      <c r="N579" s="33"/>
      <c r="O579" s="8"/>
      <c r="P579" s="1"/>
      <c r="Q579" s="1"/>
      <c r="R579" s="1"/>
      <c r="S579" s="3"/>
      <c r="T579" s="3"/>
      <c r="U579" s="3"/>
      <c r="V579" s="3"/>
      <c r="W579" s="3"/>
      <c r="X579" s="3"/>
      <c r="Y579" s="3"/>
      <c r="Z579" s="27" t="s">
        <v>247</v>
      </c>
      <c r="AA579" t="s">
        <v>207</v>
      </c>
    </row>
    <row r="580" spans="1:27" x14ac:dyDescent="0.25">
      <c r="A580" s="12">
        <v>124</v>
      </c>
      <c r="B580">
        <v>5</v>
      </c>
      <c r="C580">
        <f t="shared" si="71"/>
        <v>12405</v>
      </c>
      <c r="D580" s="3" t="s">
        <v>86</v>
      </c>
      <c r="E580" s="11">
        <f t="shared" ref="E580:E598" si="78">60+32/60+33.21/3600</f>
        <v>60.542558333333332</v>
      </c>
      <c r="F580" s="11">
        <f t="shared" ref="F580:F598" si="79">3+2/60+48.47/3600</f>
        <v>3.0467972222222222</v>
      </c>
      <c r="G580" s="12" t="s">
        <v>144</v>
      </c>
      <c r="H580" s="12" t="s">
        <v>47</v>
      </c>
      <c r="I580">
        <v>2003</v>
      </c>
      <c r="J580" s="12" t="s">
        <v>163</v>
      </c>
      <c r="K580" s="2">
        <v>0</v>
      </c>
      <c r="L580" s="2"/>
      <c r="M580" s="33">
        <v>4.8</v>
      </c>
      <c r="N580" s="33"/>
      <c r="O580" s="8"/>
      <c r="P580" s="1"/>
      <c r="Q580" s="1"/>
      <c r="R580" s="1"/>
      <c r="S580" s="3"/>
      <c r="T580" s="3"/>
      <c r="U580" s="3"/>
      <c r="V580" s="3"/>
      <c r="W580" s="3"/>
      <c r="X580" s="3"/>
      <c r="Y580" s="3"/>
      <c r="Z580" s="27" t="s">
        <v>247</v>
      </c>
      <c r="AA580" t="s">
        <v>207</v>
      </c>
    </row>
    <row r="581" spans="1:27" x14ac:dyDescent="0.25">
      <c r="A581" s="12">
        <v>124</v>
      </c>
      <c r="B581">
        <v>5</v>
      </c>
      <c r="C581">
        <f t="shared" si="71"/>
        <v>12405</v>
      </c>
      <c r="D581" s="3" t="s">
        <v>86</v>
      </c>
      <c r="E581" s="11">
        <f t="shared" si="78"/>
        <v>60.542558333333332</v>
      </c>
      <c r="F581" s="11">
        <f t="shared" si="79"/>
        <v>3.0467972222222222</v>
      </c>
      <c r="G581" s="12" t="s">
        <v>144</v>
      </c>
      <c r="H581" s="12" t="s">
        <v>47</v>
      </c>
      <c r="I581">
        <v>2004</v>
      </c>
      <c r="J581" s="12" t="s">
        <v>163</v>
      </c>
      <c r="K581" s="2">
        <v>0</v>
      </c>
      <c r="L581" s="2"/>
      <c r="M581" s="33">
        <v>5.3</v>
      </c>
      <c r="N581" s="33"/>
      <c r="O581" s="8"/>
      <c r="P581" s="1"/>
      <c r="Q581" s="1"/>
      <c r="R581" s="1"/>
      <c r="S581" s="3"/>
      <c r="T581" s="3"/>
      <c r="U581" s="3"/>
      <c r="V581" s="3"/>
      <c r="W581" s="3"/>
      <c r="X581" s="3"/>
      <c r="Y581" s="3"/>
      <c r="Z581" s="27" t="s">
        <v>247</v>
      </c>
      <c r="AA581" t="s">
        <v>207</v>
      </c>
    </row>
    <row r="582" spans="1:27" x14ac:dyDescent="0.25">
      <c r="A582" s="12">
        <v>124</v>
      </c>
      <c r="B582">
        <v>5</v>
      </c>
      <c r="C582">
        <f t="shared" si="71"/>
        <v>12405</v>
      </c>
      <c r="D582" s="3" t="s">
        <v>86</v>
      </c>
      <c r="E582" s="11">
        <f t="shared" si="78"/>
        <v>60.542558333333332</v>
      </c>
      <c r="F582" s="11">
        <f t="shared" si="79"/>
        <v>3.0467972222222222</v>
      </c>
      <c r="G582" s="12" t="s">
        <v>144</v>
      </c>
      <c r="H582" s="12" t="s">
        <v>47</v>
      </c>
      <c r="I582">
        <v>2005</v>
      </c>
      <c r="J582" s="12" t="s">
        <v>163</v>
      </c>
      <c r="K582" s="2">
        <v>0</v>
      </c>
      <c r="L582" s="2"/>
      <c r="M582" s="33">
        <v>1.5</v>
      </c>
      <c r="N582" s="33"/>
      <c r="O582" s="8"/>
      <c r="P582" s="1"/>
      <c r="Q582" s="1"/>
      <c r="R582" s="1"/>
      <c r="S582" s="3"/>
      <c r="T582" s="3"/>
      <c r="U582" s="3"/>
      <c r="V582" s="3"/>
      <c r="W582" s="3"/>
      <c r="X582" s="3"/>
      <c r="Y582" s="3"/>
      <c r="Z582" s="27" t="s">
        <v>247</v>
      </c>
      <c r="AA582" t="s">
        <v>207</v>
      </c>
    </row>
    <row r="583" spans="1:27" x14ac:dyDescent="0.25">
      <c r="A583" s="12">
        <v>124</v>
      </c>
      <c r="B583">
        <v>5</v>
      </c>
      <c r="C583">
        <f t="shared" si="71"/>
        <v>12405</v>
      </c>
      <c r="D583" s="3" t="s">
        <v>86</v>
      </c>
      <c r="E583" s="11">
        <f t="shared" si="78"/>
        <v>60.542558333333332</v>
      </c>
      <c r="F583" s="11">
        <f t="shared" si="79"/>
        <v>3.0467972222222222</v>
      </c>
      <c r="G583" s="12" t="s">
        <v>144</v>
      </c>
      <c r="H583" s="12" t="s">
        <v>47</v>
      </c>
      <c r="I583">
        <v>2006</v>
      </c>
      <c r="J583" s="12" t="s">
        <v>163</v>
      </c>
      <c r="K583" s="2">
        <v>0</v>
      </c>
      <c r="L583" s="2"/>
      <c r="M583" s="33">
        <v>5.3</v>
      </c>
      <c r="N583" s="33">
        <v>5.3</v>
      </c>
      <c r="O583" s="8"/>
      <c r="P583" s="1"/>
      <c r="Q583" s="1"/>
      <c r="R583" s="1"/>
      <c r="S583" s="3"/>
      <c r="T583" s="3"/>
      <c r="U583" s="3"/>
      <c r="V583" s="3"/>
      <c r="W583" s="3"/>
      <c r="X583" s="3"/>
      <c r="Y583" s="3"/>
      <c r="Z583" s="27" t="s">
        <v>247</v>
      </c>
      <c r="AA583" t="s">
        <v>207</v>
      </c>
    </row>
    <row r="584" spans="1:27" x14ac:dyDescent="0.25">
      <c r="A584" s="12">
        <v>124</v>
      </c>
      <c r="B584">
        <v>5</v>
      </c>
      <c r="C584">
        <f t="shared" si="71"/>
        <v>12405</v>
      </c>
      <c r="D584" s="3" t="s">
        <v>86</v>
      </c>
      <c r="E584" s="11">
        <f t="shared" si="78"/>
        <v>60.542558333333332</v>
      </c>
      <c r="F584" s="11">
        <f t="shared" si="79"/>
        <v>3.0467972222222222</v>
      </c>
      <c r="G584" s="12" t="s">
        <v>144</v>
      </c>
      <c r="H584" s="12" t="s">
        <v>47</v>
      </c>
      <c r="I584">
        <v>2007</v>
      </c>
      <c r="J584" s="12" t="s">
        <v>163</v>
      </c>
      <c r="K584" s="2">
        <v>0</v>
      </c>
      <c r="L584" s="2"/>
      <c r="M584" s="33">
        <v>8.5</v>
      </c>
      <c r="N584" s="33">
        <v>6.6</v>
      </c>
      <c r="O584" s="8"/>
      <c r="P584" s="1"/>
      <c r="Q584" s="1"/>
      <c r="R584" s="1"/>
      <c r="S584" s="3"/>
      <c r="T584" s="3"/>
      <c r="U584" s="3"/>
      <c r="V584" s="3"/>
      <c r="W584" s="3"/>
      <c r="X584" s="3"/>
      <c r="Y584" s="3"/>
      <c r="Z584" s="27" t="s">
        <v>247</v>
      </c>
      <c r="AA584" t="s">
        <v>207</v>
      </c>
    </row>
    <row r="585" spans="1:27" x14ac:dyDescent="0.25">
      <c r="A585" s="12">
        <v>124</v>
      </c>
      <c r="B585">
        <v>5</v>
      </c>
      <c r="C585">
        <f t="shared" si="71"/>
        <v>12405</v>
      </c>
      <c r="D585" s="3" t="s">
        <v>86</v>
      </c>
      <c r="E585" s="11">
        <f t="shared" si="78"/>
        <v>60.542558333333332</v>
      </c>
      <c r="F585" s="11">
        <f t="shared" si="79"/>
        <v>3.0467972222222222</v>
      </c>
      <c r="G585" s="12" t="s">
        <v>144</v>
      </c>
      <c r="H585" s="12" t="s">
        <v>47</v>
      </c>
      <c r="I585">
        <v>2008</v>
      </c>
      <c r="J585" s="12" t="s">
        <v>163</v>
      </c>
      <c r="K585" s="2">
        <v>0</v>
      </c>
      <c r="L585" s="2"/>
      <c r="M585" s="33">
        <v>8.7186609629999996</v>
      </c>
      <c r="N585" s="33">
        <v>7.2094545630000004</v>
      </c>
      <c r="O585" s="8"/>
      <c r="P585" s="1"/>
      <c r="Q585" s="1"/>
      <c r="R585" s="1"/>
      <c r="S585" s="3"/>
      <c r="T585" s="3"/>
      <c r="U585" s="3"/>
      <c r="V585" s="3"/>
      <c r="W585" s="3"/>
      <c r="X585" s="3"/>
      <c r="Y585" s="3"/>
      <c r="Z585" s="27" t="s">
        <v>247</v>
      </c>
      <c r="AA585" t="s">
        <v>207</v>
      </c>
    </row>
    <row r="586" spans="1:27" x14ac:dyDescent="0.25">
      <c r="A586" s="12">
        <v>124</v>
      </c>
      <c r="B586">
        <v>5</v>
      </c>
      <c r="C586">
        <f t="shared" si="71"/>
        <v>12405</v>
      </c>
      <c r="D586" s="3" t="s">
        <v>86</v>
      </c>
      <c r="E586" s="11">
        <f t="shared" si="78"/>
        <v>60.542558333333332</v>
      </c>
      <c r="F586" s="11">
        <f t="shared" si="79"/>
        <v>3.0467972222222222</v>
      </c>
      <c r="G586" s="12" t="s">
        <v>144</v>
      </c>
      <c r="H586" s="12" t="s">
        <v>47</v>
      </c>
      <c r="I586">
        <v>2009</v>
      </c>
      <c r="J586" s="12" t="s">
        <v>163</v>
      </c>
      <c r="K586" s="2">
        <v>0</v>
      </c>
      <c r="L586" s="2"/>
      <c r="M586" s="33">
        <v>7.7814576799999999</v>
      </c>
      <c r="N586" s="33">
        <v>6.7101604100000003</v>
      </c>
      <c r="O586" s="8"/>
      <c r="P586" s="1"/>
      <c r="Q586" s="1"/>
      <c r="R586" s="1"/>
      <c r="S586" s="3"/>
      <c r="T586" s="3"/>
      <c r="U586" s="3"/>
      <c r="V586" s="3"/>
      <c r="W586" s="3"/>
      <c r="X586" s="3"/>
      <c r="Y586" s="3"/>
      <c r="Z586" s="27" t="s">
        <v>247</v>
      </c>
      <c r="AA586" t="s">
        <v>207</v>
      </c>
    </row>
    <row r="587" spans="1:27" x14ac:dyDescent="0.25">
      <c r="A587" s="12">
        <v>124</v>
      </c>
      <c r="B587">
        <v>5</v>
      </c>
      <c r="C587">
        <f t="shared" si="71"/>
        <v>12405</v>
      </c>
      <c r="D587" s="3" t="s">
        <v>86</v>
      </c>
      <c r="E587" s="11">
        <f t="shared" si="78"/>
        <v>60.542558333333332</v>
      </c>
      <c r="F587" s="11">
        <f t="shared" si="79"/>
        <v>3.0467972222222222</v>
      </c>
      <c r="G587" s="12" t="s">
        <v>144</v>
      </c>
      <c r="H587" s="12" t="s">
        <v>47</v>
      </c>
      <c r="I587">
        <v>2010</v>
      </c>
      <c r="J587" s="12" t="s">
        <v>163</v>
      </c>
      <c r="K587" s="2">
        <v>0</v>
      </c>
      <c r="L587" s="2"/>
      <c r="M587" s="33">
        <v>10.08371876</v>
      </c>
      <c r="N587" s="33">
        <v>8.0706730180000008</v>
      </c>
      <c r="O587" s="8"/>
      <c r="P587" s="1"/>
      <c r="Q587" s="1"/>
      <c r="R587" s="1"/>
      <c r="S587" s="3"/>
      <c r="T587" s="3"/>
      <c r="U587" s="3"/>
      <c r="V587" s="3"/>
      <c r="W587" s="3"/>
      <c r="X587" s="3"/>
      <c r="Y587" s="3"/>
      <c r="Z587" s="27" t="s">
        <v>247</v>
      </c>
      <c r="AA587" t="s">
        <v>207</v>
      </c>
    </row>
    <row r="588" spans="1:27" x14ac:dyDescent="0.25">
      <c r="A588" s="12">
        <v>124</v>
      </c>
      <c r="B588">
        <v>5</v>
      </c>
      <c r="C588">
        <f t="shared" si="71"/>
        <v>12405</v>
      </c>
      <c r="D588" s="3" t="s">
        <v>86</v>
      </c>
      <c r="E588" s="11">
        <f t="shared" si="78"/>
        <v>60.542558333333332</v>
      </c>
      <c r="F588" s="11">
        <f t="shared" si="79"/>
        <v>3.0467972222222222</v>
      </c>
      <c r="G588" s="12" t="s">
        <v>144</v>
      </c>
      <c r="H588" s="12" t="s">
        <v>47</v>
      </c>
      <c r="I588">
        <v>2011</v>
      </c>
      <c r="J588" s="12" t="s">
        <v>163</v>
      </c>
      <c r="K588" s="2">
        <v>0</v>
      </c>
      <c r="L588" s="2"/>
      <c r="M588" s="33">
        <v>9.1489971780000001</v>
      </c>
      <c r="N588" s="33">
        <v>7.9919854260000003</v>
      </c>
      <c r="O588" s="8"/>
      <c r="P588" s="1"/>
      <c r="Q588" s="1"/>
      <c r="R588" s="1"/>
      <c r="S588" s="3"/>
      <c r="T588" s="3"/>
      <c r="U588" s="3"/>
      <c r="V588" s="3"/>
      <c r="W588" s="3"/>
      <c r="X588" s="3"/>
      <c r="Y588" s="3"/>
      <c r="Z588" s="27" t="s">
        <v>247</v>
      </c>
      <c r="AA588" t="s">
        <v>207</v>
      </c>
    </row>
    <row r="589" spans="1:27" x14ac:dyDescent="0.25">
      <c r="A589" s="12">
        <v>124</v>
      </c>
      <c r="B589">
        <v>5</v>
      </c>
      <c r="C589">
        <f t="shared" si="71"/>
        <v>12405</v>
      </c>
      <c r="D589" s="3" t="s">
        <v>86</v>
      </c>
      <c r="E589" s="11">
        <f t="shared" si="78"/>
        <v>60.542558333333332</v>
      </c>
      <c r="F589" s="11">
        <f t="shared" si="79"/>
        <v>3.0467972222222222</v>
      </c>
      <c r="G589" s="12" t="s">
        <v>144</v>
      </c>
      <c r="H589" s="12" t="s">
        <v>47</v>
      </c>
      <c r="I589">
        <v>2012</v>
      </c>
      <c r="J589" s="12" t="s">
        <v>163</v>
      </c>
      <c r="K589" s="2">
        <v>0</v>
      </c>
      <c r="L589" s="2"/>
      <c r="M589" s="33">
        <v>8.4815024999999995</v>
      </c>
      <c r="N589" s="33">
        <v>7.52727272727273</v>
      </c>
      <c r="O589" s="8"/>
      <c r="P589" s="1"/>
      <c r="Q589" s="1"/>
      <c r="R589" s="1"/>
      <c r="S589" s="3"/>
      <c r="T589" s="3"/>
      <c r="U589" s="3"/>
      <c r="V589" s="3"/>
      <c r="W589" s="3"/>
      <c r="X589" s="3"/>
      <c r="Y589" s="3"/>
      <c r="Z589" s="27" t="s">
        <v>247</v>
      </c>
      <c r="AA589" t="s">
        <v>207</v>
      </c>
    </row>
    <row r="590" spans="1:27" x14ac:dyDescent="0.25">
      <c r="A590" s="12">
        <v>124</v>
      </c>
      <c r="B590">
        <v>5</v>
      </c>
      <c r="C590">
        <f t="shared" si="71"/>
        <v>12405</v>
      </c>
      <c r="D590" s="3" t="s">
        <v>86</v>
      </c>
      <c r="E590" s="11">
        <f t="shared" si="78"/>
        <v>60.542558333333332</v>
      </c>
      <c r="F590" s="11">
        <f t="shared" si="79"/>
        <v>3.0467972222222222</v>
      </c>
      <c r="G590" s="12" t="s">
        <v>144</v>
      </c>
      <c r="H590" s="12" t="s">
        <v>47</v>
      </c>
      <c r="I590">
        <v>2013</v>
      </c>
      <c r="J590" s="12" t="s">
        <v>163</v>
      </c>
      <c r="K590" s="2">
        <v>0</v>
      </c>
      <c r="L590" s="2"/>
      <c r="M590" s="33">
        <v>7.8333952232583304</v>
      </c>
      <c r="N590" s="33">
        <v>7.2</v>
      </c>
      <c r="O590" s="8"/>
      <c r="P590" s="1"/>
      <c r="Q590" s="1"/>
      <c r="R590" s="1"/>
      <c r="S590" s="3"/>
      <c r="T590" s="3"/>
      <c r="U590" s="3"/>
      <c r="V590" s="3"/>
      <c r="W590" s="3"/>
      <c r="X590" s="3"/>
      <c r="Y590" s="3"/>
      <c r="Z590" s="27" t="s">
        <v>247</v>
      </c>
      <c r="AA590" t="s">
        <v>207</v>
      </c>
    </row>
    <row r="591" spans="1:27" x14ac:dyDescent="0.25">
      <c r="A591" s="12">
        <v>124</v>
      </c>
      <c r="B591">
        <v>5</v>
      </c>
      <c r="C591">
        <f t="shared" si="71"/>
        <v>12405</v>
      </c>
      <c r="D591" s="3" t="s">
        <v>86</v>
      </c>
      <c r="E591" s="11">
        <f t="shared" si="78"/>
        <v>60.542558333333332</v>
      </c>
      <c r="F591" s="11">
        <f t="shared" si="79"/>
        <v>3.0467972222222222</v>
      </c>
      <c r="G591" s="12" t="s">
        <v>144</v>
      </c>
      <c r="H591" s="12" t="s">
        <v>47</v>
      </c>
      <c r="I591">
        <v>2014</v>
      </c>
      <c r="J591" s="12" t="s">
        <v>163</v>
      </c>
      <c r="K591" s="2">
        <v>0</v>
      </c>
      <c r="L591" s="2"/>
      <c r="M591" s="33">
        <v>6.6316531533583296</v>
      </c>
      <c r="N591" s="33">
        <v>6.4740602374499998</v>
      </c>
      <c r="O591" s="8"/>
      <c r="P591" s="1"/>
      <c r="Q591" s="1"/>
      <c r="R591" s="1"/>
      <c r="S591" s="3"/>
      <c r="T591" s="3"/>
      <c r="U591" s="3"/>
      <c r="V591" s="3"/>
      <c r="W591" s="3"/>
      <c r="X591" s="3"/>
      <c r="Y591" s="3"/>
      <c r="Z591" s="27" t="s">
        <v>247</v>
      </c>
      <c r="AA591" t="s">
        <v>207</v>
      </c>
    </row>
    <row r="592" spans="1:27" x14ac:dyDescent="0.25">
      <c r="A592" s="12">
        <v>124</v>
      </c>
      <c r="B592">
        <v>5</v>
      </c>
      <c r="C592">
        <f t="shared" si="71"/>
        <v>12405</v>
      </c>
      <c r="D592" s="3" t="s">
        <v>86</v>
      </c>
      <c r="E592" s="11">
        <f t="shared" si="78"/>
        <v>60.542558333333332</v>
      </c>
      <c r="F592" s="11">
        <f t="shared" si="79"/>
        <v>3.0467972222222222</v>
      </c>
      <c r="G592" s="12" t="s">
        <v>144</v>
      </c>
      <c r="H592" s="12" t="s">
        <v>47</v>
      </c>
      <c r="I592">
        <v>2015</v>
      </c>
      <c r="J592" s="12" t="s">
        <v>163</v>
      </c>
      <c r="K592" s="2">
        <v>0</v>
      </c>
      <c r="L592" s="2"/>
      <c r="M592" s="33">
        <v>7.1</v>
      </c>
      <c r="N592" s="33">
        <v>7.1340000000000003</v>
      </c>
      <c r="O592" s="8"/>
      <c r="P592" s="1"/>
      <c r="Q592" s="1"/>
      <c r="R592" s="1"/>
      <c r="S592" s="3"/>
      <c r="T592" s="3"/>
      <c r="U592" s="3"/>
      <c r="V592" s="3"/>
      <c r="W592" s="3"/>
      <c r="X592" s="3"/>
      <c r="Y592" s="3"/>
      <c r="Z592" s="27" t="s">
        <v>247</v>
      </c>
      <c r="AA592" t="s">
        <v>207</v>
      </c>
    </row>
    <row r="593" spans="1:27" x14ac:dyDescent="0.25">
      <c r="A593" s="12">
        <v>124</v>
      </c>
      <c r="B593">
        <v>5</v>
      </c>
      <c r="C593">
        <f t="shared" si="71"/>
        <v>12405</v>
      </c>
      <c r="D593" s="3" t="s">
        <v>86</v>
      </c>
      <c r="E593" s="11">
        <f t="shared" si="78"/>
        <v>60.542558333333332</v>
      </c>
      <c r="F593" s="11">
        <f t="shared" si="79"/>
        <v>3.0467972222222222</v>
      </c>
      <c r="G593" s="12" t="s">
        <v>144</v>
      </c>
      <c r="H593" s="12" t="s">
        <v>47</v>
      </c>
      <c r="I593">
        <v>2016</v>
      </c>
      <c r="J593" s="12" t="s">
        <v>163</v>
      </c>
      <c r="K593" s="2">
        <v>0</v>
      </c>
      <c r="L593" s="2"/>
      <c r="M593" s="33">
        <v>7.9272225139749999</v>
      </c>
      <c r="N593" s="33">
        <v>8.2641845444750004</v>
      </c>
      <c r="O593" s="8"/>
      <c r="P593" s="1"/>
      <c r="Q593" s="1"/>
      <c r="R593" s="1"/>
      <c r="S593" s="3"/>
      <c r="T593" s="3"/>
      <c r="U593" s="3"/>
      <c r="V593" s="3"/>
      <c r="W593" s="3"/>
      <c r="X593" s="3"/>
      <c r="Y593" s="3"/>
      <c r="Z593" s="27" t="s">
        <v>247</v>
      </c>
      <c r="AA593" t="s">
        <v>207</v>
      </c>
    </row>
    <row r="594" spans="1:27" x14ac:dyDescent="0.25">
      <c r="A594" s="12">
        <v>124</v>
      </c>
      <c r="B594">
        <v>5</v>
      </c>
      <c r="C594">
        <f t="shared" si="71"/>
        <v>12405</v>
      </c>
      <c r="D594" s="3" t="s">
        <v>86</v>
      </c>
      <c r="E594" s="11">
        <f t="shared" si="78"/>
        <v>60.542558333333332</v>
      </c>
      <c r="F594" s="11">
        <f t="shared" si="79"/>
        <v>3.0467972222222222</v>
      </c>
      <c r="G594" s="12" t="s">
        <v>144</v>
      </c>
      <c r="H594" s="12" t="s">
        <v>47</v>
      </c>
      <c r="I594">
        <v>2017</v>
      </c>
      <c r="J594" s="12" t="s">
        <v>163</v>
      </c>
      <c r="K594" s="2">
        <v>0</v>
      </c>
      <c r="L594" s="2"/>
      <c r="M594" s="33">
        <v>7.1549907111166702</v>
      </c>
      <c r="N594" s="33">
        <v>8.5099950244200002</v>
      </c>
      <c r="O594" s="8"/>
      <c r="P594" s="1"/>
      <c r="Q594" s="1"/>
      <c r="R594" s="1"/>
      <c r="S594" s="3"/>
      <c r="T594" s="3"/>
      <c r="U594" s="3"/>
      <c r="V594" s="3"/>
      <c r="W594" s="3"/>
      <c r="X594" s="3"/>
      <c r="Y594" s="3"/>
      <c r="Z594" s="27" t="s">
        <v>247</v>
      </c>
      <c r="AA594" t="s">
        <v>207</v>
      </c>
    </row>
    <row r="595" spans="1:27" x14ac:dyDescent="0.25">
      <c r="A595" s="12">
        <v>124</v>
      </c>
      <c r="B595">
        <v>5</v>
      </c>
      <c r="C595">
        <f t="shared" si="71"/>
        <v>12405</v>
      </c>
      <c r="D595" s="3" t="s">
        <v>86</v>
      </c>
      <c r="E595" s="11">
        <f t="shared" si="78"/>
        <v>60.542558333333332</v>
      </c>
      <c r="F595" s="11">
        <f t="shared" si="79"/>
        <v>3.0467972222222222</v>
      </c>
      <c r="G595" s="12" t="s">
        <v>144</v>
      </c>
      <c r="H595" s="12" t="s">
        <v>47</v>
      </c>
      <c r="I595">
        <v>2018</v>
      </c>
      <c r="J595" s="12" t="s">
        <v>163</v>
      </c>
      <c r="K595" s="2">
        <v>0</v>
      </c>
      <c r="L595" s="2"/>
      <c r="M595" s="33">
        <v>7.4850000000000003</v>
      </c>
      <c r="N595" s="33">
        <v>9.0299999999999994</v>
      </c>
      <c r="O595" s="8"/>
      <c r="P595" s="1"/>
      <c r="Q595" s="1"/>
      <c r="R595" s="1"/>
      <c r="S595" s="3"/>
      <c r="T595" s="3"/>
      <c r="U595" s="3"/>
      <c r="V595" s="3"/>
      <c r="W595" s="3"/>
      <c r="X595" s="3"/>
      <c r="Y595" s="3"/>
      <c r="Z595" s="27" t="s">
        <v>247</v>
      </c>
      <c r="AA595" t="s">
        <v>207</v>
      </c>
    </row>
    <row r="596" spans="1:27" x14ac:dyDescent="0.25">
      <c r="A596" s="12">
        <v>124</v>
      </c>
      <c r="B596">
        <v>5</v>
      </c>
      <c r="C596">
        <f t="shared" si="71"/>
        <v>12405</v>
      </c>
      <c r="D596" s="3" t="s">
        <v>86</v>
      </c>
      <c r="E596" s="11">
        <f t="shared" si="78"/>
        <v>60.542558333333332</v>
      </c>
      <c r="F596" s="11">
        <f t="shared" si="79"/>
        <v>3.0467972222222222</v>
      </c>
      <c r="G596" s="12" t="s">
        <v>144</v>
      </c>
      <c r="H596" s="12" t="s">
        <v>47</v>
      </c>
      <c r="I596">
        <v>2019</v>
      </c>
      <c r="J596" s="12" t="s">
        <v>163</v>
      </c>
      <c r="K596" s="2">
        <v>0</v>
      </c>
      <c r="L596" s="2"/>
      <c r="M596" s="33">
        <v>6.7133428456666699</v>
      </c>
      <c r="N596" s="33">
        <v>8.4393717522749991</v>
      </c>
      <c r="O596" s="8"/>
      <c r="P596" s="1"/>
      <c r="Q596" s="1"/>
      <c r="R596" s="1"/>
      <c r="S596" s="3"/>
      <c r="T596" s="3"/>
      <c r="U596" s="3"/>
      <c r="V596" s="3"/>
      <c r="W596" s="3"/>
      <c r="X596" s="3"/>
      <c r="Y596" s="3"/>
      <c r="Z596" s="27" t="s">
        <v>247</v>
      </c>
      <c r="AA596" t="s">
        <v>207</v>
      </c>
    </row>
    <row r="597" spans="1:27" x14ac:dyDescent="0.25">
      <c r="A597" s="12">
        <v>124</v>
      </c>
      <c r="B597">
        <v>5</v>
      </c>
      <c r="C597">
        <f t="shared" si="71"/>
        <v>12405</v>
      </c>
      <c r="D597" s="3" t="s">
        <v>86</v>
      </c>
      <c r="E597" s="11">
        <f t="shared" si="78"/>
        <v>60.542558333333332</v>
      </c>
      <c r="F597" s="11">
        <f t="shared" si="79"/>
        <v>3.0467972222222222</v>
      </c>
      <c r="G597" s="12" t="s">
        <v>144</v>
      </c>
      <c r="H597" s="12" t="s">
        <v>47</v>
      </c>
      <c r="I597">
        <v>2020</v>
      </c>
      <c r="J597" s="12" t="s">
        <v>163</v>
      </c>
      <c r="K597" s="2">
        <v>0</v>
      </c>
      <c r="L597" s="2"/>
      <c r="M597" s="33">
        <v>6.1787098408333296</v>
      </c>
      <c r="N597" s="33">
        <v>8.0071546471749997</v>
      </c>
      <c r="O597" s="8"/>
      <c r="P597" s="1"/>
      <c r="Q597" s="1"/>
      <c r="R597" s="1"/>
      <c r="S597" s="3"/>
      <c r="T597" s="3"/>
      <c r="U597" s="3"/>
      <c r="V597" s="3"/>
      <c r="W597" s="3"/>
      <c r="X597" s="3"/>
      <c r="Y597" s="3"/>
      <c r="Z597" s="27" t="s">
        <v>247</v>
      </c>
      <c r="AA597" t="s">
        <v>207</v>
      </c>
    </row>
    <row r="598" spans="1:27" x14ac:dyDescent="0.25">
      <c r="A598" s="12">
        <v>124</v>
      </c>
      <c r="B598">
        <v>5</v>
      </c>
      <c r="C598">
        <f t="shared" si="71"/>
        <v>12405</v>
      </c>
      <c r="D598" s="3" t="s">
        <v>86</v>
      </c>
      <c r="E598" s="11">
        <f t="shared" si="78"/>
        <v>60.542558333333332</v>
      </c>
      <c r="F598" s="11">
        <f t="shared" si="79"/>
        <v>3.0467972222222222</v>
      </c>
      <c r="G598" s="12" t="s">
        <v>144</v>
      </c>
      <c r="H598" s="12" t="s">
        <v>47</v>
      </c>
      <c r="I598">
        <v>2021</v>
      </c>
      <c r="J598" s="12" t="s">
        <v>163</v>
      </c>
      <c r="K598" s="2">
        <v>0</v>
      </c>
      <c r="L598" s="2"/>
      <c r="M598" s="33">
        <v>6.0949999999999998</v>
      </c>
      <c r="N598" s="33">
        <v>6.2675000000000001</v>
      </c>
      <c r="O598" s="8"/>
      <c r="P598" s="1"/>
      <c r="Q598" s="1"/>
      <c r="R598" s="1"/>
      <c r="S598" s="3"/>
      <c r="T598" s="3"/>
      <c r="U598" s="3"/>
      <c r="V598" s="3"/>
      <c r="W598" s="3"/>
      <c r="X598" s="3"/>
      <c r="Y598" s="3"/>
      <c r="Z598" s="27" t="s">
        <v>247</v>
      </c>
      <c r="AA598" t="s">
        <v>207</v>
      </c>
    </row>
    <row r="599" spans="1:27" x14ac:dyDescent="0.25">
      <c r="A599" s="12">
        <v>124</v>
      </c>
      <c r="B599">
        <v>6</v>
      </c>
      <c r="C599">
        <f t="shared" si="71"/>
        <v>12406</v>
      </c>
      <c r="D599" s="3" t="s">
        <v>86</v>
      </c>
      <c r="E599" s="11">
        <f>64+21/60+11.42/3600</f>
        <v>64.353172222222213</v>
      </c>
      <c r="F599" s="11">
        <f>7+46/60+57.38/3600</f>
        <v>7.7826055555555556</v>
      </c>
      <c r="G599" s="12" t="s">
        <v>144</v>
      </c>
      <c r="H599" s="12" t="s">
        <v>47</v>
      </c>
      <c r="I599">
        <v>2002</v>
      </c>
      <c r="J599" s="12" t="s">
        <v>163</v>
      </c>
      <c r="K599" s="2">
        <v>0</v>
      </c>
      <c r="L599" s="2"/>
      <c r="M599" s="33">
        <v>5.233333333</v>
      </c>
      <c r="N599" s="33"/>
      <c r="O599" s="8"/>
      <c r="P599" s="1"/>
      <c r="Q599" s="1"/>
      <c r="R599" s="1"/>
      <c r="S599" s="3"/>
      <c r="T599" s="3"/>
      <c r="U599" s="3"/>
      <c r="V599" s="3"/>
      <c r="W599" s="3"/>
      <c r="X599" s="3"/>
      <c r="Y599" s="3"/>
      <c r="Z599" s="27" t="s">
        <v>247</v>
      </c>
      <c r="AA599" t="s">
        <v>208</v>
      </c>
    </row>
    <row r="600" spans="1:27" x14ac:dyDescent="0.25">
      <c r="A600" s="12">
        <v>124</v>
      </c>
      <c r="B600">
        <v>6</v>
      </c>
      <c r="C600">
        <f t="shared" si="71"/>
        <v>12406</v>
      </c>
      <c r="D600" s="3" t="s">
        <v>86</v>
      </c>
      <c r="E600" s="11">
        <f t="shared" ref="E600:E618" si="80">64+21/60+11.42/3600</f>
        <v>64.353172222222213</v>
      </c>
      <c r="F600" s="11">
        <f t="shared" ref="F600:F618" si="81">7+46/60+57.38/3600</f>
        <v>7.7826055555555556</v>
      </c>
      <c r="G600" s="12" t="s">
        <v>144</v>
      </c>
      <c r="H600" s="12" t="s">
        <v>47</v>
      </c>
      <c r="I600">
        <v>2003</v>
      </c>
      <c r="J600" s="12" t="s">
        <v>163</v>
      </c>
      <c r="K600" s="2">
        <v>0</v>
      </c>
      <c r="L600" s="2"/>
      <c r="M600" s="33">
        <v>3.8666666670000001</v>
      </c>
      <c r="N600" s="33"/>
      <c r="O600" s="8"/>
      <c r="P600" s="1"/>
      <c r="Q600" s="1"/>
      <c r="R600" s="1"/>
      <c r="S600" s="3"/>
      <c r="T600" s="3"/>
      <c r="U600" s="3"/>
      <c r="V600" s="3"/>
      <c r="W600" s="3"/>
      <c r="X600" s="3"/>
      <c r="Y600" s="3"/>
      <c r="Z600" s="27" t="s">
        <v>247</v>
      </c>
      <c r="AA600" t="s">
        <v>208</v>
      </c>
    </row>
    <row r="601" spans="1:27" x14ac:dyDescent="0.25">
      <c r="A601" s="12">
        <v>124</v>
      </c>
      <c r="B601">
        <v>6</v>
      </c>
      <c r="C601">
        <f t="shared" si="71"/>
        <v>12406</v>
      </c>
      <c r="D601" s="3" t="s">
        <v>86</v>
      </c>
      <c r="E601" s="11">
        <f t="shared" si="80"/>
        <v>64.353172222222213</v>
      </c>
      <c r="F601" s="11">
        <f t="shared" si="81"/>
        <v>7.7826055555555556</v>
      </c>
      <c r="G601" s="12" t="s">
        <v>144</v>
      </c>
      <c r="H601" s="12" t="s">
        <v>47</v>
      </c>
      <c r="I601">
        <v>2004</v>
      </c>
      <c r="J601" s="12" t="s">
        <v>163</v>
      </c>
      <c r="K601" s="2">
        <v>0</v>
      </c>
      <c r="L601" s="2"/>
      <c r="M601" s="33">
        <v>3.73</v>
      </c>
      <c r="N601" s="33"/>
      <c r="O601" s="8"/>
      <c r="P601" s="1"/>
      <c r="Q601" s="1"/>
      <c r="R601" s="1"/>
      <c r="S601" s="3"/>
      <c r="T601" s="3"/>
      <c r="U601" s="3"/>
      <c r="V601" s="3"/>
      <c r="W601" s="3"/>
      <c r="X601" s="3"/>
      <c r="Y601" s="3"/>
      <c r="Z601" s="27" t="s">
        <v>247</v>
      </c>
      <c r="AA601" t="s">
        <v>208</v>
      </c>
    </row>
    <row r="602" spans="1:27" x14ac:dyDescent="0.25">
      <c r="A602" s="12">
        <v>124</v>
      </c>
      <c r="B602">
        <v>6</v>
      </c>
      <c r="C602">
        <f t="shared" si="71"/>
        <v>12406</v>
      </c>
      <c r="D602" s="3" t="s">
        <v>86</v>
      </c>
      <c r="E602" s="11">
        <f t="shared" si="80"/>
        <v>64.353172222222213</v>
      </c>
      <c r="F602" s="11">
        <f t="shared" si="81"/>
        <v>7.7826055555555556</v>
      </c>
      <c r="G602" s="12" t="s">
        <v>144</v>
      </c>
      <c r="H602" s="12" t="s">
        <v>47</v>
      </c>
      <c r="I602">
        <v>2005</v>
      </c>
      <c r="J602" s="12" t="s">
        <v>163</v>
      </c>
      <c r="K602" s="2">
        <v>0</v>
      </c>
      <c r="L602" s="2"/>
      <c r="M602" s="33">
        <v>2.4300000000000002</v>
      </c>
      <c r="N602" s="33">
        <v>2.2466666659999999</v>
      </c>
      <c r="O602" s="8"/>
      <c r="P602" s="1"/>
      <c r="Q602" s="1"/>
      <c r="R602" s="1"/>
      <c r="S602" s="3"/>
      <c r="T602" s="3"/>
      <c r="U602" s="3"/>
      <c r="V602" s="3"/>
      <c r="W602" s="3"/>
      <c r="X602" s="3"/>
      <c r="Y602" s="3"/>
      <c r="Z602" s="27" t="s">
        <v>247</v>
      </c>
      <c r="AA602" t="s">
        <v>208</v>
      </c>
    </row>
    <row r="603" spans="1:27" x14ac:dyDescent="0.25">
      <c r="A603" s="12">
        <v>124</v>
      </c>
      <c r="B603">
        <v>6</v>
      </c>
      <c r="C603">
        <f t="shared" si="71"/>
        <v>12406</v>
      </c>
      <c r="D603" s="3" t="s">
        <v>86</v>
      </c>
      <c r="E603" s="11">
        <f t="shared" si="80"/>
        <v>64.353172222222213</v>
      </c>
      <c r="F603" s="11">
        <f t="shared" si="81"/>
        <v>7.7826055555555556</v>
      </c>
      <c r="G603" s="12" t="s">
        <v>144</v>
      </c>
      <c r="H603" s="12" t="s">
        <v>47</v>
      </c>
      <c r="I603">
        <v>2006</v>
      </c>
      <c r="J603" s="12" t="s">
        <v>163</v>
      </c>
      <c r="K603" s="2">
        <v>0</v>
      </c>
      <c r="L603" s="2"/>
      <c r="M603" s="33">
        <v>4.1333333400000001</v>
      </c>
      <c r="N603" s="33">
        <v>3.4249999999999998</v>
      </c>
      <c r="O603" s="8"/>
      <c r="P603" s="1"/>
      <c r="Q603" s="1"/>
      <c r="R603" s="1"/>
      <c r="S603" s="3"/>
      <c r="T603" s="3"/>
      <c r="U603" s="3"/>
      <c r="V603" s="3"/>
      <c r="W603" s="3"/>
      <c r="X603" s="3"/>
      <c r="Y603" s="3"/>
      <c r="Z603" s="27" t="s">
        <v>247</v>
      </c>
      <c r="AA603" t="s">
        <v>208</v>
      </c>
    </row>
    <row r="604" spans="1:27" x14ac:dyDescent="0.25">
      <c r="A604" s="12">
        <v>124</v>
      </c>
      <c r="B604">
        <v>6</v>
      </c>
      <c r="C604">
        <f t="shared" si="71"/>
        <v>12406</v>
      </c>
      <c r="D604" s="3" t="s">
        <v>86</v>
      </c>
      <c r="E604" s="11">
        <f t="shared" si="80"/>
        <v>64.353172222222213</v>
      </c>
      <c r="F604" s="11">
        <f t="shared" si="81"/>
        <v>7.7826055555555556</v>
      </c>
      <c r="G604" s="12" t="s">
        <v>144</v>
      </c>
      <c r="H604" s="12" t="s">
        <v>47</v>
      </c>
      <c r="I604">
        <v>2007</v>
      </c>
      <c r="J604" s="12" t="s">
        <v>163</v>
      </c>
      <c r="K604" s="2">
        <v>0</v>
      </c>
      <c r="L604" s="2"/>
      <c r="M604" s="33">
        <v>4.68</v>
      </c>
      <c r="N604" s="33">
        <v>3.75</v>
      </c>
      <c r="O604" s="8"/>
      <c r="P604" s="1"/>
      <c r="Q604" s="1"/>
      <c r="R604" s="1"/>
      <c r="S604" s="3"/>
      <c r="T604" s="3"/>
      <c r="U604" s="3"/>
      <c r="V604" s="3"/>
      <c r="W604" s="3"/>
      <c r="X604" s="3"/>
      <c r="Y604" s="3"/>
      <c r="Z604" s="27" t="s">
        <v>247</v>
      </c>
      <c r="AA604" t="s">
        <v>208</v>
      </c>
    </row>
    <row r="605" spans="1:27" x14ac:dyDescent="0.25">
      <c r="A605" s="12">
        <v>124</v>
      </c>
      <c r="B605">
        <v>6</v>
      </c>
      <c r="C605">
        <f t="shared" si="71"/>
        <v>12406</v>
      </c>
      <c r="D605" s="3" t="s">
        <v>86</v>
      </c>
      <c r="E605" s="11">
        <f t="shared" si="80"/>
        <v>64.353172222222213</v>
      </c>
      <c r="F605" s="11">
        <f t="shared" si="81"/>
        <v>7.7826055555555556</v>
      </c>
      <c r="G605" s="12" t="s">
        <v>144</v>
      </c>
      <c r="H605" s="12" t="s">
        <v>47</v>
      </c>
      <c r="I605">
        <v>2008</v>
      </c>
      <c r="J605" s="12" t="s">
        <v>163</v>
      </c>
      <c r="K605" s="2">
        <v>0</v>
      </c>
      <c r="L605" s="2"/>
      <c r="M605" s="33">
        <v>4.0770470000000003</v>
      </c>
      <c r="N605" s="33">
        <v>3.5688900000000001</v>
      </c>
      <c r="O605" s="8"/>
      <c r="P605" s="1"/>
      <c r="Q605" s="1"/>
      <c r="R605" s="1"/>
      <c r="S605" s="3"/>
      <c r="T605" s="3"/>
      <c r="U605" s="3"/>
      <c r="V605" s="3"/>
      <c r="W605" s="3"/>
      <c r="X605" s="3"/>
      <c r="Y605" s="3"/>
      <c r="Z605" s="27" t="s">
        <v>247</v>
      </c>
      <c r="AA605" t="s">
        <v>208</v>
      </c>
    </row>
    <row r="606" spans="1:27" x14ac:dyDescent="0.25">
      <c r="A606" s="12">
        <v>124</v>
      </c>
      <c r="B606">
        <v>6</v>
      </c>
      <c r="C606">
        <f t="shared" ref="C606:C669" si="82">A606*100+B606</f>
        <v>12406</v>
      </c>
      <c r="D606" s="3" t="s">
        <v>86</v>
      </c>
      <c r="E606" s="11">
        <f t="shared" si="80"/>
        <v>64.353172222222213</v>
      </c>
      <c r="F606" s="11">
        <f t="shared" si="81"/>
        <v>7.7826055555555556</v>
      </c>
      <c r="G606" s="12" t="s">
        <v>144</v>
      </c>
      <c r="H606" s="12" t="s">
        <v>47</v>
      </c>
      <c r="I606">
        <v>2009</v>
      </c>
      <c r="J606" s="12" t="s">
        <v>163</v>
      </c>
      <c r="K606" s="2">
        <v>0</v>
      </c>
      <c r="L606" s="2"/>
      <c r="M606" s="33">
        <v>5.078181507</v>
      </c>
      <c r="N606" s="33">
        <v>3.6523706410000001</v>
      </c>
      <c r="O606" s="8"/>
      <c r="P606" s="1"/>
      <c r="Q606" s="1"/>
      <c r="R606" s="1"/>
      <c r="S606" s="3"/>
      <c r="T606" s="3"/>
      <c r="U606" s="3"/>
      <c r="V606" s="3"/>
      <c r="W606" s="3"/>
      <c r="X606" s="3"/>
      <c r="Y606" s="3"/>
      <c r="Z606" s="27" t="s">
        <v>247</v>
      </c>
      <c r="AA606" t="s">
        <v>208</v>
      </c>
    </row>
    <row r="607" spans="1:27" x14ac:dyDescent="0.25">
      <c r="A607" s="12">
        <v>124</v>
      </c>
      <c r="B607">
        <v>6</v>
      </c>
      <c r="C607">
        <f t="shared" si="82"/>
        <v>12406</v>
      </c>
      <c r="D607" s="3" t="s">
        <v>86</v>
      </c>
      <c r="E607" s="11">
        <f t="shared" si="80"/>
        <v>64.353172222222213</v>
      </c>
      <c r="F607" s="11">
        <f t="shared" si="81"/>
        <v>7.7826055555555556</v>
      </c>
      <c r="G607" s="12" t="s">
        <v>144</v>
      </c>
      <c r="H607" s="12" t="s">
        <v>47</v>
      </c>
      <c r="I607">
        <v>2010</v>
      </c>
      <c r="J607" s="12" t="s">
        <v>163</v>
      </c>
      <c r="K607" s="2">
        <v>0</v>
      </c>
      <c r="L607" s="2"/>
      <c r="M607" s="33">
        <v>4.9356603379999999</v>
      </c>
      <c r="N607" s="33">
        <v>3.365515415</v>
      </c>
      <c r="O607" s="8"/>
      <c r="P607" s="1"/>
      <c r="Q607" s="1"/>
      <c r="R607" s="1"/>
      <c r="S607" s="3"/>
      <c r="T607" s="3"/>
      <c r="U607" s="3"/>
      <c r="V607" s="3"/>
      <c r="W607" s="3"/>
      <c r="X607" s="3"/>
      <c r="Y607" s="3"/>
      <c r="Z607" s="27" t="s">
        <v>247</v>
      </c>
      <c r="AA607" t="s">
        <v>208</v>
      </c>
    </row>
    <row r="608" spans="1:27" x14ac:dyDescent="0.25">
      <c r="A608" s="12">
        <v>124</v>
      </c>
      <c r="B608">
        <v>6</v>
      </c>
      <c r="C608">
        <f t="shared" si="82"/>
        <v>12406</v>
      </c>
      <c r="D608" s="3" t="s">
        <v>86</v>
      </c>
      <c r="E608" s="11">
        <f t="shared" si="80"/>
        <v>64.353172222222213</v>
      </c>
      <c r="F608" s="11">
        <f t="shared" si="81"/>
        <v>7.7826055555555556</v>
      </c>
      <c r="G608" s="12" t="s">
        <v>144</v>
      </c>
      <c r="H608" s="12" t="s">
        <v>47</v>
      </c>
      <c r="I608">
        <v>2011</v>
      </c>
      <c r="J608" s="12" t="s">
        <v>163</v>
      </c>
      <c r="K608" s="2">
        <v>0</v>
      </c>
      <c r="L608" s="2"/>
      <c r="M608" s="33">
        <v>3.4796909999999999</v>
      </c>
      <c r="N608" s="33">
        <v>2.2881330000000002</v>
      </c>
      <c r="O608" s="8"/>
      <c r="P608" s="1"/>
      <c r="Q608" s="1"/>
      <c r="R608" s="1"/>
      <c r="S608" s="3"/>
      <c r="T608" s="3"/>
      <c r="U608" s="3"/>
      <c r="V608" s="3"/>
      <c r="W608" s="3"/>
      <c r="X608" s="3"/>
      <c r="Y608" s="3"/>
      <c r="Z608" s="27" t="s">
        <v>247</v>
      </c>
      <c r="AA608" t="s">
        <v>208</v>
      </c>
    </row>
    <row r="609" spans="1:27" x14ac:dyDescent="0.25">
      <c r="A609" s="12">
        <v>124</v>
      </c>
      <c r="B609">
        <v>6</v>
      </c>
      <c r="C609">
        <f t="shared" si="82"/>
        <v>12406</v>
      </c>
      <c r="D609" s="3" t="s">
        <v>86</v>
      </c>
      <c r="E609" s="11">
        <f t="shared" si="80"/>
        <v>64.353172222222213</v>
      </c>
      <c r="F609" s="11">
        <f t="shared" si="81"/>
        <v>7.7826055555555556</v>
      </c>
      <c r="G609" s="12" t="s">
        <v>144</v>
      </c>
      <c r="H609" s="12" t="s">
        <v>47</v>
      </c>
      <c r="I609">
        <v>2012</v>
      </c>
      <c r="J609" s="12" t="s">
        <v>163</v>
      </c>
      <c r="K609" s="2">
        <v>0</v>
      </c>
      <c r="L609" s="2"/>
      <c r="M609" s="33">
        <v>3.41</v>
      </c>
      <c r="N609" s="33">
        <v>2.1480000000000001</v>
      </c>
      <c r="O609" s="8"/>
      <c r="P609" s="1"/>
      <c r="Q609" s="1"/>
      <c r="R609" s="1"/>
      <c r="S609" s="3"/>
      <c r="T609" s="3"/>
      <c r="U609" s="3"/>
      <c r="V609" s="3"/>
      <c r="W609" s="3"/>
      <c r="X609" s="3"/>
      <c r="Y609" s="3"/>
      <c r="Z609" s="27" t="s">
        <v>247</v>
      </c>
      <c r="AA609" t="s">
        <v>208</v>
      </c>
    </row>
    <row r="610" spans="1:27" x14ac:dyDescent="0.25">
      <c r="A610" s="12">
        <v>124</v>
      </c>
      <c r="B610">
        <v>6</v>
      </c>
      <c r="C610">
        <f t="shared" si="82"/>
        <v>12406</v>
      </c>
      <c r="D610" s="3" t="s">
        <v>86</v>
      </c>
      <c r="E610" s="11">
        <f t="shared" si="80"/>
        <v>64.353172222222213</v>
      </c>
      <c r="F610" s="11">
        <f t="shared" si="81"/>
        <v>7.7826055555555556</v>
      </c>
      <c r="G610" s="12" t="s">
        <v>144</v>
      </c>
      <c r="H610" s="12" t="s">
        <v>47</v>
      </c>
      <c r="I610">
        <v>2013</v>
      </c>
      <c r="J610" s="12" t="s">
        <v>163</v>
      </c>
      <c r="K610" s="2">
        <v>0</v>
      </c>
      <c r="L610" s="2"/>
      <c r="M610" s="33">
        <v>2.68888888888889</v>
      </c>
      <c r="N610" s="33">
        <v>1.86</v>
      </c>
      <c r="O610" s="8"/>
      <c r="P610" s="1"/>
      <c r="Q610" s="1"/>
      <c r="R610" s="1"/>
      <c r="S610" s="3"/>
      <c r="T610" s="3"/>
      <c r="U610" s="3"/>
      <c r="V610" s="3"/>
      <c r="W610" s="3"/>
      <c r="X610" s="3"/>
      <c r="Y610" s="3"/>
      <c r="Z610" s="27" t="s">
        <v>247</v>
      </c>
      <c r="AA610" t="s">
        <v>208</v>
      </c>
    </row>
    <row r="611" spans="1:27" x14ac:dyDescent="0.25">
      <c r="A611" s="12">
        <v>124</v>
      </c>
      <c r="B611">
        <v>6</v>
      </c>
      <c r="C611">
        <f t="shared" si="82"/>
        <v>12406</v>
      </c>
      <c r="D611" s="3" t="s">
        <v>86</v>
      </c>
      <c r="E611" s="11">
        <f t="shared" si="80"/>
        <v>64.353172222222213</v>
      </c>
      <c r="F611" s="11">
        <f t="shared" si="81"/>
        <v>7.7826055555555556</v>
      </c>
      <c r="G611" s="12" t="s">
        <v>144</v>
      </c>
      <c r="H611" s="12" t="s">
        <v>47</v>
      </c>
      <c r="I611">
        <v>2014</v>
      </c>
      <c r="J611" s="12" t="s">
        <v>163</v>
      </c>
      <c r="K611" s="2">
        <v>0</v>
      </c>
      <c r="L611" s="2"/>
      <c r="M611" s="33">
        <v>2.5550000000000002</v>
      </c>
      <c r="N611" s="33">
        <v>1.47166666666667</v>
      </c>
      <c r="O611" s="8"/>
      <c r="P611" s="1"/>
      <c r="Q611" s="1"/>
      <c r="R611" s="1"/>
      <c r="S611" s="3"/>
      <c r="T611" s="3"/>
      <c r="U611" s="3"/>
      <c r="V611" s="3"/>
      <c r="W611" s="3"/>
      <c r="X611" s="3"/>
      <c r="Y611" s="3"/>
      <c r="Z611" s="27" t="s">
        <v>247</v>
      </c>
      <c r="AA611" t="s">
        <v>208</v>
      </c>
    </row>
    <row r="612" spans="1:27" x14ac:dyDescent="0.25">
      <c r="A612" s="12">
        <v>124</v>
      </c>
      <c r="B612">
        <v>6</v>
      </c>
      <c r="C612">
        <f t="shared" si="82"/>
        <v>12406</v>
      </c>
      <c r="D612" s="3" t="s">
        <v>86</v>
      </c>
      <c r="E612" s="11">
        <f t="shared" si="80"/>
        <v>64.353172222222213</v>
      </c>
      <c r="F612" s="11">
        <f t="shared" si="81"/>
        <v>7.7826055555555556</v>
      </c>
      <c r="G612" s="12" t="s">
        <v>144</v>
      </c>
      <c r="H612" s="12" t="s">
        <v>47</v>
      </c>
      <c r="I612">
        <v>2015</v>
      </c>
      <c r="J612" s="12" t="s">
        <v>163</v>
      </c>
      <c r="K612" s="2">
        <v>0</v>
      </c>
      <c r="L612" s="2"/>
      <c r="M612" s="33">
        <v>2.4236363636363598</v>
      </c>
      <c r="N612" s="33">
        <v>1.59</v>
      </c>
      <c r="O612" s="8"/>
      <c r="P612" s="1"/>
      <c r="Q612" s="1"/>
      <c r="R612" s="1"/>
      <c r="S612" s="3"/>
      <c r="T612" s="3"/>
      <c r="U612" s="3"/>
      <c r="V612" s="3"/>
      <c r="W612" s="3"/>
      <c r="X612" s="3"/>
      <c r="Y612" s="3"/>
      <c r="Z612" s="27" t="s">
        <v>247</v>
      </c>
      <c r="AA612" t="s">
        <v>208</v>
      </c>
    </row>
    <row r="613" spans="1:27" x14ac:dyDescent="0.25">
      <c r="A613" s="12">
        <v>124</v>
      </c>
      <c r="B613">
        <v>6</v>
      </c>
      <c r="C613">
        <f t="shared" si="82"/>
        <v>12406</v>
      </c>
      <c r="D613" s="3" t="s">
        <v>86</v>
      </c>
      <c r="E613" s="11">
        <f t="shared" si="80"/>
        <v>64.353172222222213</v>
      </c>
      <c r="F613" s="11">
        <f t="shared" si="81"/>
        <v>7.7826055555555556</v>
      </c>
      <c r="G613" s="12" t="s">
        <v>144</v>
      </c>
      <c r="H613" s="12" t="s">
        <v>47</v>
      </c>
      <c r="I613">
        <v>2016</v>
      </c>
      <c r="J613" s="12" t="s">
        <v>163</v>
      </c>
      <c r="K613" s="2">
        <v>0</v>
      </c>
      <c r="L613" s="2"/>
      <c r="M613" s="33">
        <v>1.72</v>
      </c>
      <c r="N613" s="33">
        <v>0.85750000000000004</v>
      </c>
      <c r="O613" s="8"/>
      <c r="P613" s="1"/>
      <c r="Q613" s="1"/>
      <c r="R613" s="1"/>
      <c r="S613" s="3"/>
      <c r="T613" s="3"/>
      <c r="U613" s="3"/>
      <c r="V613" s="3"/>
      <c r="W613" s="3"/>
      <c r="X613" s="3"/>
      <c r="Y613" s="3"/>
      <c r="Z613" s="27" t="s">
        <v>247</v>
      </c>
      <c r="AA613" t="s">
        <v>208</v>
      </c>
    </row>
    <row r="614" spans="1:27" x14ac:dyDescent="0.25">
      <c r="A614" s="12">
        <v>124</v>
      </c>
      <c r="B614">
        <v>6</v>
      </c>
      <c r="C614">
        <f t="shared" si="82"/>
        <v>12406</v>
      </c>
      <c r="D614" s="3" t="s">
        <v>86</v>
      </c>
      <c r="E614" s="11">
        <f t="shared" si="80"/>
        <v>64.353172222222213</v>
      </c>
      <c r="F614" s="11">
        <f t="shared" si="81"/>
        <v>7.7826055555555556</v>
      </c>
      <c r="G614" s="12" t="s">
        <v>144</v>
      </c>
      <c r="H614" s="12" t="s">
        <v>47</v>
      </c>
      <c r="I614">
        <v>2017</v>
      </c>
      <c r="J614" s="12" t="s">
        <v>163</v>
      </c>
      <c r="K614" s="2">
        <v>0</v>
      </c>
      <c r="L614" s="2"/>
      <c r="M614" s="33">
        <v>1.07541481782</v>
      </c>
      <c r="N614" s="33">
        <v>0.76216963157999995</v>
      </c>
      <c r="O614" s="8"/>
      <c r="P614" s="1"/>
      <c r="Q614" s="1"/>
      <c r="R614" s="1"/>
      <c r="S614" s="3"/>
      <c r="T614" s="3"/>
      <c r="U614" s="3"/>
      <c r="V614" s="3"/>
      <c r="W614" s="3"/>
      <c r="X614" s="3"/>
      <c r="Y614" s="3"/>
      <c r="Z614" s="27" t="s">
        <v>247</v>
      </c>
      <c r="AA614" t="s">
        <v>208</v>
      </c>
    </row>
    <row r="615" spans="1:27" x14ac:dyDescent="0.25">
      <c r="A615" s="12">
        <v>124</v>
      </c>
      <c r="B615">
        <v>6</v>
      </c>
      <c r="C615">
        <f t="shared" si="82"/>
        <v>12406</v>
      </c>
      <c r="D615" s="3" t="s">
        <v>86</v>
      </c>
      <c r="E615" s="11">
        <f t="shared" si="80"/>
        <v>64.353172222222213</v>
      </c>
      <c r="F615" s="11">
        <f t="shared" si="81"/>
        <v>7.7826055555555556</v>
      </c>
      <c r="G615" s="12" t="s">
        <v>144</v>
      </c>
      <c r="H615" s="12" t="s">
        <v>47</v>
      </c>
      <c r="I615">
        <v>2018</v>
      </c>
      <c r="J615" s="12" t="s">
        <v>163</v>
      </c>
      <c r="K615" s="2">
        <v>0</v>
      </c>
      <c r="L615" s="2"/>
      <c r="M615" s="33">
        <v>0.88661348437499998</v>
      </c>
      <c r="N615" s="33">
        <v>0.58498369113750004</v>
      </c>
      <c r="O615" s="8"/>
      <c r="P615" s="1"/>
      <c r="Q615" s="1"/>
      <c r="R615" s="1"/>
      <c r="S615" s="3"/>
      <c r="T615" s="3"/>
      <c r="U615" s="3"/>
      <c r="V615" s="3"/>
      <c r="W615" s="3"/>
      <c r="X615" s="3"/>
      <c r="Y615" s="3"/>
      <c r="Z615" s="27" t="s">
        <v>247</v>
      </c>
      <c r="AA615" t="s">
        <v>208</v>
      </c>
    </row>
    <row r="616" spans="1:27" x14ac:dyDescent="0.25">
      <c r="A616" s="12">
        <v>124</v>
      </c>
      <c r="B616">
        <v>6</v>
      </c>
      <c r="C616">
        <f t="shared" si="82"/>
        <v>12406</v>
      </c>
      <c r="D616" s="3" t="s">
        <v>86</v>
      </c>
      <c r="E616" s="11">
        <f t="shared" si="80"/>
        <v>64.353172222222213</v>
      </c>
      <c r="F616" s="11">
        <f t="shared" si="81"/>
        <v>7.7826055555555556</v>
      </c>
      <c r="G616" s="12" t="s">
        <v>144</v>
      </c>
      <c r="H616" s="12" t="s">
        <v>47</v>
      </c>
      <c r="I616">
        <v>2019</v>
      </c>
      <c r="J616" s="12" t="s">
        <v>163</v>
      </c>
      <c r="K616" s="2">
        <v>0</v>
      </c>
      <c r="L616" s="2"/>
      <c r="M616" s="33">
        <v>1.2450000000000001</v>
      </c>
      <c r="N616" s="33">
        <v>0.72</v>
      </c>
      <c r="O616" s="8"/>
      <c r="P616" s="1"/>
      <c r="Q616" s="1"/>
      <c r="R616" s="1"/>
      <c r="S616" s="3"/>
      <c r="T616" s="3"/>
      <c r="U616" s="3"/>
      <c r="V616" s="3"/>
      <c r="W616" s="3"/>
      <c r="X616" s="3"/>
      <c r="Y616" s="3"/>
      <c r="Z616" s="27" t="s">
        <v>247</v>
      </c>
      <c r="AA616" t="s">
        <v>208</v>
      </c>
    </row>
    <row r="617" spans="1:27" x14ac:dyDescent="0.25">
      <c r="A617" s="12">
        <v>124</v>
      </c>
      <c r="B617">
        <v>6</v>
      </c>
      <c r="C617">
        <f t="shared" si="82"/>
        <v>12406</v>
      </c>
      <c r="D617" s="3" t="s">
        <v>86</v>
      </c>
      <c r="E617" s="11">
        <f t="shared" si="80"/>
        <v>64.353172222222213</v>
      </c>
      <c r="F617" s="11">
        <f t="shared" si="81"/>
        <v>7.7826055555555556</v>
      </c>
      <c r="G617" s="12" t="s">
        <v>144</v>
      </c>
      <c r="H617" s="12" t="s">
        <v>47</v>
      </c>
      <c r="I617">
        <v>2020</v>
      </c>
      <c r="J617" s="12" t="s">
        <v>163</v>
      </c>
      <c r="K617" s="2">
        <v>0</v>
      </c>
      <c r="L617" s="2"/>
      <c r="M617" s="33">
        <v>0.98622892278333296</v>
      </c>
      <c r="N617" s="33">
        <v>0.59671834193333295</v>
      </c>
      <c r="O617" s="8"/>
      <c r="P617" s="1"/>
      <c r="Q617" s="1"/>
      <c r="R617" s="1"/>
      <c r="S617" s="3"/>
      <c r="T617" s="3"/>
      <c r="U617" s="3"/>
      <c r="V617" s="3"/>
      <c r="W617" s="3"/>
      <c r="X617" s="3"/>
      <c r="Y617" s="3"/>
      <c r="Z617" s="27" t="s">
        <v>247</v>
      </c>
      <c r="AA617" t="s">
        <v>208</v>
      </c>
    </row>
    <row r="618" spans="1:27" x14ac:dyDescent="0.25">
      <c r="A618" s="12">
        <v>124</v>
      </c>
      <c r="B618">
        <v>6</v>
      </c>
      <c r="C618">
        <f t="shared" si="82"/>
        <v>12406</v>
      </c>
      <c r="D618" s="3" t="s">
        <v>86</v>
      </c>
      <c r="E618" s="11">
        <f t="shared" si="80"/>
        <v>64.353172222222213</v>
      </c>
      <c r="F618" s="11">
        <f t="shared" si="81"/>
        <v>7.7826055555555556</v>
      </c>
      <c r="G618" s="12" t="s">
        <v>144</v>
      </c>
      <c r="H618" s="12" t="s">
        <v>47</v>
      </c>
      <c r="I618">
        <v>2021</v>
      </c>
      <c r="J618" s="12" t="s">
        <v>163</v>
      </c>
      <c r="K618" s="2">
        <v>0</v>
      </c>
      <c r="L618" s="2"/>
      <c r="M618" s="33">
        <v>0.75928677784999998</v>
      </c>
      <c r="N618" s="33">
        <v>0.65053681466666702</v>
      </c>
      <c r="O618" s="8"/>
      <c r="P618" s="1"/>
      <c r="Q618" s="1"/>
      <c r="R618" s="1"/>
      <c r="S618" s="3"/>
      <c r="T618" s="3"/>
      <c r="U618" s="3"/>
      <c r="V618" s="3"/>
      <c r="W618" s="3"/>
      <c r="X618" s="3"/>
      <c r="Y618" s="3"/>
      <c r="Z618" s="27" t="s">
        <v>247</v>
      </c>
      <c r="AA618" t="s">
        <v>208</v>
      </c>
    </row>
    <row r="619" spans="1:27" x14ac:dyDescent="0.25">
      <c r="A619" s="12">
        <v>124</v>
      </c>
      <c r="B619">
        <v>7</v>
      </c>
      <c r="C619">
        <f t="shared" si="82"/>
        <v>12407</v>
      </c>
      <c r="D619" s="3" t="s">
        <v>86</v>
      </c>
      <c r="E619" s="11">
        <f>58+50/60+33.84/3600</f>
        <v>58.842733333333335</v>
      </c>
      <c r="F619" s="11">
        <f>2+14/60+54.02/3600</f>
        <v>2.2483388888888891</v>
      </c>
      <c r="G619" s="12" t="s">
        <v>144</v>
      </c>
      <c r="H619" s="12" t="s">
        <v>47</v>
      </c>
      <c r="I619">
        <v>2016</v>
      </c>
      <c r="J619" s="12" t="s">
        <v>163</v>
      </c>
      <c r="K619" s="2">
        <v>0</v>
      </c>
      <c r="L619" s="2"/>
      <c r="M619" s="33">
        <v>3.5</v>
      </c>
      <c r="N619" s="33">
        <v>5.2</v>
      </c>
      <c r="O619" s="8"/>
      <c r="P619" s="1"/>
      <c r="Q619" s="1"/>
      <c r="R619" s="1"/>
      <c r="S619" s="3"/>
      <c r="T619" s="3"/>
      <c r="U619" s="3"/>
      <c r="V619" s="3"/>
      <c r="W619" s="3"/>
      <c r="X619" s="3"/>
      <c r="Y619" s="3"/>
      <c r="Z619" s="27" t="s">
        <v>247</v>
      </c>
      <c r="AA619" t="s">
        <v>241</v>
      </c>
    </row>
    <row r="620" spans="1:27" x14ac:dyDescent="0.25">
      <c r="A620" s="12">
        <v>124</v>
      </c>
      <c r="B620">
        <v>7</v>
      </c>
      <c r="C620">
        <f t="shared" si="82"/>
        <v>12407</v>
      </c>
      <c r="D620" s="3" t="s">
        <v>86</v>
      </c>
      <c r="E620" s="11">
        <f t="shared" ref="E620:E624" si="83">58+50/60+33.84/3600</f>
        <v>58.842733333333335</v>
      </c>
      <c r="F620" s="11">
        <f t="shared" ref="F620:F624" si="84">2+14/60+54.02/3600</f>
        <v>2.2483388888888891</v>
      </c>
      <c r="G620" s="12" t="s">
        <v>144</v>
      </c>
      <c r="H620" s="12" t="s">
        <v>47</v>
      </c>
      <c r="I620">
        <v>2017</v>
      </c>
      <c r="J620" s="12" t="s">
        <v>163</v>
      </c>
      <c r="K620" s="2">
        <v>0</v>
      </c>
      <c r="L620" s="2"/>
      <c r="M620" s="33">
        <v>13.475</v>
      </c>
      <c r="N620" s="33">
        <v>13.862500000000001</v>
      </c>
      <c r="O620" s="8"/>
      <c r="P620" s="1"/>
      <c r="Q620" s="1"/>
      <c r="R620" s="1"/>
      <c r="S620" s="3"/>
      <c r="T620" s="3"/>
      <c r="U620" s="3"/>
      <c r="V620" s="3"/>
      <c r="W620" s="3"/>
      <c r="X620" s="3"/>
      <c r="Y620" s="3"/>
      <c r="Z620" s="27" t="s">
        <v>247</v>
      </c>
      <c r="AA620" t="s">
        <v>241</v>
      </c>
    </row>
    <row r="621" spans="1:27" x14ac:dyDescent="0.25">
      <c r="A621" s="12">
        <v>124</v>
      </c>
      <c r="B621">
        <v>7</v>
      </c>
      <c r="C621">
        <f t="shared" si="82"/>
        <v>12407</v>
      </c>
      <c r="D621" s="3" t="s">
        <v>86</v>
      </c>
      <c r="E621" s="11">
        <f t="shared" si="83"/>
        <v>58.842733333333335</v>
      </c>
      <c r="F621" s="11">
        <f t="shared" si="84"/>
        <v>2.2483388888888891</v>
      </c>
      <c r="G621" s="12" t="s">
        <v>144</v>
      </c>
      <c r="H621" s="12" t="s">
        <v>47</v>
      </c>
      <c r="I621">
        <v>2018</v>
      </c>
      <c r="J621" s="12" t="s">
        <v>163</v>
      </c>
      <c r="K621" s="2">
        <v>0</v>
      </c>
      <c r="L621" s="2"/>
      <c r="M621" s="33">
        <v>18.909274003549999</v>
      </c>
      <c r="N621" s="33">
        <v>21.10128374085</v>
      </c>
      <c r="O621" s="8"/>
      <c r="P621" s="1"/>
      <c r="Q621" s="1"/>
      <c r="R621" s="1"/>
      <c r="S621" s="3"/>
      <c r="T621" s="3"/>
      <c r="U621" s="3"/>
      <c r="V621" s="3"/>
      <c r="W621" s="3"/>
      <c r="X621" s="3"/>
      <c r="Y621" s="3"/>
      <c r="Z621" s="27" t="s">
        <v>247</v>
      </c>
      <c r="AA621" t="s">
        <v>241</v>
      </c>
    </row>
    <row r="622" spans="1:27" x14ac:dyDescent="0.25">
      <c r="A622" s="12">
        <v>124</v>
      </c>
      <c r="B622">
        <v>7</v>
      </c>
      <c r="C622">
        <f t="shared" si="82"/>
        <v>12407</v>
      </c>
      <c r="D622" s="3" t="s">
        <v>86</v>
      </c>
      <c r="E622" s="11">
        <f t="shared" si="83"/>
        <v>58.842733333333335</v>
      </c>
      <c r="F622" s="11">
        <f t="shared" si="84"/>
        <v>2.2483388888888891</v>
      </c>
      <c r="G622" s="12" t="s">
        <v>144</v>
      </c>
      <c r="H622" s="12" t="s">
        <v>47</v>
      </c>
      <c r="I622">
        <v>2019</v>
      </c>
      <c r="J622" s="12" t="s">
        <v>163</v>
      </c>
      <c r="K622" s="2">
        <v>0</v>
      </c>
      <c r="L622" s="2"/>
      <c r="M622" s="33">
        <v>7.2501805799833301</v>
      </c>
      <c r="N622" s="33">
        <v>9.3000496872333294</v>
      </c>
      <c r="O622" s="8"/>
      <c r="P622" s="1"/>
      <c r="Q622" s="1"/>
      <c r="R622" s="1"/>
      <c r="S622" s="3"/>
      <c r="T622" s="3"/>
      <c r="U622" s="3"/>
      <c r="V622" s="3"/>
      <c r="W622" s="3"/>
      <c r="X622" s="3"/>
      <c r="Y622" s="3"/>
      <c r="Z622" s="27" t="s">
        <v>247</v>
      </c>
      <c r="AA622" t="s">
        <v>241</v>
      </c>
    </row>
    <row r="623" spans="1:27" x14ac:dyDescent="0.25">
      <c r="A623" s="12">
        <v>124</v>
      </c>
      <c r="B623">
        <v>7</v>
      </c>
      <c r="C623">
        <f t="shared" si="82"/>
        <v>12407</v>
      </c>
      <c r="D623" s="3" t="s">
        <v>86</v>
      </c>
      <c r="E623" s="11">
        <f t="shared" si="83"/>
        <v>58.842733333333335</v>
      </c>
      <c r="F623" s="11">
        <f t="shared" si="84"/>
        <v>2.2483388888888891</v>
      </c>
      <c r="G623" s="12" t="s">
        <v>144</v>
      </c>
      <c r="H623" s="12" t="s">
        <v>47</v>
      </c>
      <c r="I623">
        <v>2020</v>
      </c>
      <c r="J623" s="12" t="s">
        <v>163</v>
      </c>
      <c r="K623" s="2">
        <v>0</v>
      </c>
      <c r="L623" s="2"/>
      <c r="M623" s="33">
        <v>11.125</v>
      </c>
      <c r="N623" s="33">
        <v>14.175000000000001</v>
      </c>
      <c r="O623" s="8"/>
      <c r="P623" s="1"/>
      <c r="Q623" s="1"/>
      <c r="R623" s="1"/>
      <c r="S623" s="3"/>
      <c r="T623" s="3"/>
      <c r="U623" s="3"/>
      <c r="V623" s="3"/>
      <c r="W623" s="3"/>
      <c r="X623" s="3"/>
      <c r="Y623" s="3"/>
      <c r="Z623" s="27" t="s">
        <v>247</v>
      </c>
      <c r="AA623" t="s">
        <v>241</v>
      </c>
    </row>
    <row r="624" spans="1:27" x14ac:dyDescent="0.25">
      <c r="A624" s="12">
        <v>124</v>
      </c>
      <c r="B624">
        <v>7</v>
      </c>
      <c r="C624">
        <f t="shared" si="82"/>
        <v>12407</v>
      </c>
      <c r="D624" s="3" t="s">
        <v>86</v>
      </c>
      <c r="E624" s="11">
        <f t="shared" si="83"/>
        <v>58.842733333333335</v>
      </c>
      <c r="F624" s="11">
        <f t="shared" si="84"/>
        <v>2.2483388888888891</v>
      </c>
      <c r="G624" s="12" t="s">
        <v>144</v>
      </c>
      <c r="H624" s="12" t="s">
        <v>47</v>
      </c>
      <c r="I624">
        <v>2022</v>
      </c>
      <c r="J624" s="12" t="s">
        <v>163</v>
      </c>
      <c r="K624" s="2">
        <v>0</v>
      </c>
      <c r="L624" s="2"/>
      <c r="M624" s="33">
        <v>4.4249999999999998</v>
      </c>
      <c r="N624" s="33">
        <v>10.8</v>
      </c>
      <c r="O624" s="8"/>
      <c r="P624" s="1"/>
      <c r="Q624" s="1"/>
      <c r="R624" s="1"/>
      <c r="S624" s="3"/>
      <c r="T624" s="3"/>
      <c r="U624" s="3"/>
      <c r="V624" s="3"/>
      <c r="W624" s="3"/>
      <c r="X624" s="3"/>
      <c r="Y624" s="3"/>
      <c r="Z624" s="27" t="s">
        <v>247</v>
      </c>
      <c r="AA624" t="s">
        <v>241</v>
      </c>
    </row>
    <row r="625" spans="1:27" x14ac:dyDescent="0.25">
      <c r="A625" s="12">
        <v>124</v>
      </c>
      <c r="B625">
        <v>8</v>
      </c>
      <c r="C625">
        <f t="shared" si="82"/>
        <v>12408</v>
      </c>
      <c r="D625" s="3" t="s">
        <v>86</v>
      </c>
      <c r="E625" s="11">
        <f>56+33/60+55.27/3600</f>
        <v>56.565352777777775</v>
      </c>
      <c r="F625" s="11">
        <f>3+12/60+13.28/3600</f>
        <v>3.2036888888888893</v>
      </c>
      <c r="G625" s="12" t="s">
        <v>144</v>
      </c>
      <c r="H625" s="12" t="s">
        <v>47</v>
      </c>
      <c r="I625">
        <v>2002</v>
      </c>
      <c r="J625" s="12" t="s">
        <v>163</v>
      </c>
      <c r="K625" s="2">
        <v>0</v>
      </c>
      <c r="L625" s="2"/>
      <c r="M625" s="33">
        <v>0.86666666666666703</v>
      </c>
      <c r="N625" s="33"/>
      <c r="O625" s="8"/>
      <c r="P625" s="1"/>
      <c r="Q625" s="1"/>
      <c r="R625" s="1"/>
      <c r="S625" s="3"/>
      <c r="T625" s="3"/>
      <c r="U625" s="3"/>
      <c r="V625" s="3"/>
      <c r="W625" s="3"/>
      <c r="X625" s="3"/>
      <c r="Y625" s="3"/>
      <c r="Z625" s="27" t="s">
        <v>247</v>
      </c>
      <c r="AA625" t="s">
        <v>209</v>
      </c>
    </row>
    <row r="626" spans="1:27" x14ac:dyDescent="0.25">
      <c r="A626" s="12">
        <v>124</v>
      </c>
      <c r="B626">
        <v>8</v>
      </c>
      <c r="C626">
        <f t="shared" si="82"/>
        <v>12408</v>
      </c>
      <c r="D626" s="3" t="s">
        <v>86</v>
      </c>
      <c r="E626" s="11">
        <f t="shared" ref="E626:E644" si="85">56+33/60+55.27/3600</f>
        <v>56.565352777777775</v>
      </c>
      <c r="F626" s="11">
        <f t="shared" ref="F626:F644" si="86">3+12/60+13.28/3600</f>
        <v>3.2036888888888893</v>
      </c>
      <c r="G626" s="12" t="s">
        <v>144</v>
      </c>
      <c r="H626" s="12" t="s">
        <v>47</v>
      </c>
      <c r="I626">
        <v>2003</v>
      </c>
      <c r="J626" s="12" t="s">
        <v>163</v>
      </c>
      <c r="K626" s="2">
        <v>0</v>
      </c>
      <c r="L626" s="2"/>
      <c r="M626" s="33">
        <v>1.2134816664999999</v>
      </c>
      <c r="N626" s="33"/>
      <c r="O626" s="8"/>
      <c r="P626" s="1"/>
      <c r="Q626" s="1"/>
      <c r="R626" s="1"/>
      <c r="S626" s="3"/>
      <c r="T626" s="3"/>
      <c r="U626" s="3"/>
      <c r="V626" s="3"/>
      <c r="W626" s="3"/>
      <c r="X626" s="3"/>
      <c r="Y626" s="3"/>
      <c r="Z626" s="27" t="s">
        <v>247</v>
      </c>
      <c r="AA626" t="s">
        <v>209</v>
      </c>
    </row>
    <row r="627" spans="1:27" x14ac:dyDescent="0.25">
      <c r="A627" s="12">
        <v>124</v>
      </c>
      <c r="B627">
        <v>8</v>
      </c>
      <c r="C627">
        <f t="shared" si="82"/>
        <v>12408</v>
      </c>
      <c r="D627" s="3" t="s">
        <v>86</v>
      </c>
      <c r="E627" s="11">
        <f t="shared" si="85"/>
        <v>56.565352777777775</v>
      </c>
      <c r="F627" s="11">
        <f t="shared" si="86"/>
        <v>3.2036888888888893</v>
      </c>
      <c r="G627" s="12" t="s">
        <v>144</v>
      </c>
      <c r="H627" s="12" t="s">
        <v>47</v>
      </c>
      <c r="I627">
        <v>2004</v>
      </c>
      <c r="J627" s="12" t="s">
        <v>163</v>
      </c>
      <c r="K627" s="2">
        <v>0</v>
      </c>
      <c r="L627" s="2"/>
      <c r="M627" s="33">
        <v>1.456198758</v>
      </c>
      <c r="N627" s="33"/>
      <c r="O627" s="8"/>
      <c r="P627" s="1"/>
      <c r="Q627" s="1"/>
      <c r="R627" s="1"/>
      <c r="S627" s="3"/>
      <c r="T627" s="3"/>
      <c r="U627" s="3"/>
      <c r="V627" s="3"/>
      <c r="W627" s="3"/>
      <c r="X627" s="3"/>
      <c r="Y627" s="3"/>
      <c r="Z627" s="27" t="s">
        <v>247</v>
      </c>
      <c r="AA627" t="s">
        <v>209</v>
      </c>
    </row>
    <row r="628" spans="1:27" x14ac:dyDescent="0.25">
      <c r="A628" s="12">
        <v>124</v>
      </c>
      <c r="B628">
        <v>8</v>
      </c>
      <c r="C628">
        <f t="shared" si="82"/>
        <v>12408</v>
      </c>
      <c r="D628" s="3" t="s">
        <v>86</v>
      </c>
      <c r="E628" s="11">
        <f t="shared" si="85"/>
        <v>56.565352777777775</v>
      </c>
      <c r="F628" s="11">
        <f t="shared" si="86"/>
        <v>3.2036888888888893</v>
      </c>
      <c r="G628" s="12" t="s">
        <v>144</v>
      </c>
      <c r="H628" s="12" t="s">
        <v>47</v>
      </c>
      <c r="I628">
        <v>2005</v>
      </c>
      <c r="J628" s="12" t="s">
        <v>163</v>
      </c>
      <c r="K628" s="2">
        <v>0</v>
      </c>
      <c r="L628" s="2"/>
      <c r="M628" s="33">
        <v>0.671366666666667</v>
      </c>
      <c r="N628" s="33">
        <v>0.33172943733333299</v>
      </c>
      <c r="O628" s="8"/>
      <c r="P628" s="1"/>
      <c r="Q628" s="1"/>
      <c r="R628" s="1"/>
      <c r="S628" s="3"/>
      <c r="T628" s="3"/>
      <c r="U628" s="3"/>
      <c r="V628" s="3"/>
      <c r="W628" s="3"/>
      <c r="X628" s="3"/>
      <c r="Y628" s="3"/>
      <c r="Z628" s="27" t="s">
        <v>247</v>
      </c>
      <c r="AA628" t="s">
        <v>209</v>
      </c>
    </row>
    <row r="629" spans="1:27" x14ac:dyDescent="0.25">
      <c r="A629" s="12">
        <v>124</v>
      </c>
      <c r="B629">
        <v>8</v>
      </c>
      <c r="C629">
        <f t="shared" si="82"/>
        <v>12408</v>
      </c>
      <c r="D629" s="3" t="s">
        <v>86</v>
      </c>
      <c r="E629" s="11">
        <f t="shared" si="85"/>
        <v>56.565352777777775</v>
      </c>
      <c r="F629" s="11">
        <f t="shared" si="86"/>
        <v>3.2036888888888893</v>
      </c>
      <c r="G629" s="12" t="s">
        <v>144</v>
      </c>
      <c r="H629" s="12" t="s">
        <v>47</v>
      </c>
      <c r="I629">
        <v>2006</v>
      </c>
      <c r="J629" s="12" t="s">
        <v>163</v>
      </c>
      <c r="K629" s="2">
        <v>0</v>
      </c>
      <c r="L629" s="2"/>
      <c r="M629" s="33">
        <v>1.735239703</v>
      </c>
      <c r="N629" s="33">
        <v>0.54515323500000001</v>
      </c>
      <c r="O629" s="8"/>
      <c r="P629" s="1"/>
      <c r="Q629" s="1"/>
      <c r="R629" s="1"/>
      <c r="S629" s="3"/>
      <c r="T629" s="3"/>
      <c r="U629" s="3"/>
      <c r="V629" s="3"/>
      <c r="W629" s="3"/>
      <c r="X629" s="3"/>
      <c r="Y629" s="3"/>
      <c r="Z629" s="27" t="s">
        <v>247</v>
      </c>
      <c r="AA629" t="s">
        <v>209</v>
      </c>
    </row>
    <row r="630" spans="1:27" x14ac:dyDescent="0.25">
      <c r="A630" s="12">
        <v>124</v>
      </c>
      <c r="B630">
        <v>8</v>
      </c>
      <c r="C630">
        <f t="shared" si="82"/>
        <v>12408</v>
      </c>
      <c r="D630" s="3" t="s">
        <v>86</v>
      </c>
      <c r="E630" s="11">
        <f t="shared" si="85"/>
        <v>56.565352777777775</v>
      </c>
      <c r="F630" s="11">
        <f t="shared" si="86"/>
        <v>3.2036888888888893</v>
      </c>
      <c r="G630" s="12" t="s">
        <v>144</v>
      </c>
      <c r="H630" s="12" t="s">
        <v>47</v>
      </c>
      <c r="I630">
        <v>2007</v>
      </c>
      <c r="J630" s="12" t="s">
        <v>163</v>
      </c>
      <c r="K630" s="2">
        <v>0</v>
      </c>
      <c r="L630" s="2"/>
      <c r="M630" s="33">
        <v>2.1361593293333301</v>
      </c>
      <c r="N630" s="33">
        <v>0.64820534600000002</v>
      </c>
      <c r="O630" s="8"/>
      <c r="P630" s="1"/>
      <c r="Q630" s="1"/>
      <c r="R630" s="1"/>
      <c r="S630" s="3"/>
      <c r="T630" s="3"/>
      <c r="U630" s="3"/>
      <c r="V630" s="3"/>
      <c r="W630" s="3"/>
      <c r="X630" s="3"/>
      <c r="Y630" s="3"/>
      <c r="Z630" s="27" t="s">
        <v>247</v>
      </c>
      <c r="AA630" t="s">
        <v>209</v>
      </c>
    </row>
    <row r="631" spans="1:27" x14ac:dyDescent="0.25">
      <c r="A631" s="12">
        <v>124</v>
      </c>
      <c r="B631">
        <v>8</v>
      </c>
      <c r="C631">
        <f t="shared" si="82"/>
        <v>12408</v>
      </c>
      <c r="D631" s="3" t="s">
        <v>86</v>
      </c>
      <c r="E631" s="11">
        <f t="shared" si="85"/>
        <v>56.565352777777775</v>
      </c>
      <c r="F631" s="11">
        <f t="shared" si="86"/>
        <v>3.2036888888888893</v>
      </c>
      <c r="G631" s="12" t="s">
        <v>144</v>
      </c>
      <c r="H631" s="12" t="s">
        <v>47</v>
      </c>
      <c r="I631">
        <v>2008</v>
      </c>
      <c r="J631" s="12" t="s">
        <v>163</v>
      </c>
      <c r="K631" s="2">
        <v>0</v>
      </c>
      <c r="L631" s="2"/>
      <c r="M631" s="33">
        <v>1.459605539</v>
      </c>
      <c r="N631" s="33">
        <v>0.52750446500000003</v>
      </c>
      <c r="O631" s="8"/>
      <c r="P631" s="1"/>
      <c r="Q631" s="1"/>
      <c r="R631" s="1"/>
      <c r="S631" s="3"/>
      <c r="T631" s="3"/>
      <c r="U631" s="3"/>
      <c r="V631" s="3"/>
      <c r="W631" s="3"/>
      <c r="X631" s="3"/>
      <c r="Y631" s="3"/>
      <c r="Z631" s="27" t="s">
        <v>247</v>
      </c>
      <c r="AA631" t="s">
        <v>209</v>
      </c>
    </row>
    <row r="632" spans="1:27" x14ac:dyDescent="0.25">
      <c r="A632" s="12">
        <v>124</v>
      </c>
      <c r="B632">
        <v>8</v>
      </c>
      <c r="C632">
        <f t="shared" si="82"/>
        <v>12408</v>
      </c>
      <c r="D632" s="3" t="s">
        <v>86</v>
      </c>
      <c r="E632" s="11">
        <f t="shared" si="85"/>
        <v>56.565352777777775</v>
      </c>
      <c r="F632" s="11">
        <f t="shared" si="86"/>
        <v>3.2036888888888893</v>
      </c>
      <c r="G632" s="12" t="s">
        <v>144</v>
      </c>
      <c r="H632" s="12" t="s">
        <v>47</v>
      </c>
      <c r="I632">
        <v>2009</v>
      </c>
      <c r="J632" s="12" t="s">
        <v>163</v>
      </c>
      <c r="K632" s="2">
        <v>0</v>
      </c>
      <c r="L632" s="2"/>
      <c r="M632" s="33">
        <v>1.72</v>
      </c>
      <c r="N632" s="33">
        <v>0.53400000000000003</v>
      </c>
      <c r="O632" s="8"/>
      <c r="P632" s="1"/>
      <c r="Q632" s="1"/>
      <c r="R632" s="1"/>
      <c r="S632" s="3"/>
      <c r="T632" s="3"/>
      <c r="U632" s="3"/>
      <c r="V632" s="3"/>
      <c r="W632" s="3"/>
      <c r="X632" s="3"/>
      <c r="Y632" s="3"/>
      <c r="Z632" s="27" t="s">
        <v>247</v>
      </c>
      <c r="AA632" t="s">
        <v>209</v>
      </c>
    </row>
    <row r="633" spans="1:27" x14ac:dyDescent="0.25">
      <c r="A633" s="12">
        <v>124</v>
      </c>
      <c r="B633">
        <v>8</v>
      </c>
      <c r="C633">
        <f t="shared" si="82"/>
        <v>12408</v>
      </c>
      <c r="D633" s="3" t="s">
        <v>86</v>
      </c>
      <c r="E633" s="11">
        <f t="shared" si="85"/>
        <v>56.565352777777775</v>
      </c>
      <c r="F633" s="11">
        <f t="shared" si="86"/>
        <v>3.2036888888888893</v>
      </c>
      <c r="G633" s="12" t="s">
        <v>144</v>
      </c>
      <c r="H633" s="12" t="s">
        <v>47</v>
      </c>
      <c r="I633">
        <v>2010</v>
      </c>
      <c r="J633" s="12" t="s">
        <v>163</v>
      </c>
      <c r="K633" s="2">
        <v>0</v>
      </c>
      <c r="L633" s="2"/>
      <c r="M633" s="33">
        <v>1.4595362059999999</v>
      </c>
      <c r="N633" s="33">
        <v>0.43824925149999999</v>
      </c>
      <c r="O633" s="8"/>
      <c r="P633" s="1"/>
      <c r="Q633" s="1"/>
      <c r="R633" s="1"/>
      <c r="S633" s="3"/>
      <c r="T633" s="3"/>
      <c r="U633" s="3"/>
      <c r="V633" s="3"/>
      <c r="W633" s="3"/>
      <c r="X633" s="3"/>
      <c r="Y633" s="3"/>
      <c r="Z633" s="27" t="s">
        <v>247</v>
      </c>
      <c r="AA633" t="s">
        <v>209</v>
      </c>
    </row>
    <row r="634" spans="1:27" x14ac:dyDescent="0.25">
      <c r="A634" s="12">
        <v>124</v>
      </c>
      <c r="B634">
        <v>8</v>
      </c>
      <c r="C634">
        <f t="shared" si="82"/>
        <v>12408</v>
      </c>
      <c r="D634" s="3" t="s">
        <v>86</v>
      </c>
      <c r="E634" s="11">
        <f t="shared" si="85"/>
        <v>56.565352777777775</v>
      </c>
      <c r="F634" s="11">
        <f t="shared" si="86"/>
        <v>3.2036888888888893</v>
      </c>
      <c r="G634" s="12" t="s">
        <v>144</v>
      </c>
      <c r="H634" s="12" t="s">
        <v>47</v>
      </c>
      <c r="I634">
        <v>2011</v>
      </c>
      <c r="J634" s="12" t="s">
        <v>163</v>
      </c>
      <c r="K634" s="2">
        <v>0</v>
      </c>
      <c r="L634" s="2"/>
      <c r="M634" s="33">
        <v>1.1106549999999999</v>
      </c>
      <c r="N634" s="33">
        <v>0.36379499999999998</v>
      </c>
      <c r="O634" s="8"/>
      <c r="P634" s="1"/>
      <c r="Q634" s="1"/>
      <c r="R634" s="1"/>
      <c r="S634" s="3"/>
      <c r="T634" s="3"/>
      <c r="U634" s="3"/>
      <c r="V634" s="3"/>
      <c r="W634" s="3"/>
      <c r="X634" s="3"/>
      <c r="Y634" s="3"/>
      <c r="Z634" s="27" t="s">
        <v>247</v>
      </c>
      <c r="AA634" t="s">
        <v>209</v>
      </c>
    </row>
    <row r="635" spans="1:27" x14ac:dyDescent="0.25">
      <c r="A635" s="12">
        <v>124</v>
      </c>
      <c r="B635">
        <v>8</v>
      </c>
      <c r="C635">
        <f t="shared" si="82"/>
        <v>12408</v>
      </c>
      <c r="D635" s="3" t="s">
        <v>86</v>
      </c>
      <c r="E635" s="11">
        <f t="shared" si="85"/>
        <v>56.565352777777775</v>
      </c>
      <c r="F635" s="11">
        <f t="shared" si="86"/>
        <v>3.2036888888888893</v>
      </c>
      <c r="G635" s="12" t="s">
        <v>144</v>
      </c>
      <c r="H635" s="12" t="s">
        <v>47</v>
      </c>
      <c r="I635">
        <v>2012</v>
      </c>
      <c r="J635" s="12" t="s">
        <v>163</v>
      </c>
      <c r="K635" s="2">
        <v>0</v>
      </c>
      <c r="L635" s="2"/>
      <c r="M635" s="33">
        <v>0.88133333333333297</v>
      </c>
      <c r="N635" s="33">
        <v>0.53874999999999995</v>
      </c>
      <c r="O635" s="8"/>
      <c r="P635" s="1"/>
      <c r="Q635" s="1"/>
      <c r="R635" s="1"/>
      <c r="S635" s="3"/>
      <c r="T635" s="3"/>
      <c r="U635" s="3"/>
      <c r="V635" s="3"/>
      <c r="W635" s="3"/>
      <c r="X635" s="3"/>
      <c r="Y635" s="3"/>
      <c r="Z635" s="27" t="s">
        <v>247</v>
      </c>
      <c r="AA635" t="s">
        <v>209</v>
      </c>
    </row>
    <row r="636" spans="1:27" x14ac:dyDescent="0.25">
      <c r="A636" s="12">
        <v>124</v>
      </c>
      <c r="B636">
        <v>8</v>
      </c>
      <c r="C636">
        <f t="shared" si="82"/>
        <v>12408</v>
      </c>
      <c r="D636" s="3" t="s">
        <v>86</v>
      </c>
      <c r="E636" s="11">
        <f t="shared" si="85"/>
        <v>56.565352777777775</v>
      </c>
      <c r="F636" s="11">
        <f t="shared" si="86"/>
        <v>3.2036888888888893</v>
      </c>
      <c r="G636" s="12" t="s">
        <v>144</v>
      </c>
      <c r="H636" s="12" t="s">
        <v>47</v>
      </c>
      <c r="I636">
        <v>2013</v>
      </c>
      <c r="J636" s="12" t="s">
        <v>163</v>
      </c>
      <c r="K636" s="2">
        <v>0</v>
      </c>
      <c r="L636" s="2"/>
      <c r="M636" s="33">
        <v>0.96413888888888899</v>
      </c>
      <c r="N636" s="33">
        <v>0.41624</v>
      </c>
      <c r="O636" s="8"/>
      <c r="P636" s="1"/>
      <c r="Q636" s="1"/>
      <c r="R636" s="1"/>
      <c r="S636" s="3"/>
      <c r="T636" s="3"/>
      <c r="U636" s="3"/>
      <c r="V636" s="3"/>
      <c r="W636" s="3"/>
      <c r="X636" s="3"/>
      <c r="Y636" s="3"/>
      <c r="Z636" s="27" t="s">
        <v>247</v>
      </c>
      <c r="AA636" t="s">
        <v>209</v>
      </c>
    </row>
    <row r="637" spans="1:27" x14ac:dyDescent="0.25">
      <c r="A637" s="12">
        <v>124</v>
      </c>
      <c r="B637">
        <v>8</v>
      </c>
      <c r="C637">
        <f t="shared" si="82"/>
        <v>12408</v>
      </c>
      <c r="D637" s="3" t="s">
        <v>86</v>
      </c>
      <c r="E637" s="11">
        <f t="shared" si="85"/>
        <v>56.565352777777775</v>
      </c>
      <c r="F637" s="11">
        <f t="shared" si="86"/>
        <v>3.2036888888888893</v>
      </c>
      <c r="G637" s="12" t="s">
        <v>144</v>
      </c>
      <c r="H637" s="12" t="s">
        <v>47</v>
      </c>
      <c r="I637">
        <v>2014</v>
      </c>
      <c r="J637" s="12" t="s">
        <v>163</v>
      </c>
      <c r="K637" s="2">
        <v>0</v>
      </c>
      <c r="L637" s="2"/>
      <c r="M637" s="33">
        <v>0.92353535353555605</v>
      </c>
      <c r="N637" s="33">
        <v>0.58344155844157097</v>
      </c>
      <c r="O637" s="8"/>
      <c r="P637" s="1"/>
      <c r="Q637" s="1"/>
      <c r="R637" s="1"/>
      <c r="S637" s="3"/>
      <c r="T637" s="3"/>
      <c r="U637" s="3"/>
      <c r="V637" s="3"/>
      <c r="W637" s="3"/>
      <c r="X637" s="3"/>
      <c r="Y637" s="3"/>
      <c r="Z637" s="27" t="s">
        <v>247</v>
      </c>
      <c r="AA637" t="s">
        <v>209</v>
      </c>
    </row>
    <row r="638" spans="1:27" x14ac:dyDescent="0.25">
      <c r="A638" s="12">
        <v>124</v>
      </c>
      <c r="B638">
        <v>8</v>
      </c>
      <c r="C638">
        <f t="shared" si="82"/>
        <v>12408</v>
      </c>
      <c r="D638" s="3" t="s">
        <v>86</v>
      </c>
      <c r="E638" s="11">
        <f t="shared" si="85"/>
        <v>56.565352777777775</v>
      </c>
      <c r="F638" s="11">
        <f t="shared" si="86"/>
        <v>3.2036888888888893</v>
      </c>
      <c r="G638" s="12" t="s">
        <v>144</v>
      </c>
      <c r="H638" s="12" t="s">
        <v>47</v>
      </c>
      <c r="I638">
        <v>2015</v>
      </c>
      <c r="J638" s="12" t="s">
        <v>163</v>
      </c>
      <c r="K638" s="2">
        <v>0</v>
      </c>
      <c r="L638" s="2"/>
      <c r="M638" s="33">
        <v>0.83518181818181803</v>
      </c>
      <c r="N638" s="33">
        <v>0.59479797979797999</v>
      </c>
      <c r="O638" s="8"/>
      <c r="P638" s="1"/>
      <c r="Q638" s="1"/>
      <c r="R638" s="1"/>
      <c r="S638" s="3"/>
      <c r="T638" s="3"/>
      <c r="U638" s="3"/>
      <c r="V638" s="3"/>
      <c r="W638" s="3"/>
      <c r="X638" s="3"/>
      <c r="Y638" s="3"/>
      <c r="Z638" s="27" t="s">
        <v>247</v>
      </c>
      <c r="AA638" t="s">
        <v>209</v>
      </c>
    </row>
    <row r="639" spans="1:27" x14ac:dyDescent="0.25">
      <c r="A639" s="12">
        <v>124</v>
      </c>
      <c r="B639">
        <v>8</v>
      </c>
      <c r="C639">
        <f t="shared" si="82"/>
        <v>12408</v>
      </c>
      <c r="D639" s="3" t="s">
        <v>86</v>
      </c>
      <c r="E639" s="11">
        <f t="shared" si="85"/>
        <v>56.565352777777775</v>
      </c>
      <c r="F639" s="11">
        <f t="shared" si="86"/>
        <v>3.2036888888888893</v>
      </c>
      <c r="G639" s="12" t="s">
        <v>144</v>
      </c>
      <c r="H639" s="12" t="s">
        <v>47</v>
      </c>
      <c r="I639">
        <v>2016</v>
      </c>
      <c r="J639" s="12" t="s">
        <v>163</v>
      </c>
      <c r="K639" s="2">
        <v>0</v>
      </c>
      <c r="L639" s="2"/>
      <c r="M639" s="33">
        <v>0.35499999999999998</v>
      </c>
      <c r="N639" s="33">
        <v>0.18</v>
      </c>
      <c r="O639" s="8"/>
      <c r="P639" s="1"/>
      <c r="Q639" s="1"/>
      <c r="R639" s="1"/>
      <c r="S639" s="3"/>
      <c r="T639" s="3"/>
      <c r="U639" s="3"/>
      <c r="V639" s="3"/>
      <c r="W639" s="3"/>
      <c r="X639" s="3"/>
      <c r="Y639" s="3"/>
      <c r="Z639" s="27" t="s">
        <v>247</v>
      </c>
      <c r="AA639" t="s">
        <v>209</v>
      </c>
    </row>
    <row r="640" spans="1:27" x14ac:dyDescent="0.25">
      <c r="A640" s="12">
        <v>124</v>
      </c>
      <c r="B640">
        <v>8</v>
      </c>
      <c r="C640">
        <f t="shared" si="82"/>
        <v>12408</v>
      </c>
      <c r="D640" s="3" t="s">
        <v>86</v>
      </c>
      <c r="E640" s="11">
        <f t="shared" si="85"/>
        <v>56.565352777777775</v>
      </c>
      <c r="F640" s="11">
        <f t="shared" si="86"/>
        <v>3.2036888888888893</v>
      </c>
      <c r="G640" s="12" t="s">
        <v>144</v>
      </c>
      <c r="H640" s="12" t="s">
        <v>47</v>
      </c>
      <c r="I640">
        <v>2017</v>
      </c>
      <c r="J640" s="12" t="s">
        <v>163</v>
      </c>
      <c r="K640" s="2">
        <v>0</v>
      </c>
      <c r="L640" s="2"/>
      <c r="M640" s="33">
        <v>0.544761904761905</v>
      </c>
      <c r="N640" s="33">
        <v>0.215</v>
      </c>
      <c r="O640" s="8"/>
      <c r="P640" s="1"/>
      <c r="Q640" s="1"/>
      <c r="R640" s="1"/>
      <c r="S640" s="3"/>
      <c r="T640" s="3"/>
      <c r="U640" s="3"/>
      <c r="V640" s="3"/>
      <c r="W640" s="3"/>
      <c r="X640" s="3"/>
      <c r="Y640" s="3"/>
      <c r="Z640" s="27" t="s">
        <v>247</v>
      </c>
      <c r="AA640" t="s">
        <v>209</v>
      </c>
    </row>
    <row r="641" spans="1:27" x14ac:dyDescent="0.25">
      <c r="A641" s="12">
        <v>124</v>
      </c>
      <c r="B641">
        <v>8</v>
      </c>
      <c r="C641">
        <f t="shared" si="82"/>
        <v>12408</v>
      </c>
      <c r="D641" s="3" t="s">
        <v>86</v>
      </c>
      <c r="E641" s="11">
        <f t="shared" si="85"/>
        <v>56.565352777777775</v>
      </c>
      <c r="F641" s="11">
        <f t="shared" si="86"/>
        <v>3.2036888888888893</v>
      </c>
      <c r="G641" s="12" t="s">
        <v>144</v>
      </c>
      <c r="H641" s="12" t="s">
        <v>47</v>
      </c>
      <c r="I641">
        <v>2018</v>
      </c>
      <c r="J641" s="12" t="s">
        <v>163</v>
      </c>
      <c r="K641" s="2">
        <v>0</v>
      </c>
      <c r="L641" s="2"/>
      <c r="M641" s="33">
        <v>0.53285714285714303</v>
      </c>
      <c r="N641" s="33">
        <v>0.21285714285714299</v>
      </c>
      <c r="O641" s="8"/>
      <c r="P641" s="1"/>
      <c r="Q641" s="1"/>
      <c r="R641" s="1"/>
      <c r="S641" s="3"/>
      <c r="T641" s="3"/>
      <c r="U641" s="3"/>
      <c r="V641" s="3"/>
      <c r="W641" s="3"/>
      <c r="X641" s="3"/>
      <c r="Y641" s="3"/>
      <c r="Z641" s="27" t="s">
        <v>247</v>
      </c>
      <c r="AA641" t="s">
        <v>209</v>
      </c>
    </row>
    <row r="642" spans="1:27" x14ac:dyDescent="0.25">
      <c r="A642" s="12">
        <v>124</v>
      </c>
      <c r="B642">
        <v>8</v>
      </c>
      <c r="C642">
        <f t="shared" si="82"/>
        <v>12408</v>
      </c>
      <c r="D642" s="3" t="s">
        <v>86</v>
      </c>
      <c r="E642" s="11">
        <f t="shared" si="85"/>
        <v>56.565352777777775</v>
      </c>
      <c r="F642" s="11">
        <f t="shared" si="86"/>
        <v>3.2036888888888893</v>
      </c>
      <c r="G642" s="12" t="s">
        <v>144</v>
      </c>
      <c r="H642" s="12" t="s">
        <v>47</v>
      </c>
      <c r="I642">
        <v>2019</v>
      </c>
      <c r="J642" s="12" t="s">
        <v>163</v>
      </c>
      <c r="K642" s="2">
        <v>0</v>
      </c>
      <c r="L642" s="2"/>
      <c r="M642" s="33">
        <v>0.48857142857142899</v>
      </c>
      <c r="N642" s="33">
        <v>0.21875</v>
      </c>
      <c r="O642" s="8"/>
      <c r="P642" s="1"/>
      <c r="Q642" s="1"/>
      <c r="R642" s="1"/>
      <c r="S642" s="3"/>
      <c r="T642" s="3"/>
      <c r="U642" s="3"/>
      <c r="V642" s="3"/>
      <c r="W642" s="3"/>
      <c r="X642" s="3"/>
      <c r="Y642" s="3"/>
      <c r="Z642" s="27" t="s">
        <v>247</v>
      </c>
      <c r="AA642" t="s">
        <v>209</v>
      </c>
    </row>
    <row r="643" spans="1:27" x14ac:dyDescent="0.25">
      <c r="A643" s="12">
        <v>124</v>
      </c>
      <c r="B643">
        <v>8</v>
      </c>
      <c r="C643">
        <f t="shared" si="82"/>
        <v>12408</v>
      </c>
      <c r="D643" s="3" t="s">
        <v>86</v>
      </c>
      <c r="E643" s="11">
        <f t="shared" si="85"/>
        <v>56.565352777777775</v>
      </c>
      <c r="F643" s="11">
        <f t="shared" si="86"/>
        <v>3.2036888888888893</v>
      </c>
      <c r="G643" s="12" t="s">
        <v>144</v>
      </c>
      <c r="H643" s="12" t="s">
        <v>47</v>
      </c>
      <c r="I643">
        <v>2020</v>
      </c>
      <c r="J643" s="12" t="s">
        <v>163</v>
      </c>
      <c r="K643" s="2">
        <v>0</v>
      </c>
      <c r="L643" s="2"/>
      <c r="M643" s="33">
        <v>0.53714285714285703</v>
      </c>
      <c r="N643" s="33">
        <v>0.23928571428571399</v>
      </c>
      <c r="O643" s="8"/>
      <c r="P643" s="1"/>
      <c r="Q643" s="1"/>
      <c r="R643" s="1"/>
      <c r="S643" s="3"/>
      <c r="T643" s="3"/>
      <c r="U643" s="3"/>
      <c r="V643" s="3"/>
      <c r="W643" s="3"/>
      <c r="X643" s="3"/>
      <c r="Y643" s="3"/>
      <c r="Z643" s="27" t="s">
        <v>247</v>
      </c>
      <c r="AA643" t="s">
        <v>209</v>
      </c>
    </row>
    <row r="644" spans="1:27" x14ac:dyDescent="0.25">
      <c r="A644" s="12">
        <v>124</v>
      </c>
      <c r="B644">
        <v>8</v>
      </c>
      <c r="C644">
        <f t="shared" si="82"/>
        <v>12408</v>
      </c>
      <c r="D644" s="3" t="s">
        <v>86</v>
      </c>
      <c r="E644" s="11">
        <f t="shared" si="85"/>
        <v>56.565352777777775</v>
      </c>
      <c r="F644" s="11">
        <f t="shared" si="86"/>
        <v>3.2036888888888893</v>
      </c>
      <c r="G644" s="12" t="s">
        <v>144</v>
      </c>
      <c r="H644" s="12" t="s">
        <v>47</v>
      </c>
      <c r="I644">
        <v>2021</v>
      </c>
      <c r="J644" s="12" t="s">
        <v>163</v>
      </c>
      <c r="K644" s="2">
        <v>0</v>
      </c>
      <c r="L644" s="2"/>
      <c r="M644" s="33">
        <v>0.44833333333333297</v>
      </c>
      <c r="N644" s="33">
        <v>0.251428571428571</v>
      </c>
      <c r="O644" s="8"/>
      <c r="P644" s="1"/>
      <c r="Q644" s="1"/>
      <c r="R644" s="1"/>
      <c r="S644" s="3"/>
      <c r="T644" s="3"/>
      <c r="U644" s="3"/>
      <c r="V644" s="3"/>
      <c r="W644" s="3"/>
      <c r="X644" s="3"/>
      <c r="Y644" s="3"/>
      <c r="Z644" s="27" t="s">
        <v>247</v>
      </c>
      <c r="AA644" t="s">
        <v>209</v>
      </c>
    </row>
    <row r="645" spans="1:27" x14ac:dyDescent="0.25">
      <c r="A645" s="12">
        <v>124</v>
      </c>
      <c r="B645">
        <v>9</v>
      </c>
      <c r="C645">
        <f t="shared" si="82"/>
        <v>12409</v>
      </c>
      <c r="D645" s="3" t="s">
        <v>86</v>
      </c>
      <c r="E645" s="11">
        <f>56+22/60+36.77/3600</f>
        <v>56.376880555555559</v>
      </c>
      <c r="F645" s="11">
        <f>3+15/60+56.89/3600</f>
        <v>3.2658027777777776</v>
      </c>
      <c r="G645" s="12" t="s">
        <v>144</v>
      </c>
      <c r="H645" s="12" t="s">
        <v>47</v>
      </c>
      <c r="I645">
        <v>2002</v>
      </c>
      <c r="J645" s="12" t="s">
        <v>163</v>
      </c>
      <c r="K645" s="2">
        <v>0</v>
      </c>
      <c r="L645" s="2"/>
      <c r="M645" s="33">
        <v>0.2</v>
      </c>
      <c r="N645" s="33"/>
      <c r="O645" s="8"/>
      <c r="P645" s="1"/>
      <c r="Q645" s="1"/>
      <c r="R645" s="1"/>
      <c r="S645" s="3"/>
      <c r="T645" s="3"/>
      <c r="U645" s="3"/>
      <c r="V645" s="3"/>
      <c r="W645" s="3"/>
      <c r="X645" s="3"/>
      <c r="Y645" s="3"/>
      <c r="Z645" s="27" t="s">
        <v>247</v>
      </c>
      <c r="AA645" t="s">
        <v>210</v>
      </c>
    </row>
    <row r="646" spans="1:27" x14ac:dyDescent="0.25">
      <c r="A646" s="12">
        <v>124</v>
      </c>
      <c r="B646">
        <v>9</v>
      </c>
      <c r="C646">
        <f t="shared" si="82"/>
        <v>12409</v>
      </c>
      <c r="D646" s="3" t="s">
        <v>86</v>
      </c>
      <c r="E646" s="11">
        <f t="shared" ref="E646:E664" si="87">56+22/60+36.77/3600</f>
        <v>56.376880555555559</v>
      </c>
      <c r="F646" s="11">
        <f t="shared" ref="F646:F664" si="88">3+15/60+56.89/3600</f>
        <v>3.2658027777777776</v>
      </c>
      <c r="G646" s="12" t="s">
        <v>144</v>
      </c>
      <c r="H646" s="12" t="s">
        <v>47</v>
      </c>
      <c r="I646">
        <v>2003</v>
      </c>
      <c r="J646" s="12" t="s">
        <v>163</v>
      </c>
      <c r="K646" s="2">
        <v>0</v>
      </c>
      <c r="L646" s="2"/>
      <c r="M646" s="33">
        <v>2.2666666664999999</v>
      </c>
      <c r="N646" s="33"/>
      <c r="O646" s="8"/>
      <c r="P646" s="1"/>
      <c r="Q646" s="1"/>
      <c r="R646" s="1"/>
      <c r="S646" s="3"/>
      <c r="T646" s="3"/>
      <c r="U646" s="3"/>
      <c r="V646" s="3"/>
      <c r="W646" s="3"/>
      <c r="X646" s="3"/>
      <c r="Y646" s="3"/>
      <c r="Z646" s="27" t="s">
        <v>247</v>
      </c>
      <c r="AA646" t="s">
        <v>210</v>
      </c>
    </row>
    <row r="647" spans="1:27" x14ac:dyDescent="0.25">
      <c r="A647" s="12">
        <v>124</v>
      </c>
      <c r="B647">
        <v>9</v>
      </c>
      <c r="C647">
        <f t="shared" si="82"/>
        <v>12409</v>
      </c>
      <c r="D647" s="3" t="s">
        <v>86</v>
      </c>
      <c r="E647" s="11">
        <f t="shared" si="87"/>
        <v>56.376880555555559</v>
      </c>
      <c r="F647" s="11">
        <f t="shared" si="88"/>
        <v>3.2658027777777776</v>
      </c>
      <c r="G647" s="12" t="s">
        <v>144</v>
      </c>
      <c r="H647" s="12" t="s">
        <v>47</v>
      </c>
      <c r="I647">
        <v>2004</v>
      </c>
      <c r="J647" s="12" t="s">
        <v>163</v>
      </c>
      <c r="K647" s="2">
        <v>0</v>
      </c>
      <c r="L647" s="2"/>
      <c r="M647" s="33">
        <v>5.7333350000000003</v>
      </c>
      <c r="N647" s="33"/>
      <c r="O647" s="8"/>
      <c r="P647" s="1"/>
      <c r="Q647" s="1"/>
      <c r="R647" s="1"/>
      <c r="S647" s="3"/>
      <c r="T647" s="3"/>
      <c r="U647" s="3"/>
      <c r="V647" s="3"/>
      <c r="W647" s="3"/>
      <c r="X647" s="3"/>
      <c r="Y647" s="3"/>
      <c r="Z647" s="27" t="s">
        <v>247</v>
      </c>
      <c r="AA647" t="s">
        <v>210</v>
      </c>
    </row>
    <row r="648" spans="1:27" x14ac:dyDescent="0.25">
      <c r="A648" s="12">
        <v>124</v>
      </c>
      <c r="B648">
        <v>9</v>
      </c>
      <c r="C648">
        <f t="shared" si="82"/>
        <v>12409</v>
      </c>
      <c r="D648" s="3" t="s">
        <v>86</v>
      </c>
      <c r="E648" s="11">
        <f t="shared" si="87"/>
        <v>56.376880555555559</v>
      </c>
      <c r="F648" s="11">
        <f t="shared" si="88"/>
        <v>3.2658027777777776</v>
      </c>
      <c r="G648" s="12" t="s">
        <v>144</v>
      </c>
      <c r="H648" s="12" t="s">
        <v>47</v>
      </c>
      <c r="I648">
        <v>2005</v>
      </c>
      <c r="J648" s="12" t="s">
        <v>163</v>
      </c>
      <c r="K648" s="2">
        <v>0</v>
      </c>
      <c r="L648" s="2"/>
      <c r="M648" s="33">
        <v>2.66778</v>
      </c>
      <c r="N648" s="33">
        <v>1.5625</v>
      </c>
      <c r="O648" s="8"/>
      <c r="P648" s="1"/>
      <c r="Q648" s="1"/>
      <c r="R648" s="1"/>
      <c r="S648" s="3"/>
      <c r="T648" s="3"/>
      <c r="U648" s="3"/>
      <c r="V648" s="3"/>
      <c r="W648" s="3"/>
      <c r="X648" s="3"/>
      <c r="Y648" s="3"/>
      <c r="Z648" s="27" t="s">
        <v>247</v>
      </c>
      <c r="AA648" t="s">
        <v>210</v>
      </c>
    </row>
    <row r="649" spans="1:27" x14ac:dyDescent="0.25">
      <c r="A649" s="12">
        <v>124</v>
      </c>
      <c r="B649">
        <v>9</v>
      </c>
      <c r="C649">
        <f t="shared" si="82"/>
        <v>12409</v>
      </c>
      <c r="D649" s="3" t="s">
        <v>86</v>
      </c>
      <c r="E649" s="11">
        <f t="shared" si="87"/>
        <v>56.376880555555559</v>
      </c>
      <c r="F649" s="11">
        <f t="shared" si="88"/>
        <v>3.2658027777777776</v>
      </c>
      <c r="G649" s="12" t="s">
        <v>144</v>
      </c>
      <c r="H649" s="12" t="s">
        <v>47</v>
      </c>
      <c r="I649">
        <v>2006</v>
      </c>
      <c r="J649" s="12" t="s">
        <v>163</v>
      </c>
      <c r="K649" s="2">
        <v>0</v>
      </c>
      <c r="L649" s="2"/>
      <c r="M649" s="33">
        <v>6.2611150000000002</v>
      </c>
      <c r="N649" s="33">
        <v>1.1186149999999999</v>
      </c>
      <c r="O649" s="8"/>
      <c r="P649" s="1"/>
      <c r="Q649" s="1"/>
      <c r="R649" s="1"/>
      <c r="S649" s="3"/>
      <c r="T649" s="3"/>
      <c r="U649" s="3"/>
      <c r="V649" s="3"/>
      <c r="W649" s="3"/>
      <c r="X649" s="3"/>
      <c r="Y649" s="3"/>
      <c r="Z649" s="27" t="s">
        <v>247</v>
      </c>
      <c r="AA649" t="s">
        <v>210</v>
      </c>
    </row>
    <row r="650" spans="1:27" x14ac:dyDescent="0.25">
      <c r="A650" s="12">
        <v>124</v>
      </c>
      <c r="B650">
        <v>9</v>
      </c>
      <c r="C650">
        <f t="shared" si="82"/>
        <v>12409</v>
      </c>
      <c r="D650" s="3" t="s">
        <v>86</v>
      </c>
      <c r="E650" s="11">
        <f t="shared" si="87"/>
        <v>56.376880555555559</v>
      </c>
      <c r="F650" s="11">
        <f t="shared" si="88"/>
        <v>3.2658027777777776</v>
      </c>
      <c r="G650" s="12" t="s">
        <v>144</v>
      </c>
      <c r="H650" s="12" t="s">
        <v>47</v>
      </c>
      <c r="I650">
        <v>2007</v>
      </c>
      <c r="J650" s="12" t="s">
        <v>163</v>
      </c>
      <c r="K650" s="2">
        <v>0</v>
      </c>
      <c r="L650" s="2"/>
      <c r="M650" s="33">
        <v>7.1145800000000001</v>
      </c>
      <c r="N650" s="33">
        <v>1.090835</v>
      </c>
      <c r="O650" s="8"/>
      <c r="P650" s="1"/>
      <c r="Q650" s="1"/>
      <c r="R650" s="1"/>
      <c r="S650" s="3"/>
      <c r="T650" s="3"/>
      <c r="U650" s="3"/>
      <c r="V650" s="3"/>
      <c r="W650" s="3"/>
      <c r="X650" s="3"/>
      <c r="Y650" s="3"/>
      <c r="Z650" s="27" t="s">
        <v>247</v>
      </c>
      <c r="AA650" t="s">
        <v>210</v>
      </c>
    </row>
    <row r="651" spans="1:27" x14ac:dyDescent="0.25">
      <c r="A651" s="12">
        <v>124</v>
      </c>
      <c r="B651">
        <v>9</v>
      </c>
      <c r="C651">
        <f t="shared" si="82"/>
        <v>12409</v>
      </c>
      <c r="D651" s="3" t="s">
        <v>86</v>
      </c>
      <c r="E651" s="11">
        <f t="shared" si="87"/>
        <v>56.376880555555559</v>
      </c>
      <c r="F651" s="11">
        <f t="shared" si="88"/>
        <v>3.2658027777777776</v>
      </c>
      <c r="G651" s="12" t="s">
        <v>144</v>
      </c>
      <c r="H651" s="12" t="s">
        <v>47</v>
      </c>
      <c r="I651">
        <v>2008</v>
      </c>
      <c r="J651" s="12" t="s">
        <v>163</v>
      </c>
      <c r="K651" s="2">
        <v>0</v>
      </c>
      <c r="L651" s="2"/>
      <c r="M651" s="33">
        <v>6.9124999999999996</v>
      </c>
      <c r="N651" s="33">
        <v>1.0862499999999999</v>
      </c>
      <c r="O651" s="8"/>
      <c r="P651" s="1"/>
      <c r="Q651" s="1"/>
      <c r="R651" s="1"/>
      <c r="S651" s="3"/>
      <c r="T651" s="3"/>
      <c r="U651" s="3"/>
      <c r="V651" s="3"/>
      <c r="W651" s="3"/>
      <c r="X651" s="3"/>
      <c r="Y651" s="3"/>
      <c r="Z651" s="27" t="s">
        <v>247</v>
      </c>
      <c r="AA651" t="s">
        <v>210</v>
      </c>
    </row>
    <row r="652" spans="1:27" x14ac:dyDescent="0.25">
      <c r="A652" s="12">
        <v>124</v>
      </c>
      <c r="B652">
        <v>9</v>
      </c>
      <c r="C652">
        <f t="shared" si="82"/>
        <v>12409</v>
      </c>
      <c r="D652" s="3" t="s">
        <v>86</v>
      </c>
      <c r="E652" s="11">
        <f t="shared" si="87"/>
        <v>56.376880555555559</v>
      </c>
      <c r="F652" s="11">
        <f t="shared" si="88"/>
        <v>3.2658027777777776</v>
      </c>
      <c r="G652" s="12" t="s">
        <v>144</v>
      </c>
      <c r="H652" s="12" t="s">
        <v>47</v>
      </c>
      <c r="I652">
        <v>2009</v>
      </c>
      <c r="J652" s="12" t="s">
        <v>163</v>
      </c>
      <c r="K652" s="2">
        <v>0</v>
      </c>
      <c r="L652" s="2"/>
      <c r="M652" s="33">
        <v>10.3375</v>
      </c>
      <c r="N652" s="33">
        <v>1.62</v>
      </c>
      <c r="O652" s="8"/>
      <c r="P652" s="1"/>
      <c r="Q652" s="1"/>
      <c r="R652" s="1"/>
      <c r="S652" s="3"/>
      <c r="T652" s="3"/>
      <c r="U652" s="3"/>
      <c r="V652" s="3"/>
      <c r="W652" s="3"/>
      <c r="X652" s="3"/>
      <c r="Y652" s="3"/>
      <c r="Z652" s="27" t="s">
        <v>247</v>
      </c>
      <c r="AA652" t="s">
        <v>210</v>
      </c>
    </row>
    <row r="653" spans="1:27" x14ac:dyDescent="0.25">
      <c r="A653" s="12">
        <v>124</v>
      </c>
      <c r="B653">
        <v>9</v>
      </c>
      <c r="C653">
        <f t="shared" si="82"/>
        <v>12409</v>
      </c>
      <c r="D653" s="3" t="s">
        <v>86</v>
      </c>
      <c r="E653" s="11">
        <f t="shared" si="87"/>
        <v>56.376880555555559</v>
      </c>
      <c r="F653" s="11">
        <f t="shared" si="88"/>
        <v>3.2658027777777776</v>
      </c>
      <c r="G653" s="12" t="s">
        <v>144</v>
      </c>
      <c r="H653" s="12" t="s">
        <v>47</v>
      </c>
      <c r="I653">
        <v>2010</v>
      </c>
      <c r="J653" s="12" t="s">
        <v>163</v>
      </c>
      <c r="K653" s="2">
        <v>0</v>
      </c>
      <c r="L653" s="2"/>
      <c r="M653" s="33">
        <v>11.830705</v>
      </c>
      <c r="N653" s="33">
        <v>1.110865</v>
      </c>
      <c r="O653" s="8"/>
      <c r="P653" s="1"/>
      <c r="Q653" s="1"/>
      <c r="R653" s="1"/>
      <c r="S653" s="3"/>
      <c r="T653" s="3"/>
      <c r="U653" s="3"/>
      <c r="V653" s="3"/>
      <c r="W653" s="3"/>
      <c r="X653" s="3"/>
      <c r="Y653" s="3"/>
      <c r="Z653" s="27" t="s">
        <v>247</v>
      </c>
      <c r="AA653" t="s">
        <v>210</v>
      </c>
    </row>
    <row r="654" spans="1:27" x14ac:dyDescent="0.25">
      <c r="A654" s="12">
        <v>124</v>
      </c>
      <c r="B654">
        <v>9</v>
      </c>
      <c r="C654">
        <f t="shared" si="82"/>
        <v>12409</v>
      </c>
      <c r="D654" s="3" t="s">
        <v>86</v>
      </c>
      <c r="E654" s="11">
        <f t="shared" si="87"/>
        <v>56.376880555555559</v>
      </c>
      <c r="F654" s="11">
        <f t="shared" si="88"/>
        <v>3.2658027777777776</v>
      </c>
      <c r="G654" s="12" t="s">
        <v>144</v>
      </c>
      <c r="H654" s="12" t="s">
        <v>47</v>
      </c>
      <c r="I654">
        <v>2011</v>
      </c>
      <c r="J654" s="12" t="s">
        <v>163</v>
      </c>
      <c r="K654" s="2">
        <v>0</v>
      </c>
      <c r="L654" s="2"/>
      <c r="M654" s="33">
        <v>9.2372267684999994</v>
      </c>
      <c r="N654" s="33">
        <v>1.1589811565000001</v>
      </c>
      <c r="O654" s="8"/>
      <c r="P654" s="1"/>
      <c r="Q654" s="1"/>
      <c r="R654" s="1"/>
      <c r="S654" s="3"/>
      <c r="T654" s="3"/>
      <c r="U654" s="3"/>
      <c r="V654" s="3"/>
      <c r="W654" s="3"/>
      <c r="X654" s="3"/>
      <c r="Y654" s="3"/>
      <c r="Z654" s="27" t="s">
        <v>247</v>
      </c>
      <c r="AA654" t="s">
        <v>210</v>
      </c>
    </row>
    <row r="655" spans="1:27" x14ac:dyDescent="0.25">
      <c r="A655" s="12">
        <v>124</v>
      </c>
      <c r="B655">
        <v>9</v>
      </c>
      <c r="C655">
        <f t="shared" si="82"/>
        <v>12409</v>
      </c>
      <c r="D655" s="3" t="s">
        <v>86</v>
      </c>
      <c r="E655" s="11">
        <f t="shared" si="87"/>
        <v>56.376880555555559</v>
      </c>
      <c r="F655" s="11">
        <f t="shared" si="88"/>
        <v>3.2658027777777776</v>
      </c>
      <c r="G655" s="12" t="s">
        <v>144</v>
      </c>
      <c r="H655" s="12" t="s">
        <v>47</v>
      </c>
      <c r="I655">
        <v>2012</v>
      </c>
      <c r="J655" s="12" t="s">
        <v>163</v>
      </c>
      <c r="K655" s="2">
        <v>0</v>
      </c>
      <c r="L655" s="2"/>
      <c r="M655" s="33">
        <v>6.0674999999999999</v>
      </c>
      <c r="N655" s="33">
        <v>0.92500000000000004</v>
      </c>
      <c r="O655" s="8"/>
      <c r="P655" s="1"/>
      <c r="Q655" s="1"/>
      <c r="R655" s="1"/>
      <c r="S655" s="3"/>
      <c r="T655" s="3"/>
      <c r="U655" s="3"/>
      <c r="V655" s="3"/>
      <c r="W655" s="3"/>
      <c r="X655" s="3"/>
      <c r="Y655" s="3"/>
      <c r="Z655" s="27" t="s">
        <v>247</v>
      </c>
      <c r="AA655" t="s">
        <v>210</v>
      </c>
    </row>
    <row r="656" spans="1:27" x14ac:dyDescent="0.25">
      <c r="A656" s="12">
        <v>124</v>
      </c>
      <c r="B656">
        <v>9</v>
      </c>
      <c r="C656">
        <f t="shared" si="82"/>
        <v>12409</v>
      </c>
      <c r="D656" s="3" t="s">
        <v>86</v>
      </c>
      <c r="E656" s="11">
        <f t="shared" si="87"/>
        <v>56.376880555555559</v>
      </c>
      <c r="F656" s="11">
        <f t="shared" si="88"/>
        <v>3.2658027777777776</v>
      </c>
      <c r="G656" s="12" t="s">
        <v>144</v>
      </c>
      <c r="H656" s="12" t="s">
        <v>47</v>
      </c>
      <c r="I656">
        <v>2013</v>
      </c>
      <c r="J656" s="12" t="s">
        <v>163</v>
      </c>
      <c r="K656" s="2">
        <v>0</v>
      </c>
      <c r="L656" s="2"/>
      <c r="M656" s="33">
        <v>6.6832500000000001</v>
      </c>
      <c r="N656" s="33">
        <v>0.95237142857142898</v>
      </c>
      <c r="O656" s="8"/>
      <c r="P656" s="1"/>
      <c r="Q656" s="1"/>
      <c r="R656" s="1"/>
      <c r="S656" s="3"/>
      <c r="T656" s="3"/>
      <c r="U656" s="3"/>
      <c r="V656" s="3"/>
      <c r="W656" s="3"/>
      <c r="X656" s="3"/>
      <c r="Y656" s="3"/>
      <c r="Z656" s="27" t="s">
        <v>247</v>
      </c>
      <c r="AA656" t="s">
        <v>210</v>
      </c>
    </row>
    <row r="657" spans="1:27" x14ac:dyDescent="0.25">
      <c r="A657" s="12">
        <v>124</v>
      </c>
      <c r="B657">
        <v>9</v>
      </c>
      <c r="C657">
        <f t="shared" si="82"/>
        <v>12409</v>
      </c>
      <c r="D657" s="3" t="s">
        <v>86</v>
      </c>
      <c r="E657" s="11">
        <f t="shared" si="87"/>
        <v>56.376880555555559</v>
      </c>
      <c r="F657" s="11">
        <f t="shared" si="88"/>
        <v>3.2658027777777776</v>
      </c>
      <c r="G657" s="12" t="s">
        <v>144</v>
      </c>
      <c r="H657" s="12" t="s">
        <v>47</v>
      </c>
      <c r="I657">
        <v>2014</v>
      </c>
      <c r="J657" s="12" t="s">
        <v>163</v>
      </c>
      <c r="K657" s="2">
        <v>0</v>
      </c>
      <c r="L657" s="2"/>
      <c r="M657" s="33">
        <v>7.75142857142857</v>
      </c>
      <c r="N657" s="33">
        <v>1.04571428571429</v>
      </c>
      <c r="O657" s="8"/>
      <c r="P657" s="1"/>
      <c r="Q657" s="1"/>
      <c r="R657" s="1"/>
      <c r="S657" s="3"/>
      <c r="T657" s="3"/>
      <c r="U657" s="3"/>
      <c r="V657" s="3"/>
      <c r="W657" s="3"/>
      <c r="X657" s="3"/>
      <c r="Y657" s="3"/>
      <c r="Z657" s="27" t="s">
        <v>247</v>
      </c>
      <c r="AA657" t="s">
        <v>210</v>
      </c>
    </row>
    <row r="658" spans="1:27" x14ac:dyDescent="0.25">
      <c r="A658" s="12">
        <v>124</v>
      </c>
      <c r="B658">
        <v>9</v>
      </c>
      <c r="C658">
        <f t="shared" si="82"/>
        <v>12409</v>
      </c>
      <c r="D658" s="3" t="s">
        <v>86</v>
      </c>
      <c r="E658" s="11">
        <f t="shared" si="87"/>
        <v>56.376880555555559</v>
      </c>
      <c r="F658" s="11">
        <f t="shared" si="88"/>
        <v>3.2658027777777776</v>
      </c>
      <c r="G658" s="12" t="s">
        <v>144</v>
      </c>
      <c r="H658" s="12" t="s">
        <v>47</v>
      </c>
      <c r="I658">
        <v>2015</v>
      </c>
      <c r="J658" s="12" t="s">
        <v>163</v>
      </c>
      <c r="K658" s="2">
        <v>0</v>
      </c>
      <c r="L658" s="2"/>
      <c r="M658" s="33">
        <v>5.3576190476190497</v>
      </c>
      <c r="N658" s="33">
        <v>0.91785714285714304</v>
      </c>
      <c r="O658" s="8"/>
      <c r="P658" s="1"/>
      <c r="Q658" s="1"/>
      <c r="R658" s="1"/>
      <c r="S658" s="3"/>
      <c r="T658" s="3"/>
      <c r="U658" s="3"/>
      <c r="V658" s="3"/>
      <c r="W658" s="3"/>
      <c r="X658" s="3"/>
      <c r="Y658" s="3"/>
      <c r="Z658" s="27" t="s">
        <v>247</v>
      </c>
      <c r="AA658" t="s">
        <v>210</v>
      </c>
    </row>
    <row r="659" spans="1:27" x14ac:dyDescent="0.25">
      <c r="A659" s="12">
        <v>124</v>
      </c>
      <c r="B659">
        <v>9</v>
      </c>
      <c r="C659">
        <f t="shared" si="82"/>
        <v>12409</v>
      </c>
      <c r="D659" s="3" t="s">
        <v>86</v>
      </c>
      <c r="E659" s="11">
        <f t="shared" si="87"/>
        <v>56.376880555555559</v>
      </c>
      <c r="F659" s="11">
        <f t="shared" si="88"/>
        <v>3.2658027777777776</v>
      </c>
      <c r="G659" s="12" t="s">
        <v>144</v>
      </c>
      <c r="H659" s="12" t="s">
        <v>47</v>
      </c>
      <c r="I659">
        <v>2016</v>
      </c>
      <c r="J659" s="12" t="s">
        <v>163</v>
      </c>
      <c r="K659" s="2">
        <v>0</v>
      </c>
      <c r="L659" s="2"/>
      <c r="M659" s="33">
        <v>5.9312500000000004</v>
      </c>
      <c r="N659" s="33">
        <v>0.78958333333333297</v>
      </c>
      <c r="O659" s="8"/>
      <c r="P659" s="1"/>
      <c r="Q659" s="1"/>
      <c r="R659" s="1"/>
      <c r="S659" s="3"/>
      <c r="T659" s="3"/>
      <c r="U659" s="3"/>
      <c r="V659" s="3"/>
      <c r="W659" s="3"/>
      <c r="X659" s="3"/>
      <c r="Y659" s="3"/>
      <c r="Z659" s="27" t="s">
        <v>247</v>
      </c>
      <c r="AA659" t="s">
        <v>210</v>
      </c>
    </row>
    <row r="660" spans="1:27" x14ac:dyDescent="0.25">
      <c r="A660" s="12">
        <v>124</v>
      </c>
      <c r="B660">
        <v>9</v>
      </c>
      <c r="C660">
        <f t="shared" si="82"/>
        <v>12409</v>
      </c>
      <c r="D660" s="3" t="s">
        <v>86</v>
      </c>
      <c r="E660" s="11">
        <f t="shared" si="87"/>
        <v>56.376880555555559</v>
      </c>
      <c r="F660" s="11">
        <f t="shared" si="88"/>
        <v>3.2658027777777776</v>
      </c>
      <c r="G660" s="12" t="s">
        <v>144</v>
      </c>
      <c r="H660" s="12" t="s">
        <v>47</v>
      </c>
      <c r="I660">
        <v>2017</v>
      </c>
      <c r="J660" s="12" t="s">
        <v>163</v>
      </c>
      <c r="K660" s="2">
        <v>0</v>
      </c>
      <c r="L660" s="2"/>
      <c r="M660" s="33">
        <v>6.0750000000000002</v>
      </c>
      <c r="N660" s="33">
        <v>0.76833333333333298</v>
      </c>
      <c r="O660" s="8"/>
      <c r="P660" s="1"/>
      <c r="Q660" s="1"/>
      <c r="R660" s="1"/>
      <c r="S660" s="3"/>
      <c r="T660" s="3"/>
      <c r="U660" s="3"/>
      <c r="V660" s="3"/>
      <c r="W660" s="3"/>
      <c r="X660" s="3"/>
      <c r="Y660" s="3"/>
      <c r="Z660" s="27" t="s">
        <v>247</v>
      </c>
      <c r="AA660" t="s">
        <v>210</v>
      </c>
    </row>
    <row r="661" spans="1:27" x14ac:dyDescent="0.25">
      <c r="A661" s="12">
        <v>124</v>
      </c>
      <c r="B661">
        <v>9</v>
      </c>
      <c r="C661">
        <f t="shared" si="82"/>
        <v>12409</v>
      </c>
      <c r="D661" s="3" t="s">
        <v>86</v>
      </c>
      <c r="E661" s="11">
        <f t="shared" si="87"/>
        <v>56.376880555555559</v>
      </c>
      <c r="F661" s="11">
        <f t="shared" si="88"/>
        <v>3.2658027777777776</v>
      </c>
      <c r="G661" s="12" t="s">
        <v>144</v>
      </c>
      <c r="H661" s="12" t="s">
        <v>47</v>
      </c>
      <c r="I661">
        <v>2018</v>
      </c>
      <c r="J661" s="12" t="s">
        <v>163</v>
      </c>
      <c r="K661" s="2">
        <v>0</v>
      </c>
      <c r="L661" s="2"/>
      <c r="M661" s="33">
        <v>5.2785714285714302</v>
      </c>
      <c r="N661" s="33">
        <v>0.71125000000000005</v>
      </c>
      <c r="O661" s="8"/>
      <c r="P661" s="1"/>
      <c r="Q661" s="1"/>
      <c r="R661" s="1"/>
      <c r="S661" s="3"/>
      <c r="T661" s="3"/>
      <c r="U661" s="3"/>
      <c r="V661" s="3"/>
      <c r="W661" s="3"/>
      <c r="X661" s="3"/>
      <c r="Y661" s="3"/>
      <c r="Z661" s="27" t="s">
        <v>247</v>
      </c>
      <c r="AA661" t="s">
        <v>210</v>
      </c>
    </row>
    <row r="662" spans="1:27" x14ac:dyDescent="0.25">
      <c r="A662" s="12">
        <v>124</v>
      </c>
      <c r="B662">
        <v>9</v>
      </c>
      <c r="C662">
        <f t="shared" si="82"/>
        <v>12409</v>
      </c>
      <c r="D662" s="3" t="s">
        <v>86</v>
      </c>
      <c r="E662" s="11">
        <f t="shared" si="87"/>
        <v>56.376880555555559</v>
      </c>
      <c r="F662" s="11">
        <f t="shared" si="88"/>
        <v>3.2658027777777776</v>
      </c>
      <c r="G662" s="12" t="s">
        <v>144</v>
      </c>
      <c r="H662" s="12" t="s">
        <v>47</v>
      </c>
      <c r="I662">
        <v>2019</v>
      </c>
      <c r="J662" s="12" t="s">
        <v>163</v>
      </c>
      <c r="K662" s="2">
        <v>0</v>
      </c>
      <c r="L662" s="2"/>
      <c r="M662" s="33">
        <v>5.95583333333333</v>
      </c>
      <c r="N662" s="33">
        <v>0.68833333333333302</v>
      </c>
      <c r="O662" s="8"/>
      <c r="P662" s="1"/>
      <c r="Q662" s="1"/>
      <c r="R662" s="1"/>
      <c r="S662" s="3"/>
      <c r="T662" s="3"/>
      <c r="U662" s="3"/>
      <c r="V662" s="3"/>
      <c r="W662" s="3"/>
      <c r="X662" s="3"/>
      <c r="Y662" s="3"/>
      <c r="Z662" s="27" t="s">
        <v>247</v>
      </c>
      <c r="AA662" t="s">
        <v>210</v>
      </c>
    </row>
    <row r="663" spans="1:27" x14ac:dyDescent="0.25">
      <c r="A663" s="12">
        <v>124</v>
      </c>
      <c r="B663">
        <v>9</v>
      </c>
      <c r="C663">
        <f t="shared" si="82"/>
        <v>12409</v>
      </c>
      <c r="D663" s="3" t="s">
        <v>86</v>
      </c>
      <c r="E663" s="11">
        <f t="shared" si="87"/>
        <v>56.376880555555559</v>
      </c>
      <c r="F663" s="11">
        <f t="shared" si="88"/>
        <v>3.2658027777777776</v>
      </c>
      <c r="G663" s="12" t="s">
        <v>144</v>
      </c>
      <c r="H663" s="12" t="s">
        <v>47</v>
      </c>
      <c r="I663">
        <v>2020</v>
      </c>
      <c r="J663" s="12" t="s">
        <v>163</v>
      </c>
      <c r="K663" s="2">
        <v>0</v>
      </c>
      <c r="L663" s="2"/>
      <c r="M663" s="33">
        <v>5.9114285714285701</v>
      </c>
      <c r="N663" s="33">
        <v>0.65</v>
      </c>
      <c r="O663" s="8"/>
      <c r="P663" s="1"/>
      <c r="Q663" s="1"/>
      <c r="R663" s="1"/>
      <c r="S663" s="3"/>
      <c r="T663" s="3"/>
      <c r="U663" s="3"/>
      <c r="V663" s="3"/>
      <c r="W663" s="3"/>
      <c r="X663" s="3"/>
      <c r="Y663" s="3"/>
      <c r="Z663" s="27" t="s">
        <v>247</v>
      </c>
      <c r="AA663" t="s">
        <v>210</v>
      </c>
    </row>
    <row r="664" spans="1:27" x14ac:dyDescent="0.25">
      <c r="A664" s="12">
        <v>124</v>
      </c>
      <c r="B664">
        <v>9</v>
      </c>
      <c r="C664">
        <f t="shared" si="82"/>
        <v>12409</v>
      </c>
      <c r="D664" s="3" t="s">
        <v>86</v>
      </c>
      <c r="E664" s="11">
        <f t="shared" si="87"/>
        <v>56.376880555555559</v>
      </c>
      <c r="F664" s="11">
        <f t="shared" si="88"/>
        <v>3.2658027777777776</v>
      </c>
      <c r="G664" s="12" t="s">
        <v>144</v>
      </c>
      <c r="H664" s="12" t="s">
        <v>47</v>
      </c>
      <c r="I664">
        <v>2021</v>
      </c>
      <c r="J664" s="12" t="s">
        <v>163</v>
      </c>
      <c r="K664" s="2">
        <v>0</v>
      </c>
      <c r="L664" s="2"/>
      <c r="M664" s="33">
        <v>5.15625</v>
      </c>
      <c r="N664" s="33">
        <v>0.76</v>
      </c>
      <c r="O664" s="8"/>
      <c r="P664" s="1"/>
      <c r="Q664" s="1"/>
      <c r="R664" s="1"/>
      <c r="S664" s="3"/>
      <c r="T664" s="3"/>
      <c r="U664" s="3"/>
      <c r="V664" s="3"/>
      <c r="W664" s="3"/>
      <c r="X664" s="3"/>
      <c r="Y664" s="3"/>
      <c r="Z664" s="27" t="s">
        <v>247</v>
      </c>
      <c r="AA664" t="s">
        <v>210</v>
      </c>
    </row>
    <row r="665" spans="1:27" x14ac:dyDescent="0.25">
      <c r="A665" s="12">
        <v>124</v>
      </c>
      <c r="B665">
        <v>10</v>
      </c>
      <c r="C665">
        <f t="shared" si="82"/>
        <v>12410</v>
      </c>
      <c r="D665" s="3" t="s">
        <v>86</v>
      </c>
      <c r="E665" s="11">
        <f>58+34/60+19.85/3600</f>
        <v>58.572180555555562</v>
      </c>
      <c r="F665" s="11">
        <f>1+41/60+48.44/3600</f>
        <v>1.6967888888888889</v>
      </c>
      <c r="G665" s="12" t="s">
        <v>144</v>
      </c>
      <c r="H665" s="12" t="s">
        <v>47</v>
      </c>
      <c r="I665">
        <v>2021</v>
      </c>
      <c r="J665" s="12" t="s">
        <v>163</v>
      </c>
      <c r="K665" s="2">
        <v>0</v>
      </c>
      <c r="L665" s="2"/>
      <c r="M665" s="33">
        <v>0.17849999999999999</v>
      </c>
      <c r="N665" s="33">
        <v>0.13262499999999999</v>
      </c>
      <c r="O665" s="8"/>
      <c r="P665" s="1"/>
      <c r="Q665" s="1"/>
      <c r="R665" s="1"/>
      <c r="S665" s="3"/>
      <c r="T665" s="3"/>
      <c r="U665" s="3"/>
      <c r="V665" s="3"/>
      <c r="W665" s="3"/>
      <c r="X665" s="3"/>
      <c r="Y665" s="3"/>
      <c r="Z665" s="27" t="s">
        <v>247</v>
      </c>
      <c r="AA665" t="s">
        <v>245</v>
      </c>
    </row>
    <row r="666" spans="1:27" x14ac:dyDescent="0.25">
      <c r="A666" s="12">
        <v>124</v>
      </c>
      <c r="B666">
        <v>11</v>
      </c>
      <c r="C666">
        <f t="shared" si="82"/>
        <v>12411</v>
      </c>
      <c r="D666" s="3" t="s">
        <v>86</v>
      </c>
      <c r="E666" s="11">
        <f>61+20/60+25.11/3600</f>
        <v>61.340308333333333</v>
      </c>
      <c r="F666" s="11">
        <f>3+57/60+31.27/3600</f>
        <v>3.9586861111111111</v>
      </c>
      <c r="G666" s="12" t="s">
        <v>144</v>
      </c>
      <c r="H666" s="12" t="s">
        <v>47</v>
      </c>
      <c r="I666">
        <v>2011</v>
      </c>
      <c r="J666" s="12" t="s">
        <v>163</v>
      </c>
      <c r="K666" s="2">
        <v>0</v>
      </c>
      <c r="L666" s="2"/>
      <c r="M666" s="33">
        <v>2.8833011000000002</v>
      </c>
      <c r="N666" s="33">
        <v>2.4021971</v>
      </c>
      <c r="O666" s="8"/>
      <c r="P666" s="1"/>
      <c r="Q666" s="1"/>
      <c r="R666" s="1"/>
      <c r="S666" s="3"/>
      <c r="T666" s="3"/>
      <c r="U666" s="3"/>
      <c r="V666" s="3"/>
      <c r="W666" s="3"/>
      <c r="X666" s="3"/>
      <c r="Y666" s="3"/>
      <c r="Z666" s="27" t="s">
        <v>247</v>
      </c>
      <c r="AA666" t="s">
        <v>423</v>
      </c>
    </row>
    <row r="667" spans="1:27" x14ac:dyDescent="0.25">
      <c r="A667" s="12">
        <v>124</v>
      </c>
      <c r="B667">
        <v>11</v>
      </c>
      <c r="C667">
        <f t="shared" si="82"/>
        <v>12411</v>
      </c>
      <c r="D667" s="3" t="s">
        <v>86</v>
      </c>
      <c r="E667" s="11">
        <f t="shared" ref="E667:E676" si="89">61+20/60+25.11/3600</f>
        <v>61.340308333333333</v>
      </c>
      <c r="F667" s="11">
        <f t="shared" ref="F667:F676" si="90">3+57/60+31.27/3600</f>
        <v>3.9586861111111111</v>
      </c>
      <c r="G667" s="12" t="s">
        <v>144</v>
      </c>
      <c r="H667" s="12" t="s">
        <v>47</v>
      </c>
      <c r="I667">
        <v>2012</v>
      </c>
      <c r="J667" s="12" t="s">
        <v>163</v>
      </c>
      <c r="K667" s="2">
        <v>0</v>
      </c>
      <c r="L667" s="2"/>
      <c r="M667" s="33">
        <v>1.78564700558333</v>
      </c>
      <c r="N667" s="33">
        <v>2.4183293634999998</v>
      </c>
      <c r="O667" s="8"/>
      <c r="P667" s="1"/>
      <c r="Q667" s="1"/>
      <c r="R667" s="1"/>
      <c r="S667" s="3"/>
      <c r="T667" s="3"/>
      <c r="U667" s="3"/>
      <c r="V667" s="3"/>
      <c r="W667" s="3"/>
      <c r="X667" s="3"/>
      <c r="Y667" s="3"/>
      <c r="Z667" s="27" t="s">
        <v>247</v>
      </c>
      <c r="AA667" t="s">
        <v>423</v>
      </c>
    </row>
    <row r="668" spans="1:27" x14ac:dyDescent="0.25">
      <c r="A668" s="12">
        <v>124</v>
      </c>
      <c r="B668">
        <v>11</v>
      </c>
      <c r="C668">
        <f t="shared" si="82"/>
        <v>12411</v>
      </c>
      <c r="D668" s="3" t="s">
        <v>86</v>
      </c>
      <c r="E668" s="11">
        <f t="shared" si="89"/>
        <v>61.340308333333333</v>
      </c>
      <c r="F668" s="11">
        <f t="shared" si="90"/>
        <v>3.9586861111111111</v>
      </c>
      <c r="G668" s="12" t="s">
        <v>144</v>
      </c>
      <c r="H668" s="12" t="s">
        <v>47</v>
      </c>
      <c r="I668">
        <v>2013</v>
      </c>
      <c r="J668" s="12" t="s">
        <v>163</v>
      </c>
      <c r="K668" s="2">
        <v>0</v>
      </c>
      <c r="L668" s="2"/>
      <c r="M668" s="33">
        <v>3.3283874147333301</v>
      </c>
      <c r="N668" s="33">
        <v>4.3929465764583302</v>
      </c>
      <c r="O668" s="8"/>
      <c r="P668" s="1"/>
      <c r="Q668" s="1"/>
      <c r="R668" s="1"/>
      <c r="S668" s="3"/>
      <c r="T668" s="3"/>
      <c r="U668" s="3"/>
      <c r="V668" s="3"/>
      <c r="W668" s="3"/>
      <c r="X668" s="3"/>
      <c r="Y668" s="3"/>
      <c r="Z668" s="27" t="s">
        <v>247</v>
      </c>
      <c r="AA668" t="s">
        <v>423</v>
      </c>
    </row>
    <row r="669" spans="1:27" x14ac:dyDescent="0.25">
      <c r="A669" s="12">
        <v>124</v>
      </c>
      <c r="B669">
        <v>11</v>
      </c>
      <c r="C669">
        <f t="shared" si="82"/>
        <v>12411</v>
      </c>
      <c r="D669" s="3" t="s">
        <v>86</v>
      </c>
      <c r="E669" s="11">
        <f t="shared" si="89"/>
        <v>61.340308333333333</v>
      </c>
      <c r="F669" s="11">
        <f t="shared" si="90"/>
        <v>3.9586861111111111</v>
      </c>
      <c r="G669" s="12" t="s">
        <v>144</v>
      </c>
      <c r="H669" s="12" t="s">
        <v>47</v>
      </c>
      <c r="I669">
        <v>2014</v>
      </c>
      <c r="J669" s="12" t="s">
        <v>163</v>
      </c>
      <c r="K669" s="2">
        <v>0</v>
      </c>
      <c r="L669" s="2"/>
      <c r="M669" s="33">
        <v>4.7016244425</v>
      </c>
      <c r="N669" s="33">
        <v>5.9501967438916701</v>
      </c>
      <c r="O669" s="8"/>
      <c r="P669" s="1"/>
      <c r="Q669" s="1"/>
      <c r="R669" s="1"/>
      <c r="S669" s="3"/>
      <c r="T669" s="3"/>
      <c r="U669" s="3"/>
      <c r="V669" s="3"/>
      <c r="W669" s="3"/>
      <c r="X669" s="3"/>
      <c r="Y669" s="3"/>
      <c r="Z669" s="27" t="s">
        <v>247</v>
      </c>
      <c r="AA669" t="s">
        <v>423</v>
      </c>
    </row>
    <row r="670" spans="1:27" x14ac:dyDescent="0.25">
      <c r="A670" s="12">
        <v>124</v>
      </c>
      <c r="B670">
        <v>11</v>
      </c>
      <c r="C670">
        <f t="shared" ref="C670:C733" si="91">A670*100+B670</f>
        <v>12411</v>
      </c>
      <c r="D670" s="3" t="s">
        <v>86</v>
      </c>
      <c r="E670" s="11">
        <f t="shared" si="89"/>
        <v>61.340308333333333</v>
      </c>
      <c r="F670" s="11">
        <f t="shared" si="90"/>
        <v>3.9586861111111111</v>
      </c>
      <c r="G670" s="12" t="s">
        <v>144</v>
      </c>
      <c r="H670" s="12" t="s">
        <v>47</v>
      </c>
      <c r="I670">
        <v>2015</v>
      </c>
      <c r="J670" s="12" t="s">
        <v>163</v>
      </c>
      <c r="K670" s="2">
        <v>0</v>
      </c>
      <c r="L670" s="2"/>
      <c r="M670" s="33">
        <v>4.6492668317583297</v>
      </c>
      <c r="N670" s="33">
        <v>6.3569336023750003</v>
      </c>
      <c r="O670" s="8"/>
      <c r="P670" s="1"/>
      <c r="Q670" s="1"/>
      <c r="R670" s="1"/>
      <c r="S670" s="3"/>
      <c r="T670" s="3"/>
      <c r="U670" s="3"/>
      <c r="V670" s="3"/>
      <c r="W670" s="3"/>
      <c r="X670" s="3"/>
      <c r="Y670" s="3"/>
      <c r="Z670" s="27" t="s">
        <v>247</v>
      </c>
      <c r="AA670" t="s">
        <v>423</v>
      </c>
    </row>
    <row r="671" spans="1:27" x14ac:dyDescent="0.25">
      <c r="A671" s="12">
        <v>124</v>
      </c>
      <c r="B671">
        <v>11</v>
      </c>
      <c r="C671">
        <f t="shared" si="91"/>
        <v>12411</v>
      </c>
      <c r="D671" s="3" t="s">
        <v>86</v>
      </c>
      <c r="E671" s="11">
        <f t="shared" si="89"/>
        <v>61.340308333333333</v>
      </c>
      <c r="F671" s="11">
        <f t="shared" si="90"/>
        <v>3.9586861111111111</v>
      </c>
      <c r="G671" s="12" t="s">
        <v>144</v>
      </c>
      <c r="H671" s="12" t="s">
        <v>47</v>
      </c>
      <c r="I671">
        <v>2016</v>
      </c>
      <c r="J671" s="12" t="s">
        <v>163</v>
      </c>
      <c r="K671" s="2">
        <v>0</v>
      </c>
      <c r="L671" s="2"/>
      <c r="M671" s="33">
        <v>4.1383010500916697</v>
      </c>
      <c r="N671" s="33">
        <v>7.1479801513916703</v>
      </c>
      <c r="O671" s="8"/>
      <c r="P671" s="1"/>
      <c r="Q671" s="1"/>
      <c r="R671" s="1"/>
      <c r="S671" s="3"/>
      <c r="T671" s="3"/>
      <c r="U671" s="3"/>
      <c r="V671" s="3"/>
      <c r="W671" s="3"/>
      <c r="X671" s="3"/>
      <c r="Y671" s="3"/>
      <c r="Z671" s="27" t="s">
        <v>247</v>
      </c>
      <c r="AA671" t="s">
        <v>423</v>
      </c>
    </row>
    <row r="672" spans="1:27" x14ac:dyDescent="0.25">
      <c r="A672" s="12">
        <v>124</v>
      </c>
      <c r="B672">
        <v>11</v>
      </c>
      <c r="C672">
        <f t="shared" si="91"/>
        <v>12411</v>
      </c>
      <c r="D672" s="3" t="s">
        <v>86</v>
      </c>
      <c r="E672" s="11">
        <f t="shared" si="89"/>
        <v>61.340308333333333</v>
      </c>
      <c r="F672" s="11">
        <f t="shared" si="90"/>
        <v>3.9586861111111111</v>
      </c>
      <c r="G672" s="12" t="s">
        <v>144</v>
      </c>
      <c r="H672" s="12" t="s">
        <v>47</v>
      </c>
      <c r="I672">
        <v>2017</v>
      </c>
      <c r="J672" s="12" t="s">
        <v>163</v>
      </c>
      <c r="K672" s="2">
        <v>0</v>
      </c>
      <c r="L672" s="2"/>
      <c r="M672" s="33">
        <v>4.5423651746166698</v>
      </c>
      <c r="N672" s="33">
        <v>6.1212577883916701</v>
      </c>
      <c r="O672" s="8"/>
      <c r="P672" s="1"/>
      <c r="Q672" s="1"/>
      <c r="R672" s="1"/>
      <c r="S672" s="3"/>
      <c r="T672" s="3"/>
      <c r="U672" s="3"/>
      <c r="V672" s="3"/>
      <c r="W672" s="3"/>
      <c r="X672" s="3"/>
      <c r="Y672" s="3"/>
      <c r="Z672" s="27" t="s">
        <v>247</v>
      </c>
      <c r="AA672" t="s">
        <v>423</v>
      </c>
    </row>
    <row r="673" spans="1:27" x14ac:dyDescent="0.25">
      <c r="A673" s="12">
        <v>124</v>
      </c>
      <c r="B673">
        <v>11</v>
      </c>
      <c r="C673">
        <f t="shared" si="91"/>
        <v>12411</v>
      </c>
      <c r="D673" s="3" t="s">
        <v>86</v>
      </c>
      <c r="E673" s="11">
        <f t="shared" si="89"/>
        <v>61.340308333333333</v>
      </c>
      <c r="F673" s="11">
        <f t="shared" si="90"/>
        <v>3.9586861111111111</v>
      </c>
      <c r="G673" s="12" t="s">
        <v>144</v>
      </c>
      <c r="H673" s="12" t="s">
        <v>47</v>
      </c>
      <c r="I673">
        <v>2018</v>
      </c>
      <c r="J673" s="12" t="s">
        <v>163</v>
      </c>
      <c r="K673" s="2">
        <v>0</v>
      </c>
      <c r="L673" s="2"/>
      <c r="M673" s="33">
        <v>5.3720414204916702</v>
      </c>
      <c r="N673" s="33">
        <v>6.9238667706249997</v>
      </c>
      <c r="O673" s="8"/>
      <c r="P673" s="1"/>
      <c r="Q673" s="1"/>
      <c r="R673" s="1"/>
      <c r="S673" s="3"/>
      <c r="T673" s="3"/>
      <c r="U673" s="3"/>
      <c r="V673" s="3"/>
      <c r="W673" s="3"/>
      <c r="X673" s="3"/>
      <c r="Y673" s="3"/>
      <c r="Z673" s="27" t="s">
        <v>247</v>
      </c>
      <c r="AA673" t="s">
        <v>423</v>
      </c>
    </row>
    <row r="674" spans="1:27" x14ac:dyDescent="0.25">
      <c r="A674" s="12">
        <v>124</v>
      </c>
      <c r="B674">
        <v>11</v>
      </c>
      <c r="C674">
        <f t="shared" si="91"/>
        <v>12411</v>
      </c>
      <c r="D674" s="3" t="s">
        <v>86</v>
      </c>
      <c r="E674" s="11">
        <f t="shared" si="89"/>
        <v>61.340308333333333</v>
      </c>
      <c r="F674" s="11">
        <f t="shared" si="90"/>
        <v>3.9586861111111111</v>
      </c>
      <c r="G674" s="12" t="s">
        <v>144</v>
      </c>
      <c r="H674" s="12" t="s">
        <v>47</v>
      </c>
      <c r="I674">
        <v>2019</v>
      </c>
      <c r="J674" s="12" t="s">
        <v>163</v>
      </c>
      <c r="K674" s="2">
        <v>0</v>
      </c>
      <c r="L674" s="2"/>
      <c r="M674" s="33">
        <v>5.7544960731666697</v>
      </c>
      <c r="N674" s="33">
        <v>7.1135874456166697</v>
      </c>
      <c r="O674" s="8"/>
      <c r="P674" s="1"/>
      <c r="Q674" s="1"/>
      <c r="R674" s="1"/>
      <c r="S674" s="3"/>
      <c r="T674" s="3"/>
      <c r="U674" s="3"/>
      <c r="V674" s="3"/>
      <c r="W674" s="3"/>
      <c r="X674" s="3"/>
      <c r="Y674" s="3"/>
      <c r="Z674" s="27" t="s">
        <v>247</v>
      </c>
      <c r="AA674" t="s">
        <v>423</v>
      </c>
    </row>
    <row r="675" spans="1:27" x14ac:dyDescent="0.25">
      <c r="A675" s="12">
        <v>124</v>
      </c>
      <c r="B675">
        <v>11</v>
      </c>
      <c r="C675">
        <f t="shared" si="91"/>
        <v>12411</v>
      </c>
      <c r="D675" s="3" t="s">
        <v>86</v>
      </c>
      <c r="E675" s="11">
        <f t="shared" si="89"/>
        <v>61.340308333333333</v>
      </c>
      <c r="F675" s="11">
        <f t="shared" si="90"/>
        <v>3.9586861111111111</v>
      </c>
      <c r="G675" s="12" t="s">
        <v>144</v>
      </c>
      <c r="H675" s="12" t="s">
        <v>47</v>
      </c>
      <c r="I675">
        <v>2020</v>
      </c>
      <c r="J675" s="12" t="s">
        <v>163</v>
      </c>
      <c r="K675" s="2">
        <v>0</v>
      </c>
      <c r="L675" s="2"/>
      <c r="M675" s="33">
        <v>6.0407467118416696</v>
      </c>
      <c r="N675" s="33">
        <v>8.5531417242583299</v>
      </c>
      <c r="O675" s="8"/>
      <c r="P675" s="1"/>
      <c r="Q675" s="1"/>
      <c r="R675" s="1"/>
      <c r="S675" s="3"/>
      <c r="T675" s="3"/>
      <c r="U675" s="3"/>
      <c r="V675" s="3"/>
      <c r="W675" s="3"/>
      <c r="X675" s="3"/>
      <c r="Y675" s="3"/>
      <c r="Z675" s="27" t="s">
        <v>247</v>
      </c>
      <c r="AA675" t="s">
        <v>423</v>
      </c>
    </row>
    <row r="676" spans="1:27" x14ac:dyDescent="0.25">
      <c r="A676" s="12">
        <v>124</v>
      </c>
      <c r="B676">
        <v>11</v>
      </c>
      <c r="C676">
        <f t="shared" si="91"/>
        <v>12411</v>
      </c>
      <c r="D676" s="3" t="s">
        <v>86</v>
      </c>
      <c r="E676" s="11">
        <f t="shared" si="89"/>
        <v>61.340308333333333</v>
      </c>
      <c r="F676" s="11">
        <f t="shared" si="90"/>
        <v>3.9586861111111111</v>
      </c>
      <c r="G676" s="12" t="s">
        <v>144</v>
      </c>
      <c r="H676" s="12" t="s">
        <v>47</v>
      </c>
      <c r="I676">
        <v>2021</v>
      </c>
      <c r="J676" s="12" t="s">
        <v>163</v>
      </c>
      <c r="K676" s="2">
        <v>0</v>
      </c>
      <c r="L676" s="2"/>
      <c r="M676" s="33">
        <v>5.3427002811750004</v>
      </c>
      <c r="N676" s="33">
        <v>7.4048010403916704</v>
      </c>
      <c r="O676" s="8"/>
      <c r="P676" s="1"/>
      <c r="Q676" s="1"/>
      <c r="R676" s="1"/>
      <c r="S676" s="3"/>
      <c r="T676" s="3"/>
      <c r="U676" s="3"/>
      <c r="V676" s="3"/>
      <c r="W676" s="3"/>
      <c r="X676" s="3"/>
      <c r="Y676" s="3"/>
      <c r="Z676" s="27" t="s">
        <v>247</v>
      </c>
      <c r="AA676" t="s">
        <v>423</v>
      </c>
    </row>
    <row r="677" spans="1:27" x14ac:dyDescent="0.25">
      <c r="A677" s="12">
        <v>124</v>
      </c>
      <c r="B677">
        <v>12</v>
      </c>
      <c r="C677">
        <f t="shared" si="91"/>
        <v>12412</v>
      </c>
      <c r="D677" s="3" t="s">
        <v>86</v>
      </c>
      <c r="E677" s="11">
        <f>58+42/60+46.9/3600</f>
        <v>58.713027777777782</v>
      </c>
      <c r="F677" s="11">
        <f>1+40/60+5.2/3600</f>
        <v>1.6681111111111109</v>
      </c>
      <c r="G677" s="12" t="s">
        <v>144</v>
      </c>
      <c r="H677" s="12" t="s">
        <v>47</v>
      </c>
      <c r="I677">
        <v>2002</v>
      </c>
      <c r="J677" s="12" t="s">
        <v>163</v>
      </c>
      <c r="K677" s="2">
        <v>0</v>
      </c>
      <c r="L677" s="2"/>
      <c r="M677" s="33">
        <v>7.5</v>
      </c>
      <c r="N677" s="33"/>
      <c r="O677" s="8"/>
      <c r="P677" s="1"/>
      <c r="Q677" s="1"/>
      <c r="R677" s="1"/>
      <c r="S677" s="3"/>
      <c r="T677" s="3"/>
      <c r="U677" s="3"/>
      <c r="V677" s="3"/>
      <c r="W677" s="3"/>
      <c r="X677" s="3"/>
      <c r="Y677" s="3"/>
      <c r="Z677" s="27" t="s">
        <v>247</v>
      </c>
      <c r="AA677" t="s">
        <v>211</v>
      </c>
    </row>
    <row r="678" spans="1:27" x14ac:dyDescent="0.25">
      <c r="A678" s="12">
        <v>124</v>
      </c>
      <c r="B678">
        <v>12</v>
      </c>
      <c r="C678">
        <f t="shared" si="91"/>
        <v>12412</v>
      </c>
      <c r="D678" s="3" t="s">
        <v>86</v>
      </c>
      <c r="E678" s="11">
        <f t="shared" ref="E678:E687" si="92">58+42/60+46.9/3600</f>
        <v>58.713027777777782</v>
      </c>
      <c r="F678" s="11">
        <f t="shared" ref="F678:F687" si="93">1+40/60+5.2/3600</f>
        <v>1.6681111111111109</v>
      </c>
      <c r="G678" s="12" t="s">
        <v>144</v>
      </c>
      <c r="H678" s="12" t="s">
        <v>47</v>
      </c>
      <c r="I678">
        <v>2003</v>
      </c>
      <c r="J678" s="12" t="s">
        <v>163</v>
      </c>
      <c r="K678" s="2">
        <v>0</v>
      </c>
      <c r="L678" s="2"/>
      <c r="M678" s="33">
        <v>9.9</v>
      </c>
      <c r="N678" s="33"/>
      <c r="O678" s="8"/>
      <c r="P678" s="1"/>
      <c r="Q678" s="1"/>
      <c r="R678" s="1"/>
      <c r="S678" s="3"/>
      <c r="T678" s="3"/>
      <c r="U678" s="3"/>
      <c r="V678" s="3"/>
      <c r="W678" s="3"/>
      <c r="X678" s="3"/>
      <c r="Y678" s="3"/>
      <c r="Z678" s="27" t="s">
        <v>247</v>
      </c>
      <c r="AA678" t="s">
        <v>211</v>
      </c>
    </row>
    <row r="679" spans="1:27" x14ac:dyDescent="0.25">
      <c r="A679" s="12">
        <v>124</v>
      </c>
      <c r="B679">
        <v>12</v>
      </c>
      <c r="C679">
        <f t="shared" si="91"/>
        <v>12412</v>
      </c>
      <c r="D679" s="3" t="s">
        <v>86</v>
      </c>
      <c r="E679" s="11">
        <f t="shared" si="92"/>
        <v>58.713027777777782</v>
      </c>
      <c r="F679" s="11">
        <f t="shared" si="93"/>
        <v>1.6681111111111109</v>
      </c>
      <c r="G679" s="12" t="s">
        <v>144</v>
      </c>
      <c r="H679" s="12" t="s">
        <v>47</v>
      </c>
      <c r="I679">
        <v>2005</v>
      </c>
      <c r="J679" s="12" t="s">
        <v>163</v>
      </c>
      <c r="K679" s="2">
        <v>0</v>
      </c>
      <c r="L679" s="2"/>
      <c r="M679" s="33">
        <v>7</v>
      </c>
      <c r="N679" s="33">
        <v>7.5</v>
      </c>
      <c r="O679" s="8"/>
      <c r="P679" s="1"/>
      <c r="Q679" s="1"/>
      <c r="R679" s="1"/>
      <c r="S679" s="3"/>
      <c r="T679" s="3"/>
      <c r="U679" s="3"/>
      <c r="V679" s="3"/>
      <c r="W679" s="3"/>
      <c r="X679" s="3"/>
      <c r="Y679" s="3"/>
      <c r="Z679" s="27" t="s">
        <v>247</v>
      </c>
      <c r="AA679" t="s">
        <v>211</v>
      </c>
    </row>
    <row r="680" spans="1:27" x14ac:dyDescent="0.25">
      <c r="A680" s="12">
        <v>124</v>
      </c>
      <c r="B680">
        <v>12</v>
      </c>
      <c r="C680">
        <f t="shared" si="91"/>
        <v>12412</v>
      </c>
      <c r="D680" s="3" t="s">
        <v>86</v>
      </c>
      <c r="E680" s="11">
        <f t="shared" si="92"/>
        <v>58.713027777777782</v>
      </c>
      <c r="F680" s="11">
        <f t="shared" si="93"/>
        <v>1.6681111111111109</v>
      </c>
      <c r="G680" s="12" t="s">
        <v>144</v>
      </c>
      <c r="H680" s="12" t="s">
        <v>47</v>
      </c>
      <c r="I680">
        <v>2006</v>
      </c>
      <c r="J680" s="12" t="s">
        <v>163</v>
      </c>
      <c r="K680" s="2">
        <v>0</v>
      </c>
      <c r="L680" s="2"/>
      <c r="M680" s="33">
        <v>6.9211</v>
      </c>
      <c r="N680" s="33">
        <v>7.79</v>
      </c>
      <c r="O680" s="8"/>
      <c r="P680" s="1"/>
      <c r="Q680" s="1"/>
      <c r="R680" s="1"/>
      <c r="S680" s="3"/>
      <c r="T680" s="3"/>
      <c r="U680" s="3"/>
      <c r="V680" s="3"/>
      <c r="W680" s="3"/>
      <c r="X680" s="3"/>
      <c r="Y680" s="3"/>
      <c r="Z680" s="27" t="s">
        <v>247</v>
      </c>
      <c r="AA680" t="s">
        <v>211</v>
      </c>
    </row>
    <row r="681" spans="1:27" x14ac:dyDescent="0.25">
      <c r="A681" s="12">
        <v>124</v>
      </c>
      <c r="B681">
        <v>12</v>
      </c>
      <c r="C681">
        <f t="shared" si="91"/>
        <v>12412</v>
      </c>
      <c r="D681" s="3" t="s">
        <v>86</v>
      </c>
      <c r="E681" s="11">
        <f t="shared" si="92"/>
        <v>58.713027777777782</v>
      </c>
      <c r="F681" s="11">
        <f t="shared" si="93"/>
        <v>1.6681111111111109</v>
      </c>
      <c r="G681" s="12" t="s">
        <v>144</v>
      </c>
      <c r="H681" s="12" t="s">
        <v>47</v>
      </c>
      <c r="I681">
        <v>2007</v>
      </c>
      <c r="J681" s="12" t="s">
        <v>163</v>
      </c>
      <c r="K681" s="2">
        <v>0</v>
      </c>
      <c r="L681" s="2"/>
      <c r="M681" s="33">
        <v>8.5976700000000008</v>
      </c>
      <c r="N681" s="33">
        <v>8.6798999999999999</v>
      </c>
      <c r="O681" s="8"/>
      <c r="P681" s="1"/>
      <c r="Q681" s="1"/>
      <c r="R681" s="1"/>
      <c r="S681" s="3"/>
      <c r="T681" s="3"/>
      <c r="U681" s="3"/>
      <c r="V681" s="3"/>
      <c r="W681" s="3"/>
      <c r="X681" s="3"/>
      <c r="Y681" s="3"/>
      <c r="Z681" s="27" t="s">
        <v>247</v>
      </c>
      <c r="AA681" t="s">
        <v>211</v>
      </c>
    </row>
    <row r="682" spans="1:27" x14ac:dyDescent="0.25">
      <c r="A682" s="12">
        <v>124</v>
      </c>
      <c r="B682">
        <v>12</v>
      </c>
      <c r="C682">
        <f t="shared" si="91"/>
        <v>12412</v>
      </c>
      <c r="D682" s="3" t="s">
        <v>86</v>
      </c>
      <c r="E682" s="11">
        <f t="shared" si="92"/>
        <v>58.713027777777782</v>
      </c>
      <c r="F682" s="11">
        <f t="shared" si="93"/>
        <v>1.6681111111111109</v>
      </c>
      <c r="G682" s="12" t="s">
        <v>144</v>
      </c>
      <c r="H682" s="12" t="s">
        <v>47</v>
      </c>
      <c r="I682">
        <v>2008</v>
      </c>
      <c r="J682" s="12" t="s">
        <v>163</v>
      </c>
      <c r="K682" s="2">
        <v>0</v>
      </c>
      <c r="L682" s="2"/>
      <c r="M682" s="33">
        <v>7.3425804929999998</v>
      </c>
      <c r="N682" s="33">
        <v>7.7723264910000003</v>
      </c>
      <c r="O682" s="8"/>
      <c r="P682" s="1"/>
      <c r="Q682" s="1"/>
      <c r="R682" s="1"/>
      <c r="S682" s="3"/>
      <c r="T682" s="3"/>
      <c r="U682" s="3"/>
      <c r="V682" s="3"/>
      <c r="W682" s="3"/>
      <c r="X682" s="3"/>
      <c r="Y682" s="3"/>
      <c r="Z682" s="27" t="s">
        <v>247</v>
      </c>
      <c r="AA682" t="s">
        <v>211</v>
      </c>
    </row>
    <row r="683" spans="1:27" x14ac:dyDescent="0.25">
      <c r="A683" s="12">
        <v>124</v>
      </c>
      <c r="B683">
        <v>12</v>
      </c>
      <c r="C683">
        <f t="shared" si="91"/>
        <v>12412</v>
      </c>
      <c r="D683" s="3" t="s">
        <v>86</v>
      </c>
      <c r="E683" s="11">
        <f t="shared" si="92"/>
        <v>58.713027777777782</v>
      </c>
      <c r="F683" s="11">
        <f t="shared" si="93"/>
        <v>1.6681111111111109</v>
      </c>
      <c r="G683" s="12" t="s">
        <v>144</v>
      </c>
      <c r="H683" s="12" t="s">
        <v>47</v>
      </c>
      <c r="I683">
        <v>2009</v>
      </c>
      <c r="J683" s="12" t="s">
        <v>163</v>
      </c>
      <c r="K683" s="2">
        <v>0</v>
      </c>
      <c r="L683" s="2"/>
      <c r="M683" s="33">
        <v>7.2497695389999999</v>
      </c>
      <c r="N683" s="33">
        <v>6.9169695859999996</v>
      </c>
      <c r="O683" s="8"/>
      <c r="P683" s="1"/>
      <c r="Q683" s="1"/>
      <c r="R683" s="1"/>
      <c r="S683" s="3"/>
      <c r="T683" s="3"/>
      <c r="U683" s="3"/>
      <c r="V683" s="3"/>
      <c r="W683" s="3"/>
      <c r="X683" s="3"/>
      <c r="Y683" s="3"/>
      <c r="Z683" s="27" t="s">
        <v>247</v>
      </c>
      <c r="AA683" t="s">
        <v>211</v>
      </c>
    </row>
    <row r="684" spans="1:27" x14ac:dyDescent="0.25">
      <c r="A684" s="12">
        <v>124</v>
      </c>
      <c r="B684">
        <v>12</v>
      </c>
      <c r="C684">
        <f t="shared" si="91"/>
        <v>12412</v>
      </c>
      <c r="D684" s="3" t="s">
        <v>86</v>
      </c>
      <c r="E684" s="11">
        <f t="shared" si="92"/>
        <v>58.713027777777782</v>
      </c>
      <c r="F684" s="11">
        <f t="shared" si="93"/>
        <v>1.6681111111111109</v>
      </c>
      <c r="G684" s="12" t="s">
        <v>144</v>
      </c>
      <c r="H684" s="12" t="s">
        <v>47</v>
      </c>
      <c r="I684">
        <v>2010</v>
      </c>
      <c r="J684" s="12" t="s">
        <v>163</v>
      </c>
      <c r="K684" s="2">
        <v>0</v>
      </c>
      <c r="L684" s="2"/>
      <c r="M684" s="33">
        <v>9.93392667</v>
      </c>
      <c r="N684" s="33">
        <v>5.6509846320000001</v>
      </c>
      <c r="O684" s="8"/>
      <c r="P684" s="1"/>
      <c r="Q684" s="1"/>
      <c r="R684" s="1"/>
      <c r="S684" s="3"/>
      <c r="T684" s="3"/>
      <c r="U684" s="3"/>
      <c r="V684" s="3"/>
      <c r="W684" s="3"/>
      <c r="X684" s="3"/>
      <c r="Y684" s="3"/>
      <c r="Z684" s="27" t="s">
        <v>247</v>
      </c>
      <c r="AA684" t="s">
        <v>211</v>
      </c>
    </row>
    <row r="685" spans="1:27" x14ac:dyDescent="0.25">
      <c r="A685" s="12">
        <v>124</v>
      </c>
      <c r="B685">
        <v>12</v>
      </c>
      <c r="C685">
        <f t="shared" si="91"/>
        <v>12412</v>
      </c>
      <c r="D685" s="3" t="s">
        <v>86</v>
      </c>
      <c r="E685" s="11">
        <f t="shared" si="92"/>
        <v>58.713027777777782</v>
      </c>
      <c r="F685" s="11">
        <f t="shared" si="93"/>
        <v>1.6681111111111109</v>
      </c>
      <c r="G685" s="12" t="s">
        <v>144</v>
      </c>
      <c r="H685" s="12" t="s">
        <v>47</v>
      </c>
      <c r="I685">
        <v>2011</v>
      </c>
      <c r="J685" s="12" t="s">
        <v>163</v>
      </c>
      <c r="K685" s="2">
        <v>0</v>
      </c>
      <c r="L685" s="2"/>
      <c r="M685" s="33">
        <v>7.0800075089999996</v>
      </c>
      <c r="N685" s="33">
        <v>7.8231236810000002</v>
      </c>
      <c r="O685" s="8"/>
      <c r="P685" s="1"/>
      <c r="Q685" s="1"/>
      <c r="R685" s="1"/>
      <c r="S685" s="3"/>
      <c r="T685" s="3"/>
      <c r="U685" s="3"/>
      <c r="V685" s="3"/>
      <c r="W685" s="3"/>
      <c r="X685" s="3"/>
      <c r="Y685" s="3"/>
      <c r="Z685" s="27" t="s">
        <v>247</v>
      </c>
      <c r="AA685" t="s">
        <v>211</v>
      </c>
    </row>
    <row r="686" spans="1:27" x14ac:dyDescent="0.25">
      <c r="A686" s="12">
        <v>124</v>
      </c>
      <c r="B686">
        <v>12</v>
      </c>
      <c r="C686">
        <f t="shared" si="91"/>
        <v>12412</v>
      </c>
      <c r="D686" s="3" t="s">
        <v>86</v>
      </c>
      <c r="E686" s="11">
        <f t="shared" si="92"/>
        <v>58.713027777777782</v>
      </c>
      <c r="F686" s="11">
        <f t="shared" si="93"/>
        <v>1.6681111111111109</v>
      </c>
      <c r="G686" s="12" t="s">
        <v>144</v>
      </c>
      <c r="H686" s="12" t="s">
        <v>47</v>
      </c>
      <c r="I686">
        <v>2012</v>
      </c>
      <c r="J686" s="12" t="s">
        <v>163</v>
      </c>
      <c r="K686" s="2">
        <v>0</v>
      </c>
      <c r="L686" s="2"/>
      <c r="M686" s="33">
        <v>7.3453274999999998</v>
      </c>
      <c r="N686" s="33">
        <v>7.75</v>
      </c>
      <c r="O686" s="8"/>
      <c r="P686" s="1"/>
      <c r="Q686" s="1"/>
      <c r="R686" s="1"/>
      <c r="S686" s="3"/>
      <c r="T686" s="3"/>
      <c r="U686" s="3"/>
      <c r="V686" s="3"/>
      <c r="W686" s="3"/>
      <c r="X686" s="3"/>
      <c r="Y686" s="3"/>
      <c r="Z686" s="27" t="s">
        <v>247</v>
      </c>
      <c r="AA686" t="s">
        <v>211</v>
      </c>
    </row>
    <row r="687" spans="1:27" x14ac:dyDescent="0.25">
      <c r="A687" s="12">
        <v>124</v>
      </c>
      <c r="B687">
        <v>12</v>
      </c>
      <c r="C687">
        <f t="shared" si="91"/>
        <v>12412</v>
      </c>
      <c r="D687" s="3" t="s">
        <v>86</v>
      </c>
      <c r="E687" s="11">
        <f t="shared" si="92"/>
        <v>58.713027777777782</v>
      </c>
      <c r="F687" s="11">
        <f t="shared" si="93"/>
        <v>1.6681111111111109</v>
      </c>
      <c r="G687" s="12" t="s">
        <v>144</v>
      </c>
      <c r="H687" s="12" t="s">
        <v>47</v>
      </c>
      <c r="I687">
        <v>2013</v>
      </c>
      <c r="J687" s="12" t="s">
        <v>163</v>
      </c>
      <c r="K687" s="2">
        <v>0</v>
      </c>
      <c r="L687" s="2"/>
      <c r="M687" s="33">
        <v>6.4838111086000003</v>
      </c>
      <c r="N687" s="33">
        <v>7.4</v>
      </c>
      <c r="O687" s="8"/>
      <c r="P687" s="1"/>
      <c r="Q687" s="1"/>
      <c r="R687" s="1"/>
      <c r="S687" s="3"/>
      <c r="T687" s="3"/>
      <c r="U687" s="3"/>
      <c r="V687" s="3"/>
      <c r="W687" s="3"/>
      <c r="X687" s="3"/>
      <c r="Y687" s="3"/>
      <c r="Z687" s="27" t="s">
        <v>247</v>
      </c>
      <c r="AA687" t="s">
        <v>211</v>
      </c>
    </row>
    <row r="688" spans="1:27" x14ac:dyDescent="0.25">
      <c r="A688" s="12">
        <v>124</v>
      </c>
      <c r="B688">
        <v>13</v>
      </c>
      <c r="C688">
        <f t="shared" si="91"/>
        <v>12413</v>
      </c>
      <c r="D688" s="3" t="s">
        <v>86</v>
      </c>
      <c r="E688" s="11">
        <f>71+17/60+11.03/3600</f>
        <v>71.28639722222222</v>
      </c>
      <c r="F688" s="11">
        <f>22+17/60+6.51/3600</f>
        <v>22.285141666666668</v>
      </c>
      <c r="G688" s="12" t="s">
        <v>144</v>
      </c>
      <c r="H688" s="12" t="s">
        <v>47</v>
      </c>
      <c r="I688">
        <v>2018</v>
      </c>
      <c r="J688" s="12" t="s">
        <v>163</v>
      </c>
      <c r="K688" s="2">
        <v>0</v>
      </c>
      <c r="L688" s="2"/>
      <c r="M688" s="33">
        <v>14.1423222803</v>
      </c>
      <c r="N688" s="33">
        <v>10.855726257400001</v>
      </c>
      <c r="O688" s="8"/>
      <c r="P688" s="1"/>
      <c r="Q688" s="1"/>
      <c r="R688" s="1"/>
      <c r="S688" s="3"/>
      <c r="T688" s="3"/>
      <c r="U688" s="3"/>
      <c r="V688" s="3"/>
      <c r="W688" s="3"/>
      <c r="X688" s="3"/>
      <c r="Y688" s="3"/>
      <c r="Z688" s="27" t="s">
        <v>247</v>
      </c>
      <c r="AA688" t="s">
        <v>242</v>
      </c>
    </row>
    <row r="689" spans="1:27" x14ac:dyDescent="0.25">
      <c r="A689" s="12">
        <v>124</v>
      </c>
      <c r="B689">
        <v>13</v>
      </c>
      <c r="C689">
        <f t="shared" si="91"/>
        <v>12413</v>
      </c>
      <c r="D689" s="3" t="s">
        <v>86</v>
      </c>
      <c r="E689" s="11">
        <f t="shared" ref="E689:E691" si="94">71+17/60+11.03/3600</f>
        <v>71.28639722222222</v>
      </c>
      <c r="F689" s="11">
        <f t="shared" ref="F689:F691" si="95">22+17/60+6.51/3600</f>
        <v>22.285141666666668</v>
      </c>
      <c r="G689" s="12" t="s">
        <v>144</v>
      </c>
      <c r="H689" s="12" t="s">
        <v>47</v>
      </c>
      <c r="I689">
        <v>2019</v>
      </c>
      <c r="J689" s="12" t="s">
        <v>163</v>
      </c>
      <c r="K689" s="2">
        <v>0</v>
      </c>
      <c r="L689" s="2"/>
      <c r="M689" s="33">
        <v>4.6526029165555602</v>
      </c>
      <c r="N689" s="33">
        <v>3.7886070303222201</v>
      </c>
      <c r="O689" s="8"/>
      <c r="P689" s="1"/>
      <c r="Q689" s="1"/>
      <c r="R689" s="1"/>
      <c r="S689" s="3"/>
      <c r="T689" s="3"/>
      <c r="U689" s="3"/>
      <c r="V689" s="3"/>
      <c r="W689" s="3"/>
      <c r="X689" s="3"/>
      <c r="Y689" s="3"/>
      <c r="Z689" s="27" t="s">
        <v>247</v>
      </c>
      <c r="AA689" t="s">
        <v>242</v>
      </c>
    </row>
    <row r="690" spans="1:27" x14ac:dyDescent="0.25">
      <c r="A690" s="12">
        <v>124</v>
      </c>
      <c r="B690">
        <v>13</v>
      </c>
      <c r="C690">
        <f t="shared" si="91"/>
        <v>12413</v>
      </c>
      <c r="D690" s="3" t="s">
        <v>86</v>
      </c>
      <c r="E690" s="11">
        <f t="shared" si="94"/>
        <v>71.28639722222222</v>
      </c>
      <c r="F690" s="11">
        <f t="shared" si="95"/>
        <v>22.285141666666668</v>
      </c>
      <c r="G690" s="12" t="s">
        <v>144</v>
      </c>
      <c r="H690" s="12" t="s">
        <v>47</v>
      </c>
      <c r="I690">
        <v>2020</v>
      </c>
      <c r="J690" s="12" t="s">
        <v>163</v>
      </c>
      <c r="K690" s="2">
        <v>0</v>
      </c>
      <c r="L690" s="2"/>
      <c r="M690" s="33">
        <v>3.84</v>
      </c>
      <c r="N690" s="33">
        <v>3.1775000000000002</v>
      </c>
      <c r="O690" s="8"/>
      <c r="P690" s="1"/>
      <c r="Q690" s="1"/>
      <c r="R690" s="1"/>
      <c r="S690" s="3"/>
      <c r="T690" s="3"/>
      <c r="U690" s="3"/>
      <c r="V690" s="3"/>
      <c r="W690" s="3"/>
      <c r="X690" s="3"/>
      <c r="Y690" s="3"/>
      <c r="Z690" s="27" t="s">
        <v>247</v>
      </c>
      <c r="AA690" t="s">
        <v>242</v>
      </c>
    </row>
    <row r="691" spans="1:27" x14ac:dyDescent="0.25">
      <c r="A691" s="12">
        <v>124</v>
      </c>
      <c r="B691">
        <v>13</v>
      </c>
      <c r="C691">
        <f t="shared" si="91"/>
        <v>12413</v>
      </c>
      <c r="D691" s="3" t="s">
        <v>86</v>
      </c>
      <c r="E691" s="11">
        <f t="shared" si="94"/>
        <v>71.28639722222222</v>
      </c>
      <c r="F691" s="11">
        <f t="shared" si="95"/>
        <v>22.285141666666668</v>
      </c>
      <c r="G691" s="12" t="s">
        <v>144</v>
      </c>
      <c r="H691" s="12" t="s">
        <v>47</v>
      </c>
      <c r="I691">
        <v>2021</v>
      </c>
      <c r="J691" s="12" t="s">
        <v>163</v>
      </c>
      <c r="K691" s="2">
        <v>0</v>
      </c>
      <c r="L691" s="2"/>
      <c r="M691" s="33">
        <v>5.9410199075000003</v>
      </c>
      <c r="N691" s="33">
        <v>4.2039642149200001</v>
      </c>
      <c r="O691" s="8"/>
      <c r="P691" s="1"/>
      <c r="Q691" s="1"/>
      <c r="R691" s="1"/>
      <c r="S691" s="3"/>
      <c r="T691" s="3"/>
      <c r="U691" s="3"/>
      <c r="V691" s="3"/>
      <c r="W691" s="3"/>
      <c r="X691" s="3"/>
      <c r="Y691" s="3"/>
      <c r="Z691" s="27" t="s">
        <v>247</v>
      </c>
      <c r="AA691" t="s">
        <v>242</v>
      </c>
    </row>
    <row r="692" spans="1:27" x14ac:dyDescent="0.25">
      <c r="A692" s="12">
        <v>124</v>
      </c>
      <c r="B692">
        <v>14</v>
      </c>
      <c r="C692">
        <f t="shared" si="91"/>
        <v>12414</v>
      </c>
      <c r="D692" s="3" t="s">
        <v>86</v>
      </c>
      <c r="E692" s="11">
        <f>59+9/60+54.86/3600</f>
        <v>59.165238888888886</v>
      </c>
      <c r="F692" s="11">
        <f>2+29/60+14.6/3600</f>
        <v>2.4873888888888889</v>
      </c>
      <c r="G692" s="12" t="s">
        <v>144</v>
      </c>
      <c r="H692" s="12" t="s">
        <v>47</v>
      </c>
      <c r="I692">
        <v>2003</v>
      </c>
      <c r="J692" s="12" t="s">
        <v>163</v>
      </c>
      <c r="K692" s="2">
        <v>0</v>
      </c>
      <c r="L692" s="2"/>
      <c r="M692" s="33">
        <v>2.9</v>
      </c>
      <c r="N692" s="33"/>
      <c r="O692" s="8"/>
      <c r="P692" s="1"/>
      <c r="Q692" s="1"/>
      <c r="R692" s="1"/>
      <c r="S692" s="3"/>
      <c r="T692" s="3"/>
      <c r="U692" s="3"/>
      <c r="V692" s="3"/>
      <c r="W692" s="3"/>
      <c r="X692" s="3"/>
      <c r="Y692" s="3"/>
      <c r="Z692" s="27" t="s">
        <v>247</v>
      </c>
      <c r="AA692" t="s">
        <v>227</v>
      </c>
    </row>
    <row r="693" spans="1:27" x14ac:dyDescent="0.25">
      <c r="A693" s="12">
        <v>124</v>
      </c>
      <c r="B693">
        <v>14</v>
      </c>
      <c r="C693">
        <f t="shared" si="91"/>
        <v>12414</v>
      </c>
      <c r="D693" s="3" t="s">
        <v>86</v>
      </c>
      <c r="E693" s="11">
        <f t="shared" ref="E693:E710" si="96">59+9/60+54.86/3600</f>
        <v>59.165238888888886</v>
      </c>
      <c r="F693" s="11">
        <f t="shared" ref="F693:F710" si="97">2+29/60+14.6/3600</f>
        <v>2.4873888888888889</v>
      </c>
      <c r="G693" s="12" t="s">
        <v>144</v>
      </c>
      <c r="H693" s="12" t="s">
        <v>47</v>
      </c>
      <c r="I693">
        <v>2004</v>
      </c>
      <c r="J693" s="12" t="s">
        <v>163</v>
      </c>
      <c r="K693" s="2">
        <v>0</v>
      </c>
      <c r="L693" s="2"/>
      <c r="M693" s="33">
        <v>3.1</v>
      </c>
      <c r="N693" s="33"/>
      <c r="O693" s="8"/>
      <c r="P693" s="1"/>
      <c r="Q693" s="1"/>
      <c r="R693" s="1"/>
      <c r="S693" s="3"/>
      <c r="T693" s="3"/>
      <c r="U693" s="3"/>
      <c r="V693" s="3"/>
      <c r="W693" s="3"/>
      <c r="X693" s="3"/>
      <c r="Y693" s="3"/>
      <c r="Z693" s="27" t="s">
        <v>247</v>
      </c>
      <c r="AA693" t="s">
        <v>227</v>
      </c>
    </row>
    <row r="694" spans="1:27" x14ac:dyDescent="0.25">
      <c r="A694" s="12">
        <v>124</v>
      </c>
      <c r="B694">
        <v>14</v>
      </c>
      <c r="C694">
        <f t="shared" si="91"/>
        <v>12414</v>
      </c>
      <c r="D694" s="3" t="s">
        <v>86</v>
      </c>
      <c r="E694" s="11">
        <f t="shared" si="96"/>
        <v>59.165238888888886</v>
      </c>
      <c r="F694" s="11">
        <f t="shared" si="97"/>
        <v>2.4873888888888889</v>
      </c>
      <c r="G694" s="12" t="s">
        <v>144</v>
      </c>
      <c r="H694" s="12" t="s">
        <v>47</v>
      </c>
      <c r="I694">
        <v>2005</v>
      </c>
      <c r="J694" s="12" t="s">
        <v>163</v>
      </c>
      <c r="K694" s="2">
        <v>0</v>
      </c>
      <c r="L694" s="2"/>
      <c r="M694" s="33">
        <v>2.6</v>
      </c>
      <c r="N694" s="33"/>
      <c r="O694" s="8"/>
      <c r="P694" s="1"/>
      <c r="Q694" s="1"/>
      <c r="R694" s="1"/>
      <c r="S694" s="3"/>
      <c r="T694" s="3"/>
      <c r="U694" s="3"/>
      <c r="V694" s="3"/>
      <c r="W694" s="3"/>
      <c r="X694" s="3"/>
      <c r="Y694" s="3"/>
      <c r="Z694" s="27" t="s">
        <v>247</v>
      </c>
      <c r="AA694" t="s">
        <v>227</v>
      </c>
    </row>
    <row r="695" spans="1:27" x14ac:dyDescent="0.25">
      <c r="A695" s="12">
        <v>124</v>
      </c>
      <c r="B695">
        <v>14</v>
      </c>
      <c r="C695">
        <f t="shared" si="91"/>
        <v>12414</v>
      </c>
      <c r="D695" s="3" t="s">
        <v>86</v>
      </c>
      <c r="E695" s="11">
        <f t="shared" si="96"/>
        <v>59.165238888888886</v>
      </c>
      <c r="F695" s="11">
        <f t="shared" si="97"/>
        <v>2.4873888888888889</v>
      </c>
      <c r="G695" s="12" t="s">
        <v>144</v>
      </c>
      <c r="H695" s="12" t="s">
        <v>47</v>
      </c>
      <c r="I695">
        <v>2006</v>
      </c>
      <c r="J695" s="12" t="s">
        <v>163</v>
      </c>
      <c r="K695" s="2">
        <v>0</v>
      </c>
      <c r="L695" s="2"/>
      <c r="M695" s="33">
        <v>2.9</v>
      </c>
      <c r="N695" s="33">
        <v>3.1</v>
      </c>
      <c r="O695" s="8"/>
      <c r="P695" s="1"/>
      <c r="Q695" s="1"/>
      <c r="R695" s="1"/>
      <c r="S695" s="3"/>
      <c r="T695" s="3"/>
      <c r="U695" s="3"/>
      <c r="V695" s="3"/>
      <c r="W695" s="3"/>
      <c r="X695" s="3"/>
      <c r="Y695" s="3"/>
      <c r="Z695" s="27" t="s">
        <v>247</v>
      </c>
      <c r="AA695" t="s">
        <v>227</v>
      </c>
    </row>
    <row r="696" spans="1:27" x14ac:dyDescent="0.25">
      <c r="A696" s="12">
        <v>124</v>
      </c>
      <c r="B696">
        <v>14</v>
      </c>
      <c r="C696">
        <f t="shared" si="91"/>
        <v>12414</v>
      </c>
      <c r="D696" s="3" t="s">
        <v>86</v>
      </c>
      <c r="E696" s="11">
        <f t="shared" si="96"/>
        <v>59.165238888888886</v>
      </c>
      <c r="F696" s="11">
        <f t="shared" si="97"/>
        <v>2.4873888888888889</v>
      </c>
      <c r="G696" s="12" t="s">
        <v>144</v>
      </c>
      <c r="H696" s="12" t="s">
        <v>47</v>
      </c>
      <c r="I696">
        <v>2007</v>
      </c>
      <c r="J696" s="12" t="s">
        <v>163</v>
      </c>
      <c r="K696" s="2">
        <v>0</v>
      </c>
      <c r="L696" s="2"/>
      <c r="M696" s="33">
        <v>3.8</v>
      </c>
      <c r="N696" s="33">
        <v>3</v>
      </c>
      <c r="O696" s="8"/>
      <c r="P696" s="1"/>
      <c r="Q696" s="1"/>
      <c r="R696" s="1"/>
      <c r="S696" s="3"/>
      <c r="T696" s="3"/>
      <c r="U696" s="3"/>
      <c r="V696" s="3"/>
      <c r="W696" s="3"/>
      <c r="X696" s="3"/>
      <c r="Y696" s="3"/>
      <c r="Z696" s="27" t="s">
        <v>247</v>
      </c>
      <c r="AA696" t="s">
        <v>227</v>
      </c>
    </row>
    <row r="697" spans="1:27" x14ac:dyDescent="0.25">
      <c r="A697" s="12">
        <v>124</v>
      </c>
      <c r="B697">
        <v>14</v>
      </c>
      <c r="C697">
        <f t="shared" si="91"/>
        <v>12414</v>
      </c>
      <c r="D697" s="3" t="s">
        <v>86</v>
      </c>
      <c r="E697" s="11">
        <f t="shared" si="96"/>
        <v>59.165238888888886</v>
      </c>
      <c r="F697" s="11">
        <f t="shared" si="97"/>
        <v>2.4873888888888889</v>
      </c>
      <c r="G697" s="12" t="s">
        <v>144</v>
      </c>
      <c r="H697" s="12" t="s">
        <v>47</v>
      </c>
      <c r="I697">
        <v>2008</v>
      </c>
      <c r="J697" s="12" t="s">
        <v>163</v>
      </c>
      <c r="K697" s="2">
        <v>0</v>
      </c>
      <c r="L697" s="2"/>
      <c r="M697" s="33">
        <v>3.3649596270000002</v>
      </c>
      <c r="N697" s="33">
        <v>2.8129345940000001</v>
      </c>
      <c r="O697" s="8"/>
      <c r="P697" s="1"/>
      <c r="Q697" s="1"/>
      <c r="R697" s="1"/>
      <c r="S697" s="3"/>
      <c r="T697" s="3"/>
      <c r="U697" s="3"/>
      <c r="V697" s="3"/>
      <c r="W697" s="3"/>
      <c r="X697" s="3"/>
      <c r="Y697" s="3"/>
      <c r="Z697" s="27" t="s">
        <v>247</v>
      </c>
      <c r="AA697" t="s">
        <v>227</v>
      </c>
    </row>
    <row r="698" spans="1:27" x14ac:dyDescent="0.25">
      <c r="A698" s="12">
        <v>124</v>
      </c>
      <c r="B698">
        <v>14</v>
      </c>
      <c r="C698">
        <f t="shared" si="91"/>
        <v>12414</v>
      </c>
      <c r="D698" s="3" t="s">
        <v>86</v>
      </c>
      <c r="E698" s="11">
        <f t="shared" si="96"/>
        <v>59.165238888888886</v>
      </c>
      <c r="F698" s="11">
        <f t="shared" si="97"/>
        <v>2.4873888888888889</v>
      </c>
      <c r="G698" s="12" t="s">
        <v>144</v>
      </c>
      <c r="H698" s="12" t="s">
        <v>47</v>
      </c>
      <c r="I698">
        <v>2009</v>
      </c>
      <c r="J698" s="12" t="s">
        <v>163</v>
      </c>
      <c r="K698" s="2">
        <v>0</v>
      </c>
      <c r="L698" s="2"/>
      <c r="M698" s="33">
        <v>3.5203071210000001</v>
      </c>
      <c r="N698" s="33">
        <v>2.9219471939999999</v>
      </c>
      <c r="O698" s="8"/>
      <c r="P698" s="1"/>
      <c r="Q698" s="1"/>
      <c r="R698" s="1"/>
      <c r="S698" s="3"/>
      <c r="T698" s="3"/>
      <c r="U698" s="3"/>
      <c r="V698" s="3"/>
      <c r="W698" s="3"/>
      <c r="X698" s="3"/>
      <c r="Y698" s="3"/>
      <c r="Z698" s="27" t="s">
        <v>247</v>
      </c>
      <c r="AA698" t="s">
        <v>227</v>
      </c>
    </row>
    <row r="699" spans="1:27" x14ac:dyDescent="0.25">
      <c r="A699" s="12">
        <v>124</v>
      </c>
      <c r="B699">
        <v>14</v>
      </c>
      <c r="C699">
        <f t="shared" si="91"/>
        <v>12414</v>
      </c>
      <c r="D699" s="3" t="s">
        <v>86</v>
      </c>
      <c r="E699" s="11">
        <f t="shared" si="96"/>
        <v>59.165238888888886</v>
      </c>
      <c r="F699" s="11">
        <f t="shared" si="97"/>
        <v>2.4873888888888889</v>
      </c>
      <c r="G699" s="12" t="s">
        <v>144</v>
      </c>
      <c r="H699" s="12" t="s">
        <v>47</v>
      </c>
      <c r="I699">
        <v>2010</v>
      </c>
      <c r="J699" s="12" t="s">
        <v>163</v>
      </c>
      <c r="K699" s="2">
        <v>0</v>
      </c>
      <c r="L699" s="2"/>
      <c r="M699" s="33">
        <v>3.9402866909999998</v>
      </c>
      <c r="N699" s="33">
        <v>3.1608040389999998</v>
      </c>
      <c r="O699" s="8"/>
      <c r="P699" s="1"/>
      <c r="Q699" s="1"/>
      <c r="R699" s="1"/>
      <c r="S699" s="3"/>
      <c r="T699" s="3"/>
      <c r="U699" s="3"/>
      <c r="V699" s="3"/>
      <c r="W699" s="3"/>
      <c r="X699" s="3"/>
      <c r="Y699" s="3"/>
      <c r="Z699" s="27" t="s">
        <v>247</v>
      </c>
      <c r="AA699" t="s">
        <v>227</v>
      </c>
    </row>
    <row r="700" spans="1:27" x14ac:dyDescent="0.25">
      <c r="A700" s="12">
        <v>124</v>
      </c>
      <c r="B700">
        <v>14</v>
      </c>
      <c r="C700">
        <f t="shared" si="91"/>
        <v>12414</v>
      </c>
      <c r="D700" s="3" t="s">
        <v>86</v>
      </c>
      <c r="E700" s="11">
        <f t="shared" si="96"/>
        <v>59.165238888888886</v>
      </c>
      <c r="F700" s="11">
        <f t="shared" si="97"/>
        <v>2.4873888888888889</v>
      </c>
      <c r="G700" s="12" t="s">
        <v>144</v>
      </c>
      <c r="H700" s="12" t="s">
        <v>47</v>
      </c>
      <c r="I700">
        <v>2011</v>
      </c>
      <c r="J700" s="12" t="s">
        <v>163</v>
      </c>
      <c r="K700" s="2">
        <v>0</v>
      </c>
      <c r="L700" s="2"/>
      <c r="M700" s="33">
        <v>3.1625768459999999</v>
      </c>
      <c r="N700" s="33">
        <v>3.2217265880000001</v>
      </c>
      <c r="O700" s="8"/>
      <c r="P700" s="1"/>
      <c r="Q700" s="1"/>
      <c r="R700" s="1"/>
      <c r="S700" s="3"/>
      <c r="T700" s="3"/>
      <c r="U700" s="3"/>
      <c r="V700" s="3"/>
      <c r="W700" s="3"/>
      <c r="X700" s="3"/>
      <c r="Y700" s="3"/>
      <c r="Z700" s="27" t="s">
        <v>247</v>
      </c>
      <c r="AA700" t="s">
        <v>227</v>
      </c>
    </row>
    <row r="701" spans="1:27" x14ac:dyDescent="0.25">
      <c r="A701" s="12">
        <v>124</v>
      </c>
      <c r="B701">
        <v>14</v>
      </c>
      <c r="C701">
        <f t="shared" si="91"/>
        <v>12414</v>
      </c>
      <c r="D701" s="3" t="s">
        <v>86</v>
      </c>
      <c r="E701" s="11">
        <f t="shared" si="96"/>
        <v>59.165238888888886</v>
      </c>
      <c r="F701" s="11">
        <f t="shared" si="97"/>
        <v>2.4873888888888889</v>
      </c>
      <c r="G701" s="12" t="s">
        <v>144</v>
      </c>
      <c r="H701" s="12" t="s">
        <v>47</v>
      </c>
      <c r="I701">
        <v>2012</v>
      </c>
      <c r="J701" s="12" t="s">
        <v>163</v>
      </c>
      <c r="K701" s="2">
        <v>0</v>
      </c>
      <c r="L701" s="2"/>
      <c r="M701" s="33">
        <v>3.53306916666667</v>
      </c>
      <c r="N701" s="33">
        <v>3.09</v>
      </c>
      <c r="O701" s="8"/>
      <c r="P701" s="1"/>
      <c r="Q701" s="1"/>
      <c r="R701" s="1"/>
      <c r="S701" s="3"/>
      <c r="T701" s="3"/>
      <c r="U701" s="3"/>
      <c r="V701" s="3"/>
      <c r="W701" s="3"/>
      <c r="X701" s="3"/>
      <c r="Y701" s="3"/>
      <c r="Z701" s="27" t="s">
        <v>247</v>
      </c>
      <c r="AA701" t="s">
        <v>227</v>
      </c>
    </row>
    <row r="702" spans="1:27" x14ac:dyDescent="0.25">
      <c r="A702" s="12">
        <v>124</v>
      </c>
      <c r="B702">
        <v>14</v>
      </c>
      <c r="C702">
        <f t="shared" si="91"/>
        <v>12414</v>
      </c>
      <c r="D702" s="3" t="s">
        <v>86</v>
      </c>
      <c r="E702" s="11">
        <f t="shared" si="96"/>
        <v>59.165238888888886</v>
      </c>
      <c r="F702" s="11">
        <f t="shared" si="97"/>
        <v>2.4873888888888889</v>
      </c>
      <c r="G702" s="12" t="s">
        <v>144</v>
      </c>
      <c r="H702" s="12" t="s">
        <v>47</v>
      </c>
      <c r="I702">
        <v>2013</v>
      </c>
      <c r="J702" s="12" t="s">
        <v>163</v>
      </c>
      <c r="K702" s="2">
        <v>0</v>
      </c>
      <c r="L702" s="2"/>
      <c r="M702" s="33">
        <v>3.0750089750318201</v>
      </c>
      <c r="N702" s="33">
        <v>2.9966666666666701</v>
      </c>
      <c r="O702" s="8"/>
      <c r="P702" s="1"/>
      <c r="Q702" s="1"/>
      <c r="R702" s="1"/>
      <c r="S702" s="3"/>
      <c r="T702" s="3"/>
      <c r="U702" s="3"/>
      <c r="V702" s="3"/>
      <c r="W702" s="3"/>
      <c r="X702" s="3"/>
      <c r="Y702" s="3"/>
      <c r="Z702" s="27" t="s">
        <v>247</v>
      </c>
      <c r="AA702" t="s">
        <v>227</v>
      </c>
    </row>
    <row r="703" spans="1:27" x14ac:dyDescent="0.25">
      <c r="A703" s="12">
        <v>124</v>
      </c>
      <c r="B703">
        <v>14</v>
      </c>
      <c r="C703">
        <f t="shared" si="91"/>
        <v>12414</v>
      </c>
      <c r="D703" s="3" t="s">
        <v>86</v>
      </c>
      <c r="E703" s="11">
        <f t="shared" si="96"/>
        <v>59.165238888888886</v>
      </c>
      <c r="F703" s="11">
        <f t="shared" si="97"/>
        <v>2.4873888888888889</v>
      </c>
      <c r="G703" s="12" t="s">
        <v>144</v>
      </c>
      <c r="H703" s="12" t="s">
        <v>47</v>
      </c>
      <c r="I703">
        <v>2014</v>
      </c>
      <c r="J703" s="12" t="s">
        <v>163</v>
      </c>
      <c r="K703" s="2">
        <v>0</v>
      </c>
      <c r="L703" s="2"/>
      <c r="M703" s="33">
        <v>2.8050000000000002</v>
      </c>
      <c r="N703" s="33">
        <v>2.855</v>
      </c>
      <c r="O703" s="8"/>
      <c r="P703" s="1"/>
      <c r="Q703" s="1"/>
      <c r="R703" s="1"/>
      <c r="S703" s="3"/>
      <c r="T703" s="3"/>
      <c r="U703" s="3"/>
      <c r="V703" s="3"/>
      <c r="W703" s="3"/>
      <c r="X703" s="3"/>
      <c r="Y703" s="3"/>
      <c r="Z703" s="27" t="s">
        <v>247</v>
      </c>
      <c r="AA703" t="s">
        <v>227</v>
      </c>
    </row>
    <row r="704" spans="1:27" x14ac:dyDescent="0.25">
      <c r="A704" s="12">
        <v>124</v>
      </c>
      <c r="B704">
        <v>14</v>
      </c>
      <c r="C704">
        <f t="shared" si="91"/>
        <v>12414</v>
      </c>
      <c r="D704" s="3" t="s">
        <v>86</v>
      </c>
      <c r="E704" s="11">
        <f t="shared" si="96"/>
        <v>59.165238888888886</v>
      </c>
      <c r="F704" s="11">
        <f t="shared" si="97"/>
        <v>2.4873888888888889</v>
      </c>
      <c r="G704" s="12" t="s">
        <v>144</v>
      </c>
      <c r="H704" s="12" t="s">
        <v>47</v>
      </c>
      <c r="I704">
        <v>2015</v>
      </c>
      <c r="J704" s="12" t="s">
        <v>163</v>
      </c>
      <c r="K704" s="2">
        <v>0</v>
      </c>
      <c r="L704" s="2"/>
      <c r="M704" s="33">
        <v>3.01857142857143</v>
      </c>
      <c r="N704" s="33">
        <v>2.9166666666666701</v>
      </c>
      <c r="O704" s="8"/>
      <c r="P704" s="1"/>
      <c r="Q704" s="1"/>
      <c r="R704" s="1"/>
      <c r="S704" s="3"/>
      <c r="T704" s="3"/>
      <c r="U704" s="3"/>
      <c r="V704" s="3"/>
      <c r="W704" s="3"/>
      <c r="X704" s="3"/>
      <c r="Y704" s="3"/>
      <c r="Z704" s="27" t="s">
        <v>247</v>
      </c>
      <c r="AA704" t="s">
        <v>227</v>
      </c>
    </row>
    <row r="705" spans="1:27" x14ac:dyDescent="0.25">
      <c r="A705" s="12">
        <v>124</v>
      </c>
      <c r="B705">
        <v>14</v>
      </c>
      <c r="C705">
        <f t="shared" si="91"/>
        <v>12414</v>
      </c>
      <c r="D705" s="3" t="s">
        <v>86</v>
      </c>
      <c r="E705" s="11">
        <f t="shared" si="96"/>
        <v>59.165238888888886</v>
      </c>
      <c r="F705" s="11">
        <f t="shared" si="97"/>
        <v>2.4873888888888889</v>
      </c>
      <c r="G705" s="12" t="s">
        <v>144</v>
      </c>
      <c r="H705" s="12" t="s">
        <v>47</v>
      </c>
      <c r="I705">
        <v>2016</v>
      </c>
      <c r="J705" s="12" t="s">
        <v>163</v>
      </c>
      <c r="K705" s="2">
        <v>0</v>
      </c>
      <c r="L705" s="2"/>
      <c r="M705" s="33">
        <v>3.33</v>
      </c>
      <c r="N705" s="33">
        <v>3.07</v>
      </c>
      <c r="O705" s="8"/>
      <c r="P705" s="1"/>
      <c r="Q705" s="1"/>
      <c r="R705" s="1"/>
      <c r="S705" s="3"/>
      <c r="T705" s="3"/>
      <c r="U705" s="3"/>
      <c r="V705" s="3"/>
      <c r="W705" s="3"/>
      <c r="X705" s="3"/>
      <c r="Y705" s="3"/>
      <c r="Z705" s="27" t="s">
        <v>247</v>
      </c>
      <c r="AA705" t="s">
        <v>227</v>
      </c>
    </row>
    <row r="706" spans="1:27" x14ac:dyDescent="0.25">
      <c r="A706" s="12">
        <v>124</v>
      </c>
      <c r="B706">
        <v>14</v>
      </c>
      <c r="C706">
        <f t="shared" si="91"/>
        <v>12414</v>
      </c>
      <c r="D706" s="3" t="s">
        <v>86</v>
      </c>
      <c r="E706" s="11">
        <f t="shared" si="96"/>
        <v>59.165238888888886</v>
      </c>
      <c r="F706" s="11">
        <f t="shared" si="97"/>
        <v>2.4873888888888889</v>
      </c>
      <c r="G706" s="12" t="s">
        <v>144</v>
      </c>
      <c r="H706" s="12" t="s">
        <v>47</v>
      </c>
      <c r="I706">
        <v>2017</v>
      </c>
      <c r="J706" s="12" t="s">
        <v>163</v>
      </c>
      <c r="K706" s="2">
        <v>0</v>
      </c>
      <c r="L706" s="2"/>
      <c r="M706" s="33">
        <v>3.0557500000000002</v>
      </c>
      <c r="N706" s="33">
        <v>2.9552499999999999</v>
      </c>
      <c r="O706" s="8"/>
      <c r="P706" s="1"/>
      <c r="Q706" s="1"/>
      <c r="R706" s="1"/>
      <c r="S706" s="3"/>
      <c r="T706" s="3"/>
      <c r="U706" s="3"/>
      <c r="V706" s="3"/>
      <c r="W706" s="3"/>
      <c r="X706" s="3"/>
      <c r="Y706" s="3"/>
      <c r="Z706" s="27" t="s">
        <v>247</v>
      </c>
      <c r="AA706" t="s">
        <v>227</v>
      </c>
    </row>
    <row r="707" spans="1:27" x14ac:dyDescent="0.25">
      <c r="A707" s="12">
        <v>124</v>
      </c>
      <c r="B707">
        <v>14</v>
      </c>
      <c r="C707">
        <f t="shared" si="91"/>
        <v>12414</v>
      </c>
      <c r="D707" s="3" t="s">
        <v>86</v>
      </c>
      <c r="E707" s="11">
        <f t="shared" si="96"/>
        <v>59.165238888888886</v>
      </c>
      <c r="F707" s="11">
        <f t="shared" si="97"/>
        <v>2.4873888888888889</v>
      </c>
      <c r="G707" s="12" t="s">
        <v>144</v>
      </c>
      <c r="H707" s="12" t="s">
        <v>47</v>
      </c>
      <c r="I707">
        <v>2018</v>
      </c>
      <c r="J707" s="12" t="s">
        <v>163</v>
      </c>
      <c r="K707" s="2">
        <v>0</v>
      </c>
      <c r="L707" s="2"/>
      <c r="M707" s="33">
        <v>3</v>
      </c>
      <c r="N707" s="33">
        <v>2.7949999999999999</v>
      </c>
      <c r="O707" s="8"/>
      <c r="P707" s="1"/>
      <c r="Q707" s="1"/>
      <c r="R707" s="1"/>
      <c r="S707" s="3"/>
      <c r="T707" s="3"/>
      <c r="U707" s="3"/>
      <c r="V707" s="3"/>
      <c r="W707" s="3"/>
      <c r="X707" s="3"/>
      <c r="Y707" s="3"/>
      <c r="Z707" s="27" t="s">
        <v>247</v>
      </c>
      <c r="AA707" t="s">
        <v>227</v>
      </c>
    </row>
    <row r="708" spans="1:27" x14ac:dyDescent="0.25">
      <c r="A708" s="12">
        <v>124</v>
      </c>
      <c r="B708">
        <v>14</v>
      </c>
      <c r="C708">
        <f t="shared" si="91"/>
        <v>12414</v>
      </c>
      <c r="D708" s="3" t="s">
        <v>86</v>
      </c>
      <c r="E708" s="11">
        <f t="shared" si="96"/>
        <v>59.165238888888886</v>
      </c>
      <c r="F708" s="11">
        <f t="shared" si="97"/>
        <v>2.4873888888888889</v>
      </c>
      <c r="G708" s="12" t="s">
        <v>144</v>
      </c>
      <c r="H708" s="12" t="s">
        <v>47</v>
      </c>
      <c r="I708">
        <v>2019</v>
      </c>
      <c r="J708" s="12" t="s">
        <v>163</v>
      </c>
      <c r="K708" s="2">
        <v>0</v>
      </c>
      <c r="L708" s="2"/>
      <c r="M708" s="33">
        <v>3.3224999999999998</v>
      </c>
      <c r="N708" s="33">
        <v>2.86</v>
      </c>
      <c r="O708" s="8"/>
      <c r="P708" s="1"/>
      <c r="Q708" s="1"/>
      <c r="R708" s="1"/>
      <c r="S708" s="3"/>
      <c r="T708" s="3"/>
      <c r="U708" s="3"/>
      <c r="V708" s="3"/>
      <c r="W708" s="3"/>
      <c r="X708" s="3"/>
      <c r="Y708" s="3"/>
      <c r="Z708" s="27" t="s">
        <v>247</v>
      </c>
      <c r="AA708" t="s">
        <v>227</v>
      </c>
    </row>
    <row r="709" spans="1:27" x14ac:dyDescent="0.25">
      <c r="A709" s="12">
        <v>124</v>
      </c>
      <c r="B709">
        <v>14</v>
      </c>
      <c r="C709">
        <f t="shared" si="91"/>
        <v>12414</v>
      </c>
      <c r="D709" s="3" t="s">
        <v>86</v>
      </c>
      <c r="E709" s="11">
        <f t="shared" si="96"/>
        <v>59.165238888888886</v>
      </c>
      <c r="F709" s="11">
        <f t="shared" si="97"/>
        <v>2.4873888888888889</v>
      </c>
      <c r="G709" s="12" t="s">
        <v>144</v>
      </c>
      <c r="H709" s="12" t="s">
        <v>47</v>
      </c>
      <c r="I709">
        <v>2020</v>
      </c>
      <c r="J709" s="12" t="s">
        <v>163</v>
      </c>
      <c r="K709" s="2">
        <v>0</v>
      </c>
      <c r="L709" s="2"/>
      <c r="M709" s="33">
        <v>3.0593333333333299</v>
      </c>
      <c r="N709" s="33">
        <v>2.5840000000000001</v>
      </c>
      <c r="O709" s="8"/>
      <c r="P709" s="1"/>
      <c r="Q709" s="1"/>
      <c r="R709" s="1"/>
      <c r="S709" s="3"/>
      <c r="T709" s="3"/>
      <c r="U709" s="3"/>
      <c r="V709" s="3"/>
      <c r="W709" s="3"/>
      <c r="X709" s="3"/>
      <c r="Y709" s="3"/>
      <c r="Z709" s="27" t="s">
        <v>247</v>
      </c>
      <c r="AA709" t="s">
        <v>227</v>
      </c>
    </row>
    <row r="710" spans="1:27" x14ac:dyDescent="0.25">
      <c r="A710" s="12">
        <v>124</v>
      </c>
      <c r="B710">
        <v>14</v>
      </c>
      <c r="C710">
        <f t="shared" si="91"/>
        <v>12414</v>
      </c>
      <c r="D710" s="3" t="s">
        <v>86</v>
      </c>
      <c r="E710" s="11">
        <f t="shared" si="96"/>
        <v>59.165238888888886</v>
      </c>
      <c r="F710" s="11">
        <f t="shared" si="97"/>
        <v>2.4873888888888889</v>
      </c>
      <c r="G710" s="12" t="s">
        <v>144</v>
      </c>
      <c r="H710" s="12" t="s">
        <v>47</v>
      </c>
      <c r="I710">
        <v>2021</v>
      </c>
      <c r="J710" s="12" t="s">
        <v>163</v>
      </c>
      <c r="K710" s="2">
        <v>0</v>
      </c>
      <c r="L710" s="2"/>
      <c r="M710" s="33">
        <v>3.3995000000000002</v>
      </c>
      <c r="N710" s="33">
        <v>2.9987499999999998</v>
      </c>
      <c r="O710" s="8"/>
      <c r="P710" s="1"/>
      <c r="Q710" s="1"/>
      <c r="R710" s="1"/>
      <c r="S710" s="3"/>
      <c r="T710" s="3"/>
      <c r="U710" s="3"/>
      <c r="V710" s="3"/>
      <c r="W710" s="3"/>
      <c r="X710" s="3"/>
      <c r="Y710" s="3"/>
      <c r="Z710" s="27" t="s">
        <v>247</v>
      </c>
      <c r="AA710" t="s">
        <v>227</v>
      </c>
    </row>
    <row r="711" spans="1:27" x14ac:dyDescent="0.25">
      <c r="A711" s="12">
        <v>124</v>
      </c>
      <c r="B711">
        <v>15</v>
      </c>
      <c r="C711">
        <f t="shared" si="91"/>
        <v>12415</v>
      </c>
      <c r="D711" s="3" t="s">
        <v>86</v>
      </c>
      <c r="E711" s="11">
        <f>58+50/60+42.8/3600</f>
        <v>58.845222222222226</v>
      </c>
      <c r="F711" s="11">
        <f>1+44/60+37.4/3600</f>
        <v>1.7437222222222222</v>
      </c>
      <c r="G711" s="12" t="s">
        <v>144</v>
      </c>
      <c r="H711" s="12" t="s">
        <v>47</v>
      </c>
      <c r="I711">
        <v>2015</v>
      </c>
      <c r="J711" s="12" t="s">
        <v>163</v>
      </c>
      <c r="K711" s="2">
        <v>0</v>
      </c>
      <c r="L711" s="2"/>
      <c r="M711" s="33">
        <v>8.9824999999999999</v>
      </c>
      <c r="N711" s="33">
        <v>5.5</v>
      </c>
      <c r="O711" s="8"/>
      <c r="P711" s="1"/>
      <c r="Q711" s="1"/>
      <c r="R711" s="1"/>
      <c r="S711" s="3"/>
      <c r="T711" s="3"/>
      <c r="U711" s="3"/>
      <c r="V711" s="3"/>
      <c r="W711" s="3"/>
      <c r="X711" s="3"/>
      <c r="Y711" s="3"/>
      <c r="Z711" s="27" t="s">
        <v>247</v>
      </c>
      <c r="AA711" t="s">
        <v>238</v>
      </c>
    </row>
    <row r="712" spans="1:27" x14ac:dyDescent="0.25">
      <c r="A712" s="12">
        <v>124</v>
      </c>
      <c r="B712">
        <v>15</v>
      </c>
      <c r="C712">
        <f t="shared" si="91"/>
        <v>12415</v>
      </c>
      <c r="D712" s="3" t="s">
        <v>86</v>
      </c>
      <c r="E712" s="11">
        <f t="shared" ref="E712:E717" si="98">58+50/60+42.8/3600</f>
        <v>58.845222222222226</v>
      </c>
      <c r="F712" s="11">
        <f t="shared" ref="F712:F717" si="99">1+44/60+37.4/3600</f>
        <v>1.7437222222222222</v>
      </c>
      <c r="G712" s="12" t="s">
        <v>144</v>
      </c>
      <c r="H712" s="12" t="s">
        <v>47</v>
      </c>
      <c r="I712">
        <v>2016</v>
      </c>
      <c r="J712" s="12" t="s">
        <v>163</v>
      </c>
      <c r="K712" s="2">
        <v>0</v>
      </c>
      <c r="L712" s="2"/>
      <c r="M712" s="33">
        <v>9.7260000000000009</v>
      </c>
      <c r="N712" s="33">
        <v>4.7350000000000003</v>
      </c>
      <c r="O712" s="8"/>
      <c r="P712" s="1"/>
      <c r="Q712" s="1"/>
      <c r="R712" s="1"/>
      <c r="S712" s="3"/>
      <c r="T712" s="3"/>
      <c r="U712" s="3"/>
      <c r="V712" s="3"/>
      <c r="W712" s="3"/>
      <c r="X712" s="3"/>
      <c r="Y712" s="3"/>
      <c r="Z712" s="27" t="s">
        <v>247</v>
      </c>
      <c r="AA712" t="s">
        <v>238</v>
      </c>
    </row>
    <row r="713" spans="1:27" x14ac:dyDescent="0.25">
      <c r="A713" s="12">
        <v>124</v>
      </c>
      <c r="B713">
        <v>15</v>
      </c>
      <c r="C713">
        <f t="shared" si="91"/>
        <v>12415</v>
      </c>
      <c r="D713" s="3" t="s">
        <v>86</v>
      </c>
      <c r="E713" s="11">
        <f t="shared" si="98"/>
        <v>58.845222222222226</v>
      </c>
      <c r="F713" s="11">
        <f t="shared" si="99"/>
        <v>1.7437222222222222</v>
      </c>
      <c r="G713" s="12" t="s">
        <v>144</v>
      </c>
      <c r="H713" s="12" t="s">
        <v>47</v>
      </c>
      <c r="I713">
        <v>2017</v>
      </c>
      <c r="J713" s="12" t="s">
        <v>163</v>
      </c>
      <c r="K713" s="2">
        <v>0</v>
      </c>
      <c r="L713" s="2"/>
      <c r="M713" s="33">
        <v>15.525</v>
      </c>
      <c r="N713" s="33">
        <v>6.2850000000000001</v>
      </c>
      <c r="O713" s="8"/>
      <c r="P713" s="1"/>
      <c r="Q713" s="1"/>
      <c r="R713" s="1"/>
      <c r="S713" s="3"/>
      <c r="T713" s="3"/>
      <c r="U713" s="3"/>
      <c r="V713" s="3"/>
      <c r="W713" s="3"/>
      <c r="X713" s="3"/>
      <c r="Y713" s="3"/>
      <c r="Z713" s="27" t="s">
        <v>247</v>
      </c>
      <c r="AA713" t="s">
        <v>238</v>
      </c>
    </row>
    <row r="714" spans="1:27" x14ac:dyDescent="0.25">
      <c r="A714" s="12">
        <v>124</v>
      </c>
      <c r="B714">
        <v>15</v>
      </c>
      <c r="C714">
        <f t="shared" si="91"/>
        <v>12415</v>
      </c>
      <c r="D714" s="3" t="s">
        <v>86</v>
      </c>
      <c r="E714" s="11">
        <f t="shared" si="98"/>
        <v>58.845222222222226</v>
      </c>
      <c r="F714" s="11">
        <f t="shared" si="99"/>
        <v>1.7437222222222222</v>
      </c>
      <c r="G714" s="12" t="s">
        <v>144</v>
      </c>
      <c r="H714" s="12" t="s">
        <v>47</v>
      </c>
      <c r="I714">
        <v>2018</v>
      </c>
      <c r="J714" s="12" t="s">
        <v>163</v>
      </c>
      <c r="K714" s="2">
        <v>0</v>
      </c>
      <c r="L714" s="2"/>
      <c r="M714" s="33">
        <v>13.672499999999999</v>
      </c>
      <c r="N714" s="33">
        <v>5.9066666666666698</v>
      </c>
      <c r="O714" s="8"/>
      <c r="P714" s="1"/>
      <c r="Q714" s="1"/>
      <c r="R714" s="1"/>
      <c r="S714" s="3"/>
      <c r="T714" s="3"/>
      <c r="U714" s="3"/>
      <c r="V714" s="3"/>
      <c r="W714" s="3"/>
      <c r="X714" s="3"/>
      <c r="Y714" s="3"/>
      <c r="Z714" s="27" t="s">
        <v>247</v>
      </c>
      <c r="AA714" t="s">
        <v>238</v>
      </c>
    </row>
    <row r="715" spans="1:27" x14ac:dyDescent="0.25">
      <c r="A715" s="12">
        <v>124</v>
      </c>
      <c r="B715">
        <v>15</v>
      </c>
      <c r="C715">
        <f t="shared" si="91"/>
        <v>12415</v>
      </c>
      <c r="D715" s="3" t="s">
        <v>86</v>
      </c>
      <c r="E715" s="11">
        <f t="shared" si="98"/>
        <v>58.845222222222226</v>
      </c>
      <c r="F715" s="11">
        <f t="shared" si="99"/>
        <v>1.7437222222222222</v>
      </c>
      <c r="G715" s="12" t="s">
        <v>144</v>
      </c>
      <c r="H715" s="12" t="s">
        <v>47</v>
      </c>
      <c r="I715">
        <v>2019</v>
      </c>
      <c r="J715" s="12" t="s">
        <v>163</v>
      </c>
      <c r="K715" s="2">
        <v>0</v>
      </c>
      <c r="L715" s="2"/>
      <c r="M715" s="33">
        <v>13.5</v>
      </c>
      <c r="N715" s="33">
        <v>6.0449999999999999</v>
      </c>
      <c r="O715" s="8"/>
      <c r="P715" s="1"/>
      <c r="Q715" s="1"/>
      <c r="R715" s="1"/>
      <c r="S715" s="3"/>
      <c r="T715" s="3"/>
      <c r="U715" s="3"/>
      <c r="V715" s="3"/>
      <c r="W715" s="3"/>
      <c r="X715" s="3"/>
      <c r="Y715" s="3"/>
      <c r="Z715" s="27" t="s">
        <v>247</v>
      </c>
      <c r="AA715" t="s">
        <v>238</v>
      </c>
    </row>
    <row r="716" spans="1:27" x14ac:dyDescent="0.25">
      <c r="A716" s="12">
        <v>124</v>
      </c>
      <c r="B716">
        <v>15</v>
      </c>
      <c r="C716">
        <f t="shared" si="91"/>
        <v>12415</v>
      </c>
      <c r="D716" s="3" t="s">
        <v>86</v>
      </c>
      <c r="E716" s="11">
        <f t="shared" si="98"/>
        <v>58.845222222222226</v>
      </c>
      <c r="F716" s="11">
        <f t="shared" si="99"/>
        <v>1.7437222222222222</v>
      </c>
      <c r="G716" s="12" t="s">
        <v>144</v>
      </c>
      <c r="H716" s="12" t="s">
        <v>47</v>
      </c>
      <c r="I716">
        <v>2020</v>
      </c>
      <c r="J716" s="12" t="s">
        <v>163</v>
      </c>
      <c r="K716" s="2">
        <v>0</v>
      </c>
      <c r="L716" s="2"/>
      <c r="M716" s="33">
        <v>14.258749999999999</v>
      </c>
      <c r="N716" s="33">
        <v>6.0824999999999996</v>
      </c>
      <c r="O716" s="8"/>
      <c r="P716" s="1"/>
      <c r="Q716" s="1"/>
      <c r="R716" s="1"/>
      <c r="S716" s="3"/>
      <c r="T716" s="3"/>
      <c r="U716" s="3"/>
      <c r="V716" s="3"/>
      <c r="W716" s="3"/>
      <c r="X716" s="3"/>
      <c r="Y716" s="3"/>
      <c r="Z716" s="27" t="s">
        <v>247</v>
      </c>
      <c r="AA716" t="s">
        <v>238</v>
      </c>
    </row>
    <row r="717" spans="1:27" x14ac:dyDescent="0.25">
      <c r="A717" s="12">
        <v>124</v>
      </c>
      <c r="B717">
        <v>15</v>
      </c>
      <c r="C717">
        <f t="shared" si="91"/>
        <v>12415</v>
      </c>
      <c r="D717" s="3" t="s">
        <v>86</v>
      </c>
      <c r="E717" s="11">
        <f t="shared" si="98"/>
        <v>58.845222222222226</v>
      </c>
      <c r="F717" s="11">
        <f t="shared" si="99"/>
        <v>1.7437222222222222</v>
      </c>
      <c r="G717" s="12" t="s">
        <v>144</v>
      </c>
      <c r="H717" s="12" t="s">
        <v>47</v>
      </c>
      <c r="I717">
        <v>2021</v>
      </c>
      <c r="J717" s="12" t="s">
        <v>163</v>
      </c>
      <c r="K717" s="2">
        <v>0</v>
      </c>
      <c r="L717" s="2"/>
      <c r="M717" s="33">
        <v>15.279500000000001</v>
      </c>
      <c r="N717" s="33">
        <v>6.6022499999999997</v>
      </c>
      <c r="O717" s="8"/>
      <c r="P717" s="1"/>
      <c r="Q717" s="1"/>
      <c r="R717" s="1"/>
      <c r="S717" s="3"/>
      <c r="T717" s="3"/>
      <c r="U717" s="3"/>
      <c r="V717" s="3"/>
      <c r="W717" s="3"/>
      <c r="X717" s="3"/>
      <c r="Y717" s="3"/>
      <c r="Z717" s="27" t="s">
        <v>247</v>
      </c>
      <c r="AA717" t="s">
        <v>238</v>
      </c>
    </row>
    <row r="718" spans="1:27" x14ac:dyDescent="0.25">
      <c r="A718" s="12">
        <v>124</v>
      </c>
      <c r="B718">
        <v>16</v>
      </c>
      <c r="C718">
        <f t="shared" si="91"/>
        <v>12416</v>
      </c>
      <c r="D718" s="3" t="s">
        <v>86</v>
      </c>
      <c r="E718" s="11">
        <f>61+10/60+33.98/3600</f>
        <v>61.176105555555552</v>
      </c>
      <c r="F718" s="11">
        <f>2+11/60+20.94/3600</f>
        <v>2.1891499999999997</v>
      </c>
      <c r="G718" s="12" t="s">
        <v>144</v>
      </c>
      <c r="H718" s="12" t="s">
        <v>47</v>
      </c>
      <c r="I718">
        <v>2002</v>
      </c>
      <c r="J718" s="12" t="s">
        <v>163</v>
      </c>
      <c r="K718" s="2">
        <v>0</v>
      </c>
      <c r="L718" s="2"/>
      <c r="M718" s="33">
        <v>0.51566666666666705</v>
      </c>
      <c r="N718" s="33"/>
      <c r="O718" s="8"/>
      <c r="P718" s="1"/>
      <c r="Q718" s="1"/>
      <c r="R718" s="1"/>
      <c r="S718" s="3"/>
      <c r="T718" s="3"/>
      <c r="U718" s="3"/>
      <c r="V718" s="3"/>
      <c r="W718" s="3"/>
      <c r="X718" s="3"/>
      <c r="Y718" s="3"/>
      <c r="Z718" s="27" t="s">
        <v>247</v>
      </c>
      <c r="AA718" t="s">
        <v>212</v>
      </c>
    </row>
    <row r="719" spans="1:27" x14ac:dyDescent="0.25">
      <c r="A719" s="12">
        <v>124</v>
      </c>
      <c r="B719">
        <v>16</v>
      </c>
      <c r="C719">
        <f t="shared" si="91"/>
        <v>12416</v>
      </c>
      <c r="D719" s="3" t="s">
        <v>86</v>
      </c>
      <c r="E719" s="11">
        <f t="shared" ref="E719:E737" si="100">61+10/60+33.98/3600</f>
        <v>61.176105555555552</v>
      </c>
      <c r="F719" s="11">
        <f t="shared" ref="F719:F737" si="101">2+11/60+20.94/3600</f>
        <v>2.1891499999999997</v>
      </c>
      <c r="G719" s="12" t="s">
        <v>144</v>
      </c>
      <c r="H719" s="12" t="s">
        <v>47</v>
      </c>
      <c r="I719">
        <v>2003</v>
      </c>
      <c r="J719" s="12" t="s">
        <v>163</v>
      </c>
      <c r="K719" s="2">
        <v>0</v>
      </c>
      <c r="L719" s="2"/>
      <c r="M719" s="33">
        <v>1.06666666666667</v>
      </c>
      <c r="N719" s="33"/>
      <c r="O719" s="8"/>
      <c r="P719" s="1"/>
      <c r="Q719" s="1"/>
      <c r="R719" s="1"/>
      <c r="S719" s="3"/>
      <c r="T719" s="3"/>
      <c r="U719" s="3"/>
      <c r="V719" s="3"/>
      <c r="W719" s="3"/>
      <c r="X719" s="3"/>
      <c r="Y719" s="3"/>
      <c r="Z719" s="27" t="s">
        <v>247</v>
      </c>
      <c r="AA719" t="s">
        <v>212</v>
      </c>
    </row>
    <row r="720" spans="1:27" x14ac:dyDescent="0.25">
      <c r="A720" s="12">
        <v>124</v>
      </c>
      <c r="B720">
        <v>16</v>
      </c>
      <c r="C720">
        <f t="shared" si="91"/>
        <v>12416</v>
      </c>
      <c r="D720" s="3" t="s">
        <v>86</v>
      </c>
      <c r="E720" s="11">
        <f t="shared" si="100"/>
        <v>61.176105555555552</v>
      </c>
      <c r="F720" s="11">
        <f t="shared" si="101"/>
        <v>2.1891499999999997</v>
      </c>
      <c r="G720" s="12" t="s">
        <v>144</v>
      </c>
      <c r="H720" s="12" t="s">
        <v>47</v>
      </c>
      <c r="I720">
        <v>2004</v>
      </c>
      <c r="J720" s="12" t="s">
        <v>163</v>
      </c>
      <c r="K720" s="2">
        <v>0</v>
      </c>
      <c r="L720" s="2"/>
      <c r="M720" s="33">
        <v>1.65</v>
      </c>
      <c r="N720" s="33"/>
      <c r="O720" s="8"/>
      <c r="P720" s="1"/>
      <c r="Q720" s="1"/>
      <c r="R720" s="1"/>
      <c r="S720" s="3"/>
      <c r="T720" s="3"/>
      <c r="U720" s="3"/>
      <c r="V720" s="3"/>
      <c r="W720" s="3"/>
      <c r="X720" s="3"/>
      <c r="Y720" s="3"/>
      <c r="Z720" s="27" t="s">
        <v>247</v>
      </c>
      <c r="AA720" t="s">
        <v>212</v>
      </c>
    </row>
    <row r="721" spans="1:27" x14ac:dyDescent="0.25">
      <c r="A721" s="12">
        <v>124</v>
      </c>
      <c r="B721">
        <v>16</v>
      </c>
      <c r="C721">
        <f t="shared" si="91"/>
        <v>12416</v>
      </c>
      <c r="D721" s="3" t="s">
        <v>86</v>
      </c>
      <c r="E721" s="11">
        <f t="shared" si="100"/>
        <v>61.176105555555552</v>
      </c>
      <c r="F721" s="11">
        <f t="shared" si="101"/>
        <v>2.1891499999999997</v>
      </c>
      <c r="G721" s="12" t="s">
        <v>144</v>
      </c>
      <c r="H721" s="12" t="s">
        <v>47</v>
      </c>
      <c r="I721">
        <v>2005</v>
      </c>
      <c r="J721" s="12" t="s">
        <v>163</v>
      </c>
      <c r="K721" s="2">
        <v>0</v>
      </c>
      <c r="L721" s="2"/>
      <c r="M721" s="33">
        <v>0.74666666666666703</v>
      </c>
      <c r="N721" s="33">
        <v>0.81</v>
      </c>
      <c r="O721" s="8"/>
      <c r="P721" s="1"/>
      <c r="Q721" s="1"/>
      <c r="R721" s="1"/>
      <c r="S721" s="3"/>
      <c r="T721" s="3"/>
      <c r="U721" s="3"/>
      <c r="V721" s="3"/>
      <c r="W721" s="3"/>
      <c r="X721" s="3"/>
      <c r="Y721" s="3"/>
      <c r="Z721" s="27" t="s">
        <v>247</v>
      </c>
      <c r="AA721" t="s">
        <v>212</v>
      </c>
    </row>
    <row r="722" spans="1:27" x14ac:dyDescent="0.25">
      <c r="A722" s="12">
        <v>124</v>
      </c>
      <c r="B722">
        <v>16</v>
      </c>
      <c r="C722">
        <f t="shared" si="91"/>
        <v>12416</v>
      </c>
      <c r="D722" s="3" t="s">
        <v>86</v>
      </c>
      <c r="E722" s="11">
        <f t="shared" si="100"/>
        <v>61.176105555555552</v>
      </c>
      <c r="F722" s="11">
        <f t="shared" si="101"/>
        <v>2.1891499999999997</v>
      </c>
      <c r="G722" s="12" t="s">
        <v>144</v>
      </c>
      <c r="H722" s="12" t="s">
        <v>47</v>
      </c>
      <c r="I722">
        <v>2006</v>
      </c>
      <c r="J722" s="12" t="s">
        <v>163</v>
      </c>
      <c r="K722" s="2">
        <v>0</v>
      </c>
      <c r="L722" s="2"/>
      <c r="M722" s="33">
        <v>1.92103333333333</v>
      </c>
      <c r="N722" s="33">
        <v>1.4963833333333301</v>
      </c>
      <c r="O722" s="8"/>
      <c r="P722" s="1"/>
      <c r="Q722" s="1"/>
      <c r="R722" s="1"/>
      <c r="S722" s="3"/>
      <c r="T722" s="3"/>
      <c r="U722" s="3"/>
      <c r="V722" s="3"/>
      <c r="W722" s="3"/>
      <c r="X722" s="3"/>
      <c r="Y722" s="3"/>
      <c r="Z722" s="27" t="s">
        <v>247</v>
      </c>
      <c r="AA722" t="s">
        <v>212</v>
      </c>
    </row>
    <row r="723" spans="1:27" x14ac:dyDescent="0.25">
      <c r="A723" s="12">
        <v>124</v>
      </c>
      <c r="B723">
        <v>16</v>
      </c>
      <c r="C723">
        <f t="shared" si="91"/>
        <v>12416</v>
      </c>
      <c r="D723" s="3" t="s">
        <v>86</v>
      </c>
      <c r="E723" s="11">
        <f t="shared" si="100"/>
        <v>61.176105555555552</v>
      </c>
      <c r="F723" s="11">
        <f t="shared" si="101"/>
        <v>2.1891499999999997</v>
      </c>
      <c r="G723" s="12" t="s">
        <v>144</v>
      </c>
      <c r="H723" s="12" t="s">
        <v>47</v>
      </c>
      <c r="I723">
        <v>2007</v>
      </c>
      <c r="J723" s="12" t="s">
        <v>163</v>
      </c>
      <c r="K723" s="2">
        <v>0</v>
      </c>
      <c r="L723" s="2"/>
      <c r="M723" s="33">
        <v>1.93828333333333</v>
      </c>
      <c r="N723" s="33">
        <v>1.5664733333333301</v>
      </c>
      <c r="O723" s="8"/>
      <c r="P723" s="1"/>
      <c r="Q723" s="1"/>
      <c r="R723" s="1"/>
      <c r="S723" s="3"/>
      <c r="T723" s="3"/>
      <c r="U723" s="3"/>
      <c r="V723" s="3"/>
      <c r="W723" s="3"/>
      <c r="X723" s="3"/>
      <c r="Y723" s="3"/>
      <c r="Z723" s="27" t="s">
        <v>247</v>
      </c>
      <c r="AA723" t="s">
        <v>212</v>
      </c>
    </row>
    <row r="724" spans="1:27" x14ac:dyDescent="0.25">
      <c r="A724" s="12">
        <v>124</v>
      </c>
      <c r="B724">
        <v>16</v>
      </c>
      <c r="C724">
        <f t="shared" si="91"/>
        <v>12416</v>
      </c>
      <c r="D724" s="3" t="s">
        <v>86</v>
      </c>
      <c r="E724" s="11">
        <f t="shared" si="100"/>
        <v>61.176105555555552</v>
      </c>
      <c r="F724" s="11">
        <f t="shared" si="101"/>
        <v>2.1891499999999997</v>
      </c>
      <c r="G724" s="12" t="s">
        <v>144</v>
      </c>
      <c r="H724" s="12" t="s">
        <v>47</v>
      </c>
      <c r="I724">
        <v>2008</v>
      </c>
      <c r="J724" s="12" t="s">
        <v>163</v>
      </c>
      <c r="K724" s="2">
        <v>0</v>
      </c>
      <c r="L724" s="2"/>
      <c r="M724" s="33">
        <v>1.521489879</v>
      </c>
      <c r="N724" s="33">
        <v>1.3753291756666699</v>
      </c>
      <c r="O724" s="8"/>
      <c r="P724" s="1"/>
      <c r="Q724" s="1"/>
      <c r="R724" s="1"/>
      <c r="S724" s="3"/>
      <c r="T724" s="3"/>
      <c r="U724" s="3"/>
      <c r="V724" s="3"/>
      <c r="W724" s="3"/>
      <c r="X724" s="3"/>
      <c r="Y724" s="3"/>
      <c r="Z724" s="27" t="s">
        <v>247</v>
      </c>
      <c r="AA724" t="s">
        <v>212</v>
      </c>
    </row>
    <row r="725" spans="1:27" x14ac:dyDescent="0.25">
      <c r="A725" s="12">
        <v>124</v>
      </c>
      <c r="B725">
        <v>16</v>
      </c>
      <c r="C725">
        <f t="shared" si="91"/>
        <v>12416</v>
      </c>
      <c r="D725" s="3" t="s">
        <v>86</v>
      </c>
      <c r="E725" s="11">
        <f t="shared" si="100"/>
        <v>61.176105555555552</v>
      </c>
      <c r="F725" s="11">
        <f t="shared" si="101"/>
        <v>2.1891499999999997</v>
      </c>
      <c r="G725" s="12" t="s">
        <v>144</v>
      </c>
      <c r="H725" s="12" t="s">
        <v>47</v>
      </c>
      <c r="I725">
        <v>2009</v>
      </c>
      <c r="J725" s="12" t="s">
        <v>163</v>
      </c>
      <c r="K725" s="2">
        <v>0</v>
      </c>
      <c r="L725" s="2"/>
      <c r="M725" s="33">
        <v>1.6510841196666699</v>
      </c>
      <c r="N725" s="33">
        <v>1.43906152166667</v>
      </c>
      <c r="O725" s="8"/>
      <c r="P725" s="1"/>
      <c r="Q725" s="1"/>
      <c r="R725" s="1"/>
      <c r="S725" s="3"/>
      <c r="T725" s="3"/>
      <c r="U725" s="3"/>
      <c r="V725" s="3"/>
      <c r="W725" s="3"/>
      <c r="X725" s="3"/>
      <c r="Y725" s="3"/>
      <c r="Z725" s="27" t="s">
        <v>247</v>
      </c>
      <c r="AA725" t="s">
        <v>212</v>
      </c>
    </row>
    <row r="726" spans="1:27" x14ac:dyDescent="0.25">
      <c r="A726" s="12">
        <v>124</v>
      </c>
      <c r="B726">
        <v>16</v>
      </c>
      <c r="C726">
        <f t="shared" si="91"/>
        <v>12416</v>
      </c>
      <c r="D726" s="3" t="s">
        <v>86</v>
      </c>
      <c r="E726" s="11">
        <f t="shared" si="100"/>
        <v>61.176105555555552</v>
      </c>
      <c r="F726" s="11">
        <f t="shared" si="101"/>
        <v>2.1891499999999997</v>
      </c>
      <c r="G726" s="12" t="s">
        <v>144</v>
      </c>
      <c r="H726" s="12" t="s">
        <v>47</v>
      </c>
      <c r="I726">
        <v>2010</v>
      </c>
      <c r="J726" s="12" t="s">
        <v>163</v>
      </c>
      <c r="K726" s="2">
        <v>0</v>
      </c>
      <c r="L726" s="2"/>
      <c r="M726" s="33">
        <v>1.73687387633333</v>
      </c>
      <c r="N726" s="33">
        <v>1.7037304506666699</v>
      </c>
      <c r="O726" s="8"/>
      <c r="P726" s="1"/>
      <c r="Q726" s="1"/>
      <c r="R726" s="1"/>
      <c r="S726" s="3"/>
      <c r="T726" s="3"/>
      <c r="U726" s="3"/>
      <c r="V726" s="3"/>
      <c r="W726" s="3"/>
      <c r="X726" s="3"/>
      <c r="Y726" s="3"/>
      <c r="Z726" s="27" t="s">
        <v>247</v>
      </c>
      <c r="AA726" t="s">
        <v>212</v>
      </c>
    </row>
    <row r="727" spans="1:27" x14ac:dyDescent="0.25">
      <c r="A727" s="12">
        <v>124</v>
      </c>
      <c r="B727">
        <v>16</v>
      </c>
      <c r="C727">
        <f t="shared" si="91"/>
        <v>12416</v>
      </c>
      <c r="D727" s="3" t="s">
        <v>86</v>
      </c>
      <c r="E727" s="11">
        <f t="shared" si="100"/>
        <v>61.176105555555552</v>
      </c>
      <c r="F727" s="11">
        <f t="shared" si="101"/>
        <v>2.1891499999999997</v>
      </c>
      <c r="G727" s="12" t="s">
        <v>144</v>
      </c>
      <c r="H727" s="12" t="s">
        <v>47</v>
      </c>
      <c r="I727">
        <v>2011</v>
      </c>
      <c r="J727" s="12" t="s">
        <v>163</v>
      </c>
      <c r="K727" s="2">
        <v>0</v>
      </c>
      <c r="L727" s="2"/>
      <c r="M727" s="33">
        <v>2.2328383053333298</v>
      </c>
      <c r="N727" s="33">
        <v>2.0872484849999999</v>
      </c>
      <c r="O727" s="8"/>
      <c r="P727" s="1"/>
      <c r="Q727" s="1"/>
      <c r="R727" s="1"/>
      <c r="S727" s="3"/>
      <c r="T727" s="3"/>
      <c r="U727" s="3"/>
      <c r="V727" s="3"/>
      <c r="W727" s="3"/>
      <c r="X727" s="3"/>
      <c r="Y727" s="3"/>
      <c r="Z727" s="27" t="s">
        <v>247</v>
      </c>
      <c r="AA727" t="s">
        <v>212</v>
      </c>
    </row>
    <row r="728" spans="1:27" x14ac:dyDescent="0.25">
      <c r="A728" s="12">
        <v>124</v>
      </c>
      <c r="B728">
        <v>16</v>
      </c>
      <c r="C728">
        <f t="shared" si="91"/>
        <v>12416</v>
      </c>
      <c r="D728" s="3" t="s">
        <v>86</v>
      </c>
      <c r="E728" s="11">
        <f t="shared" si="100"/>
        <v>61.176105555555552</v>
      </c>
      <c r="F728" s="11">
        <f t="shared" si="101"/>
        <v>2.1891499999999997</v>
      </c>
      <c r="G728" s="12" t="s">
        <v>144</v>
      </c>
      <c r="H728" s="12" t="s">
        <v>47</v>
      </c>
      <c r="I728">
        <v>2012</v>
      </c>
      <c r="J728" s="12" t="s">
        <v>163</v>
      </c>
      <c r="K728" s="2">
        <v>0</v>
      </c>
      <c r="L728" s="2"/>
      <c r="M728" s="33">
        <v>1.78339382352941</v>
      </c>
      <c r="N728" s="33">
        <v>1.80242424242424</v>
      </c>
      <c r="O728" s="8"/>
      <c r="P728" s="1"/>
      <c r="Q728" s="1"/>
      <c r="R728" s="1"/>
      <c r="S728" s="3"/>
      <c r="T728" s="3"/>
      <c r="U728" s="3"/>
      <c r="V728" s="3"/>
      <c r="W728" s="3"/>
      <c r="X728" s="3"/>
      <c r="Y728" s="3"/>
      <c r="Z728" s="27" t="s">
        <v>247</v>
      </c>
      <c r="AA728" t="s">
        <v>212</v>
      </c>
    </row>
    <row r="729" spans="1:27" x14ac:dyDescent="0.25">
      <c r="A729" s="12">
        <v>124</v>
      </c>
      <c r="B729">
        <v>16</v>
      </c>
      <c r="C729">
        <f t="shared" si="91"/>
        <v>12416</v>
      </c>
      <c r="D729" s="3" t="s">
        <v>86</v>
      </c>
      <c r="E729" s="11">
        <f t="shared" si="100"/>
        <v>61.176105555555552</v>
      </c>
      <c r="F729" s="11">
        <f t="shared" si="101"/>
        <v>2.1891499999999997</v>
      </c>
      <c r="G729" s="12" t="s">
        <v>144</v>
      </c>
      <c r="H729" s="12" t="s">
        <v>47</v>
      </c>
      <c r="I729">
        <v>2013</v>
      </c>
      <c r="J729" s="12" t="s">
        <v>163</v>
      </c>
      <c r="K729" s="2">
        <v>0</v>
      </c>
      <c r="L729" s="2"/>
      <c r="M729" s="33">
        <v>1.1575157563102501</v>
      </c>
      <c r="N729" s="33">
        <v>1.25971428571429</v>
      </c>
      <c r="O729" s="8"/>
      <c r="P729" s="1"/>
      <c r="Q729" s="1"/>
      <c r="R729" s="1"/>
      <c r="S729" s="3"/>
      <c r="T729" s="3"/>
      <c r="U729" s="3"/>
      <c r="V729" s="3"/>
      <c r="W729" s="3"/>
      <c r="X729" s="3"/>
      <c r="Y729" s="3"/>
      <c r="Z729" s="27" t="s">
        <v>247</v>
      </c>
      <c r="AA729" t="s">
        <v>212</v>
      </c>
    </row>
    <row r="730" spans="1:27" x14ac:dyDescent="0.25">
      <c r="A730" s="12">
        <v>124</v>
      </c>
      <c r="B730">
        <v>16</v>
      </c>
      <c r="C730">
        <f t="shared" si="91"/>
        <v>12416</v>
      </c>
      <c r="D730" s="3" t="s">
        <v>86</v>
      </c>
      <c r="E730" s="11">
        <f t="shared" si="100"/>
        <v>61.176105555555552</v>
      </c>
      <c r="F730" s="11">
        <f t="shared" si="101"/>
        <v>2.1891499999999997</v>
      </c>
      <c r="G730" s="12" t="s">
        <v>144</v>
      </c>
      <c r="H730" s="12" t="s">
        <v>47</v>
      </c>
      <c r="I730">
        <v>2014</v>
      </c>
      <c r="J730" s="12" t="s">
        <v>163</v>
      </c>
      <c r="K730" s="2">
        <v>0</v>
      </c>
      <c r="L730" s="2"/>
      <c r="M730" s="33">
        <v>1.2743870967741899</v>
      </c>
      <c r="N730" s="33">
        <v>1.2930666666666699</v>
      </c>
      <c r="O730" s="8"/>
      <c r="P730" s="1"/>
      <c r="Q730" s="1"/>
      <c r="R730" s="1"/>
      <c r="S730" s="3"/>
      <c r="T730" s="3"/>
      <c r="U730" s="3"/>
      <c r="V730" s="3"/>
      <c r="W730" s="3"/>
      <c r="X730" s="3"/>
      <c r="Y730" s="3"/>
      <c r="Z730" s="27" t="s">
        <v>247</v>
      </c>
      <c r="AA730" t="s">
        <v>212</v>
      </c>
    </row>
    <row r="731" spans="1:27" x14ac:dyDescent="0.25">
      <c r="A731" s="12">
        <v>124</v>
      </c>
      <c r="B731">
        <v>16</v>
      </c>
      <c r="C731">
        <f t="shared" si="91"/>
        <v>12416</v>
      </c>
      <c r="D731" s="3" t="s">
        <v>86</v>
      </c>
      <c r="E731" s="11">
        <f t="shared" si="100"/>
        <v>61.176105555555552</v>
      </c>
      <c r="F731" s="11">
        <f t="shared" si="101"/>
        <v>2.1891499999999997</v>
      </c>
      <c r="G731" s="12" t="s">
        <v>144</v>
      </c>
      <c r="H731" s="12" t="s">
        <v>47</v>
      </c>
      <c r="I731">
        <v>2015</v>
      </c>
      <c r="J731" s="12" t="s">
        <v>163</v>
      </c>
      <c r="K731" s="2">
        <v>0</v>
      </c>
      <c r="L731" s="2"/>
      <c r="M731" s="33">
        <v>1.4007272727272699</v>
      </c>
      <c r="N731" s="33">
        <v>1.4947575757575799</v>
      </c>
      <c r="O731" s="8"/>
      <c r="P731" s="1"/>
      <c r="Q731" s="1"/>
      <c r="R731" s="1"/>
      <c r="S731" s="3"/>
      <c r="T731" s="3"/>
      <c r="U731" s="3"/>
      <c r="V731" s="3"/>
      <c r="W731" s="3"/>
      <c r="X731" s="3"/>
      <c r="Y731" s="3"/>
      <c r="Z731" s="27" t="s">
        <v>247</v>
      </c>
      <c r="AA731" t="s">
        <v>212</v>
      </c>
    </row>
    <row r="732" spans="1:27" x14ac:dyDescent="0.25">
      <c r="A732" s="12">
        <v>124</v>
      </c>
      <c r="B732">
        <v>16</v>
      </c>
      <c r="C732">
        <f t="shared" si="91"/>
        <v>12416</v>
      </c>
      <c r="D732" s="3" t="s">
        <v>86</v>
      </c>
      <c r="E732" s="11">
        <f t="shared" si="100"/>
        <v>61.176105555555552</v>
      </c>
      <c r="F732" s="11">
        <f t="shared" si="101"/>
        <v>2.1891499999999997</v>
      </c>
      <c r="G732" s="12" t="s">
        <v>144</v>
      </c>
      <c r="H732" s="12" t="s">
        <v>47</v>
      </c>
      <c r="I732">
        <v>2016</v>
      </c>
      <c r="J732" s="12" t="s">
        <v>163</v>
      </c>
      <c r="K732" s="2">
        <v>0</v>
      </c>
      <c r="L732" s="2"/>
      <c r="M732" s="33">
        <v>1.7825</v>
      </c>
      <c r="N732" s="33">
        <v>1.8758333333333299</v>
      </c>
      <c r="O732" s="8"/>
      <c r="P732" s="1"/>
      <c r="Q732" s="1"/>
      <c r="R732" s="1"/>
      <c r="S732" s="3"/>
      <c r="T732" s="3"/>
      <c r="U732" s="3"/>
      <c r="V732" s="3"/>
      <c r="W732" s="3"/>
      <c r="X732" s="3"/>
      <c r="Y732" s="3"/>
      <c r="Z732" s="27" t="s">
        <v>247</v>
      </c>
      <c r="AA732" t="s">
        <v>212</v>
      </c>
    </row>
    <row r="733" spans="1:27" x14ac:dyDescent="0.25">
      <c r="A733" s="12">
        <v>124</v>
      </c>
      <c r="B733">
        <v>16</v>
      </c>
      <c r="C733">
        <f t="shared" si="91"/>
        <v>12416</v>
      </c>
      <c r="D733" s="3" t="s">
        <v>86</v>
      </c>
      <c r="E733" s="11">
        <f t="shared" si="100"/>
        <v>61.176105555555552</v>
      </c>
      <c r="F733" s="11">
        <f t="shared" si="101"/>
        <v>2.1891499999999997</v>
      </c>
      <c r="G733" s="12" t="s">
        <v>144</v>
      </c>
      <c r="H733" s="12" t="s">
        <v>47</v>
      </c>
      <c r="I733">
        <v>2017</v>
      </c>
      <c r="J733" s="12" t="s">
        <v>163</v>
      </c>
      <c r="K733" s="2">
        <v>0</v>
      </c>
      <c r="L733" s="2"/>
      <c r="M733" s="33">
        <v>1.3760909090909099</v>
      </c>
      <c r="N733" s="33">
        <v>1.5529999999999999</v>
      </c>
      <c r="O733" s="8"/>
      <c r="P733" s="1"/>
      <c r="Q733" s="1"/>
      <c r="R733" s="1"/>
      <c r="S733" s="3"/>
      <c r="T733" s="3"/>
      <c r="U733" s="3"/>
      <c r="V733" s="3"/>
      <c r="W733" s="3"/>
      <c r="X733" s="3"/>
      <c r="Y733" s="3"/>
      <c r="Z733" s="27" t="s">
        <v>247</v>
      </c>
      <c r="AA733" t="s">
        <v>212</v>
      </c>
    </row>
    <row r="734" spans="1:27" x14ac:dyDescent="0.25">
      <c r="A734" s="12">
        <v>124</v>
      </c>
      <c r="B734">
        <v>16</v>
      </c>
      <c r="C734">
        <f t="shared" ref="C734:C797" si="102">A734*100+B734</f>
        <v>12416</v>
      </c>
      <c r="D734" s="3" t="s">
        <v>86</v>
      </c>
      <c r="E734" s="11">
        <f t="shared" si="100"/>
        <v>61.176105555555552</v>
      </c>
      <c r="F734" s="11">
        <f t="shared" si="101"/>
        <v>2.1891499999999997</v>
      </c>
      <c r="G734" s="12" t="s">
        <v>144</v>
      </c>
      <c r="H734" s="12" t="s">
        <v>47</v>
      </c>
      <c r="I734">
        <v>2018</v>
      </c>
      <c r="J734" s="12" t="s">
        <v>163</v>
      </c>
      <c r="K734" s="2">
        <v>0</v>
      </c>
      <c r="L734" s="2"/>
      <c r="M734" s="33">
        <v>1.69090909090909</v>
      </c>
      <c r="N734" s="33">
        <v>1.7364545454545499</v>
      </c>
      <c r="O734" s="8"/>
      <c r="P734" s="1"/>
      <c r="Q734" s="1"/>
      <c r="R734" s="1"/>
      <c r="S734" s="3"/>
      <c r="T734" s="3"/>
      <c r="U734" s="3"/>
      <c r="V734" s="3"/>
      <c r="W734" s="3"/>
      <c r="X734" s="3"/>
      <c r="Y734" s="3"/>
      <c r="Z734" s="27" t="s">
        <v>247</v>
      </c>
      <c r="AA734" t="s">
        <v>212</v>
      </c>
    </row>
    <row r="735" spans="1:27" x14ac:dyDescent="0.25">
      <c r="A735" s="12">
        <v>124</v>
      </c>
      <c r="B735">
        <v>16</v>
      </c>
      <c r="C735">
        <f t="shared" si="102"/>
        <v>12416</v>
      </c>
      <c r="D735" s="3" t="s">
        <v>86</v>
      </c>
      <c r="E735" s="11">
        <f t="shared" si="100"/>
        <v>61.176105555555552</v>
      </c>
      <c r="F735" s="11">
        <f t="shared" si="101"/>
        <v>2.1891499999999997</v>
      </c>
      <c r="G735" s="12" t="s">
        <v>144</v>
      </c>
      <c r="H735" s="12" t="s">
        <v>47</v>
      </c>
      <c r="I735">
        <v>2019</v>
      </c>
      <c r="J735" s="12" t="s">
        <v>163</v>
      </c>
      <c r="K735" s="2">
        <v>0</v>
      </c>
      <c r="L735" s="2"/>
      <c r="M735" s="33">
        <v>1.9410000000000001</v>
      </c>
      <c r="N735" s="33">
        <v>2.1859999999999999</v>
      </c>
      <c r="O735" s="8"/>
      <c r="P735" s="1"/>
      <c r="Q735" s="1"/>
      <c r="R735" s="1"/>
      <c r="S735" s="3"/>
      <c r="T735" s="3"/>
      <c r="U735" s="3"/>
      <c r="V735" s="3"/>
      <c r="W735" s="3"/>
      <c r="X735" s="3"/>
      <c r="Y735" s="3"/>
      <c r="Z735" s="27" t="s">
        <v>247</v>
      </c>
      <c r="AA735" t="s">
        <v>212</v>
      </c>
    </row>
    <row r="736" spans="1:27" x14ac:dyDescent="0.25">
      <c r="A736" s="12">
        <v>124</v>
      </c>
      <c r="B736">
        <v>16</v>
      </c>
      <c r="C736">
        <f t="shared" si="102"/>
        <v>12416</v>
      </c>
      <c r="D736" s="3" t="s">
        <v>86</v>
      </c>
      <c r="E736" s="11">
        <f t="shared" si="100"/>
        <v>61.176105555555552</v>
      </c>
      <c r="F736" s="11">
        <f t="shared" si="101"/>
        <v>2.1891499999999997</v>
      </c>
      <c r="G736" s="12" t="s">
        <v>144</v>
      </c>
      <c r="H736" s="12" t="s">
        <v>47</v>
      </c>
      <c r="I736">
        <v>2020</v>
      </c>
      <c r="J736" s="12" t="s">
        <v>163</v>
      </c>
      <c r="K736" s="2">
        <v>0</v>
      </c>
      <c r="L736" s="2"/>
      <c r="M736" s="33">
        <v>2.19383333333333</v>
      </c>
      <c r="N736" s="33">
        <v>2.4865833333333298</v>
      </c>
      <c r="O736" s="8"/>
      <c r="P736" s="1"/>
      <c r="Q736" s="1"/>
      <c r="R736" s="1"/>
      <c r="S736" s="3"/>
      <c r="T736" s="3"/>
      <c r="U736" s="3"/>
      <c r="V736" s="3"/>
      <c r="W736" s="3"/>
      <c r="X736" s="3"/>
      <c r="Y736" s="3"/>
      <c r="Z736" s="27" t="s">
        <v>247</v>
      </c>
      <c r="AA736" t="s">
        <v>212</v>
      </c>
    </row>
    <row r="737" spans="1:27" x14ac:dyDescent="0.25">
      <c r="A737" s="12">
        <v>124</v>
      </c>
      <c r="B737">
        <v>16</v>
      </c>
      <c r="C737">
        <f t="shared" si="102"/>
        <v>12416</v>
      </c>
      <c r="D737" s="3" t="s">
        <v>86</v>
      </c>
      <c r="E737" s="11">
        <f t="shared" si="100"/>
        <v>61.176105555555552</v>
      </c>
      <c r="F737" s="11">
        <f t="shared" si="101"/>
        <v>2.1891499999999997</v>
      </c>
      <c r="G737" s="12" t="s">
        <v>144</v>
      </c>
      <c r="H737" s="12" t="s">
        <v>47</v>
      </c>
      <c r="I737">
        <v>2021</v>
      </c>
      <c r="J737" s="12" t="s">
        <v>163</v>
      </c>
      <c r="K737" s="2">
        <v>0</v>
      </c>
      <c r="L737" s="2"/>
      <c r="M737" s="33">
        <v>2.2285454545454502</v>
      </c>
      <c r="N737" s="33">
        <v>2.5199166666666701</v>
      </c>
      <c r="O737" s="8"/>
      <c r="P737" s="1"/>
      <c r="Q737" s="1"/>
      <c r="R737" s="1"/>
      <c r="S737" s="3"/>
      <c r="T737" s="3"/>
      <c r="U737" s="3"/>
      <c r="V737" s="3"/>
      <c r="W737" s="3"/>
      <c r="X737" s="3"/>
      <c r="Y737" s="3"/>
      <c r="Z737" s="27" t="s">
        <v>247</v>
      </c>
      <c r="AA737" t="s">
        <v>212</v>
      </c>
    </row>
    <row r="738" spans="1:27" x14ac:dyDescent="0.25">
      <c r="A738" s="12">
        <v>124</v>
      </c>
      <c r="B738">
        <v>17</v>
      </c>
      <c r="C738">
        <f t="shared" si="102"/>
        <v>12417</v>
      </c>
      <c r="D738" s="3" t="s">
        <v>86</v>
      </c>
      <c r="E738" s="11">
        <f>57+4/60+46.14/3600</f>
        <v>57.079483333333336</v>
      </c>
      <c r="F738" s="11">
        <f>2+50/60+49.91/3600</f>
        <v>2.8471972222222224</v>
      </c>
      <c r="G738" s="12" t="s">
        <v>144</v>
      </c>
      <c r="H738" s="12" t="s">
        <v>47</v>
      </c>
      <c r="I738">
        <v>2002</v>
      </c>
      <c r="J738" s="12" t="s">
        <v>163</v>
      </c>
      <c r="K738" s="2">
        <v>0</v>
      </c>
      <c r="L738" s="2"/>
      <c r="M738" s="33">
        <v>0.3</v>
      </c>
      <c r="N738" s="33"/>
      <c r="O738" s="8"/>
      <c r="P738" s="1"/>
      <c r="Q738" s="1"/>
      <c r="R738" s="1"/>
      <c r="S738" s="3"/>
      <c r="T738" s="3"/>
      <c r="U738" s="3"/>
      <c r="V738" s="3"/>
      <c r="W738" s="3"/>
      <c r="X738" s="3"/>
      <c r="Y738" s="3"/>
      <c r="Z738" s="27" t="s">
        <v>247</v>
      </c>
      <c r="AA738" t="s">
        <v>213</v>
      </c>
    </row>
    <row r="739" spans="1:27" x14ac:dyDescent="0.25">
      <c r="A739" s="12">
        <v>124</v>
      </c>
      <c r="B739">
        <v>17</v>
      </c>
      <c r="C739">
        <f t="shared" si="102"/>
        <v>12417</v>
      </c>
      <c r="D739" s="3" t="s">
        <v>86</v>
      </c>
      <c r="E739" s="11">
        <f t="shared" ref="E739:E756" si="103">57+4/60+46.14/3600</f>
        <v>57.079483333333336</v>
      </c>
      <c r="F739" s="11">
        <f t="shared" ref="F739:F756" si="104">2+50/60+49.91/3600</f>
        <v>2.8471972222222224</v>
      </c>
      <c r="G739" s="12" t="s">
        <v>144</v>
      </c>
      <c r="H739" s="12" t="s">
        <v>47</v>
      </c>
      <c r="I739">
        <v>2003</v>
      </c>
      <c r="J739" s="12" t="s">
        <v>163</v>
      </c>
      <c r="K739" s="2">
        <v>0</v>
      </c>
      <c r="L739" s="2"/>
      <c r="M739" s="33">
        <v>3.4</v>
      </c>
      <c r="N739" s="33"/>
      <c r="O739" s="8"/>
      <c r="P739" s="1"/>
      <c r="Q739" s="1"/>
      <c r="R739" s="1"/>
      <c r="S739" s="3"/>
      <c r="T739" s="3"/>
      <c r="U739" s="3"/>
      <c r="V739" s="3"/>
      <c r="W739" s="3"/>
      <c r="X739" s="3"/>
      <c r="Y739" s="3"/>
      <c r="Z739" s="27" t="s">
        <v>247</v>
      </c>
      <c r="AA739" t="s">
        <v>213</v>
      </c>
    </row>
    <row r="740" spans="1:27" x14ac:dyDescent="0.25">
      <c r="A740" s="12">
        <v>124</v>
      </c>
      <c r="B740">
        <v>17</v>
      </c>
      <c r="C740">
        <f t="shared" si="102"/>
        <v>12417</v>
      </c>
      <c r="D740" s="3" t="s">
        <v>86</v>
      </c>
      <c r="E740" s="11">
        <f t="shared" si="103"/>
        <v>57.079483333333336</v>
      </c>
      <c r="F740" s="11">
        <f t="shared" si="104"/>
        <v>2.8471972222222224</v>
      </c>
      <c r="G740" s="12" t="s">
        <v>144</v>
      </c>
      <c r="H740" s="12" t="s">
        <v>47</v>
      </c>
      <c r="I740">
        <v>2004</v>
      </c>
      <c r="J740" s="12" t="s">
        <v>163</v>
      </c>
      <c r="K740" s="2">
        <v>0</v>
      </c>
      <c r="L740" s="2"/>
      <c r="M740" s="33">
        <v>5.8333000000000004</v>
      </c>
      <c r="N740" s="33"/>
      <c r="O740" s="8"/>
      <c r="P740" s="1"/>
      <c r="Q740" s="1"/>
      <c r="R740" s="1"/>
      <c r="S740" s="3"/>
      <c r="T740" s="3"/>
      <c r="U740" s="3"/>
      <c r="V740" s="3"/>
      <c r="W740" s="3"/>
      <c r="X740" s="3"/>
      <c r="Y740" s="3"/>
      <c r="Z740" s="27" t="s">
        <v>247</v>
      </c>
      <c r="AA740" t="s">
        <v>213</v>
      </c>
    </row>
    <row r="741" spans="1:27" x14ac:dyDescent="0.25">
      <c r="A741" s="12">
        <v>124</v>
      </c>
      <c r="B741">
        <v>17</v>
      </c>
      <c r="C741">
        <f t="shared" si="102"/>
        <v>12417</v>
      </c>
      <c r="D741" s="3" t="s">
        <v>86</v>
      </c>
      <c r="E741" s="11">
        <f t="shared" si="103"/>
        <v>57.079483333333336</v>
      </c>
      <c r="F741" s="11">
        <f t="shared" si="104"/>
        <v>2.8471972222222224</v>
      </c>
      <c r="G741" s="12" t="s">
        <v>144</v>
      </c>
      <c r="H741" s="12" t="s">
        <v>47</v>
      </c>
      <c r="I741">
        <v>2005</v>
      </c>
      <c r="J741" s="12" t="s">
        <v>163</v>
      </c>
      <c r="K741" s="2">
        <v>0</v>
      </c>
      <c r="L741" s="2"/>
      <c r="M741" s="33">
        <v>4.4649999999999999</v>
      </c>
      <c r="N741" s="33">
        <v>0.71799999999999997</v>
      </c>
      <c r="O741" s="8"/>
      <c r="P741" s="1"/>
      <c r="Q741" s="1"/>
      <c r="R741" s="1"/>
      <c r="S741" s="3"/>
      <c r="T741" s="3"/>
      <c r="U741" s="3"/>
      <c r="V741" s="3"/>
      <c r="W741" s="3"/>
      <c r="X741" s="3"/>
      <c r="Y741" s="3"/>
      <c r="Z741" s="27" t="s">
        <v>247</v>
      </c>
      <c r="AA741" t="s">
        <v>213</v>
      </c>
    </row>
    <row r="742" spans="1:27" x14ac:dyDescent="0.25">
      <c r="A742" s="12">
        <v>124</v>
      </c>
      <c r="B742">
        <v>17</v>
      </c>
      <c r="C742">
        <f t="shared" si="102"/>
        <v>12417</v>
      </c>
      <c r="D742" s="3" t="s">
        <v>86</v>
      </c>
      <c r="E742" s="11">
        <f t="shared" si="103"/>
        <v>57.079483333333336</v>
      </c>
      <c r="F742" s="11">
        <f t="shared" si="104"/>
        <v>2.8471972222222224</v>
      </c>
      <c r="G742" s="12" t="s">
        <v>144</v>
      </c>
      <c r="H742" s="12" t="s">
        <v>47</v>
      </c>
      <c r="I742">
        <v>2006</v>
      </c>
      <c r="J742" s="12" t="s">
        <v>163</v>
      </c>
      <c r="K742" s="2">
        <v>0</v>
      </c>
      <c r="L742" s="2"/>
      <c r="M742" s="33">
        <v>2.2666666700000002</v>
      </c>
      <c r="N742" s="33">
        <v>0.76333333000000003</v>
      </c>
      <c r="O742" s="8"/>
      <c r="P742" s="1"/>
      <c r="Q742" s="1"/>
      <c r="R742" s="1"/>
      <c r="S742" s="3"/>
      <c r="T742" s="3"/>
      <c r="U742" s="3"/>
      <c r="V742" s="3"/>
      <c r="W742" s="3"/>
      <c r="X742" s="3"/>
      <c r="Y742" s="3"/>
      <c r="Z742" s="27" t="s">
        <v>247</v>
      </c>
      <c r="AA742" t="s">
        <v>213</v>
      </c>
    </row>
    <row r="743" spans="1:27" x14ac:dyDescent="0.25">
      <c r="A743" s="12">
        <v>124</v>
      </c>
      <c r="B743">
        <v>17</v>
      </c>
      <c r="C743">
        <f t="shared" si="102"/>
        <v>12417</v>
      </c>
      <c r="D743" s="3" t="s">
        <v>86</v>
      </c>
      <c r="E743" s="11">
        <f t="shared" si="103"/>
        <v>57.079483333333336</v>
      </c>
      <c r="F743" s="11">
        <f t="shared" si="104"/>
        <v>2.8471972222222224</v>
      </c>
      <c r="G743" s="12" t="s">
        <v>144</v>
      </c>
      <c r="H743" s="12" t="s">
        <v>47</v>
      </c>
      <c r="I743">
        <v>2007</v>
      </c>
      <c r="J743" s="12" t="s">
        <v>163</v>
      </c>
      <c r="K743" s="2">
        <v>0</v>
      </c>
      <c r="L743" s="2"/>
      <c r="M743" s="33">
        <v>6.7333333299999998</v>
      </c>
      <c r="N743" s="33">
        <v>1.8666666700000001</v>
      </c>
      <c r="O743" s="8"/>
      <c r="P743" s="1"/>
      <c r="Q743" s="1"/>
      <c r="R743" s="1"/>
      <c r="S743" s="3"/>
      <c r="T743" s="3"/>
      <c r="U743" s="3"/>
      <c r="V743" s="3"/>
      <c r="W743" s="3"/>
      <c r="X743" s="3"/>
      <c r="Y743" s="3"/>
      <c r="Z743" s="27" t="s">
        <v>247</v>
      </c>
      <c r="AA743" t="s">
        <v>213</v>
      </c>
    </row>
    <row r="744" spans="1:27" x14ac:dyDescent="0.25">
      <c r="A744" s="12">
        <v>124</v>
      </c>
      <c r="B744">
        <v>17</v>
      </c>
      <c r="C744">
        <f t="shared" si="102"/>
        <v>12417</v>
      </c>
      <c r="D744" s="3" t="s">
        <v>86</v>
      </c>
      <c r="E744" s="11">
        <f t="shared" si="103"/>
        <v>57.079483333333336</v>
      </c>
      <c r="F744" s="11">
        <f t="shared" si="104"/>
        <v>2.8471972222222224</v>
      </c>
      <c r="G744" s="12" t="s">
        <v>144</v>
      </c>
      <c r="H744" s="12" t="s">
        <v>47</v>
      </c>
      <c r="I744">
        <v>2008</v>
      </c>
      <c r="J744" s="12" t="s">
        <v>163</v>
      </c>
      <c r="K744" s="2">
        <v>0</v>
      </c>
      <c r="L744" s="2"/>
      <c r="M744" s="33">
        <v>10.675000000000001</v>
      </c>
      <c r="N744" s="33">
        <v>2.4750000000000001</v>
      </c>
      <c r="O744" s="8"/>
      <c r="P744" s="1"/>
      <c r="Q744" s="1"/>
      <c r="R744" s="1"/>
      <c r="S744" s="3"/>
      <c r="T744" s="3"/>
      <c r="U744" s="3"/>
      <c r="V744" s="3"/>
      <c r="W744" s="3"/>
      <c r="X744" s="3"/>
      <c r="Y744" s="3"/>
      <c r="Z744" s="27" t="s">
        <v>247</v>
      </c>
      <c r="AA744" t="s">
        <v>213</v>
      </c>
    </row>
    <row r="745" spans="1:27" x14ac:dyDescent="0.25">
      <c r="A745" s="12">
        <v>124</v>
      </c>
      <c r="B745">
        <v>17</v>
      </c>
      <c r="C745">
        <f t="shared" si="102"/>
        <v>12417</v>
      </c>
      <c r="D745" s="3" t="s">
        <v>86</v>
      </c>
      <c r="E745" s="11">
        <f t="shared" si="103"/>
        <v>57.079483333333336</v>
      </c>
      <c r="F745" s="11">
        <f t="shared" si="104"/>
        <v>2.8471972222222224</v>
      </c>
      <c r="G745" s="12" t="s">
        <v>144</v>
      </c>
      <c r="H745" s="12" t="s">
        <v>47</v>
      </c>
      <c r="I745">
        <v>2009</v>
      </c>
      <c r="J745" s="12" t="s">
        <v>163</v>
      </c>
      <c r="K745" s="2">
        <v>0</v>
      </c>
      <c r="L745" s="2"/>
      <c r="M745" s="33">
        <v>13.074999999999999</v>
      </c>
      <c r="N745" s="33">
        <v>2.9</v>
      </c>
      <c r="O745" s="8"/>
      <c r="P745" s="1"/>
      <c r="Q745" s="1"/>
      <c r="R745" s="1"/>
      <c r="S745" s="3"/>
      <c r="T745" s="3"/>
      <c r="U745" s="3"/>
      <c r="V745" s="3"/>
      <c r="W745" s="3"/>
      <c r="X745" s="3"/>
      <c r="Y745" s="3"/>
      <c r="Z745" s="27" t="s">
        <v>247</v>
      </c>
      <c r="AA745" t="s">
        <v>213</v>
      </c>
    </row>
    <row r="746" spans="1:27" x14ac:dyDescent="0.25">
      <c r="A746" s="12">
        <v>124</v>
      </c>
      <c r="B746">
        <v>17</v>
      </c>
      <c r="C746">
        <f t="shared" si="102"/>
        <v>12417</v>
      </c>
      <c r="D746" s="3" t="s">
        <v>86</v>
      </c>
      <c r="E746" s="11">
        <f t="shared" si="103"/>
        <v>57.079483333333336</v>
      </c>
      <c r="F746" s="11">
        <f t="shared" si="104"/>
        <v>2.8471972222222224</v>
      </c>
      <c r="G746" s="12" t="s">
        <v>144</v>
      </c>
      <c r="H746" s="12" t="s">
        <v>47</v>
      </c>
      <c r="I746">
        <v>2010</v>
      </c>
      <c r="J746" s="12" t="s">
        <v>163</v>
      </c>
      <c r="K746" s="2">
        <v>0</v>
      </c>
      <c r="L746" s="2"/>
      <c r="M746" s="33">
        <v>11.675000000000001</v>
      </c>
      <c r="N746" s="33">
        <v>3.15</v>
      </c>
      <c r="O746" s="8"/>
      <c r="P746" s="1"/>
      <c r="Q746" s="1"/>
      <c r="R746" s="1"/>
      <c r="S746" s="3"/>
      <c r="T746" s="3"/>
      <c r="U746" s="3"/>
      <c r="V746" s="3"/>
      <c r="W746" s="3"/>
      <c r="X746" s="3"/>
      <c r="Y746" s="3"/>
      <c r="Z746" s="27" t="s">
        <v>247</v>
      </c>
      <c r="AA746" t="s">
        <v>213</v>
      </c>
    </row>
    <row r="747" spans="1:27" x14ac:dyDescent="0.25">
      <c r="A747" s="12">
        <v>124</v>
      </c>
      <c r="B747">
        <v>17</v>
      </c>
      <c r="C747">
        <f t="shared" si="102"/>
        <v>12417</v>
      </c>
      <c r="D747" s="3" t="s">
        <v>86</v>
      </c>
      <c r="E747" s="11">
        <f t="shared" si="103"/>
        <v>57.079483333333336</v>
      </c>
      <c r="F747" s="11">
        <f t="shared" si="104"/>
        <v>2.8471972222222224</v>
      </c>
      <c r="G747" s="12" t="s">
        <v>144</v>
      </c>
      <c r="H747" s="12" t="s">
        <v>47</v>
      </c>
      <c r="I747">
        <v>2011</v>
      </c>
      <c r="J747" s="12" t="s">
        <v>163</v>
      </c>
      <c r="K747" s="2">
        <v>0</v>
      </c>
      <c r="L747" s="2"/>
      <c r="M747" s="33">
        <v>7.0333333299999996</v>
      </c>
      <c r="N747" s="33">
        <v>2</v>
      </c>
      <c r="O747" s="8"/>
      <c r="P747" s="1"/>
      <c r="Q747" s="1"/>
      <c r="R747" s="1"/>
      <c r="S747" s="3"/>
      <c r="T747" s="3"/>
      <c r="U747" s="3"/>
      <c r="V747" s="3"/>
      <c r="W747" s="3"/>
      <c r="X747" s="3"/>
      <c r="Y747" s="3"/>
      <c r="Z747" s="27" t="s">
        <v>247</v>
      </c>
      <c r="AA747" t="s">
        <v>213</v>
      </c>
    </row>
    <row r="748" spans="1:27" x14ac:dyDescent="0.25">
      <c r="A748" s="12">
        <v>124</v>
      </c>
      <c r="B748">
        <v>17</v>
      </c>
      <c r="C748">
        <f t="shared" si="102"/>
        <v>12417</v>
      </c>
      <c r="D748" s="3" t="s">
        <v>86</v>
      </c>
      <c r="E748" s="11">
        <f t="shared" si="103"/>
        <v>57.079483333333336</v>
      </c>
      <c r="F748" s="11">
        <f t="shared" si="104"/>
        <v>2.8471972222222224</v>
      </c>
      <c r="G748" s="12" t="s">
        <v>144</v>
      </c>
      <c r="H748" s="12" t="s">
        <v>47</v>
      </c>
      <c r="I748">
        <v>2012</v>
      </c>
      <c r="J748" s="12" t="s">
        <v>163</v>
      </c>
      <c r="K748" s="2">
        <v>0</v>
      </c>
      <c r="L748" s="2"/>
      <c r="M748" s="33">
        <v>7.3666666666666698</v>
      </c>
      <c r="N748" s="33">
        <v>2.2999999999999998</v>
      </c>
      <c r="O748" s="8"/>
      <c r="P748" s="1"/>
      <c r="Q748" s="1"/>
      <c r="R748" s="1"/>
      <c r="S748" s="3"/>
      <c r="T748" s="3"/>
      <c r="U748" s="3"/>
      <c r="V748" s="3"/>
      <c r="W748" s="3"/>
      <c r="X748" s="3"/>
      <c r="Y748" s="3"/>
      <c r="Z748" s="27" t="s">
        <v>247</v>
      </c>
      <c r="AA748" t="s">
        <v>213</v>
      </c>
    </row>
    <row r="749" spans="1:27" x14ac:dyDescent="0.25">
      <c r="A749" s="12">
        <v>124</v>
      </c>
      <c r="B749">
        <v>17</v>
      </c>
      <c r="C749">
        <f t="shared" si="102"/>
        <v>12417</v>
      </c>
      <c r="D749" s="3" t="s">
        <v>86</v>
      </c>
      <c r="E749" s="11">
        <f t="shared" si="103"/>
        <v>57.079483333333336</v>
      </c>
      <c r="F749" s="11">
        <f t="shared" si="104"/>
        <v>2.8471972222222224</v>
      </c>
      <c r="G749" s="12" t="s">
        <v>144</v>
      </c>
      <c r="H749" s="12" t="s">
        <v>47</v>
      </c>
      <c r="I749">
        <v>2013</v>
      </c>
      <c r="J749" s="12" t="s">
        <v>163</v>
      </c>
      <c r="K749" s="2">
        <v>0</v>
      </c>
      <c r="L749" s="2"/>
      <c r="M749" s="33">
        <v>7.1923951549714298</v>
      </c>
      <c r="N749" s="33">
        <v>2.3889988438</v>
      </c>
      <c r="O749" s="8"/>
      <c r="P749" s="1"/>
      <c r="Q749" s="1"/>
      <c r="R749" s="1"/>
      <c r="S749" s="3"/>
      <c r="T749" s="3"/>
      <c r="U749" s="3"/>
      <c r="V749" s="3"/>
      <c r="W749" s="3"/>
      <c r="X749" s="3"/>
      <c r="Y749" s="3"/>
      <c r="Z749" s="27" t="s">
        <v>247</v>
      </c>
      <c r="AA749" t="s">
        <v>213</v>
      </c>
    </row>
    <row r="750" spans="1:27" x14ac:dyDescent="0.25">
      <c r="A750" s="12">
        <v>124</v>
      </c>
      <c r="B750">
        <v>17</v>
      </c>
      <c r="C750">
        <f t="shared" si="102"/>
        <v>12417</v>
      </c>
      <c r="D750" s="3" t="s">
        <v>86</v>
      </c>
      <c r="E750" s="11">
        <f t="shared" si="103"/>
        <v>57.079483333333336</v>
      </c>
      <c r="F750" s="11">
        <f t="shared" si="104"/>
        <v>2.8471972222222224</v>
      </c>
      <c r="G750" s="12" t="s">
        <v>144</v>
      </c>
      <c r="H750" s="12" t="s">
        <v>47</v>
      </c>
      <c r="I750">
        <v>2014</v>
      </c>
      <c r="J750" s="12" t="s">
        <v>163</v>
      </c>
      <c r="K750" s="2">
        <v>0</v>
      </c>
      <c r="L750" s="2"/>
      <c r="M750" s="33">
        <v>5.85</v>
      </c>
      <c r="N750" s="33">
        <v>1.81</v>
      </c>
      <c r="O750" s="8"/>
      <c r="P750" s="1"/>
      <c r="Q750" s="1"/>
      <c r="R750" s="1"/>
      <c r="S750" s="3"/>
      <c r="T750" s="3"/>
      <c r="U750" s="3"/>
      <c r="V750" s="3"/>
      <c r="W750" s="3"/>
      <c r="X750" s="3"/>
      <c r="Y750" s="3"/>
      <c r="Z750" s="27" t="s">
        <v>247</v>
      </c>
      <c r="AA750" t="s">
        <v>213</v>
      </c>
    </row>
    <row r="751" spans="1:27" x14ac:dyDescent="0.25">
      <c r="A751" s="12">
        <v>124</v>
      </c>
      <c r="B751">
        <v>17</v>
      </c>
      <c r="C751">
        <f t="shared" si="102"/>
        <v>12417</v>
      </c>
      <c r="D751" s="3" t="s">
        <v>86</v>
      </c>
      <c r="E751" s="11">
        <f t="shared" si="103"/>
        <v>57.079483333333336</v>
      </c>
      <c r="F751" s="11">
        <f t="shared" si="104"/>
        <v>2.8471972222222224</v>
      </c>
      <c r="G751" s="12" t="s">
        <v>144</v>
      </c>
      <c r="H751" s="12" t="s">
        <v>47</v>
      </c>
      <c r="I751">
        <v>2015</v>
      </c>
      <c r="J751" s="12" t="s">
        <v>163</v>
      </c>
      <c r="K751" s="2">
        <v>0</v>
      </c>
      <c r="L751" s="2"/>
      <c r="M751" s="33">
        <v>3.55</v>
      </c>
      <c r="N751" s="33">
        <v>1.365</v>
      </c>
      <c r="O751" s="8"/>
      <c r="P751" s="1"/>
      <c r="Q751" s="1"/>
      <c r="R751" s="1"/>
      <c r="S751" s="3"/>
      <c r="T751" s="3"/>
      <c r="U751" s="3"/>
      <c r="V751" s="3"/>
      <c r="W751" s="3"/>
      <c r="X751" s="3"/>
      <c r="Y751" s="3"/>
      <c r="Z751" s="27" t="s">
        <v>247</v>
      </c>
      <c r="AA751" t="s">
        <v>213</v>
      </c>
    </row>
    <row r="752" spans="1:27" x14ac:dyDescent="0.25">
      <c r="A752" s="12">
        <v>124</v>
      </c>
      <c r="B752">
        <v>17</v>
      </c>
      <c r="C752">
        <f t="shared" si="102"/>
        <v>12417</v>
      </c>
      <c r="D752" s="3" t="s">
        <v>86</v>
      </c>
      <c r="E752" s="11">
        <f t="shared" si="103"/>
        <v>57.079483333333336</v>
      </c>
      <c r="F752" s="11">
        <f t="shared" si="104"/>
        <v>2.8471972222222224</v>
      </c>
      <c r="G752" s="12" t="s">
        <v>144</v>
      </c>
      <c r="H752" s="12" t="s">
        <v>47</v>
      </c>
      <c r="I752">
        <v>2016</v>
      </c>
      <c r="J752" s="12" t="s">
        <v>163</v>
      </c>
      <c r="K752" s="2">
        <v>0</v>
      </c>
      <c r="L752" s="2"/>
      <c r="M752" s="33">
        <v>2.4624999999999999</v>
      </c>
      <c r="N752" s="33">
        <v>1.0449999999999999</v>
      </c>
      <c r="O752" s="8"/>
      <c r="P752" s="1"/>
      <c r="Q752" s="1"/>
      <c r="R752" s="1"/>
      <c r="S752" s="3"/>
      <c r="T752" s="3"/>
      <c r="U752" s="3"/>
      <c r="V752" s="3"/>
      <c r="W752" s="3"/>
      <c r="X752" s="3"/>
      <c r="Y752" s="3"/>
      <c r="Z752" s="27" t="s">
        <v>247</v>
      </c>
      <c r="AA752" t="s">
        <v>213</v>
      </c>
    </row>
    <row r="753" spans="1:27" x14ac:dyDescent="0.25">
      <c r="A753" s="12">
        <v>124</v>
      </c>
      <c r="B753">
        <v>17</v>
      </c>
      <c r="C753">
        <f t="shared" si="102"/>
        <v>12417</v>
      </c>
      <c r="D753" s="3" t="s">
        <v>86</v>
      </c>
      <c r="E753" s="11">
        <f t="shared" si="103"/>
        <v>57.079483333333336</v>
      </c>
      <c r="F753" s="11">
        <f t="shared" si="104"/>
        <v>2.8471972222222224</v>
      </c>
      <c r="G753" s="12" t="s">
        <v>144</v>
      </c>
      <c r="H753" s="12" t="s">
        <v>47</v>
      </c>
      <c r="I753">
        <v>2017</v>
      </c>
      <c r="J753" s="12" t="s">
        <v>163</v>
      </c>
      <c r="K753" s="2">
        <v>0</v>
      </c>
      <c r="L753" s="2"/>
      <c r="M753" s="33">
        <v>2.5249999999999999</v>
      </c>
      <c r="N753" s="33">
        <v>1.1950000000000001</v>
      </c>
      <c r="O753" s="8"/>
      <c r="P753" s="1"/>
      <c r="Q753" s="1"/>
      <c r="R753" s="1"/>
      <c r="S753" s="3"/>
      <c r="T753" s="3"/>
      <c r="U753" s="3"/>
      <c r="V753" s="3"/>
      <c r="W753" s="3"/>
      <c r="X753" s="3"/>
      <c r="Y753" s="3"/>
      <c r="Z753" s="27" t="s">
        <v>247</v>
      </c>
      <c r="AA753" t="s">
        <v>213</v>
      </c>
    </row>
    <row r="754" spans="1:27" x14ac:dyDescent="0.25">
      <c r="A754" s="12">
        <v>124</v>
      </c>
      <c r="B754">
        <v>17</v>
      </c>
      <c r="C754">
        <f t="shared" si="102"/>
        <v>12417</v>
      </c>
      <c r="D754" s="3" t="s">
        <v>86</v>
      </c>
      <c r="E754" s="11">
        <f t="shared" si="103"/>
        <v>57.079483333333336</v>
      </c>
      <c r="F754" s="11">
        <f t="shared" si="104"/>
        <v>2.8471972222222224</v>
      </c>
      <c r="G754" s="12" t="s">
        <v>144</v>
      </c>
      <c r="H754" s="12" t="s">
        <v>47</v>
      </c>
      <c r="I754">
        <v>2018</v>
      </c>
      <c r="J754" s="12" t="s">
        <v>163</v>
      </c>
      <c r="K754" s="2">
        <v>0</v>
      </c>
      <c r="L754" s="2"/>
      <c r="M754" s="33">
        <v>4.25</v>
      </c>
      <c r="N754" s="33">
        <v>3.1575000000000002</v>
      </c>
      <c r="O754" s="8"/>
      <c r="P754" s="1"/>
      <c r="Q754" s="1"/>
      <c r="R754" s="1"/>
      <c r="S754" s="3"/>
      <c r="T754" s="3"/>
      <c r="U754" s="3"/>
      <c r="V754" s="3"/>
      <c r="W754" s="3"/>
      <c r="X754" s="3"/>
      <c r="Y754" s="3"/>
      <c r="Z754" s="27" t="s">
        <v>247</v>
      </c>
      <c r="AA754" t="s">
        <v>213</v>
      </c>
    </row>
    <row r="755" spans="1:27" x14ac:dyDescent="0.25">
      <c r="A755" s="12">
        <v>124</v>
      </c>
      <c r="B755">
        <v>17</v>
      </c>
      <c r="C755">
        <f t="shared" si="102"/>
        <v>12417</v>
      </c>
      <c r="D755" s="3" t="s">
        <v>86</v>
      </c>
      <c r="E755" s="11">
        <f t="shared" si="103"/>
        <v>57.079483333333336</v>
      </c>
      <c r="F755" s="11">
        <f t="shared" si="104"/>
        <v>2.8471972222222224</v>
      </c>
      <c r="G755" s="12" t="s">
        <v>144</v>
      </c>
      <c r="H755" s="12" t="s">
        <v>47</v>
      </c>
      <c r="I755">
        <v>2019</v>
      </c>
      <c r="J755" s="12" t="s">
        <v>163</v>
      </c>
      <c r="K755" s="2">
        <v>0</v>
      </c>
      <c r="L755" s="2"/>
      <c r="M755" s="33">
        <v>3.65</v>
      </c>
      <c r="N755" s="33">
        <v>1.3149999999999999</v>
      </c>
      <c r="O755" s="8"/>
      <c r="P755" s="1"/>
      <c r="Q755" s="1"/>
      <c r="R755" s="1"/>
      <c r="S755" s="3"/>
      <c r="T755" s="3"/>
      <c r="U755" s="3"/>
      <c r="V755" s="3"/>
      <c r="W755" s="3"/>
      <c r="X755" s="3"/>
      <c r="Y755" s="3"/>
      <c r="Z755" s="27" t="s">
        <v>247</v>
      </c>
      <c r="AA755" t="s">
        <v>213</v>
      </c>
    </row>
    <row r="756" spans="1:27" x14ac:dyDescent="0.25">
      <c r="A756" s="12">
        <v>124</v>
      </c>
      <c r="B756">
        <v>17</v>
      </c>
      <c r="C756">
        <f t="shared" si="102"/>
        <v>12417</v>
      </c>
      <c r="D756" s="3" t="s">
        <v>86</v>
      </c>
      <c r="E756" s="11">
        <f t="shared" si="103"/>
        <v>57.079483333333336</v>
      </c>
      <c r="F756" s="11">
        <f t="shared" si="104"/>
        <v>2.8471972222222224</v>
      </c>
      <c r="G756" s="12" t="s">
        <v>144</v>
      </c>
      <c r="H756" s="12" t="s">
        <v>47</v>
      </c>
      <c r="I756">
        <v>2020</v>
      </c>
      <c r="J756" s="12" t="s">
        <v>163</v>
      </c>
      <c r="K756" s="2">
        <v>0</v>
      </c>
      <c r="L756" s="2"/>
      <c r="M756" s="33">
        <v>3.7</v>
      </c>
      <c r="N756" s="33">
        <v>1.4</v>
      </c>
      <c r="O756" s="8"/>
      <c r="P756" s="1"/>
      <c r="Q756" s="1"/>
      <c r="R756" s="1"/>
      <c r="S756" s="3"/>
      <c r="T756" s="3"/>
      <c r="U756" s="3"/>
      <c r="V756" s="3"/>
      <c r="W756" s="3"/>
      <c r="X756" s="3"/>
      <c r="Y756" s="3"/>
      <c r="Z756" s="27" t="s">
        <v>247</v>
      </c>
      <c r="AA756" t="s">
        <v>213</v>
      </c>
    </row>
    <row r="757" spans="1:27" x14ac:dyDescent="0.25">
      <c r="A757" s="12">
        <v>124</v>
      </c>
      <c r="B757">
        <v>18</v>
      </c>
      <c r="C757">
        <f t="shared" si="102"/>
        <v>12418</v>
      </c>
      <c r="D757" s="3" t="s">
        <v>86</v>
      </c>
      <c r="E757" s="11">
        <f>65+19/60+33/3600</f>
        <v>65.325833333333335</v>
      </c>
      <c r="F757" s="11">
        <f>7+19/60+3/3600</f>
        <v>7.3174999999999999</v>
      </c>
      <c r="G757" s="12" t="s">
        <v>144</v>
      </c>
      <c r="H757" s="12" t="s">
        <v>47</v>
      </c>
      <c r="I757">
        <v>2002</v>
      </c>
      <c r="J757" s="12" t="s">
        <v>163</v>
      </c>
      <c r="K757" s="2">
        <v>0</v>
      </c>
      <c r="L757" s="2"/>
      <c r="M757" s="33">
        <v>12.9</v>
      </c>
      <c r="N757" s="33"/>
      <c r="O757" s="8"/>
      <c r="P757" s="1"/>
      <c r="Q757" s="1"/>
      <c r="R757" s="1"/>
      <c r="S757" s="3"/>
      <c r="T757" s="3"/>
      <c r="U757" s="3"/>
      <c r="V757" s="3"/>
      <c r="W757" s="3"/>
      <c r="X757" s="3"/>
      <c r="Y757" s="3"/>
      <c r="Z757" s="27" t="s">
        <v>247</v>
      </c>
      <c r="AA757" t="s">
        <v>214</v>
      </c>
    </row>
    <row r="758" spans="1:27" x14ac:dyDescent="0.25">
      <c r="A758" s="12">
        <v>124</v>
      </c>
      <c r="B758">
        <v>18</v>
      </c>
      <c r="C758">
        <f t="shared" si="102"/>
        <v>12418</v>
      </c>
      <c r="D758" s="3" t="s">
        <v>86</v>
      </c>
      <c r="E758" s="11">
        <f t="shared" ref="E758:E776" si="105">65+19/60+33/3600</f>
        <v>65.325833333333335</v>
      </c>
      <c r="F758" s="11">
        <f t="shared" ref="F758:F776" si="106">7+19/60+3/3600</f>
        <v>7.3174999999999999</v>
      </c>
      <c r="G758" s="12" t="s">
        <v>144</v>
      </c>
      <c r="H758" s="12" t="s">
        <v>47</v>
      </c>
      <c r="I758">
        <v>2003</v>
      </c>
      <c r="J758" s="12" t="s">
        <v>163</v>
      </c>
      <c r="K758" s="2">
        <v>0</v>
      </c>
      <c r="L758" s="2"/>
      <c r="M758" s="33">
        <v>3.5</v>
      </c>
      <c r="N758" s="33"/>
      <c r="O758" s="8"/>
      <c r="P758" s="1"/>
      <c r="Q758" s="1"/>
      <c r="R758" s="1"/>
      <c r="S758" s="3"/>
      <c r="T758" s="3"/>
      <c r="U758" s="3"/>
      <c r="V758" s="3"/>
      <c r="W758" s="3"/>
      <c r="X758" s="3"/>
      <c r="Y758" s="3"/>
      <c r="Z758" s="27" t="s">
        <v>247</v>
      </c>
      <c r="AA758" t="s">
        <v>214</v>
      </c>
    </row>
    <row r="759" spans="1:27" x14ac:dyDescent="0.25">
      <c r="A759" s="12">
        <v>124</v>
      </c>
      <c r="B759">
        <v>18</v>
      </c>
      <c r="C759">
        <f t="shared" si="102"/>
        <v>12418</v>
      </c>
      <c r="D759" s="3" t="s">
        <v>86</v>
      </c>
      <c r="E759" s="11">
        <f t="shared" si="105"/>
        <v>65.325833333333335</v>
      </c>
      <c r="F759" s="11">
        <f t="shared" si="106"/>
        <v>7.3174999999999999</v>
      </c>
      <c r="G759" s="12" t="s">
        <v>144</v>
      </c>
      <c r="H759" s="12" t="s">
        <v>47</v>
      </c>
      <c r="I759">
        <v>2004</v>
      </c>
      <c r="J759" s="12" t="s">
        <v>163</v>
      </c>
      <c r="K759" s="2">
        <v>0</v>
      </c>
      <c r="L759" s="2"/>
      <c r="M759" s="33">
        <v>12.4</v>
      </c>
      <c r="N759" s="33"/>
      <c r="O759" s="8"/>
      <c r="P759" s="1"/>
      <c r="Q759" s="1"/>
      <c r="R759" s="1"/>
      <c r="S759" s="3"/>
      <c r="T759" s="3"/>
      <c r="U759" s="3"/>
      <c r="V759" s="3"/>
      <c r="W759" s="3"/>
      <c r="X759" s="3"/>
      <c r="Y759" s="3"/>
      <c r="Z759" s="27" t="s">
        <v>247</v>
      </c>
      <c r="AA759" t="s">
        <v>214</v>
      </c>
    </row>
    <row r="760" spans="1:27" x14ac:dyDescent="0.25">
      <c r="A760" s="12">
        <v>124</v>
      </c>
      <c r="B760">
        <v>18</v>
      </c>
      <c r="C760">
        <f t="shared" si="102"/>
        <v>12418</v>
      </c>
      <c r="D760" s="3" t="s">
        <v>86</v>
      </c>
      <c r="E760" s="11">
        <f t="shared" si="105"/>
        <v>65.325833333333335</v>
      </c>
      <c r="F760" s="11">
        <f t="shared" si="106"/>
        <v>7.3174999999999999</v>
      </c>
      <c r="G760" s="12" t="s">
        <v>144</v>
      </c>
      <c r="H760" s="12" t="s">
        <v>47</v>
      </c>
      <c r="I760">
        <v>2005</v>
      </c>
      <c r="J760" s="12" t="s">
        <v>163</v>
      </c>
      <c r="K760" s="2">
        <v>0</v>
      </c>
      <c r="L760" s="2"/>
      <c r="M760" s="33">
        <v>3.6</v>
      </c>
      <c r="N760" s="33">
        <v>4.0999999999999996</v>
      </c>
      <c r="O760" s="8"/>
      <c r="P760" s="1"/>
      <c r="Q760" s="1"/>
      <c r="R760" s="1"/>
      <c r="S760" s="3"/>
      <c r="T760" s="3"/>
      <c r="U760" s="3"/>
      <c r="V760" s="3"/>
      <c r="W760" s="3"/>
      <c r="X760" s="3"/>
      <c r="Y760" s="3"/>
      <c r="Z760" s="27" t="s">
        <v>247</v>
      </c>
      <c r="AA760" t="s">
        <v>214</v>
      </c>
    </row>
    <row r="761" spans="1:27" x14ac:dyDescent="0.25">
      <c r="A761" s="12">
        <v>124</v>
      </c>
      <c r="B761">
        <v>18</v>
      </c>
      <c r="C761">
        <f t="shared" si="102"/>
        <v>12418</v>
      </c>
      <c r="D761" s="3" t="s">
        <v>86</v>
      </c>
      <c r="E761" s="11">
        <f t="shared" si="105"/>
        <v>65.325833333333335</v>
      </c>
      <c r="F761" s="11">
        <f t="shared" si="106"/>
        <v>7.3174999999999999</v>
      </c>
      <c r="G761" s="12" t="s">
        <v>144</v>
      </c>
      <c r="H761" s="12" t="s">
        <v>47</v>
      </c>
      <c r="I761">
        <v>2006</v>
      </c>
      <c r="J761" s="12" t="s">
        <v>163</v>
      </c>
      <c r="K761" s="2">
        <v>0</v>
      </c>
      <c r="L761" s="2"/>
      <c r="M761" s="33">
        <v>9.5</v>
      </c>
      <c r="N761" s="33">
        <v>10.135</v>
      </c>
      <c r="O761" s="8"/>
      <c r="P761" s="1"/>
      <c r="Q761" s="1"/>
      <c r="R761" s="1"/>
      <c r="S761" s="3"/>
      <c r="T761" s="3"/>
      <c r="U761" s="3"/>
      <c r="V761" s="3"/>
      <c r="W761" s="3"/>
      <c r="X761" s="3"/>
      <c r="Y761" s="3"/>
      <c r="Z761" s="27" t="s">
        <v>247</v>
      </c>
      <c r="AA761" t="s">
        <v>214</v>
      </c>
    </row>
    <row r="762" spans="1:27" x14ac:dyDescent="0.25">
      <c r="A762" s="12">
        <v>124</v>
      </c>
      <c r="B762">
        <v>18</v>
      </c>
      <c r="C762">
        <f t="shared" si="102"/>
        <v>12418</v>
      </c>
      <c r="D762" s="3" t="s">
        <v>86</v>
      </c>
      <c r="E762" s="11">
        <f t="shared" si="105"/>
        <v>65.325833333333335</v>
      </c>
      <c r="F762" s="11">
        <f t="shared" si="106"/>
        <v>7.3174999999999999</v>
      </c>
      <c r="G762" s="12" t="s">
        <v>144</v>
      </c>
      <c r="H762" s="12" t="s">
        <v>47</v>
      </c>
      <c r="I762">
        <v>2007</v>
      </c>
      <c r="J762" s="12" t="s">
        <v>163</v>
      </c>
      <c r="K762" s="2">
        <v>0</v>
      </c>
      <c r="L762" s="2"/>
      <c r="M762" s="33">
        <v>10.4</v>
      </c>
      <c r="N762" s="33">
        <v>10.7</v>
      </c>
      <c r="O762" s="8"/>
      <c r="P762" s="1"/>
      <c r="Q762" s="1"/>
      <c r="R762" s="1"/>
      <c r="S762" s="3"/>
      <c r="T762" s="3"/>
      <c r="U762" s="3"/>
      <c r="V762" s="3"/>
      <c r="W762" s="3"/>
      <c r="X762" s="3"/>
      <c r="Y762" s="3"/>
      <c r="Z762" s="27" t="s">
        <v>247</v>
      </c>
      <c r="AA762" t="s">
        <v>214</v>
      </c>
    </row>
    <row r="763" spans="1:27" x14ac:dyDescent="0.25">
      <c r="A763" s="12">
        <v>124</v>
      </c>
      <c r="B763">
        <v>18</v>
      </c>
      <c r="C763">
        <f t="shared" si="102"/>
        <v>12418</v>
      </c>
      <c r="D763" s="3" t="s">
        <v>86</v>
      </c>
      <c r="E763" s="11">
        <f t="shared" si="105"/>
        <v>65.325833333333335</v>
      </c>
      <c r="F763" s="11">
        <f t="shared" si="106"/>
        <v>7.3174999999999999</v>
      </c>
      <c r="G763" s="12" t="s">
        <v>144</v>
      </c>
      <c r="H763" s="12" t="s">
        <v>47</v>
      </c>
      <c r="I763">
        <v>2008</v>
      </c>
      <c r="J763" s="12" t="s">
        <v>163</v>
      </c>
      <c r="K763" s="2">
        <v>0</v>
      </c>
      <c r="L763" s="2"/>
      <c r="M763" s="33">
        <v>6.9391211459999997</v>
      </c>
      <c r="N763" s="33">
        <v>7.5639895859999999</v>
      </c>
      <c r="O763" s="8"/>
      <c r="P763" s="1"/>
      <c r="Q763" s="1"/>
      <c r="R763" s="1"/>
      <c r="S763" s="3"/>
      <c r="T763" s="3"/>
      <c r="U763" s="3"/>
      <c r="V763" s="3"/>
      <c r="W763" s="3"/>
      <c r="X763" s="3"/>
      <c r="Y763" s="3"/>
      <c r="Z763" s="27" t="s">
        <v>247</v>
      </c>
      <c r="AA763" t="s">
        <v>214</v>
      </c>
    </row>
    <row r="764" spans="1:27" x14ac:dyDescent="0.25">
      <c r="A764" s="12">
        <v>124</v>
      </c>
      <c r="B764">
        <v>18</v>
      </c>
      <c r="C764">
        <f t="shared" si="102"/>
        <v>12418</v>
      </c>
      <c r="D764" s="3" t="s">
        <v>86</v>
      </c>
      <c r="E764" s="11">
        <f t="shared" si="105"/>
        <v>65.325833333333335</v>
      </c>
      <c r="F764" s="11">
        <f t="shared" si="106"/>
        <v>7.3174999999999999</v>
      </c>
      <c r="G764" s="12" t="s">
        <v>144</v>
      </c>
      <c r="H764" s="12" t="s">
        <v>47</v>
      </c>
      <c r="I764">
        <v>2009</v>
      </c>
      <c r="J764" s="12" t="s">
        <v>163</v>
      </c>
      <c r="K764" s="2">
        <v>0</v>
      </c>
      <c r="L764" s="2"/>
      <c r="M764" s="33">
        <v>8.4031464979999999</v>
      </c>
      <c r="N764" s="33">
        <v>9.3218141059999997</v>
      </c>
      <c r="O764" s="8"/>
      <c r="P764" s="1"/>
      <c r="Q764" s="1"/>
      <c r="R764" s="1"/>
      <c r="S764" s="3"/>
      <c r="T764" s="3"/>
      <c r="U764" s="3"/>
      <c r="V764" s="3"/>
      <c r="W764" s="3"/>
      <c r="X764" s="3"/>
      <c r="Y764" s="3"/>
      <c r="Z764" s="27" t="s">
        <v>247</v>
      </c>
      <c r="AA764" t="s">
        <v>214</v>
      </c>
    </row>
    <row r="765" spans="1:27" x14ac:dyDescent="0.25">
      <c r="A765" s="12">
        <v>124</v>
      </c>
      <c r="B765">
        <v>18</v>
      </c>
      <c r="C765">
        <f t="shared" si="102"/>
        <v>12418</v>
      </c>
      <c r="D765" s="3" t="s">
        <v>86</v>
      </c>
      <c r="E765" s="11">
        <f t="shared" si="105"/>
        <v>65.325833333333335</v>
      </c>
      <c r="F765" s="11">
        <f t="shared" si="106"/>
        <v>7.3174999999999999</v>
      </c>
      <c r="G765" s="12" t="s">
        <v>144</v>
      </c>
      <c r="H765" s="12" t="s">
        <v>47</v>
      </c>
      <c r="I765">
        <v>2010</v>
      </c>
      <c r="J765" s="12" t="s">
        <v>163</v>
      </c>
      <c r="K765" s="2">
        <v>0</v>
      </c>
      <c r="L765" s="2"/>
      <c r="M765" s="33">
        <v>10.5486535</v>
      </c>
      <c r="N765" s="33">
        <v>11.0037462</v>
      </c>
      <c r="O765" s="8"/>
      <c r="P765" s="1"/>
      <c r="Q765" s="1"/>
      <c r="R765" s="1"/>
      <c r="S765" s="3"/>
      <c r="T765" s="3"/>
      <c r="U765" s="3"/>
      <c r="V765" s="3"/>
      <c r="W765" s="3"/>
      <c r="X765" s="3"/>
      <c r="Y765" s="3"/>
      <c r="Z765" s="27" t="s">
        <v>247</v>
      </c>
      <c r="AA765" t="s">
        <v>214</v>
      </c>
    </row>
    <row r="766" spans="1:27" x14ac:dyDescent="0.25">
      <c r="A766" s="12">
        <v>124</v>
      </c>
      <c r="B766">
        <v>18</v>
      </c>
      <c r="C766">
        <f t="shared" si="102"/>
        <v>12418</v>
      </c>
      <c r="D766" s="3" t="s">
        <v>86</v>
      </c>
      <c r="E766" s="11">
        <f t="shared" si="105"/>
        <v>65.325833333333335</v>
      </c>
      <c r="F766" s="11">
        <f t="shared" si="106"/>
        <v>7.3174999999999999</v>
      </c>
      <c r="G766" s="12" t="s">
        <v>144</v>
      </c>
      <c r="H766" s="12" t="s">
        <v>47</v>
      </c>
      <c r="I766">
        <v>2011</v>
      </c>
      <c r="J766" s="12" t="s">
        <v>163</v>
      </c>
      <c r="K766" s="2">
        <v>0</v>
      </c>
      <c r="L766" s="2"/>
      <c r="M766" s="33">
        <v>8.0298781570000006</v>
      </c>
      <c r="N766" s="33">
        <v>9.0250921769999994</v>
      </c>
      <c r="O766" s="8"/>
      <c r="P766" s="1"/>
      <c r="Q766" s="1"/>
      <c r="R766" s="1"/>
      <c r="S766" s="3"/>
      <c r="T766" s="3"/>
      <c r="U766" s="3"/>
      <c r="V766" s="3"/>
      <c r="W766" s="3"/>
      <c r="X766" s="3"/>
      <c r="Y766" s="3"/>
      <c r="Z766" s="27" t="s">
        <v>247</v>
      </c>
      <c r="AA766" t="s">
        <v>214</v>
      </c>
    </row>
    <row r="767" spans="1:27" x14ac:dyDescent="0.25">
      <c r="A767" s="12">
        <v>124</v>
      </c>
      <c r="B767">
        <v>18</v>
      </c>
      <c r="C767">
        <f t="shared" si="102"/>
        <v>12418</v>
      </c>
      <c r="D767" s="3" t="s">
        <v>86</v>
      </c>
      <c r="E767" s="11">
        <f t="shared" si="105"/>
        <v>65.325833333333335</v>
      </c>
      <c r="F767" s="11">
        <f t="shared" si="106"/>
        <v>7.3174999999999999</v>
      </c>
      <c r="G767" s="12" t="s">
        <v>144</v>
      </c>
      <c r="H767" s="12" t="s">
        <v>47</v>
      </c>
      <c r="I767">
        <v>2012</v>
      </c>
      <c r="J767" s="12" t="s">
        <v>163</v>
      </c>
      <c r="K767" s="2">
        <v>0</v>
      </c>
      <c r="L767" s="2"/>
      <c r="M767" s="33">
        <v>7.8478058333333296</v>
      </c>
      <c r="N767" s="33">
        <v>8.58</v>
      </c>
      <c r="O767" s="8"/>
      <c r="P767" s="1"/>
      <c r="Q767" s="1"/>
      <c r="R767" s="1"/>
      <c r="S767" s="3"/>
      <c r="T767" s="3"/>
      <c r="U767" s="3"/>
      <c r="V767" s="3"/>
      <c r="W767" s="3"/>
      <c r="X767" s="3"/>
      <c r="Y767" s="3"/>
      <c r="Z767" s="27" t="s">
        <v>247</v>
      </c>
      <c r="AA767" t="s">
        <v>214</v>
      </c>
    </row>
    <row r="768" spans="1:27" x14ac:dyDescent="0.25">
      <c r="A768" s="12">
        <v>124</v>
      </c>
      <c r="B768">
        <v>18</v>
      </c>
      <c r="C768">
        <f t="shared" si="102"/>
        <v>12418</v>
      </c>
      <c r="D768" s="3" t="s">
        <v>86</v>
      </c>
      <c r="E768" s="11">
        <f t="shared" si="105"/>
        <v>65.325833333333335</v>
      </c>
      <c r="F768" s="11">
        <f t="shared" si="106"/>
        <v>7.3174999999999999</v>
      </c>
      <c r="G768" s="12" t="s">
        <v>144</v>
      </c>
      <c r="H768" s="12" t="s">
        <v>47</v>
      </c>
      <c r="I768">
        <v>2013</v>
      </c>
      <c r="J768" s="12" t="s">
        <v>163</v>
      </c>
      <c r="K768" s="2">
        <v>0</v>
      </c>
      <c r="L768" s="2"/>
      <c r="M768" s="33">
        <v>7.3151921782575</v>
      </c>
      <c r="N768" s="33">
        <v>7.9427272727272697</v>
      </c>
      <c r="O768" s="8"/>
      <c r="P768" s="1"/>
      <c r="Q768" s="1"/>
      <c r="R768" s="1"/>
      <c r="S768" s="3"/>
      <c r="T768" s="3"/>
      <c r="U768" s="3"/>
      <c r="V768" s="3"/>
      <c r="W768" s="3"/>
      <c r="X768" s="3"/>
      <c r="Y768" s="3"/>
      <c r="Z768" s="27" t="s">
        <v>247</v>
      </c>
      <c r="AA768" t="s">
        <v>214</v>
      </c>
    </row>
    <row r="769" spans="1:27" x14ac:dyDescent="0.25">
      <c r="A769" s="12">
        <v>124</v>
      </c>
      <c r="B769">
        <v>18</v>
      </c>
      <c r="C769">
        <f t="shared" si="102"/>
        <v>12418</v>
      </c>
      <c r="D769" s="3" t="s">
        <v>86</v>
      </c>
      <c r="E769" s="11">
        <f t="shared" si="105"/>
        <v>65.325833333333335</v>
      </c>
      <c r="F769" s="11">
        <f t="shared" si="106"/>
        <v>7.3174999999999999</v>
      </c>
      <c r="G769" s="12" t="s">
        <v>144</v>
      </c>
      <c r="H769" s="12" t="s">
        <v>47</v>
      </c>
      <c r="I769">
        <v>2014</v>
      </c>
      <c r="J769" s="12" t="s">
        <v>163</v>
      </c>
      <c r="K769" s="2">
        <v>0</v>
      </c>
      <c r="L769" s="2"/>
      <c r="M769" s="33">
        <v>6.7172727272727304</v>
      </c>
      <c r="N769" s="33">
        <v>7.5463636363636404</v>
      </c>
      <c r="O769" s="8"/>
      <c r="P769" s="1"/>
      <c r="Q769" s="1"/>
      <c r="R769" s="1"/>
      <c r="S769" s="3"/>
      <c r="T769" s="3"/>
      <c r="U769" s="3"/>
      <c r="V769" s="3"/>
      <c r="W769" s="3"/>
      <c r="X769" s="3"/>
      <c r="Y769" s="3"/>
      <c r="Z769" s="27" t="s">
        <v>247</v>
      </c>
      <c r="AA769" t="s">
        <v>214</v>
      </c>
    </row>
    <row r="770" spans="1:27" x14ac:dyDescent="0.25">
      <c r="A770" s="12">
        <v>124</v>
      </c>
      <c r="B770">
        <v>18</v>
      </c>
      <c r="C770">
        <f t="shared" si="102"/>
        <v>12418</v>
      </c>
      <c r="D770" s="3" t="s">
        <v>86</v>
      </c>
      <c r="E770" s="11">
        <f t="shared" si="105"/>
        <v>65.325833333333335</v>
      </c>
      <c r="F770" s="11">
        <f t="shared" si="106"/>
        <v>7.3174999999999999</v>
      </c>
      <c r="G770" s="12" t="s">
        <v>144</v>
      </c>
      <c r="H770" s="12" t="s">
        <v>47</v>
      </c>
      <c r="I770">
        <v>2015</v>
      </c>
      <c r="J770" s="12" t="s">
        <v>163</v>
      </c>
      <c r="K770" s="2">
        <v>0</v>
      </c>
      <c r="L770" s="2"/>
      <c r="M770" s="33">
        <v>7.835</v>
      </c>
      <c r="N770" s="33">
        <v>9.0281818181818192</v>
      </c>
      <c r="O770" s="8"/>
      <c r="P770" s="1"/>
      <c r="Q770" s="1"/>
      <c r="R770" s="1"/>
      <c r="S770" s="3"/>
      <c r="T770" s="3"/>
      <c r="U770" s="3"/>
      <c r="V770" s="3"/>
      <c r="W770" s="3"/>
      <c r="X770" s="3"/>
      <c r="Y770" s="3"/>
      <c r="Z770" s="27" t="s">
        <v>247</v>
      </c>
      <c r="AA770" t="s">
        <v>214</v>
      </c>
    </row>
    <row r="771" spans="1:27" x14ac:dyDescent="0.25">
      <c r="A771" s="12">
        <v>124</v>
      </c>
      <c r="B771">
        <v>18</v>
      </c>
      <c r="C771">
        <f t="shared" si="102"/>
        <v>12418</v>
      </c>
      <c r="D771" s="3" t="s">
        <v>86</v>
      </c>
      <c r="E771" s="11">
        <f t="shared" si="105"/>
        <v>65.325833333333335</v>
      </c>
      <c r="F771" s="11">
        <f t="shared" si="106"/>
        <v>7.3174999999999999</v>
      </c>
      <c r="G771" s="12" t="s">
        <v>144</v>
      </c>
      <c r="H771" s="12" t="s">
        <v>47</v>
      </c>
      <c r="I771">
        <v>2016</v>
      </c>
      <c r="J771" s="12" t="s">
        <v>163</v>
      </c>
      <c r="K771" s="2">
        <v>0</v>
      </c>
      <c r="L771" s="2"/>
      <c r="M771" s="33">
        <v>7.665</v>
      </c>
      <c r="N771" s="33">
        <v>8.5625</v>
      </c>
      <c r="O771" s="8"/>
      <c r="P771" s="1"/>
      <c r="Q771" s="1"/>
      <c r="R771" s="1"/>
      <c r="S771" s="3"/>
      <c r="T771" s="3"/>
      <c r="U771" s="3"/>
      <c r="V771" s="3"/>
      <c r="W771" s="3"/>
      <c r="X771" s="3"/>
      <c r="Y771" s="3"/>
      <c r="Z771" s="27" t="s">
        <v>247</v>
      </c>
      <c r="AA771" t="s">
        <v>214</v>
      </c>
    </row>
    <row r="772" spans="1:27" x14ac:dyDescent="0.25">
      <c r="A772" s="12">
        <v>124</v>
      </c>
      <c r="B772">
        <v>18</v>
      </c>
      <c r="C772">
        <f t="shared" si="102"/>
        <v>12418</v>
      </c>
      <c r="D772" s="3" t="s">
        <v>86</v>
      </c>
      <c r="E772" s="11">
        <f t="shared" si="105"/>
        <v>65.325833333333335</v>
      </c>
      <c r="F772" s="11">
        <f t="shared" si="106"/>
        <v>7.3174999999999999</v>
      </c>
      <c r="G772" s="12" t="s">
        <v>144</v>
      </c>
      <c r="H772" s="12" t="s">
        <v>47</v>
      </c>
      <c r="I772">
        <v>2017</v>
      </c>
      <c r="J772" s="12" t="s">
        <v>163</v>
      </c>
      <c r="K772" s="2">
        <v>0</v>
      </c>
      <c r="L772" s="2"/>
      <c r="M772" s="33">
        <v>8.3833333333333293</v>
      </c>
      <c r="N772" s="33">
        <v>9.5500000000000007</v>
      </c>
      <c r="O772" s="8"/>
      <c r="P772" s="1"/>
      <c r="Q772" s="1"/>
      <c r="R772" s="1"/>
      <c r="S772" s="3"/>
      <c r="T772" s="3"/>
      <c r="U772" s="3"/>
      <c r="V772" s="3"/>
      <c r="W772" s="3"/>
      <c r="X772" s="3"/>
      <c r="Y772" s="3"/>
      <c r="Z772" s="27" t="s">
        <v>247</v>
      </c>
      <c r="AA772" t="s">
        <v>214</v>
      </c>
    </row>
    <row r="773" spans="1:27" x14ac:dyDescent="0.25">
      <c r="A773" s="12">
        <v>124</v>
      </c>
      <c r="B773">
        <v>18</v>
      </c>
      <c r="C773">
        <f t="shared" si="102"/>
        <v>12418</v>
      </c>
      <c r="D773" s="3" t="s">
        <v>86</v>
      </c>
      <c r="E773" s="11">
        <f t="shared" si="105"/>
        <v>65.325833333333335</v>
      </c>
      <c r="F773" s="11">
        <f t="shared" si="106"/>
        <v>7.3174999999999999</v>
      </c>
      <c r="G773" s="12" t="s">
        <v>144</v>
      </c>
      <c r="H773" s="12" t="s">
        <v>47</v>
      </c>
      <c r="I773">
        <v>2018</v>
      </c>
      <c r="J773" s="12" t="s">
        <v>163</v>
      </c>
      <c r="K773" s="2">
        <v>0</v>
      </c>
      <c r="L773" s="2"/>
      <c r="M773" s="33">
        <v>8.0425000000000004</v>
      </c>
      <c r="N773" s="33">
        <v>10.9</v>
      </c>
      <c r="O773" s="8"/>
      <c r="P773" s="1"/>
      <c r="Q773" s="1"/>
      <c r="R773" s="1"/>
      <c r="S773" s="3"/>
      <c r="T773" s="3"/>
      <c r="U773" s="3"/>
      <c r="V773" s="3"/>
      <c r="W773" s="3"/>
      <c r="X773" s="3"/>
      <c r="Y773" s="3"/>
      <c r="Z773" s="27" t="s">
        <v>247</v>
      </c>
      <c r="AA773" t="s">
        <v>214</v>
      </c>
    </row>
    <row r="774" spans="1:27" x14ac:dyDescent="0.25">
      <c r="A774" s="12">
        <v>124</v>
      </c>
      <c r="B774">
        <v>18</v>
      </c>
      <c r="C774">
        <f t="shared" si="102"/>
        <v>12418</v>
      </c>
      <c r="D774" s="3" t="s">
        <v>86</v>
      </c>
      <c r="E774" s="11">
        <f t="shared" si="105"/>
        <v>65.325833333333335</v>
      </c>
      <c r="F774" s="11">
        <f t="shared" si="106"/>
        <v>7.3174999999999999</v>
      </c>
      <c r="G774" s="12" t="s">
        <v>144</v>
      </c>
      <c r="H774" s="12" t="s">
        <v>47</v>
      </c>
      <c r="I774">
        <v>2019</v>
      </c>
      <c r="J774" s="12" t="s">
        <v>163</v>
      </c>
      <c r="K774" s="2">
        <v>0</v>
      </c>
      <c r="L774" s="2"/>
      <c r="M774" s="33">
        <v>7.7925000000000004</v>
      </c>
      <c r="N774" s="33">
        <v>10.775</v>
      </c>
      <c r="O774" s="8"/>
      <c r="P774" s="1"/>
      <c r="Q774" s="1"/>
      <c r="R774" s="1"/>
      <c r="S774" s="3"/>
      <c r="T774" s="3"/>
      <c r="U774" s="3"/>
      <c r="V774" s="3"/>
      <c r="W774" s="3"/>
      <c r="X774" s="3"/>
      <c r="Y774" s="3"/>
      <c r="Z774" s="27" t="s">
        <v>247</v>
      </c>
      <c r="AA774" t="s">
        <v>214</v>
      </c>
    </row>
    <row r="775" spans="1:27" x14ac:dyDescent="0.25">
      <c r="A775" s="12">
        <v>124</v>
      </c>
      <c r="B775">
        <v>18</v>
      </c>
      <c r="C775">
        <f t="shared" si="102"/>
        <v>12418</v>
      </c>
      <c r="D775" s="3" t="s">
        <v>86</v>
      </c>
      <c r="E775" s="11">
        <f t="shared" si="105"/>
        <v>65.325833333333335</v>
      </c>
      <c r="F775" s="11">
        <f t="shared" si="106"/>
        <v>7.3174999999999999</v>
      </c>
      <c r="G775" s="12" t="s">
        <v>144</v>
      </c>
      <c r="H775" s="12" t="s">
        <v>47</v>
      </c>
      <c r="I775">
        <v>2020</v>
      </c>
      <c r="J775" s="12" t="s">
        <v>163</v>
      </c>
      <c r="K775" s="2">
        <v>0</v>
      </c>
      <c r="L775" s="2"/>
      <c r="M775" s="33">
        <v>8.3975000000000009</v>
      </c>
      <c r="N775" s="33">
        <v>10.797499999999999</v>
      </c>
      <c r="O775" s="8"/>
      <c r="P775" s="1"/>
      <c r="Q775" s="1"/>
      <c r="R775" s="1"/>
      <c r="S775" s="3"/>
      <c r="T775" s="3"/>
      <c r="U775" s="3"/>
      <c r="V775" s="3"/>
      <c r="W775" s="3"/>
      <c r="X775" s="3"/>
      <c r="Y775" s="3"/>
      <c r="Z775" s="27" t="s">
        <v>247</v>
      </c>
      <c r="AA775" t="s">
        <v>214</v>
      </c>
    </row>
    <row r="776" spans="1:27" x14ac:dyDescent="0.25">
      <c r="A776" s="12">
        <v>124</v>
      </c>
      <c r="B776">
        <v>18</v>
      </c>
      <c r="C776">
        <f t="shared" si="102"/>
        <v>12418</v>
      </c>
      <c r="D776" s="3" t="s">
        <v>86</v>
      </c>
      <c r="E776" s="11">
        <f t="shared" si="105"/>
        <v>65.325833333333335</v>
      </c>
      <c r="F776" s="11">
        <f t="shared" si="106"/>
        <v>7.3174999999999999</v>
      </c>
      <c r="G776" s="12" t="s">
        <v>144</v>
      </c>
      <c r="H776" s="12" t="s">
        <v>47</v>
      </c>
      <c r="I776">
        <v>2021</v>
      </c>
      <c r="J776" s="12" t="s">
        <v>163</v>
      </c>
      <c r="K776" s="2">
        <v>0</v>
      </c>
      <c r="L776" s="2"/>
      <c r="M776" s="33">
        <v>6.9012500000000001</v>
      </c>
      <c r="N776" s="33">
        <v>8.4819999999999993</v>
      </c>
      <c r="O776" s="8"/>
      <c r="P776" s="1"/>
      <c r="Q776" s="1"/>
      <c r="R776" s="1"/>
      <c r="S776" s="3"/>
      <c r="T776" s="3"/>
      <c r="U776" s="3"/>
      <c r="V776" s="3"/>
      <c r="W776" s="3"/>
      <c r="X776" s="3"/>
      <c r="Y776" s="3"/>
      <c r="Z776" s="27" t="s">
        <v>247</v>
      </c>
      <c r="AA776" t="s">
        <v>214</v>
      </c>
    </row>
    <row r="777" spans="1:27" x14ac:dyDescent="0.25">
      <c r="A777" s="12">
        <v>124</v>
      </c>
      <c r="B777">
        <v>19</v>
      </c>
      <c r="C777">
        <f t="shared" si="102"/>
        <v>12419</v>
      </c>
      <c r="D777" s="3" t="s">
        <v>86</v>
      </c>
      <c r="E777" s="11">
        <f>59+34/60+26.98/3600</f>
        <v>59.574161111111117</v>
      </c>
      <c r="F777" s="11">
        <f>2+13/60+43.7/3600</f>
        <v>2.2288055555555557</v>
      </c>
      <c r="G777" s="12" t="s">
        <v>144</v>
      </c>
      <c r="H777" s="12" t="s">
        <v>47</v>
      </c>
      <c r="I777">
        <v>2003</v>
      </c>
      <c r="J777" s="12" t="s">
        <v>163</v>
      </c>
      <c r="K777" s="2">
        <v>0</v>
      </c>
      <c r="L777" s="2"/>
      <c r="M777" s="33">
        <v>0</v>
      </c>
      <c r="N777" s="33"/>
      <c r="O777" s="8"/>
      <c r="P777" s="1"/>
      <c r="Q777" s="1"/>
      <c r="R777" s="1"/>
      <c r="S777" s="3"/>
      <c r="T777" s="3"/>
      <c r="U777" s="3"/>
      <c r="V777" s="3"/>
      <c r="W777" s="3"/>
      <c r="X777" s="3"/>
      <c r="Y777" s="3"/>
      <c r="Z777" s="27" t="s">
        <v>247</v>
      </c>
      <c r="AA777" t="s">
        <v>228</v>
      </c>
    </row>
    <row r="778" spans="1:27" x14ac:dyDescent="0.25">
      <c r="A778" s="12">
        <v>124</v>
      </c>
      <c r="B778">
        <v>19</v>
      </c>
      <c r="C778">
        <f t="shared" si="102"/>
        <v>12419</v>
      </c>
      <c r="D778" s="3" t="s">
        <v>86</v>
      </c>
      <c r="E778" s="11">
        <f t="shared" ref="E778:E793" si="107">59+34/60+26.98/3600</f>
        <v>59.574161111111117</v>
      </c>
      <c r="F778" s="11">
        <f t="shared" ref="F778:F793" si="108">2+13/60+43.7/3600</f>
        <v>2.2288055555555557</v>
      </c>
      <c r="G778" s="12" t="s">
        <v>144</v>
      </c>
      <c r="H778" s="12" t="s">
        <v>47</v>
      </c>
      <c r="I778">
        <v>2004</v>
      </c>
      <c r="J778" s="12" t="s">
        <v>163</v>
      </c>
      <c r="K778" s="2">
        <v>0</v>
      </c>
      <c r="L778" s="2"/>
      <c r="M778" s="33">
        <v>0.63</v>
      </c>
      <c r="N778" s="33"/>
      <c r="O778" s="8"/>
      <c r="P778" s="1"/>
      <c r="Q778" s="1"/>
      <c r="R778" s="1"/>
      <c r="S778" s="3"/>
      <c r="T778" s="3"/>
      <c r="U778" s="3"/>
      <c r="V778" s="3"/>
      <c r="W778" s="3"/>
      <c r="X778" s="3"/>
      <c r="Y778" s="3"/>
      <c r="Z778" s="27" t="s">
        <v>247</v>
      </c>
      <c r="AA778" t="s">
        <v>228</v>
      </c>
    </row>
    <row r="779" spans="1:27" x14ac:dyDescent="0.25">
      <c r="A779" s="12">
        <v>124</v>
      </c>
      <c r="B779">
        <v>19</v>
      </c>
      <c r="C779">
        <f t="shared" si="102"/>
        <v>12419</v>
      </c>
      <c r="D779" s="3" t="s">
        <v>86</v>
      </c>
      <c r="E779" s="11">
        <f t="shared" si="107"/>
        <v>59.574161111111117</v>
      </c>
      <c r="F779" s="11">
        <f t="shared" si="108"/>
        <v>2.2288055555555557</v>
      </c>
      <c r="G779" s="12" t="s">
        <v>144</v>
      </c>
      <c r="H779" s="12" t="s">
        <v>47</v>
      </c>
      <c r="I779">
        <v>2006</v>
      </c>
      <c r="J779" s="12" t="s">
        <v>163</v>
      </c>
      <c r="K779" s="2">
        <v>0</v>
      </c>
      <c r="L779" s="2"/>
      <c r="M779" s="33">
        <v>0.6</v>
      </c>
      <c r="N779" s="33">
        <v>0.04</v>
      </c>
      <c r="O779" s="8"/>
      <c r="P779" s="1"/>
      <c r="Q779" s="1"/>
      <c r="R779" s="1"/>
      <c r="S779" s="3"/>
      <c r="T779" s="3"/>
      <c r="U779" s="3"/>
      <c r="V779" s="3"/>
      <c r="W779" s="3"/>
      <c r="X779" s="3"/>
      <c r="Y779" s="3"/>
      <c r="Z779" s="27" t="s">
        <v>247</v>
      </c>
      <c r="AA779" t="s">
        <v>228</v>
      </c>
    </row>
    <row r="780" spans="1:27" x14ac:dyDescent="0.25">
      <c r="A780" s="12">
        <v>124</v>
      </c>
      <c r="B780">
        <v>19</v>
      </c>
      <c r="C780">
        <f t="shared" si="102"/>
        <v>12419</v>
      </c>
      <c r="D780" s="3" t="s">
        <v>86</v>
      </c>
      <c r="E780" s="11">
        <f t="shared" si="107"/>
        <v>59.574161111111117</v>
      </c>
      <c r="F780" s="11">
        <f t="shared" si="108"/>
        <v>2.2288055555555557</v>
      </c>
      <c r="G780" s="12" t="s">
        <v>144</v>
      </c>
      <c r="H780" s="12" t="s">
        <v>47</v>
      </c>
      <c r="I780">
        <v>2008</v>
      </c>
      <c r="J780" s="12" t="s">
        <v>163</v>
      </c>
      <c r="K780" s="2">
        <v>0</v>
      </c>
      <c r="L780" s="2"/>
      <c r="M780" s="33">
        <v>1</v>
      </c>
      <c r="N780" s="33">
        <v>0.1</v>
      </c>
      <c r="O780" s="8"/>
      <c r="P780" s="1"/>
      <c r="Q780" s="1"/>
      <c r="R780" s="1"/>
      <c r="S780" s="3"/>
      <c r="T780" s="3"/>
      <c r="U780" s="3"/>
      <c r="V780" s="3"/>
      <c r="W780" s="3"/>
      <c r="X780" s="3"/>
      <c r="Y780" s="3"/>
      <c r="Z780" s="27" t="s">
        <v>247</v>
      </c>
      <c r="AA780" t="s">
        <v>228</v>
      </c>
    </row>
    <row r="781" spans="1:27" x14ac:dyDescent="0.25">
      <c r="A781" s="12">
        <v>124</v>
      </c>
      <c r="B781">
        <v>19</v>
      </c>
      <c r="C781">
        <f t="shared" si="102"/>
        <v>12419</v>
      </c>
      <c r="D781" s="3" t="s">
        <v>86</v>
      </c>
      <c r="E781" s="11">
        <f t="shared" si="107"/>
        <v>59.574161111111117</v>
      </c>
      <c r="F781" s="11">
        <f t="shared" si="108"/>
        <v>2.2288055555555557</v>
      </c>
      <c r="G781" s="12" t="s">
        <v>144</v>
      </c>
      <c r="H781" s="12" t="s">
        <v>47</v>
      </c>
      <c r="I781">
        <v>2009</v>
      </c>
      <c r="J781" s="12" t="s">
        <v>163</v>
      </c>
      <c r="K781" s="2">
        <v>0</v>
      </c>
      <c r="L781" s="2"/>
      <c r="M781" s="33">
        <v>0.3</v>
      </c>
      <c r="N781" s="33">
        <v>0.1</v>
      </c>
      <c r="O781" s="8"/>
      <c r="P781" s="1"/>
      <c r="Q781" s="1"/>
      <c r="R781" s="1"/>
      <c r="S781" s="3"/>
      <c r="T781" s="3"/>
      <c r="U781" s="3"/>
      <c r="V781" s="3"/>
      <c r="W781" s="3"/>
      <c r="X781" s="3"/>
      <c r="Y781" s="3"/>
      <c r="Z781" s="27" t="s">
        <v>247</v>
      </c>
      <c r="AA781" t="s">
        <v>228</v>
      </c>
    </row>
    <row r="782" spans="1:27" x14ac:dyDescent="0.25">
      <c r="A782" s="12">
        <v>124</v>
      </c>
      <c r="B782">
        <v>19</v>
      </c>
      <c r="C782">
        <f t="shared" si="102"/>
        <v>12419</v>
      </c>
      <c r="D782" s="3" t="s">
        <v>86</v>
      </c>
      <c r="E782" s="11">
        <f t="shared" si="107"/>
        <v>59.574161111111117</v>
      </c>
      <c r="F782" s="11">
        <f t="shared" si="108"/>
        <v>2.2288055555555557</v>
      </c>
      <c r="G782" s="12" t="s">
        <v>144</v>
      </c>
      <c r="H782" s="12" t="s">
        <v>47</v>
      </c>
      <c r="I782">
        <v>2010</v>
      </c>
      <c r="J782" s="12" t="s">
        <v>163</v>
      </c>
      <c r="K782" s="2">
        <v>0</v>
      </c>
      <c r="L782" s="2"/>
      <c r="M782" s="33">
        <v>0.450284091</v>
      </c>
      <c r="N782" s="33">
        <v>0.150142045</v>
      </c>
      <c r="O782" s="8"/>
      <c r="P782" s="1"/>
      <c r="Q782" s="1"/>
      <c r="R782" s="1"/>
      <c r="S782" s="3"/>
      <c r="T782" s="3"/>
      <c r="U782" s="3"/>
      <c r="V782" s="3"/>
      <c r="W782" s="3"/>
      <c r="X782" s="3"/>
      <c r="Y782" s="3"/>
      <c r="Z782" s="27" t="s">
        <v>247</v>
      </c>
      <c r="AA782" t="s">
        <v>228</v>
      </c>
    </row>
    <row r="783" spans="1:27" x14ac:dyDescent="0.25">
      <c r="A783" s="12">
        <v>124</v>
      </c>
      <c r="B783">
        <v>19</v>
      </c>
      <c r="C783">
        <f t="shared" si="102"/>
        <v>12419</v>
      </c>
      <c r="D783" s="3" t="s">
        <v>86</v>
      </c>
      <c r="E783" s="11">
        <f t="shared" si="107"/>
        <v>59.574161111111117</v>
      </c>
      <c r="F783" s="11">
        <f t="shared" si="108"/>
        <v>2.2288055555555557</v>
      </c>
      <c r="G783" s="12" t="s">
        <v>144</v>
      </c>
      <c r="H783" s="12" t="s">
        <v>47</v>
      </c>
      <c r="I783">
        <v>2011</v>
      </c>
      <c r="J783" s="12" t="s">
        <v>163</v>
      </c>
      <c r="K783" s="2">
        <v>0</v>
      </c>
      <c r="L783" s="2"/>
      <c r="M783" s="33">
        <v>0.44461134000000002</v>
      </c>
      <c r="N783" s="33">
        <v>0.05</v>
      </c>
      <c r="O783" s="8"/>
      <c r="P783" s="1"/>
      <c r="Q783" s="1"/>
      <c r="R783" s="1"/>
      <c r="S783" s="3"/>
      <c r="T783" s="3"/>
      <c r="U783" s="3"/>
      <c r="V783" s="3"/>
      <c r="W783" s="3"/>
      <c r="X783" s="3"/>
      <c r="Y783" s="3"/>
      <c r="Z783" s="27" t="s">
        <v>247</v>
      </c>
      <c r="AA783" t="s">
        <v>228</v>
      </c>
    </row>
    <row r="784" spans="1:27" x14ac:dyDescent="0.25">
      <c r="A784" s="12">
        <v>124</v>
      </c>
      <c r="B784">
        <v>19</v>
      </c>
      <c r="C784">
        <f t="shared" si="102"/>
        <v>12419</v>
      </c>
      <c r="D784" s="3" t="s">
        <v>86</v>
      </c>
      <c r="E784" s="11">
        <f t="shared" si="107"/>
        <v>59.574161111111117</v>
      </c>
      <c r="F784" s="11">
        <f t="shared" si="108"/>
        <v>2.2288055555555557</v>
      </c>
      <c r="G784" s="12" t="s">
        <v>144</v>
      </c>
      <c r="H784" s="12" t="s">
        <v>47</v>
      </c>
      <c r="I784">
        <v>2012</v>
      </c>
      <c r="J784" s="12" t="s">
        <v>163</v>
      </c>
      <c r="K784" s="2">
        <v>0</v>
      </c>
      <c r="L784" s="2"/>
      <c r="M784" s="33">
        <v>0.28333333333333299</v>
      </c>
      <c r="N784" s="33">
        <v>0.30499999999999999</v>
      </c>
      <c r="O784" s="8"/>
      <c r="P784" s="1"/>
      <c r="Q784" s="1"/>
      <c r="R784" s="1"/>
      <c r="S784" s="3"/>
      <c r="T784" s="3"/>
      <c r="U784" s="3"/>
      <c r="V784" s="3"/>
      <c r="W784" s="3"/>
      <c r="X784" s="3"/>
      <c r="Y784" s="3"/>
      <c r="Z784" s="27" t="s">
        <v>247</v>
      </c>
      <c r="AA784" t="s">
        <v>228</v>
      </c>
    </row>
    <row r="785" spans="1:27" x14ac:dyDescent="0.25">
      <c r="A785" s="12">
        <v>124</v>
      </c>
      <c r="B785">
        <v>19</v>
      </c>
      <c r="C785">
        <f t="shared" si="102"/>
        <v>12419</v>
      </c>
      <c r="D785" s="3" t="s">
        <v>86</v>
      </c>
      <c r="E785" s="11">
        <f t="shared" si="107"/>
        <v>59.574161111111117</v>
      </c>
      <c r="F785" s="11">
        <f t="shared" si="108"/>
        <v>2.2288055555555557</v>
      </c>
      <c r="G785" s="12" t="s">
        <v>144</v>
      </c>
      <c r="H785" s="12" t="s">
        <v>47</v>
      </c>
      <c r="I785">
        <v>2013</v>
      </c>
      <c r="J785" s="12" t="s">
        <v>163</v>
      </c>
      <c r="K785" s="2">
        <v>0</v>
      </c>
      <c r="L785" s="2"/>
      <c r="M785" s="33">
        <v>0.23</v>
      </c>
      <c r="N785" s="33">
        <v>0.19562499999999999</v>
      </c>
      <c r="O785" s="8"/>
      <c r="P785" s="1"/>
      <c r="Q785" s="1"/>
      <c r="R785" s="1"/>
      <c r="S785" s="3"/>
      <c r="T785" s="3"/>
      <c r="U785" s="3"/>
      <c r="V785" s="3"/>
      <c r="W785" s="3"/>
      <c r="X785" s="3"/>
      <c r="Y785" s="3"/>
      <c r="Z785" s="27" t="s">
        <v>247</v>
      </c>
      <c r="AA785" t="s">
        <v>228</v>
      </c>
    </row>
    <row r="786" spans="1:27" x14ac:dyDescent="0.25">
      <c r="A786" s="12">
        <v>124</v>
      </c>
      <c r="B786">
        <v>19</v>
      </c>
      <c r="C786">
        <f t="shared" si="102"/>
        <v>12419</v>
      </c>
      <c r="D786" s="3" t="s">
        <v>86</v>
      </c>
      <c r="E786" s="11">
        <f t="shared" si="107"/>
        <v>59.574161111111117</v>
      </c>
      <c r="F786" s="11">
        <f t="shared" si="108"/>
        <v>2.2288055555555557</v>
      </c>
      <c r="G786" s="12" t="s">
        <v>144</v>
      </c>
      <c r="H786" s="12" t="s">
        <v>47</v>
      </c>
      <c r="I786">
        <v>2014</v>
      </c>
      <c r="J786" s="12" t="s">
        <v>163</v>
      </c>
      <c r="K786" s="2">
        <v>0</v>
      </c>
      <c r="L786" s="2"/>
      <c r="M786" s="33">
        <v>0.04</v>
      </c>
      <c r="N786" s="33">
        <v>5.2999999999999999E-2</v>
      </c>
      <c r="O786" s="8"/>
      <c r="P786" s="1"/>
      <c r="Q786" s="1"/>
      <c r="R786" s="1"/>
      <c r="S786" s="3"/>
      <c r="T786" s="3"/>
      <c r="U786" s="3"/>
      <c r="V786" s="3"/>
      <c r="W786" s="3"/>
      <c r="X786" s="3"/>
      <c r="Y786" s="3"/>
      <c r="Z786" s="27" t="s">
        <v>247</v>
      </c>
      <c r="AA786" t="s">
        <v>228</v>
      </c>
    </row>
    <row r="787" spans="1:27" x14ac:dyDescent="0.25">
      <c r="A787" s="12">
        <v>124</v>
      </c>
      <c r="B787">
        <v>19</v>
      </c>
      <c r="C787">
        <f t="shared" si="102"/>
        <v>12419</v>
      </c>
      <c r="D787" s="3" t="s">
        <v>86</v>
      </c>
      <c r="E787" s="11">
        <f t="shared" si="107"/>
        <v>59.574161111111117</v>
      </c>
      <c r="F787" s="11">
        <f t="shared" si="108"/>
        <v>2.2288055555555557</v>
      </c>
      <c r="G787" s="12" t="s">
        <v>144</v>
      </c>
      <c r="H787" s="12" t="s">
        <v>47</v>
      </c>
      <c r="I787">
        <v>2015</v>
      </c>
      <c r="J787" s="12" t="s">
        <v>163</v>
      </c>
      <c r="K787" s="2">
        <v>0</v>
      </c>
      <c r="L787" s="2"/>
      <c r="M787" s="33">
        <v>0.80100000000000005</v>
      </c>
      <c r="N787" s="33">
        <v>0.73899999999999999</v>
      </c>
      <c r="O787" s="8"/>
      <c r="P787" s="1"/>
      <c r="Q787" s="1"/>
      <c r="R787" s="1"/>
      <c r="S787" s="3"/>
      <c r="T787" s="3"/>
      <c r="U787" s="3"/>
      <c r="V787" s="3"/>
      <c r="W787" s="3"/>
      <c r="X787" s="3"/>
      <c r="Y787" s="3"/>
      <c r="Z787" s="27" t="s">
        <v>247</v>
      </c>
      <c r="AA787" t="s">
        <v>228</v>
      </c>
    </row>
    <row r="788" spans="1:27" x14ac:dyDescent="0.25">
      <c r="A788" s="12">
        <v>124</v>
      </c>
      <c r="B788">
        <v>19</v>
      </c>
      <c r="C788">
        <f t="shared" si="102"/>
        <v>12419</v>
      </c>
      <c r="D788" s="3" t="s">
        <v>86</v>
      </c>
      <c r="E788" s="11">
        <f t="shared" si="107"/>
        <v>59.574161111111117</v>
      </c>
      <c r="F788" s="11">
        <f t="shared" si="108"/>
        <v>2.2288055555555557</v>
      </c>
      <c r="G788" s="12" t="s">
        <v>144</v>
      </c>
      <c r="H788" s="12" t="s">
        <v>47</v>
      </c>
      <c r="I788">
        <v>2016</v>
      </c>
      <c r="J788" s="12" t="s">
        <v>163</v>
      </c>
      <c r="K788" s="2">
        <v>0</v>
      </c>
      <c r="L788" s="2"/>
      <c r="M788" s="33">
        <v>2.3475000000000001</v>
      </c>
      <c r="N788" s="33">
        <v>2.2374999999999998</v>
      </c>
      <c r="O788" s="8"/>
      <c r="P788" s="1"/>
      <c r="Q788" s="1"/>
      <c r="R788" s="1"/>
      <c r="S788" s="3"/>
      <c r="T788" s="3"/>
      <c r="U788" s="3"/>
      <c r="V788" s="3"/>
      <c r="W788" s="3"/>
      <c r="X788" s="3"/>
      <c r="Y788" s="3"/>
      <c r="Z788" s="27" t="s">
        <v>247</v>
      </c>
      <c r="AA788" t="s">
        <v>228</v>
      </c>
    </row>
    <row r="789" spans="1:27" x14ac:dyDescent="0.25">
      <c r="A789" s="12">
        <v>124</v>
      </c>
      <c r="B789">
        <v>19</v>
      </c>
      <c r="C789">
        <f t="shared" si="102"/>
        <v>12419</v>
      </c>
      <c r="D789" s="3" t="s">
        <v>86</v>
      </c>
      <c r="E789" s="11">
        <f t="shared" si="107"/>
        <v>59.574161111111117</v>
      </c>
      <c r="F789" s="11">
        <f t="shared" si="108"/>
        <v>2.2288055555555557</v>
      </c>
      <c r="G789" s="12" t="s">
        <v>144</v>
      </c>
      <c r="H789" s="12" t="s">
        <v>47</v>
      </c>
      <c r="I789">
        <v>2017</v>
      </c>
      <c r="J789" s="12" t="s">
        <v>163</v>
      </c>
      <c r="K789" s="2">
        <v>0</v>
      </c>
      <c r="L789" s="2"/>
      <c r="M789" s="33">
        <v>1.1884999999999999</v>
      </c>
      <c r="N789" s="33">
        <v>1.11025</v>
      </c>
      <c r="O789" s="8"/>
      <c r="P789" s="1"/>
      <c r="Q789" s="1"/>
      <c r="R789" s="1"/>
      <c r="S789" s="3"/>
      <c r="T789" s="3"/>
      <c r="U789" s="3"/>
      <c r="V789" s="3"/>
      <c r="W789" s="3"/>
      <c r="X789" s="3"/>
      <c r="Y789" s="3"/>
      <c r="Z789" s="27" t="s">
        <v>247</v>
      </c>
      <c r="AA789" t="s">
        <v>228</v>
      </c>
    </row>
    <row r="790" spans="1:27" x14ac:dyDescent="0.25">
      <c r="A790" s="12">
        <v>124</v>
      </c>
      <c r="B790">
        <v>19</v>
      </c>
      <c r="C790">
        <f t="shared" si="102"/>
        <v>12419</v>
      </c>
      <c r="D790" s="3" t="s">
        <v>86</v>
      </c>
      <c r="E790" s="11">
        <f t="shared" si="107"/>
        <v>59.574161111111117</v>
      </c>
      <c r="F790" s="11">
        <f t="shared" si="108"/>
        <v>2.2288055555555557</v>
      </c>
      <c r="G790" s="12" t="s">
        <v>144</v>
      </c>
      <c r="H790" s="12" t="s">
        <v>47</v>
      </c>
      <c r="I790">
        <v>2018</v>
      </c>
      <c r="J790" s="12" t="s">
        <v>163</v>
      </c>
      <c r="K790" s="2">
        <v>0</v>
      </c>
      <c r="L790" s="2"/>
      <c r="M790" s="33">
        <v>0.24975</v>
      </c>
      <c r="N790" s="33">
        <v>0.36249999999999999</v>
      </c>
      <c r="O790" s="8"/>
      <c r="P790" s="1"/>
      <c r="Q790" s="1"/>
      <c r="R790" s="1"/>
      <c r="S790" s="3"/>
      <c r="T790" s="3"/>
      <c r="U790" s="3"/>
      <c r="V790" s="3"/>
      <c r="W790" s="3"/>
      <c r="X790" s="3"/>
      <c r="Y790" s="3"/>
      <c r="Z790" s="27" t="s">
        <v>247</v>
      </c>
      <c r="AA790" t="s">
        <v>228</v>
      </c>
    </row>
    <row r="791" spans="1:27" x14ac:dyDescent="0.25">
      <c r="A791" s="12">
        <v>124</v>
      </c>
      <c r="B791">
        <v>19</v>
      </c>
      <c r="C791">
        <f t="shared" si="102"/>
        <v>12419</v>
      </c>
      <c r="D791" s="3" t="s">
        <v>86</v>
      </c>
      <c r="E791" s="11">
        <f t="shared" si="107"/>
        <v>59.574161111111117</v>
      </c>
      <c r="F791" s="11">
        <f t="shared" si="108"/>
        <v>2.2288055555555557</v>
      </c>
      <c r="G791" s="12" t="s">
        <v>144</v>
      </c>
      <c r="H791" s="12" t="s">
        <v>47</v>
      </c>
      <c r="I791">
        <v>2019</v>
      </c>
      <c r="J791" s="12" t="s">
        <v>163</v>
      </c>
      <c r="K791" s="2">
        <v>0</v>
      </c>
      <c r="L791" s="2"/>
      <c r="M791" s="33">
        <v>0.56499999999999995</v>
      </c>
      <c r="N791" s="33">
        <v>0.421875</v>
      </c>
      <c r="O791" s="8"/>
      <c r="P791" s="1"/>
      <c r="Q791" s="1"/>
      <c r="R791" s="1"/>
      <c r="S791" s="3"/>
      <c r="T791" s="3"/>
      <c r="U791" s="3"/>
      <c r="V791" s="3"/>
      <c r="W791" s="3"/>
      <c r="X791" s="3"/>
      <c r="Y791" s="3"/>
      <c r="Z791" s="27" t="s">
        <v>247</v>
      </c>
      <c r="AA791" t="s">
        <v>228</v>
      </c>
    </row>
    <row r="792" spans="1:27" x14ac:dyDescent="0.25">
      <c r="A792" s="12">
        <v>124</v>
      </c>
      <c r="B792">
        <v>19</v>
      </c>
      <c r="C792">
        <f t="shared" si="102"/>
        <v>12419</v>
      </c>
      <c r="D792" s="3" t="s">
        <v>86</v>
      </c>
      <c r="E792" s="11">
        <f t="shared" si="107"/>
        <v>59.574161111111117</v>
      </c>
      <c r="F792" s="11">
        <f t="shared" si="108"/>
        <v>2.2288055555555557</v>
      </c>
      <c r="G792" s="12" t="s">
        <v>144</v>
      </c>
      <c r="H792" s="12" t="s">
        <v>47</v>
      </c>
      <c r="I792">
        <v>2020</v>
      </c>
      <c r="J792" s="12" t="s">
        <v>163</v>
      </c>
      <c r="K792" s="2">
        <v>0</v>
      </c>
      <c r="L792" s="2"/>
      <c r="M792" s="33">
        <v>3.23</v>
      </c>
      <c r="N792" s="33">
        <v>3.2679999999999998</v>
      </c>
      <c r="O792" s="8"/>
      <c r="P792" s="1"/>
      <c r="Q792" s="1"/>
      <c r="R792" s="1"/>
      <c r="S792" s="3"/>
      <c r="T792" s="3"/>
      <c r="U792" s="3"/>
      <c r="V792" s="3"/>
      <c r="W792" s="3"/>
      <c r="X792" s="3"/>
      <c r="Y792" s="3"/>
      <c r="Z792" s="27" t="s">
        <v>247</v>
      </c>
      <c r="AA792" t="s">
        <v>228</v>
      </c>
    </row>
    <row r="793" spans="1:27" x14ac:dyDescent="0.25">
      <c r="A793" s="12">
        <v>124</v>
      </c>
      <c r="B793">
        <v>19</v>
      </c>
      <c r="C793">
        <f t="shared" si="102"/>
        <v>12419</v>
      </c>
      <c r="D793" s="3" t="s">
        <v>86</v>
      </c>
      <c r="E793" s="11">
        <f t="shared" si="107"/>
        <v>59.574161111111117</v>
      </c>
      <c r="F793" s="11">
        <f t="shared" si="108"/>
        <v>2.2288055555555557</v>
      </c>
      <c r="G793" s="12" t="s">
        <v>144</v>
      </c>
      <c r="H793" s="12" t="s">
        <v>47</v>
      </c>
      <c r="I793">
        <v>2021</v>
      </c>
      <c r="J793" s="12" t="s">
        <v>163</v>
      </c>
      <c r="K793" s="2">
        <v>0</v>
      </c>
      <c r="L793" s="2"/>
      <c r="M793" s="33">
        <v>4.60975</v>
      </c>
      <c r="N793" s="33">
        <v>4.2850000000000001</v>
      </c>
      <c r="O793" s="8"/>
      <c r="P793" s="1"/>
      <c r="Q793" s="1"/>
      <c r="R793" s="1"/>
      <c r="S793" s="3"/>
      <c r="T793" s="3"/>
      <c r="U793" s="3"/>
      <c r="V793" s="3"/>
      <c r="W793" s="3"/>
      <c r="X793" s="3"/>
      <c r="Y793" s="3"/>
      <c r="Z793" s="27" t="s">
        <v>247</v>
      </c>
      <c r="AA793" t="s">
        <v>228</v>
      </c>
    </row>
    <row r="794" spans="1:27" x14ac:dyDescent="0.25">
      <c r="A794" s="12">
        <v>124</v>
      </c>
      <c r="B794">
        <v>20</v>
      </c>
      <c r="C794">
        <f t="shared" si="102"/>
        <v>12420</v>
      </c>
      <c r="D794" s="3" t="s">
        <v>86</v>
      </c>
      <c r="E794" s="11">
        <f>60+51/60+20.97/3600</f>
        <v>60.855825000000003</v>
      </c>
      <c r="F794" s="11">
        <f>2+39/60+1.17/3600</f>
        <v>2.650325</v>
      </c>
      <c r="G794" s="12" t="s">
        <v>144</v>
      </c>
      <c r="H794" s="12" t="s">
        <v>47</v>
      </c>
      <c r="I794">
        <v>2003</v>
      </c>
      <c r="J794" s="12" t="s">
        <v>163</v>
      </c>
      <c r="K794" s="2">
        <v>0</v>
      </c>
      <c r="L794" s="2"/>
      <c r="M794" s="33">
        <v>4.0999999999999996</v>
      </c>
      <c r="N794" s="33"/>
      <c r="O794" s="8"/>
      <c r="P794" s="1"/>
      <c r="Q794" s="1"/>
      <c r="R794" s="1"/>
      <c r="S794" s="3"/>
      <c r="T794" s="3"/>
      <c r="U794" s="3"/>
      <c r="V794" s="3"/>
      <c r="W794" s="3"/>
      <c r="X794" s="3"/>
      <c r="Y794" s="3"/>
      <c r="Z794" s="27" t="s">
        <v>247</v>
      </c>
      <c r="AA794" t="s">
        <v>229</v>
      </c>
    </row>
    <row r="795" spans="1:27" x14ac:dyDescent="0.25">
      <c r="A795" s="12">
        <v>124</v>
      </c>
      <c r="B795">
        <v>20</v>
      </c>
      <c r="C795">
        <f t="shared" si="102"/>
        <v>12420</v>
      </c>
      <c r="D795" s="3" t="s">
        <v>86</v>
      </c>
      <c r="E795" s="11">
        <f>60+51/60+20.97/3600</f>
        <v>60.855825000000003</v>
      </c>
      <c r="F795" s="11">
        <f>2+39/60+1.17/3600</f>
        <v>2.650325</v>
      </c>
      <c r="G795" s="12" t="s">
        <v>144</v>
      </c>
      <c r="H795" s="12" t="s">
        <v>47</v>
      </c>
      <c r="I795">
        <v>2004</v>
      </c>
      <c r="J795" s="12" t="s">
        <v>163</v>
      </c>
      <c r="K795" s="2">
        <v>0</v>
      </c>
      <c r="L795" s="2"/>
      <c r="M795" s="33">
        <v>3.5</v>
      </c>
      <c r="N795" s="33"/>
      <c r="O795" s="8"/>
      <c r="P795" s="1"/>
      <c r="Q795" s="1"/>
      <c r="R795" s="1"/>
      <c r="S795" s="3"/>
      <c r="T795" s="3"/>
      <c r="U795" s="3"/>
      <c r="V795" s="3"/>
      <c r="W795" s="3"/>
      <c r="X795" s="3"/>
      <c r="Y795" s="3"/>
      <c r="Z795" s="27" t="s">
        <v>247</v>
      </c>
      <c r="AA795" t="s">
        <v>229</v>
      </c>
    </row>
    <row r="796" spans="1:27" x14ac:dyDescent="0.25">
      <c r="A796" s="12">
        <v>124</v>
      </c>
      <c r="B796">
        <v>21</v>
      </c>
      <c r="C796">
        <f t="shared" si="102"/>
        <v>12421</v>
      </c>
      <c r="D796" s="3" t="s">
        <v>86</v>
      </c>
      <c r="E796" s="11">
        <f>58+55/60+20.17/3600</f>
        <v>58.922269444444439</v>
      </c>
      <c r="F796" s="11">
        <f>2+11/60+53.25/3600</f>
        <v>2.1981249999999997</v>
      </c>
      <c r="G796" s="12" t="s">
        <v>144</v>
      </c>
      <c r="H796" s="12" t="s">
        <v>47</v>
      </c>
      <c r="I796">
        <v>2018</v>
      </c>
      <c r="J796" s="12" t="s">
        <v>163</v>
      </c>
      <c r="K796" s="2">
        <v>0</v>
      </c>
      <c r="L796" s="2"/>
      <c r="M796" s="33">
        <v>35</v>
      </c>
      <c r="N796" s="33">
        <v>32.424999999999997</v>
      </c>
      <c r="O796" s="8"/>
      <c r="P796" s="1"/>
      <c r="Q796" s="1"/>
      <c r="R796" s="1"/>
      <c r="S796" s="3"/>
      <c r="T796" s="3"/>
      <c r="U796" s="3"/>
      <c r="V796" s="3"/>
      <c r="W796" s="3"/>
      <c r="X796" s="3"/>
      <c r="Y796" s="3"/>
      <c r="Z796" s="27" t="s">
        <v>247</v>
      </c>
      <c r="AA796" t="s">
        <v>243</v>
      </c>
    </row>
    <row r="797" spans="1:27" x14ac:dyDescent="0.25">
      <c r="A797" s="12">
        <v>124</v>
      </c>
      <c r="B797">
        <v>21</v>
      </c>
      <c r="C797">
        <f t="shared" si="102"/>
        <v>12421</v>
      </c>
      <c r="D797" s="3" t="s">
        <v>86</v>
      </c>
      <c r="E797" s="11">
        <f t="shared" ref="E797:E799" si="109">58+55/60+20.17/3600</f>
        <v>58.922269444444439</v>
      </c>
      <c r="F797" s="11">
        <f t="shared" ref="F797:F799" si="110">2+11/60+53.25/3600</f>
        <v>2.1981249999999997</v>
      </c>
      <c r="G797" s="12" t="s">
        <v>144</v>
      </c>
      <c r="H797" s="12" t="s">
        <v>47</v>
      </c>
      <c r="I797">
        <v>2019</v>
      </c>
      <c r="J797" s="12" t="s">
        <v>163</v>
      </c>
      <c r="K797" s="2">
        <v>0</v>
      </c>
      <c r="L797" s="2"/>
      <c r="M797" s="33">
        <v>116.766344098012</v>
      </c>
      <c r="N797" s="33">
        <v>30.662094046437499</v>
      </c>
      <c r="O797" s="8"/>
      <c r="P797" s="1"/>
      <c r="Q797" s="1"/>
      <c r="R797" s="1"/>
      <c r="S797" s="3"/>
      <c r="T797" s="3"/>
      <c r="U797" s="3"/>
      <c r="V797" s="3"/>
      <c r="W797" s="3"/>
      <c r="X797" s="3"/>
      <c r="Y797" s="3"/>
      <c r="Z797" s="27" t="s">
        <v>247</v>
      </c>
      <c r="AA797" t="s">
        <v>243</v>
      </c>
    </row>
    <row r="798" spans="1:27" x14ac:dyDescent="0.25">
      <c r="A798" s="12">
        <v>124</v>
      </c>
      <c r="B798">
        <v>21</v>
      </c>
      <c r="C798">
        <f t="shared" ref="C798:C861" si="111">A798*100+B798</f>
        <v>12421</v>
      </c>
      <c r="D798" s="3" t="s">
        <v>86</v>
      </c>
      <c r="E798" s="11">
        <f t="shared" si="109"/>
        <v>58.922269444444439</v>
      </c>
      <c r="F798" s="11">
        <f t="shared" si="110"/>
        <v>2.1981249999999997</v>
      </c>
      <c r="G798" s="12" t="s">
        <v>144</v>
      </c>
      <c r="H798" s="12" t="s">
        <v>47</v>
      </c>
      <c r="I798">
        <v>2020</v>
      </c>
      <c r="J798" s="12" t="s">
        <v>163</v>
      </c>
      <c r="K798" s="2">
        <v>0</v>
      </c>
      <c r="L798" s="2"/>
      <c r="M798" s="33">
        <v>203.03628187857501</v>
      </c>
      <c r="N798" s="33">
        <v>36.005658484024998</v>
      </c>
      <c r="O798" s="8"/>
      <c r="P798" s="1"/>
      <c r="Q798" s="1"/>
      <c r="R798" s="1"/>
      <c r="S798" s="3"/>
      <c r="T798" s="3"/>
      <c r="U798" s="3"/>
      <c r="V798" s="3"/>
      <c r="W798" s="3"/>
      <c r="X798" s="3"/>
      <c r="Y798" s="3"/>
      <c r="Z798" s="27" t="s">
        <v>247</v>
      </c>
      <c r="AA798" t="s">
        <v>243</v>
      </c>
    </row>
    <row r="799" spans="1:27" x14ac:dyDescent="0.25">
      <c r="A799" s="12">
        <v>124</v>
      </c>
      <c r="B799">
        <v>21</v>
      </c>
      <c r="C799">
        <f t="shared" si="111"/>
        <v>12421</v>
      </c>
      <c r="D799" s="3" t="s">
        <v>86</v>
      </c>
      <c r="E799" s="11">
        <f t="shared" si="109"/>
        <v>58.922269444444439</v>
      </c>
      <c r="F799" s="11">
        <f t="shared" si="110"/>
        <v>2.1981249999999997</v>
      </c>
      <c r="G799" s="12" t="s">
        <v>144</v>
      </c>
      <c r="H799" s="12" t="s">
        <v>47</v>
      </c>
      <c r="I799">
        <v>2021</v>
      </c>
      <c r="J799" s="12" t="s">
        <v>163</v>
      </c>
      <c r="K799" s="2">
        <v>0</v>
      </c>
      <c r="L799" s="2"/>
      <c r="M799" s="33">
        <v>143.25</v>
      </c>
      <c r="N799" s="33">
        <v>27.25</v>
      </c>
      <c r="O799" s="8"/>
      <c r="P799" s="1"/>
      <c r="Q799" s="1"/>
      <c r="R799" s="1"/>
      <c r="S799" s="3"/>
      <c r="T799" s="3"/>
      <c r="U799" s="3"/>
      <c r="V799" s="3"/>
      <c r="W799" s="3"/>
      <c r="X799" s="3"/>
      <c r="Y799" s="3"/>
      <c r="Z799" s="27" t="s">
        <v>247</v>
      </c>
      <c r="AA799" t="s">
        <v>243</v>
      </c>
    </row>
    <row r="800" spans="1:27" x14ac:dyDescent="0.25">
      <c r="A800" s="12">
        <v>124</v>
      </c>
      <c r="B800">
        <v>22</v>
      </c>
      <c r="C800">
        <f t="shared" si="111"/>
        <v>12422</v>
      </c>
      <c r="D800" s="3" t="s">
        <v>86</v>
      </c>
      <c r="E800" s="11">
        <f>59+27/60+27.1/3600</f>
        <v>59.457527777777777</v>
      </c>
      <c r="F800" s="11">
        <f>2+21/60+52.15/3600</f>
        <v>2.3644861111111113</v>
      </c>
      <c r="G800" s="12" t="s">
        <v>144</v>
      </c>
      <c r="H800" s="12" t="s">
        <v>47</v>
      </c>
      <c r="I800">
        <v>2002</v>
      </c>
      <c r="J800" s="12" t="s">
        <v>163</v>
      </c>
      <c r="K800" s="2">
        <v>0</v>
      </c>
      <c r="L800" s="2"/>
      <c r="M800" s="33">
        <v>6.4</v>
      </c>
      <c r="N800" s="33"/>
      <c r="O800" s="8"/>
      <c r="P800" s="1"/>
      <c r="Q800" s="1"/>
      <c r="R800" s="1"/>
      <c r="S800" s="3"/>
      <c r="T800" s="3"/>
      <c r="U800" s="3"/>
      <c r="V800" s="3"/>
      <c r="W800" s="3"/>
      <c r="X800" s="3"/>
      <c r="Y800" s="3"/>
      <c r="Z800" s="27" t="s">
        <v>247</v>
      </c>
      <c r="AA800" t="s">
        <v>215</v>
      </c>
    </row>
    <row r="801" spans="1:27" x14ac:dyDescent="0.25">
      <c r="A801" s="12">
        <v>124</v>
      </c>
      <c r="B801">
        <v>22</v>
      </c>
      <c r="C801">
        <f t="shared" si="111"/>
        <v>12422</v>
      </c>
      <c r="D801" s="3" t="s">
        <v>86</v>
      </c>
      <c r="E801" s="11">
        <f t="shared" ref="E801:E818" si="112">59+27/60+27.1/3600</f>
        <v>59.457527777777777</v>
      </c>
      <c r="F801" s="11">
        <f t="shared" ref="F801:F818" si="113">2+21/60+52.15/3600</f>
        <v>2.3644861111111113</v>
      </c>
      <c r="G801" s="12" t="s">
        <v>144</v>
      </c>
      <c r="H801" s="12" t="s">
        <v>47</v>
      </c>
      <c r="I801">
        <v>2003</v>
      </c>
      <c r="J801" s="12" t="s">
        <v>163</v>
      </c>
      <c r="K801" s="2">
        <v>0</v>
      </c>
      <c r="L801" s="2"/>
      <c r="M801" s="33">
        <v>6.8</v>
      </c>
      <c r="N801" s="33"/>
      <c r="O801" s="8"/>
      <c r="P801" s="1"/>
      <c r="Q801" s="1"/>
      <c r="R801" s="1"/>
      <c r="S801" s="3"/>
      <c r="T801" s="3"/>
      <c r="U801" s="3"/>
      <c r="V801" s="3"/>
      <c r="W801" s="3"/>
      <c r="X801" s="3"/>
      <c r="Y801" s="3"/>
      <c r="Z801" s="27" t="s">
        <v>247</v>
      </c>
      <c r="AA801" t="s">
        <v>215</v>
      </c>
    </row>
    <row r="802" spans="1:27" x14ac:dyDescent="0.25">
      <c r="A802" s="12">
        <v>124</v>
      </c>
      <c r="B802">
        <v>22</v>
      </c>
      <c r="C802">
        <f t="shared" si="111"/>
        <v>12422</v>
      </c>
      <c r="D802" s="3" t="s">
        <v>86</v>
      </c>
      <c r="E802" s="11">
        <f t="shared" si="112"/>
        <v>59.457527777777777</v>
      </c>
      <c r="F802" s="11">
        <f t="shared" si="113"/>
        <v>2.3644861111111113</v>
      </c>
      <c r="G802" s="12" t="s">
        <v>144</v>
      </c>
      <c r="H802" s="12" t="s">
        <v>47</v>
      </c>
      <c r="I802">
        <v>2004</v>
      </c>
      <c r="J802" s="12" t="s">
        <v>163</v>
      </c>
      <c r="K802" s="2">
        <v>0</v>
      </c>
      <c r="L802" s="2"/>
      <c r="M802" s="33">
        <v>6</v>
      </c>
      <c r="N802" s="33"/>
      <c r="O802" s="8"/>
      <c r="P802" s="1"/>
      <c r="Q802" s="1"/>
      <c r="R802" s="1"/>
      <c r="S802" s="3"/>
      <c r="T802" s="3"/>
      <c r="U802" s="3"/>
      <c r="V802" s="3"/>
      <c r="W802" s="3"/>
      <c r="X802" s="3"/>
      <c r="Y802" s="3"/>
      <c r="Z802" s="27" t="s">
        <v>247</v>
      </c>
      <c r="AA802" t="s">
        <v>215</v>
      </c>
    </row>
    <row r="803" spans="1:27" x14ac:dyDescent="0.25">
      <c r="A803" s="12">
        <v>124</v>
      </c>
      <c r="B803">
        <v>22</v>
      </c>
      <c r="C803">
        <f t="shared" si="111"/>
        <v>12422</v>
      </c>
      <c r="D803" s="3" t="s">
        <v>86</v>
      </c>
      <c r="E803" s="11">
        <f t="shared" si="112"/>
        <v>59.457527777777777</v>
      </c>
      <c r="F803" s="11">
        <f t="shared" si="113"/>
        <v>2.3644861111111113</v>
      </c>
      <c r="G803" s="12" t="s">
        <v>144</v>
      </c>
      <c r="H803" s="12" t="s">
        <v>47</v>
      </c>
      <c r="I803">
        <v>2005</v>
      </c>
      <c r="J803" s="12" t="s">
        <v>163</v>
      </c>
      <c r="K803" s="2">
        <v>0</v>
      </c>
      <c r="L803" s="2"/>
      <c r="M803" s="33">
        <v>5.9</v>
      </c>
      <c r="N803" s="33">
        <v>6.37</v>
      </c>
      <c r="O803" s="8"/>
      <c r="P803" s="1"/>
      <c r="Q803" s="1"/>
      <c r="R803" s="1"/>
      <c r="S803" s="3"/>
      <c r="T803" s="3"/>
      <c r="U803" s="3"/>
      <c r="V803" s="3"/>
      <c r="W803" s="3"/>
      <c r="X803" s="3"/>
      <c r="Y803" s="3"/>
      <c r="Z803" s="27" t="s">
        <v>247</v>
      </c>
      <c r="AA803" t="s">
        <v>215</v>
      </c>
    </row>
    <row r="804" spans="1:27" x14ac:dyDescent="0.25">
      <c r="A804" s="12">
        <v>124</v>
      </c>
      <c r="B804">
        <v>22</v>
      </c>
      <c r="C804">
        <f t="shared" si="111"/>
        <v>12422</v>
      </c>
      <c r="D804" s="3" t="s">
        <v>86</v>
      </c>
      <c r="E804" s="11">
        <f t="shared" si="112"/>
        <v>59.457527777777777</v>
      </c>
      <c r="F804" s="11">
        <f t="shared" si="113"/>
        <v>2.3644861111111113</v>
      </c>
      <c r="G804" s="12" t="s">
        <v>144</v>
      </c>
      <c r="H804" s="12" t="s">
        <v>47</v>
      </c>
      <c r="I804">
        <v>2006</v>
      </c>
      <c r="J804" s="12" t="s">
        <v>163</v>
      </c>
      <c r="K804" s="2">
        <v>0</v>
      </c>
      <c r="L804" s="2"/>
      <c r="M804" s="33">
        <v>5.45</v>
      </c>
      <c r="N804" s="33">
        <v>6.56666667</v>
      </c>
      <c r="O804" s="8"/>
      <c r="P804" s="1"/>
      <c r="Q804" s="1"/>
      <c r="R804" s="1"/>
      <c r="S804" s="3"/>
      <c r="T804" s="3"/>
      <c r="U804" s="3"/>
      <c r="V804" s="3"/>
      <c r="W804" s="3"/>
      <c r="X804" s="3"/>
      <c r="Y804" s="3"/>
      <c r="Z804" s="27" t="s">
        <v>247</v>
      </c>
      <c r="AA804" t="s">
        <v>215</v>
      </c>
    </row>
    <row r="805" spans="1:27" x14ac:dyDescent="0.25">
      <c r="A805" s="12">
        <v>124</v>
      </c>
      <c r="B805">
        <v>22</v>
      </c>
      <c r="C805">
        <f t="shared" si="111"/>
        <v>12422</v>
      </c>
      <c r="D805" s="3" t="s">
        <v>86</v>
      </c>
      <c r="E805" s="11">
        <f t="shared" si="112"/>
        <v>59.457527777777777</v>
      </c>
      <c r="F805" s="11">
        <f t="shared" si="113"/>
        <v>2.3644861111111113</v>
      </c>
      <c r="G805" s="12" t="s">
        <v>144</v>
      </c>
      <c r="H805" s="12" t="s">
        <v>47</v>
      </c>
      <c r="I805">
        <v>2007</v>
      </c>
      <c r="J805" s="12" t="s">
        <v>163</v>
      </c>
      <c r="K805" s="2">
        <v>0</v>
      </c>
      <c r="L805" s="2"/>
      <c r="M805" s="33">
        <v>6.32</v>
      </c>
      <c r="N805" s="33">
        <v>7.16</v>
      </c>
      <c r="O805" s="8"/>
      <c r="P805" s="1"/>
      <c r="Q805" s="1"/>
      <c r="R805" s="1"/>
      <c r="S805" s="3"/>
      <c r="T805" s="3"/>
      <c r="U805" s="3"/>
      <c r="V805" s="3"/>
      <c r="W805" s="3"/>
      <c r="X805" s="3"/>
      <c r="Y805" s="3"/>
      <c r="Z805" s="27" t="s">
        <v>247</v>
      </c>
      <c r="AA805" t="s">
        <v>215</v>
      </c>
    </row>
    <row r="806" spans="1:27" x14ac:dyDescent="0.25">
      <c r="A806" s="12">
        <v>124</v>
      </c>
      <c r="B806">
        <v>22</v>
      </c>
      <c r="C806">
        <f t="shared" si="111"/>
        <v>12422</v>
      </c>
      <c r="D806" s="3" t="s">
        <v>86</v>
      </c>
      <c r="E806" s="11">
        <f t="shared" si="112"/>
        <v>59.457527777777777</v>
      </c>
      <c r="F806" s="11">
        <f t="shared" si="113"/>
        <v>2.3644861111111113</v>
      </c>
      <c r="G806" s="12" t="s">
        <v>144</v>
      </c>
      <c r="H806" s="12" t="s">
        <v>47</v>
      </c>
      <c r="I806">
        <v>2008</v>
      </c>
      <c r="J806" s="12" t="s">
        <v>163</v>
      </c>
      <c r="K806" s="2">
        <v>0</v>
      </c>
      <c r="L806" s="2"/>
      <c r="M806" s="33">
        <v>6.1</v>
      </c>
      <c r="N806" s="33">
        <v>6.8666666699999999</v>
      </c>
      <c r="O806" s="8"/>
      <c r="P806" s="1"/>
      <c r="Q806" s="1"/>
      <c r="R806" s="1"/>
      <c r="S806" s="3"/>
      <c r="T806" s="3"/>
      <c r="U806" s="3"/>
      <c r="V806" s="3"/>
      <c r="W806" s="3"/>
      <c r="X806" s="3"/>
      <c r="Y806" s="3"/>
      <c r="Z806" s="27" t="s">
        <v>247</v>
      </c>
      <c r="AA806" t="s">
        <v>215</v>
      </c>
    </row>
    <row r="807" spans="1:27" x14ac:dyDescent="0.25">
      <c r="A807" s="12">
        <v>124</v>
      </c>
      <c r="B807">
        <v>22</v>
      </c>
      <c r="C807">
        <f t="shared" si="111"/>
        <v>12422</v>
      </c>
      <c r="D807" s="3" t="s">
        <v>86</v>
      </c>
      <c r="E807" s="11">
        <f t="shared" si="112"/>
        <v>59.457527777777777</v>
      </c>
      <c r="F807" s="11">
        <f t="shared" si="113"/>
        <v>2.3644861111111113</v>
      </c>
      <c r="G807" s="12" t="s">
        <v>144</v>
      </c>
      <c r="H807" s="12" t="s">
        <v>47</v>
      </c>
      <c r="I807">
        <v>2009</v>
      </c>
      <c r="J807" s="12" t="s">
        <v>163</v>
      </c>
      <c r="K807" s="2">
        <v>0</v>
      </c>
      <c r="L807" s="2"/>
      <c r="M807" s="33">
        <v>6.41818182</v>
      </c>
      <c r="N807" s="33">
        <v>7.0363636400000003</v>
      </c>
      <c r="O807" s="8"/>
      <c r="P807" s="1"/>
      <c r="Q807" s="1"/>
      <c r="R807" s="1"/>
      <c r="S807" s="3"/>
      <c r="T807" s="3"/>
      <c r="U807" s="3"/>
      <c r="V807" s="3"/>
      <c r="W807" s="3"/>
      <c r="X807" s="3"/>
      <c r="Y807" s="3"/>
      <c r="Z807" s="27" t="s">
        <v>247</v>
      </c>
      <c r="AA807" t="s">
        <v>215</v>
      </c>
    </row>
    <row r="808" spans="1:27" x14ac:dyDescent="0.25">
      <c r="A808" s="12">
        <v>124</v>
      </c>
      <c r="B808">
        <v>22</v>
      </c>
      <c r="C808">
        <f t="shared" si="111"/>
        <v>12422</v>
      </c>
      <c r="D808" s="3" t="s">
        <v>86</v>
      </c>
      <c r="E808" s="11">
        <f t="shared" si="112"/>
        <v>59.457527777777777</v>
      </c>
      <c r="F808" s="11">
        <f t="shared" si="113"/>
        <v>2.3644861111111113</v>
      </c>
      <c r="G808" s="12" t="s">
        <v>144</v>
      </c>
      <c r="H808" s="12" t="s">
        <v>47</v>
      </c>
      <c r="I808">
        <v>2010</v>
      </c>
      <c r="J808" s="12" t="s">
        <v>163</v>
      </c>
      <c r="K808" s="2">
        <v>0</v>
      </c>
      <c r="L808" s="2"/>
      <c r="M808" s="33">
        <v>7.5429078179999998</v>
      </c>
      <c r="N808" s="33">
        <v>8.370390811</v>
      </c>
      <c r="O808" s="8"/>
      <c r="P808" s="1"/>
      <c r="Q808" s="1"/>
      <c r="R808" s="1"/>
      <c r="S808" s="3"/>
      <c r="T808" s="3"/>
      <c r="U808" s="3"/>
      <c r="V808" s="3"/>
      <c r="W808" s="3"/>
      <c r="X808" s="3"/>
      <c r="Y808" s="3"/>
      <c r="Z808" s="27" t="s">
        <v>247</v>
      </c>
      <c r="AA808" t="s">
        <v>215</v>
      </c>
    </row>
    <row r="809" spans="1:27" x14ac:dyDescent="0.25">
      <c r="A809" s="12">
        <v>124</v>
      </c>
      <c r="B809">
        <v>22</v>
      </c>
      <c r="C809">
        <f t="shared" si="111"/>
        <v>12422</v>
      </c>
      <c r="D809" s="3" t="s">
        <v>86</v>
      </c>
      <c r="E809" s="11">
        <f t="shared" si="112"/>
        <v>59.457527777777777</v>
      </c>
      <c r="F809" s="11">
        <f t="shared" si="113"/>
        <v>2.3644861111111113</v>
      </c>
      <c r="G809" s="12" t="s">
        <v>144</v>
      </c>
      <c r="H809" s="12" t="s">
        <v>47</v>
      </c>
      <c r="I809">
        <v>2011</v>
      </c>
      <c r="J809" s="12" t="s">
        <v>163</v>
      </c>
      <c r="K809" s="2">
        <v>0</v>
      </c>
      <c r="L809" s="2"/>
      <c r="M809" s="33">
        <v>6.5387642440000002</v>
      </c>
      <c r="N809" s="33">
        <v>6.8735238680000004</v>
      </c>
      <c r="O809" s="8"/>
      <c r="P809" s="1"/>
      <c r="Q809" s="1"/>
      <c r="R809" s="1"/>
      <c r="S809" s="3"/>
      <c r="T809" s="3"/>
      <c r="U809" s="3"/>
      <c r="V809" s="3"/>
      <c r="W809" s="3"/>
      <c r="X809" s="3"/>
      <c r="Y809" s="3"/>
      <c r="Z809" s="27" t="s">
        <v>247</v>
      </c>
      <c r="AA809" t="s">
        <v>215</v>
      </c>
    </row>
    <row r="810" spans="1:27" x14ac:dyDescent="0.25">
      <c r="A810" s="12">
        <v>124</v>
      </c>
      <c r="B810">
        <v>22</v>
      </c>
      <c r="C810">
        <f t="shared" si="111"/>
        <v>12422</v>
      </c>
      <c r="D810" s="3" t="s">
        <v>86</v>
      </c>
      <c r="E810" s="11">
        <f t="shared" si="112"/>
        <v>59.457527777777777</v>
      </c>
      <c r="F810" s="11">
        <f t="shared" si="113"/>
        <v>2.3644861111111113</v>
      </c>
      <c r="G810" s="12" t="s">
        <v>144</v>
      </c>
      <c r="H810" s="12" t="s">
        <v>47</v>
      </c>
      <c r="I810">
        <v>2012</v>
      </c>
      <c r="J810" s="12" t="s">
        <v>163</v>
      </c>
      <c r="K810" s="2">
        <v>0</v>
      </c>
      <c r="L810" s="2"/>
      <c r="M810" s="33">
        <v>5.6571428571428601</v>
      </c>
      <c r="N810" s="33">
        <v>6.0242857142857096</v>
      </c>
      <c r="O810" s="8"/>
      <c r="P810" s="1"/>
      <c r="Q810" s="1"/>
      <c r="R810" s="1"/>
      <c r="S810" s="3"/>
      <c r="T810" s="3"/>
      <c r="U810" s="3"/>
      <c r="V810" s="3"/>
      <c r="W810" s="3"/>
      <c r="X810" s="3"/>
      <c r="Y810" s="3"/>
      <c r="Z810" s="27" t="s">
        <v>247</v>
      </c>
      <c r="AA810" t="s">
        <v>215</v>
      </c>
    </row>
    <row r="811" spans="1:27" x14ac:dyDescent="0.25">
      <c r="A811" s="12">
        <v>124</v>
      </c>
      <c r="B811">
        <v>22</v>
      </c>
      <c r="C811">
        <f t="shared" si="111"/>
        <v>12422</v>
      </c>
      <c r="D811" s="3" t="s">
        <v>86</v>
      </c>
      <c r="E811" s="11">
        <f t="shared" si="112"/>
        <v>59.457527777777777</v>
      </c>
      <c r="F811" s="11">
        <f t="shared" si="113"/>
        <v>2.3644861111111113</v>
      </c>
      <c r="G811" s="12" t="s">
        <v>144</v>
      </c>
      <c r="H811" s="12" t="s">
        <v>47</v>
      </c>
      <c r="I811">
        <v>2013</v>
      </c>
      <c r="J811" s="12" t="s">
        <v>163</v>
      </c>
      <c r="K811" s="2">
        <v>0</v>
      </c>
      <c r="L811" s="2"/>
      <c r="M811" s="33">
        <v>6.5250028001749998</v>
      </c>
      <c r="N811" s="33">
        <v>7.2857130056285699</v>
      </c>
      <c r="O811" s="8"/>
      <c r="P811" s="1"/>
      <c r="Q811" s="1"/>
      <c r="R811" s="1"/>
      <c r="S811" s="3"/>
      <c r="T811" s="3"/>
      <c r="U811" s="3"/>
      <c r="V811" s="3"/>
      <c r="W811" s="3"/>
      <c r="X811" s="3"/>
      <c r="Y811" s="3"/>
      <c r="Z811" s="27" t="s">
        <v>247</v>
      </c>
      <c r="AA811" t="s">
        <v>215</v>
      </c>
    </row>
    <row r="812" spans="1:27" x14ac:dyDescent="0.25">
      <c r="A812" s="12">
        <v>124</v>
      </c>
      <c r="B812">
        <v>22</v>
      </c>
      <c r="C812">
        <f t="shared" si="111"/>
        <v>12422</v>
      </c>
      <c r="D812" s="3" t="s">
        <v>86</v>
      </c>
      <c r="E812" s="11">
        <f t="shared" si="112"/>
        <v>59.457527777777777</v>
      </c>
      <c r="F812" s="11">
        <f t="shared" si="113"/>
        <v>2.3644861111111113</v>
      </c>
      <c r="G812" s="12" t="s">
        <v>144</v>
      </c>
      <c r="H812" s="12" t="s">
        <v>47</v>
      </c>
      <c r="I812">
        <v>2014</v>
      </c>
      <c r="J812" s="12" t="s">
        <v>163</v>
      </c>
      <c r="K812" s="2">
        <v>0</v>
      </c>
      <c r="L812" s="2"/>
      <c r="M812" s="33">
        <v>6.3299990427699999</v>
      </c>
      <c r="N812" s="33">
        <v>6.7699999580199997</v>
      </c>
      <c r="O812" s="8"/>
      <c r="P812" s="1"/>
      <c r="Q812" s="1"/>
      <c r="R812" s="1"/>
      <c r="S812" s="3"/>
      <c r="T812" s="3"/>
      <c r="U812" s="3"/>
      <c r="V812" s="3"/>
      <c r="W812" s="3"/>
      <c r="X812" s="3"/>
      <c r="Y812" s="3"/>
      <c r="Z812" s="27" t="s">
        <v>247</v>
      </c>
      <c r="AA812" t="s">
        <v>215</v>
      </c>
    </row>
    <row r="813" spans="1:27" x14ac:dyDescent="0.25">
      <c r="A813" s="12">
        <v>124</v>
      </c>
      <c r="B813">
        <v>22</v>
      </c>
      <c r="C813">
        <f t="shared" si="111"/>
        <v>12422</v>
      </c>
      <c r="D813" s="3" t="s">
        <v>86</v>
      </c>
      <c r="E813" s="11">
        <f t="shared" si="112"/>
        <v>59.457527777777777</v>
      </c>
      <c r="F813" s="11">
        <f t="shared" si="113"/>
        <v>2.3644861111111113</v>
      </c>
      <c r="G813" s="12" t="s">
        <v>144</v>
      </c>
      <c r="H813" s="12" t="s">
        <v>47</v>
      </c>
      <c r="I813">
        <v>2015</v>
      </c>
      <c r="J813" s="12" t="s">
        <v>163</v>
      </c>
      <c r="K813" s="2">
        <v>0</v>
      </c>
      <c r="L813" s="2"/>
      <c r="M813" s="33">
        <v>6.875</v>
      </c>
      <c r="N813" s="33">
        <v>6.93333333333333</v>
      </c>
      <c r="O813" s="8"/>
      <c r="P813" s="1"/>
      <c r="Q813" s="1"/>
      <c r="R813" s="1"/>
      <c r="S813" s="3"/>
      <c r="T813" s="3"/>
      <c r="U813" s="3"/>
      <c r="V813" s="3"/>
      <c r="W813" s="3"/>
      <c r="X813" s="3"/>
      <c r="Y813" s="3"/>
      <c r="Z813" s="27" t="s">
        <v>247</v>
      </c>
      <c r="AA813" t="s">
        <v>215</v>
      </c>
    </row>
    <row r="814" spans="1:27" x14ac:dyDescent="0.25">
      <c r="A814" s="12">
        <v>124</v>
      </c>
      <c r="B814">
        <v>22</v>
      </c>
      <c r="C814">
        <f t="shared" si="111"/>
        <v>12422</v>
      </c>
      <c r="D814" s="3" t="s">
        <v>86</v>
      </c>
      <c r="E814" s="11">
        <f t="shared" si="112"/>
        <v>59.457527777777777</v>
      </c>
      <c r="F814" s="11">
        <f t="shared" si="113"/>
        <v>2.3644861111111113</v>
      </c>
      <c r="G814" s="12" t="s">
        <v>144</v>
      </c>
      <c r="H814" s="12" t="s">
        <v>47</v>
      </c>
      <c r="I814">
        <v>2016</v>
      </c>
      <c r="J814" s="12" t="s">
        <v>163</v>
      </c>
      <c r="K814" s="2">
        <v>0</v>
      </c>
      <c r="L814" s="2"/>
      <c r="M814" s="33">
        <v>6.65</v>
      </c>
      <c r="N814" s="33">
        <v>6.75</v>
      </c>
      <c r="O814" s="8"/>
      <c r="P814" s="1"/>
      <c r="Q814" s="1"/>
      <c r="R814" s="1"/>
      <c r="S814" s="3"/>
      <c r="T814" s="3"/>
      <c r="U814" s="3"/>
      <c r="V814" s="3"/>
      <c r="W814" s="3"/>
      <c r="X814" s="3"/>
      <c r="Y814" s="3"/>
      <c r="Z814" s="27" t="s">
        <v>247</v>
      </c>
      <c r="AA814" t="s">
        <v>215</v>
      </c>
    </row>
    <row r="815" spans="1:27" x14ac:dyDescent="0.25">
      <c r="A815" s="12">
        <v>124</v>
      </c>
      <c r="B815">
        <v>22</v>
      </c>
      <c r="C815">
        <f t="shared" si="111"/>
        <v>12422</v>
      </c>
      <c r="D815" s="3" t="s">
        <v>86</v>
      </c>
      <c r="E815" s="11">
        <f t="shared" si="112"/>
        <v>59.457527777777777</v>
      </c>
      <c r="F815" s="11">
        <f t="shared" si="113"/>
        <v>2.3644861111111113</v>
      </c>
      <c r="G815" s="12" t="s">
        <v>144</v>
      </c>
      <c r="H815" s="12" t="s">
        <v>47</v>
      </c>
      <c r="I815">
        <v>2017</v>
      </c>
      <c r="J815" s="12" t="s">
        <v>163</v>
      </c>
      <c r="K815" s="2">
        <v>0</v>
      </c>
      <c r="L815" s="2"/>
      <c r="M815" s="33">
        <v>8.5250000000000004</v>
      </c>
      <c r="N815" s="33">
        <v>8.875</v>
      </c>
      <c r="O815" s="8"/>
      <c r="P815" s="1"/>
      <c r="Q815" s="1"/>
      <c r="R815" s="1"/>
      <c r="S815" s="3"/>
      <c r="T815" s="3"/>
      <c r="U815" s="3"/>
      <c r="V815" s="3"/>
      <c r="W815" s="3"/>
      <c r="X815" s="3"/>
      <c r="Y815" s="3"/>
      <c r="Z815" s="27" t="s">
        <v>247</v>
      </c>
      <c r="AA815" t="s">
        <v>215</v>
      </c>
    </row>
    <row r="816" spans="1:27" x14ac:dyDescent="0.25">
      <c r="A816" s="12">
        <v>124</v>
      </c>
      <c r="B816">
        <v>22</v>
      </c>
      <c r="C816">
        <f t="shared" si="111"/>
        <v>12422</v>
      </c>
      <c r="D816" s="3" t="s">
        <v>86</v>
      </c>
      <c r="E816" s="11">
        <f t="shared" si="112"/>
        <v>59.457527777777777</v>
      </c>
      <c r="F816" s="11">
        <f t="shared" si="113"/>
        <v>2.3644861111111113</v>
      </c>
      <c r="G816" s="12" t="s">
        <v>144</v>
      </c>
      <c r="H816" s="12" t="s">
        <v>47</v>
      </c>
      <c r="I816">
        <v>2018</v>
      </c>
      <c r="J816" s="12" t="s">
        <v>163</v>
      </c>
      <c r="K816" s="2">
        <v>0</v>
      </c>
      <c r="L816" s="2"/>
      <c r="M816" s="33">
        <v>11</v>
      </c>
      <c r="N816" s="33">
        <v>12.525</v>
      </c>
      <c r="O816" s="8"/>
      <c r="P816" s="1"/>
      <c r="Q816" s="1"/>
      <c r="R816" s="1"/>
      <c r="S816" s="3"/>
      <c r="T816" s="3"/>
      <c r="U816" s="3"/>
      <c r="V816" s="3"/>
      <c r="W816" s="3"/>
      <c r="X816" s="3"/>
      <c r="Y816" s="3"/>
      <c r="Z816" s="27" t="s">
        <v>247</v>
      </c>
      <c r="AA816" t="s">
        <v>215</v>
      </c>
    </row>
    <row r="817" spans="1:27" x14ac:dyDescent="0.25">
      <c r="A817" s="12">
        <v>124</v>
      </c>
      <c r="B817">
        <v>22</v>
      </c>
      <c r="C817">
        <f t="shared" si="111"/>
        <v>12422</v>
      </c>
      <c r="D817" s="3" t="s">
        <v>86</v>
      </c>
      <c r="E817" s="11">
        <f t="shared" si="112"/>
        <v>59.457527777777777</v>
      </c>
      <c r="F817" s="11">
        <f t="shared" si="113"/>
        <v>2.3644861111111113</v>
      </c>
      <c r="G817" s="12" t="s">
        <v>144</v>
      </c>
      <c r="H817" s="12" t="s">
        <v>47</v>
      </c>
      <c r="I817">
        <v>2019</v>
      </c>
      <c r="J817" s="12" t="s">
        <v>163</v>
      </c>
      <c r="K817" s="2">
        <v>0</v>
      </c>
      <c r="L817" s="2"/>
      <c r="M817" s="33">
        <v>8.8249999999999993</v>
      </c>
      <c r="N817" s="33">
        <v>9.875</v>
      </c>
      <c r="O817" s="8"/>
      <c r="P817" s="1"/>
      <c r="Q817" s="1"/>
      <c r="R817" s="1"/>
      <c r="S817" s="3"/>
      <c r="T817" s="3"/>
      <c r="U817" s="3"/>
      <c r="V817" s="3"/>
      <c r="W817" s="3"/>
      <c r="X817" s="3"/>
      <c r="Y817" s="3"/>
      <c r="Z817" s="27" t="s">
        <v>247</v>
      </c>
      <c r="AA817" t="s">
        <v>215</v>
      </c>
    </row>
    <row r="818" spans="1:27" x14ac:dyDescent="0.25">
      <c r="A818" s="12">
        <v>124</v>
      </c>
      <c r="B818">
        <v>22</v>
      </c>
      <c r="C818">
        <f t="shared" si="111"/>
        <v>12422</v>
      </c>
      <c r="D818" s="3" t="s">
        <v>86</v>
      </c>
      <c r="E818" s="11">
        <f t="shared" si="112"/>
        <v>59.457527777777777</v>
      </c>
      <c r="F818" s="11">
        <f t="shared" si="113"/>
        <v>2.3644861111111113</v>
      </c>
      <c r="G818" s="12" t="s">
        <v>144</v>
      </c>
      <c r="H818" s="12" t="s">
        <v>47</v>
      </c>
      <c r="I818">
        <v>2020</v>
      </c>
      <c r="J818" s="12" t="s">
        <v>163</v>
      </c>
      <c r="K818" s="2">
        <v>0</v>
      </c>
      <c r="L818" s="2"/>
      <c r="M818" s="33">
        <v>8</v>
      </c>
      <c r="N818" s="33">
        <v>8.6</v>
      </c>
      <c r="O818" s="8"/>
      <c r="P818" s="1"/>
      <c r="Q818" s="1"/>
      <c r="R818" s="1"/>
      <c r="S818" s="3"/>
      <c r="T818" s="3"/>
      <c r="U818" s="3"/>
      <c r="V818" s="3"/>
      <c r="W818" s="3"/>
      <c r="X818" s="3"/>
      <c r="Y818" s="3"/>
      <c r="Z818" s="27" t="s">
        <v>247</v>
      </c>
      <c r="AA818" t="s">
        <v>215</v>
      </c>
    </row>
    <row r="819" spans="1:27" x14ac:dyDescent="0.25">
      <c r="A819" s="12">
        <v>124</v>
      </c>
      <c r="B819">
        <v>23</v>
      </c>
      <c r="C819">
        <f t="shared" si="111"/>
        <v>12423</v>
      </c>
      <c r="D819" s="3" t="s">
        <v>86</v>
      </c>
      <c r="E819" s="11">
        <f>61+48/60+43.15/3600</f>
        <v>61.811986111111111</v>
      </c>
      <c r="F819" s="11">
        <f>2+46/60+24.64/3600</f>
        <v>2.773511111111111</v>
      </c>
      <c r="G819" s="12" t="s">
        <v>144</v>
      </c>
      <c r="H819" s="12" t="s">
        <v>47</v>
      </c>
      <c r="I819">
        <v>2015</v>
      </c>
      <c r="J819" s="12" t="s">
        <v>163</v>
      </c>
      <c r="K819" s="2">
        <v>0</v>
      </c>
      <c r="L819" s="2"/>
      <c r="M819" s="33">
        <v>2.6214656551500002</v>
      </c>
      <c r="N819" s="33">
        <v>3.6910992413499999</v>
      </c>
      <c r="O819" s="8"/>
      <c r="P819" s="1"/>
      <c r="Q819" s="1"/>
      <c r="R819" s="1"/>
      <c r="S819" s="3"/>
      <c r="T819" s="3"/>
      <c r="U819" s="3"/>
      <c r="V819" s="3"/>
      <c r="W819" s="3"/>
      <c r="X819" s="3"/>
      <c r="Y819" s="3"/>
      <c r="Z819" s="27" t="s">
        <v>247</v>
      </c>
      <c r="AA819" t="s">
        <v>239</v>
      </c>
    </row>
    <row r="820" spans="1:27" x14ac:dyDescent="0.25">
      <c r="A820" s="12">
        <v>124</v>
      </c>
      <c r="B820">
        <v>23</v>
      </c>
      <c r="C820">
        <f t="shared" si="111"/>
        <v>12423</v>
      </c>
      <c r="D820" s="3" t="s">
        <v>86</v>
      </c>
      <c r="E820" s="11">
        <f t="shared" ref="E820:E825" si="114">61+48/60+43.15/3600</f>
        <v>61.811986111111111</v>
      </c>
      <c r="F820" s="11">
        <f t="shared" ref="F820:F825" si="115">2+46/60+24.64/3600</f>
        <v>2.773511111111111</v>
      </c>
      <c r="G820" s="12" t="s">
        <v>144</v>
      </c>
      <c r="H820" s="12" t="s">
        <v>47</v>
      </c>
      <c r="I820">
        <v>2016</v>
      </c>
      <c r="J820" s="12" t="s">
        <v>163</v>
      </c>
      <c r="K820" s="2">
        <v>0</v>
      </c>
      <c r="L820" s="2"/>
      <c r="M820" s="33">
        <v>2.5774364796250002</v>
      </c>
      <c r="N820" s="33">
        <v>3.588287045425</v>
      </c>
      <c r="O820" s="8"/>
      <c r="P820" s="1"/>
      <c r="Q820" s="1"/>
      <c r="R820" s="1"/>
      <c r="S820" s="3"/>
      <c r="T820" s="3"/>
      <c r="U820" s="3"/>
      <c r="V820" s="3"/>
      <c r="W820" s="3"/>
      <c r="X820" s="3"/>
      <c r="Y820" s="3"/>
      <c r="Z820" s="27" t="s">
        <v>247</v>
      </c>
      <c r="AA820" t="s">
        <v>239</v>
      </c>
    </row>
    <row r="821" spans="1:27" x14ac:dyDescent="0.25">
      <c r="A821" s="12">
        <v>124</v>
      </c>
      <c r="B821">
        <v>23</v>
      </c>
      <c r="C821">
        <f t="shared" si="111"/>
        <v>12423</v>
      </c>
      <c r="D821" s="3" t="s">
        <v>86</v>
      </c>
      <c r="E821" s="11">
        <f t="shared" si="114"/>
        <v>61.811986111111111</v>
      </c>
      <c r="F821" s="11">
        <f t="shared" si="115"/>
        <v>2.773511111111111</v>
      </c>
      <c r="G821" s="12" t="s">
        <v>144</v>
      </c>
      <c r="H821" s="12" t="s">
        <v>47</v>
      </c>
      <c r="I821">
        <v>2017</v>
      </c>
      <c r="J821" s="12" t="s">
        <v>163</v>
      </c>
      <c r="K821" s="2">
        <v>0</v>
      </c>
      <c r="L821" s="2"/>
      <c r="M821" s="33">
        <v>3.0025090992750001</v>
      </c>
      <c r="N821" s="33">
        <v>2.9015925339000002</v>
      </c>
      <c r="O821" s="8"/>
      <c r="P821" s="1"/>
      <c r="Q821" s="1"/>
      <c r="R821" s="1"/>
      <c r="S821" s="3"/>
      <c r="T821" s="3"/>
      <c r="U821" s="3"/>
      <c r="V821" s="3"/>
      <c r="W821" s="3"/>
      <c r="X821" s="3"/>
      <c r="Y821" s="3"/>
      <c r="Z821" s="27" t="s">
        <v>247</v>
      </c>
      <c r="AA821" t="s">
        <v>239</v>
      </c>
    </row>
    <row r="822" spans="1:27" x14ac:dyDescent="0.25">
      <c r="A822" s="12">
        <v>124</v>
      </c>
      <c r="B822">
        <v>23</v>
      </c>
      <c r="C822">
        <f t="shared" si="111"/>
        <v>12423</v>
      </c>
      <c r="D822" s="3" t="s">
        <v>86</v>
      </c>
      <c r="E822" s="11">
        <f t="shared" si="114"/>
        <v>61.811986111111111</v>
      </c>
      <c r="F822" s="11">
        <f t="shared" si="115"/>
        <v>2.773511111111111</v>
      </c>
      <c r="G822" s="12" t="s">
        <v>144</v>
      </c>
      <c r="H822" s="12" t="s">
        <v>47</v>
      </c>
      <c r="I822">
        <v>2018</v>
      </c>
      <c r="J822" s="12" t="s">
        <v>163</v>
      </c>
      <c r="K822" s="2">
        <v>0</v>
      </c>
      <c r="L822" s="2"/>
      <c r="M822" s="33">
        <v>2.75</v>
      </c>
      <c r="N822" s="33">
        <v>3.7</v>
      </c>
      <c r="O822" s="8"/>
      <c r="P822" s="1"/>
      <c r="Q822" s="1"/>
      <c r="R822" s="1"/>
      <c r="S822" s="3"/>
      <c r="T822" s="3"/>
      <c r="U822" s="3"/>
      <c r="V822" s="3"/>
      <c r="W822" s="3"/>
      <c r="X822" s="3"/>
      <c r="Y822" s="3"/>
      <c r="Z822" s="27" t="s">
        <v>247</v>
      </c>
      <c r="AA822" t="s">
        <v>239</v>
      </c>
    </row>
    <row r="823" spans="1:27" x14ac:dyDescent="0.25">
      <c r="A823" s="12">
        <v>124</v>
      </c>
      <c r="B823">
        <v>23</v>
      </c>
      <c r="C823">
        <f t="shared" si="111"/>
        <v>12423</v>
      </c>
      <c r="D823" s="3" t="s">
        <v>86</v>
      </c>
      <c r="E823" s="11">
        <f t="shared" si="114"/>
        <v>61.811986111111111</v>
      </c>
      <c r="F823" s="11">
        <f t="shared" si="115"/>
        <v>2.773511111111111</v>
      </c>
      <c r="G823" s="12" t="s">
        <v>144</v>
      </c>
      <c r="H823" s="12" t="s">
        <v>47</v>
      </c>
      <c r="I823">
        <v>2019</v>
      </c>
      <c r="J823" s="12" t="s">
        <v>163</v>
      </c>
      <c r="K823" s="2">
        <v>0</v>
      </c>
      <c r="L823" s="2"/>
      <c r="M823" s="33">
        <v>3.2749999999999999</v>
      </c>
      <c r="N823" s="33">
        <v>3.7633333333333301</v>
      </c>
      <c r="O823" s="8"/>
      <c r="P823" s="1"/>
      <c r="Q823" s="1"/>
      <c r="R823" s="1"/>
      <c r="S823" s="3"/>
      <c r="T823" s="3"/>
      <c r="U823" s="3"/>
      <c r="V823" s="3"/>
      <c r="W823" s="3"/>
      <c r="X823" s="3"/>
      <c r="Y823" s="3"/>
      <c r="Z823" s="27" t="s">
        <v>247</v>
      </c>
      <c r="AA823" t="s">
        <v>239</v>
      </c>
    </row>
    <row r="824" spans="1:27" x14ac:dyDescent="0.25">
      <c r="A824" s="12">
        <v>124</v>
      </c>
      <c r="B824">
        <v>23</v>
      </c>
      <c r="C824">
        <f t="shared" si="111"/>
        <v>12423</v>
      </c>
      <c r="D824" s="3" t="s">
        <v>86</v>
      </c>
      <c r="E824" s="11">
        <f t="shared" si="114"/>
        <v>61.811986111111111</v>
      </c>
      <c r="F824" s="11">
        <f t="shared" si="115"/>
        <v>2.773511111111111</v>
      </c>
      <c r="G824" s="12" t="s">
        <v>144</v>
      </c>
      <c r="H824" s="12" t="s">
        <v>47</v>
      </c>
      <c r="I824">
        <v>2020</v>
      </c>
      <c r="J824" s="12" t="s">
        <v>163</v>
      </c>
      <c r="K824" s="2">
        <v>0</v>
      </c>
      <c r="L824" s="2"/>
      <c r="M824" s="33">
        <v>3.3518890830857102</v>
      </c>
      <c r="N824" s="33">
        <v>4.1989744921199996</v>
      </c>
      <c r="O824" s="8"/>
      <c r="P824" s="1"/>
      <c r="Q824" s="1"/>
      <c r="R824" s="1"/>
      <c r="S824" s="3"/>
      <c r="T824" s="3"/>
      <c r="U824" s="3"/>
      <c r="V824" s="3"/>
      <c r="W824" s="3"/>
      <c r="X824" s="3"/>
      <c r="Y824" s="3"/>
      <c r="Z824" s="27" t="s">
        <v>247</v>
      </c>
      <c r="AA824" t="s">
        <v>239</v>
      </c>
    </row>
    <row r="825" spans="1:27" x14ac:dyDescent="0.25">
      <c r="A825" s="12">
        <v>124</v>
      </c>
      <c r="B825">
        <v>23</v>
      </c>
      <c r="C825">
        <f t="shared" si="111"/>
        <v>12423</v>
      </c>
      <c r="D825" s="3" t="s">
        <v>86</v>
      </c>
      <c r="E825" s="11">
        <f t="shared" si="114"/>
        <v>61.811986111111111</v>
      </c>
      <c r="F825" s="11">
        <f t="shared" si="115"/>
        <v>2.773511111111111</v>
      </c>
      <c r="G825" s="12" t="s">
        <v>144</v>
      </c>
      <c r="H825" s="12" t="s">
        <v>47</v>
      </c>
      <c r="I825">
        <v>2021</v>
      </c>
      <c r="J825" s="12" t="s">
        <v>163</v>
      </c>
      <c r="K825" s="2">
        <v>0</v>
      </c>
      <c r="L825" s="2"/>
      <c r="M825" s="33">
        <v>2.7333333333333298</v>
      </c>
      <c r="N825" s="33">
        <v>3.875</v>
      </c>
      <c r="O825" s="8"/>
      <c r="P825" s="1"/>
      <c r="Q825" s="1"/>
      <c r="R825" s="1"/>
      <c r="S825" s="3"/>
      <c r="T825" s="3"/>
      <c r="U825" s="3"/>
      <c r="V825" s="3"/>
      <c r="W825" s="3"/>
      <c r="X825" s="3"/>
      <c r="Y825" s="3"/>
      <c r="Z825" s="27" t="s">
        <v>247</v>
      </c>
      <c r="AA825" t="s">
        <v>239</v>
      </c>
    </row>
    <row r="826" spans="1:27" x14ac:dyDescent="0.25">
      <c r="A826" s="12">
        <v>124</v>
      </c>
      <c r="B826">
        <v>24</v>
      </c>
      <c r="C826">
        <f t="shared" si="111"/>
        <v>12424</v>
      </c>
      <c r="D826" s="3" t="s">
        <v>86</v>
      </c>
      <c r="E826" s="11">
        <f>64+59/60+38.24/3600</f>
        <v>64.993955555555559</v>
      </c>
      <c r="F826" s="11">
        <f>6+33/60+4.83/3600</f>
        <v>6.5513416666666666</v>
      </c>
      <c r="G826" s="12" t="s">
        <v>144</v>
      </c>
      <c r="H826" s="12" t="s">
        <v>47</v>
      </c>
      <c r="I826">
        <v>2006</v>
      </c>
      <c r="J826" s="12" t="s">
        <v>163</v>
      </c>
      <c r="K826" s="2">
        <v>0</v>
      </c>
      <c r="L826" s="2"/>
      <c r="M826" s="33">
        <v>0.29165000000000002</v>
      </c>
      <c r="N826" s="33">
        <v>0.1</v>
      </c>
      <c r="O826" s="8"/>
      <c r="P826" s="1"/>
      <c r="Q826" s="1"/>
      <c r="R826" s="1"/>
      <c r="S826" s="3"/>
      <c r="T826" s="3"/>
      <c r="U826" s="3"/>
      <c r="V826" s="3"/>
      <c r="W826" s="3"/>
      <c r="X826" s="3"/>
      <c r="Y826" s="3"/>
      <c r="Z826" s="27" t="s">
        <v>247</v>
      </c>
      <c r="AA826" t="s">
        <v>233</v>
      </c>
    </row>
    <row r="827" spans="1:27" x14ac:dyDescent="0.25">
      <c r="A827" s="12">
        <v>124</v>
      </c>
      <c r="B827">
        <v>24</v>
      </c>
      <c r="C827">
        <f t="shared" si="111"/>
        <v>12424</v>
      </c>
      <c r="D827" s="3" t="s">
        <v>86</v>
      </c>
      <c r="E827" s="11">
        <f t="shared" ref="E827:E841" si="116">64+59/60+38.24/3600</f>
        <v>64.993955555555559</v>
      </c>
      <c r="F827" s="11">
        <f t="shared" ref="F827:F841" si="117">6+33/60+4.83/3600</f>
        <v>6.5513416666666666</v>
      </c>
      <c r="G827" s="12" t="s">
        <v>144</v>
      </c>
      <c r="H827" s="12" t="s">
        <v>47</v>
      </c>
      <c r="I827">
        <v>2007</v>
      </c>
      <c r="J827" s="12" t="s">
        <v>163</v>
      </c>
      <c r="K827" s="2">
        <v>0</v>
      </c>
      <c r="L827" s="2"/>
      <c r="M827" s="33">
        <v>3.2047599999999998</v>
      </c>
      <c r="N827" s="33">
        <v>1.1926399999999999</v>
      </c>
      <c r="O827" s="8"/>
      <c r="P827" s="1"/>
      <c r="Q827" s="1"/>
      <c r="R827" s="1"/>
      <c r="S827" s="3"/>
      <c r="T827" s="3"/>
      <c r="U827" s="3"/>
      <c r="V827" s="3"/>
      <c r="W827" s="3"/>
      <c r="X827" s="3"/>
      <c r="Y827" s="3"/>
      <c r="Z827" s="27" t="s">
        <v>247</v>
      </c>
      <c r="AA827" t="s">
        <v>233</v>
      </c>
    </row>
    <row r="828" spans="1:27" x14ac:dyDescent="0.25">
      <c r="A828" s="12">
        <v>124</v>
      </c>
      <c r="B828">
        <v>24</v>
      </c>
      <c r="C828">
        <f t="shared" si="111"/>
        <v>12424</v>
      </c>
      <c r="D828" s="3" t="s">
        <v>86</v>
      </c>
      <c r="E828" s="11">
        <f t="shared" si="116"/>
        <v>64.993955555555559</v>
      </c>
      <c r="F828" s="11">
        <f t="shared" si="117"/>
        <v>6.5513416666666666</v>
      </c>
      <c r="G828" s="12" t="s">
        <v>144</v>
      </c>
      <c r="H828" s="12" t="s">
        <v>47</v>
      </c>
      <c r="I828">
        <v>2008</v>
      </c>
      <c r="J828" s="12" t="s">
        <v>163</v>
      </c>
      <c r="K828" s="2">
        <v>0</v>
      </c>
      <c r="L828" s="2"/>
      <c r="M828" s="33">
        <v>10.45994789</v>
      </c>
      <c r="N828" s="33">
        <v>6.181552892</v>
      </c>
      <c r="O828" s="8"/>
      <c r="P828" s="1"/>
      <c r="Q828" s="1"/>
      <c r="R828" s="1"/>
      <c r="S828" s="3"/>
      <c r="T828" s="3"/>
      <c r="U828" s="3"/>
      <c r="V828" s="3"/>
      <c r="W828" s="3"/>
      <c r="X828" s="3"/>
      <c r="Y828" s="3"/>
      <c r="Z828" s="27" t="s">
        <v>247</v>
      </c>
      <c r="AA828" t="s">
        <v>233</v>
      </c>
    </row>
    <row r="829" spans="1:27" x14ac:dyDescent="0.25">
      <c r="A829" s="12">
        <v>124</v>
      </c>
      <c r="B829">
        <v>24</v>
      </c>
      <c r="C829">
        <f t="shared" si="111"/>
        <v>12424</v>
      </c>
      <c r="D829" s="3" t="s">
        <v>86</v>
      </c>
      <c r="E829" s="11">
        <f t="shared" si="116"/>
        <v>64.993955555555559</v>
      </c>
      <c r="F829" s="11">
        <f t="shared" si="117"/>
        <v>6.5513416666666666</v>
      </c>
      <c r="G829" s="12" t="s">
        <v>144</v>
      </c>
      <c r="H829" s="12" t="s">
        <v>47</v>
      </c>
      <c r="I829">
        <v>2009</v>
      </c>
      <c r="J829" s="12" t="s">
        <v>163</v>
      </c>
      <c r="K829" s="2">
        <v>0</v>
      </c>
      <c r="L829" s="2"/>
      <c r="M829" s="33">
        <v>12.114965079999999</v>
      </c>
      <c r="N829" s="33">
        <v>6.8552177690000002</v>
      </c>
      <c r="O829" s="8"/>
      <c r="P829" s="1"/>
      <c r="Q829" s="1"/>
      <c r="R829" s="1"/>
      <c r="S829" s="3"/>
      <c r="T829" s="3"/>
      <c r="U829" s="3"/>
      <c r="V829" s="3"/>
      <c r="W829" s="3"/>
      <c r="X829" s="3"/>
      <c r="Y829" s="3"/>
      <c r="Z829" s="27" t="s">
        <v>247</v>
      </c>
      <c r="AA829" t="s">
        <v>233</v>
      </c>
    </row>
    <row r="830" spans="1:27" x14ac:dyDescent="0.25">
      <c r="A830" s="12">
        <v>124</v>
      </c>
      <c r="B830">
        <v>24</v>
      </c>
      <c r="C830">
        <f t="shared" si="111"/>
        <v>12424</v>
      </c>
      <c r="D830" s="3" t="s">
        <v>86</v>
      </c>
      <c r="E830" s="11">
        <f t="shared" si="116"/>
        <v>64.993955555555559</v>
      </c>
      <c r="F830" s="11">
        <f t="shared" si="117"/>
        <v>6.5513416666666666</v>
      </c>
      <c r="G830" s="12" t="s">
        <v>144</v>
      </c>
      <c r="H830" s="12" t="s">
        <v>47</v>
      </c>
      <c r="I830">
        <v>2010</v>
      </c>
      <c r="J830" s="12" t="s">
        <v>163</v>
      </c>
      <c r="K830" s="2">
        <v>0</v>
      </c>
      <c r="L830" s="2"/>
      <c r="M830" s="33">
        <v>7.6778906200000003</v>
      </c>
      <c r="N830" s="33">
        <v>4.5802054280000002</v>
      </c>
      <c r="O830" s="8"/>
      <c r="P830" s="1"/>
      <c r="Q830" s="1"/>
      <c r="R830" s="1"/>
      <c r="S830" s="3"/>
      <c r="T830" s="3"/>
      <c r="U830" s="3"/>
      <c r="V830" s="3"/>
      <c r="W830" s="3"/>
      <c r="X830" s="3"/>
      <c r="Y830" s="3"/>
      <c r="Z830" s="27" t="s">
        <v>247</v>
      </c>
      <c r="AA830" t="s">
        <v>233</v>
      </c>
    </row>
    <row r="831" spans="1:27" x14ac:dyDescent="0.25">
      <c r="A831" s="12">
        <v>124</v>
      </c>
      <c r="B831">
        <v>24</v>
      </c>
      <c r="C831">
        <f t="shared" si="111"/>
        <v>12424</v>
      </c>
      <c r="D831" s="3" t="s">
        <v>86</v>
      </c>
      <c r="E831" s="11">
        <f t="shared" si="116"/>
        <v>64.993955555555559</v>
      </c>
      <c r="F831" s="11">
        <f t="shared" si="117"/>
        <v>6.5513416666666666</v>
      </c>
      <c r="G831" s="12" t="s">
        <v>144</v>
      </c>
      <c r="H831" s="12" t="s">
        <v>47</v>
      </c>
      <c r="I831">
        <v>2011</v>
      </c>
      <c r="J831" s="12" t="s">
        <v>163</v>
      </c>
      <c r="K831" s="2">
        <v>0</v>
      </c>
      <c r="L831" s="2"/>
      <c r="M831" s="33">
        <v>8.9783338740000005</v>
      </c>
      <c r="N831" s="33">
        <v>5.7120166230000002</v>
      </c>
      <c r="O831" s="8"/>
      <c r="P831" s="1"/>
      <c r="Q831" s="1"/>
      <c r="R831" s="1"/>
      <c r="S831" s="3"/>
      <c r="T831" s="3"/>
      <c r="U831" s="3"/>
      <c r="V831" s="3"/>
      <c r="W831" s="3"/>
      <c r="X831" s="3"/>
      <c r="Y831" s="3"/>
      <c r="Z831" s="27" t="s">
        <v>247</v>
      </c>
      <c r="AA831" t="s">
        <v>233</v>
      </c>
    </row>
    <row r="832" spans="1:27" x14ac:dyDescent="0.25">
      <c r="A832" s="12">
        <v>124</v>
      </c>
      <c r="B832">
        <v>24</v>
      </c>
      <c r="C832">
        <f t="shared" si="111"/>
        <v>12424</v>
      </c>
      <c r="D832" s="3" t="s">
        <v>86</v>
      </c>
      <c r="E832" s="11">
        <f t="shared" si="116"/>
        <v>64.993955555555559</v>
      </c>
      <c r="F832" s="11">
        <f t="shared" si="117"/>
        <v>6.5513416666666666</v>
      </c>
      <c r="G832" s="12" t="s">
        <v>144</v>
      </c>
      <c r="H832" s="12" t="s">
        <v>47</v>
      </c>
      <c r="I832">
        <v>2012</v>
      </c>
      <c r="J832" s="12" t="s">
        <v>163</v>
      </c>
      <c r="K832" s="2">
        <v>0</v>
      </c>
      <c r="L832" s="2"/>
      <c r="M832" s="33">
        <v>8.7144750000000002</v>
      </c>
      <c r="N832" s="33">
        <v>5.43333333333333</v>
      </c>
      <c r="O832" s="8"/>
      <c r="P832" s="1"/>
      <c r="Q832" s="1"/>
      <c r="R832" s="1"/>
      <c r="S832" s="3"/>
      <c r="T832" s="3"/>
      <c r="U832" s="3"/>
      <c r="V832" s="3"/>
      <c r="W832" s="3"/>
      <c r="X832" s="3"/>
      <c r="Y832" s="3"/>
      <c r="Z832" s="27" t="s">
        <v>247</v>
      </c>
      <c r="AA832" t="s">
        <v>233</v>
      </c>
    </row>
    <row r="833" spans="1:27" x14ac:dyDescent="0.25">
      <c r="A833" s="12">
        <v>124</v>
      </c>
      <c r="B833">
        <v>24</v>
      </c>
      <c r="C833">
        <f t="shared" si="111"/>
        <v>12424</v>
      </c>
      <c r="D833" s="3" t="s">
        <v>86</v>
      </c>
      <c r="E833" s="11">
        <f t="shared" si="116"/>
        <v>64.993955555555559</v>
      </c>
      <c r="F833" s="11">
        <f t="shared" si="117"/>
        <v>6.5513416666666666</v>
      </c>
      <c r="G833" s="12" t="s">
        <v>144</v>
      </c>
      <c r="H833" s="12" t="s">
        <v>47</v>
      </c>
      <c r="I833">
        <v>2013</v>
      </c>
      <c r="J833" s="12" t="s">
        <v>163</v>
      </c>
      <c r="K833" s="2">
        <v>0</v>
      </c>
      <c r="L833" s="2"/>
      <c r="M833" s="33">
        <v>6.6471417670525001</v>
      </c>
      <c r="N833" s="33">
        <v>5.36</v>
      </c>
      <c r="O833" s="8"/>
      <c r="P833" s="1"/>
      <c r="Q833" s="1"/>
      <c r="R833" s="1"/>
      <c r="S833" s="3"/>
      <c r="T833" s="3"/>
      <c r="U833" s="3"/>
      <c r="V833" s="3"/>
      <c r="W833" s="3"/>
      <c r="X833" s="3"/>
      <c r="Y833" s="3"/>
      <c r="Z833" s="27" t="s">
        <v>247</v>
      </c>
      <c r="AA833" t="s">
        <v>233</v>
      </c>
    </row>
    <row r="834" spans="1:27" x14ac:dyDescent="0.25">
      <c r="A834" s="12">
        <v>124</v>
      </c>
      <c r="B834">
        <v>24</v>
      </c>
      <c r="C834">
        <f t="shared" si="111"/>
        <v>12424</v>
      </c>
      <c r="D834" s="3" t="s">
        <v>86</v>
      </c>
      <c r="E834" s="11">
        <f t="shared" si="116"/>
        <v>64.993955555555559</v>
      </c>
      <c r="F834" s="11">
        <f t="shared" si="117"/>
        <v>6.5513416666666666</v>
      </c>
      <c r="G834" s="12" t="s">
        <v>144</v>
      </c>
      <c r="H834" s="12" t="s">
        <v>47</v>
      </c>
      <c r="I834">
        <v>2014</v>
      </c>
      <c r="J834" s="12" t="s">
        <v>163</v>
      </c>
      <c r="K834" s="2">
        <v>0</v>
      </c>
      <c r="L834" s="2"/>
      <c r="M834" s="33">
        <v>8.2750000000000004</v>
      </c>
      <c r="N834" s="33">
        <v>6.9666666666666703</v>
      </c>
      <c r="O834" s="8"/>
      <c r="P834" s="1"/>
      <c r="Q834" s="1"/>
      <c r="R834" s="1"/>
      <c r="S834" s="3"/>
      <c r="T834" s="3"/>
      <c r="U834" s="3"/>
      <c r="V834" s="3"/>
      <c r="W834" s="3"/>
      <c r="X834" s="3"/>
      <c r="Y834" s="3"/>
      <c r="Z834" s="27" t="s">
        <v>247</v>
      </c>
      <c r="AA834" t="s">
        <v>233</v>
      </c>
    </row>
    <row r="835" spans="1:27" x14ac:dyDescent="0.25">
      <c r="A835" s="12">
        <v>124</v>
      </c>
      <c r="B835">
        <v>24</v>
      </c>
      <c r="C835">
        <f t="shared" si="111"/>
        <v>12424</v>
      </c>
      <c r="D835" s="3" t="s">
        <v>86</v>
      </c>
      <c r="E835" s="11">
        <f t="shared" si="116"/>
        <v>64.993955555555559</v>
      </c>
      <c r="F835" s="11">
        <f t="shared" si="117"/>
        <v>6.5513416666666666</v>
      </c>
      <c r="G835" s="12" t="s">
        <v>144</v>
      </c>
      <c r="H835" s="12" t="s">
        <v>47</v>
      </c>
      <c r="I835">
        <v>2015</v>
      </c>
      <c r="J835" s="12" t="s">
        <v>163</v>
      </c>
      <c r="K835" s="2">
        <v>0</v>
      </c>
      <c r="L835" s="2"/>
      <c r="M835" s="33">
        <v>7.9450000000000003</v>
      </c>
      <c r="N835" s="33">
        <v>6.4524999999999997</v>
      </c>
      <c r="O835" s="8"/>
      <c r="P835" s="1"/>
      <c r="Q835" s="1"/>
      <c r="R835" s="1"/>
      <c r="S835" s="3"/>
      <c r="T835" s="3"/>
      <c r="U835" s="3"/>
      <c r="V835" s="3"/>
      <c r="W835" s="3"/>
      <c r="X835" s="3"/>
      <c r="Y835" s="3"/>
      <c r="Z835" s="27" t="s">
        <v>247</v>
      </c>
      <c r="AA835" t="s">
        <v>233</v>
      </c>
    </row>
    <row r="836" spans="1:27" x14ac:dyDescent="0.25">
      <c r="A836" s="12">
        <v>124</v>
      </c>
      <c r="B836">
        <v>24</v>
      </c>
      <c r="C836">
        <f t="shared" si="111"/>
        <v>12424</v>
      </c>
      <c r="D836" s="3" t="s">
        <v>86</v>
      </c>
      <c r="E836" s="11">
        <f t="shared" si="116"/>
        <v>64.993955555555559</v>
      </c>
      <c r="F836" s="11">
        <f t="shared" si="117"/>
        <v>6.5513416666666666</v>
      </c>
      <c r="G836" s="12" t="s">
        <v>144</v>
      </c>
      <c r="H836" s="12" t="s">
        <v>47</v>
      </c>
      <c r="I836">
        <v>2016</v>
      </c>
      <c r="J836" s="12" t="s">
        <v>163</v>
      </c>
      <c r="K836" s="2">
        <v>0</v>
      </c>
      <c r="L836" s="2"/>
      <c r="M836" s="33">
        <v>7.4349999999999996</v>
      </c>
      <c r="N836" s="33">
        <v>6.1524999999999999</v>
      </c>
      <c r="O836" s="8"/>
      <c r="P836" s="1"/>
      <c r="Q836" s="1"/>
      <c r="R836" s="1"/>
      <c r="S836" s="3"/>
      <c r="T836" s="3"/>
      <c r="U836" s="3"/>
      <c r="V836" s="3"/>
      <c r="W836" s="3"/>
      <c r="X836" s="3"/>
      <c r="Y836" s="3"/>
      <c r="Z836" s="27" t="s">
        <v>247</v>
      </c>
      <c r="AA836" t="s">
        <v>233</v>
      </c>
    </row>
    <row r="837" spans="1:27" x14ac:dyDescent="0.25">
      <c r="A837" s="12">
        <v>124</v>
      </c>
      <c r="B837">
        <v>24</v>
      </c>
      <c r="C837">
        <f t="shared" si="111"/>
        <v>12424</v>
      </c>
      <c r="D837" s="3" t="s">
        <v>86</v>
      </c>
      <c r="E837" s="11">
        <f t="shared" si="116"/>
        <v>64.993955555555559</v>
      </c>
      <c r="F837" s="11">
        <f t="shared" si="117"/>
        <v>6.5513416666666666</v>
      </c>
      <c r="G837" s="12" t="s">
        <v>144</v>
      </c>
      <c r="H837" s="12" t="s">
        <v>47</v>
      </c>
      <c r="I837">
        <v>2017</v>
      </c>
      <c r="J837" s="12" t="s">
        <v>163</v>
      </c>
      <c r="K837" s="2">
        <v>0</v>
      </c>
      <c r="L837" s="2"/>
      <c r="M837" s="33">
        <v>7.4749999999999996</v>
      </c>
      <c r="N837" s="33">
        <v>5.93333333333333</v>
      </c>
      <c r="O837" s="8"/>
      <c r="P837" s="1"/>
      <c r="Q837" s="1"/>
      <c r="R837" s="1"/>
      <c r="S837" s="3"/>
      <c r="T837" s="3"/>
      <c r="U837" s="3"/>
      <c r="V837" s="3"/>
      <c r="W837" s="3"/>
      <c r="X837" s="3"/>
      <c r="Y837" s="3"/>
      <c r="Z837" s="27" t="s">
        <v>247</v>
      </c>
      <c r="AA837" t="s">
        <v>233</v>
      </c>
    </row>
    <row r="838" spans="1:27" x14ac:dyDescent="0.25">
      <c r="A838" s="12">
        <v>124</v>
      </c>
      <c r="B838">
        <v>24</v>
      </c>
      <c r="C838">
        <f t="shared" si="111"/>
        <v>12424</v>
      </c>
      <c r="D838" s="3" t="s">
        <v>86</v>
      </c>
      <c r="E838" s="11">
        <f t="shared" si="116"/>
        <v>64.993955555555559</v>
      </c>
      <c r="F838" s="11">
        <f t="shared" si="117"/>
        <v>6.5513416666666666</v>
      </c>
      <c r="G838" s="12" t="s">
        <v>144</v>
      </c>
      <c r="H838" s="12" t="s">
        <v>47</v>
      </c>
      <c r="I838">
        <v>2018</v>
      </c>
      <c r="J838" s="12" t="s">
        <v>163</v>
      </c>
      <c r="K838" s="2">
        <v>0</v>
      </c>
      <c r="L838" s="2"/>
      <c r="M838" s="33">
        <v>6.8825000000000003</v>
      </c>
      <c r="N838" s="33">
        <v>6.1449999999999996</v>
      </c>
      <c r="O838" s="8"/>
      <c r="P838" s="1"/>
      <c r="Q838" s="1"/>
      <c r="R838" s="1"/>
      <c r="S838" s="3"/>
      <c r="T838" s="3"/>
      <c r="U838" s="3"/>
      <c r="V838" s="3"/>
      <c r="W838" s="3"/>
      <c r="X838" s="3"/>
      <c r="Y838" s="3"/>
      <c r="Z838" s="27" t="s">
        <v>247</v>
      </c>
      <c r="AA838" t="s">
        <v>233</v>
      </c>
    </row>
    <row r="839" spans="1:27" x14ac:dyDescent="0.25">
      <c r="A839" s="12">
        <v>124</v>
      </c>
      <c r="B839">
        <v>24</v>
      </c>
      <c r="C839">
        <f t="shared" si="111"/>
        <v>12424</v>
      </c>
      <c r="D839" s="3" t="s">
        <v>86</v>
      </c>
      <c r="E839" s="11">
        <f t="shared" si="116"/>
        <v>64.993955555555559</v>
      </c>
      <c r="F839" s="11">
        <f t="shared" si="117"/>
        <v>6.5513416666666666</v>
      </c>
      <c r="G839" s="12" t="s">
        <v>144</v>
      </c>
      <c r="H839" s="12" t="s">
        <v>47</v>
      </c>
      <c r="I839">
        <v>2019</v>
      </c>
      <c r="J839" s="12" t="s">
        <v>163</v>
      </c>
      <c r="K839" s="2">
        <v>0</v>
      </c>
      <c r="L839" s="2"/>
      <c r="M839" s="33">
        <v>6.0049999999999999</v>
      </c>
      <c r="N839" s="33">
        <v>6.0625</v>
      </c>
      <c r="O839" s="8"/>
      <c r="P839" s="1"/>
      <c r="Q839" s="1"/>
      <c r="R839" s="1"/>
      <c r="S839" s="3"/>
      <c r="T839" s="3"/>
      <c r="U839" s="3"/>
      <c r="V839" s="3"/>
      <c r="W839" s="3"/>
      <c r="X839" s="3"/>
      <c r="Y839" s="3"/>
      <c r="Z839" s="27" t="s">
        <v>247</v>
      </c>
      <c r="AA839" t="s">
        <v>233</v>
      </c>
    </row>
    <row r="840" spans="1:27" x14ac:dyDescent="0.25">
      <c r="A840" s="12">
        <v>124</v>
      </c>
      <c r="B840">
        <v>24</v>
      </c>
      <c r="C840">
        <f t="shared" si="111"/>
        <v>12424</v>
      </c>
      <c r="D840" s="3" t="s">
        <v>86</v>
      </c>
      <c r="E840" s="11">
        <f t="shared" si="116"/>
        <v>64.993955555555559</v>
      </c>
      <c r="F840" s="11">
        <f t="shared" si="117"/>
        <v>6.5513416666666666</v>
      </c>
      <c r="G840" s="12" t="s">
        <v>144</v>
      </c>
      <c r="H840" s="12" t="s">
        <v>47</v>
      </c>
      <c r="I840">
        <v>2020</v>
      </c>
      <c r="J840" s="12" t="s">
        <v>163</v>
      </c>
      <c r="K840" s="2">
        <v>0</v>
      </c>
      <c r="L840" s="2"/>
      <c r="M840" s="33">
        <v>6.3319999999999999</v>
      </c>
      <c r="N840" s="33">
        <v>5.6872499999999997</v>
      </c>
      <c r="O840" s="8"/>
      <c r="P840" s="1"/>
      <c r="Q840" s="1"/>
      <c r="R840" s="1"/>
      <c r="S840" s="3"/>
      <c r="T840" s="3"/>
      <c r="U840" s="3"/>
      <c r="V840" s="3"/>
      <c r="W840" s="3"/>
      <c r="X840" s="3"/>
      <c r="Y840" s="3"/>
      <c r="Z840" s="27" t="s">
        <v>247</v>
      </c>
      <c r="AA840" t="s">
        <v>233</v>
      </c>
    </row>
    <row r="841" spans="1:27" x14ac:dyDescent="0.25">
      <c r="A841" s="12">
        <v>124</v>
      </c>
      <c r="B841">
        <v>24</v>
      </c>
      <c r="C841">
        <f t="shared" si="111"/>
        <v>12424</v>
      </c>
      <c r="D841" s="3" t="s">
        <v>86</v>
      </c>
      <c r="E841" s="11">
        <f t="shared" si="116"/>
        <v>64.993955555555559</v>
      </c>
      <c r="F841" s="11">
        <f t="shared" si="117"/>
        <v>6.5513416666666666</v>
      </c>
      <c r="G841" s="12" t="s">
        <v>144</v>
      </c>
      <c r="H841" s="12" t="s">
        <v>47</v>
      </c>
      <c r="I841">
        <v>2021</v>
      </c>
      <c r="J841" s="12" t="s">
        <v>163</v>
      </c>
      <c r="K841" s="2">
        <v>0</v>
      </c>
      <c r="L841" s="2"/>
      <c r="M841" s="33">
        <v>5.3102499999999999</v>
      </c>
      <c r="N841" s="33">
        <v>5.1555</v>
      </c>
      <c r="O841" s="8"/>
      <c r="P841" s="1"/>
      <c r="Q841" s="1"/>
      <c r="R841" s="1"/>
      <c r="S841" s="3"/>
      <c r="T841" s="3"/>
      <c r="U841" s="3"/>
      <c r="V841" s="3"/>
      <c r="W841" s="3"/>
      <c r="X841" s="3"/>
      <c r="Y841" s="3"/>
      <c r="Z841" s="27" t="s">
        <v>247</v>
      </c>
      <c r="AA841" t="s">
        <v>233</v>
      </c>
    </row>
    <row r="842" spans="1:27" x14ac:dyDescent="0.25">
      <c r="A842" s="12">
        <v>124</v>
      </c>
      <c r="B842">
        <v>25</v>
      </c>
      <c r="C842">
        <f t="shared" si="111"/>
        <v>12425</v>
      </c>
      <c r="D842" s="3" t="s">
        <v>86</v>
      </c>
      <c r="E842" s="11">
        <f>61+4/60+49.1/3600</f>
        <v>61.080305555555562</v>
      </c>
      <c r="F842" s="11">
        <f>2+29/60+58.99/3600</f>
        <v>2.4997194444444446</v>
      </c>
      <c r="G842" s="12" t="s">
        <v>144</v>
      </c>
      <c r="H842" s="12" t="s">
        <v>47</v>
      </c>
      <c r="I842">
        <v>2006</v>
      </c>
      <c r="J842" s="12" t="s">
        <v>163</v>
      </c>
      <c r="K842" s="2">
        <v>0</v>
      </c>
      <c r="L842" s="2"/>
      <c r="M842" s="33">
        <v>0.35</v>
      </c>
      <c r="N842" s="33">
        <v>2.3300000000000001E-2</v>
      </c>
      <c r="O842" s="8"/>
      <c r="P842" s="1"/>
      <c r="Q842" s="1"/>
      <c r="R842" s="1"/>
      <c r="S842" s="3"/>
      <c r="T842" s="3"/>
      <c r="U842" s="3"/>
      <c r="V842" s="3"/>
      <c r="W842" s="3"/>
      <c r="X842" s="3"/>
      <c r="Y842" s="3"/>
      <c r="Z842" s="27" t="s">
        <v>247</v>
      </c>
      <c r="AA842" t="s">
        <v>426</v>
      </c>
    </row>
    <row r="843" spans="1:27" x14ac:dyDescent="0.25">
      <c r="A843" s="12">
        <v>124</v>
      </c>
      <c r="B843">
        <v>25</v>
      </c>
      <c r="C843">
        <f t="shared" si="111"/>
        <v>12425</v>
      </c>
      <c r="D843" s="3" t="s">
        <v>86</v>
      </c>
      <c r="E843" s="11">
        <f t="shared" ref="E843:E855" si="118">61+4/60+49.1/3600</f>
        <v>61.080305555555562</v>
      </c>
      <c r="F843" s="11">
        <f t="shared" ref="F843:F855" si="119">2+29/60+58.99/3600</f>
        <v>2.4997194444444446</v>
      </c>
      <c r="G843" s="12" t="s">
        <v>144</v>
      </c>
      <c r="H843" s="12" t="s">
        <v>47</v>
      </c>
      <c r="I843">
        <v>2007</v>
      </c>
      <c r="J843" s="12" t="s">
        <v>163</v>
      </c>
      <c r="K843" s="2">
        <v>0</v>
      </c>
      <c r="L843" s="2"/>
      <c r="M843" s="33">
        <v>0.3</v>
      </c>
      <c r="N843" s="33">
        <v>0.11</v>
      </c>
      <c r="O843" s="8"/>
      <c r="P843" s="1"/>
      <c r="Q843" s="1"/>
      <c r="R843" s="1"/>
      <c r="S843" s="3"/>
      <c r="T843" s="3"/>
      <c r="U843" s="3"/>
      <c r="V843" s="3"/>
      <c r="W843" s="3"/>
      <c r="X843" s="3"/>
      <c r="Y843" s="3"/>
      <c r="Z843" s="27" t="s">
        <v>247</v>
      </c>
      <c r="AA843" t="s">
        <v>426</v>
      </c>
    </row>
    <row r="844" spans="1:27" x14ac:dyDescent="0.25">
      <c r="A844" s="12">
        <v>124</v>
      </c>
      <c r="B844">
        <v>25</v>
      </c>
      <c r="C844">
        <f t="shared" si="111"/>
        <v>12425</v>
      </c>
      <c r="D844" s="3" t="s">
        <v>86</v>
      </c>
      <c r="E844" s="11">
        <f t="shared" si="118"/>
        <v>61.080305555555562</v>
      </c>
      <c r="F844" s="11">
        <f t="shared" si="119"/>
        <v>2.4997194444444446</v>
      </c>
      <c r="G844" s="12" t="s">
        <v>144</v>
      </c>
      <c r="H844" s="12" t="s">
        <v>47</v>
      </c>
      <c r="I844">
        <v>2009</v>
      </c>
      <c r="J844" s="12" t="s">
        <v>163</v>
      </c>
      <c r="K844" s="2">
        <v>0</v>
      </c>
      <c r="L844" s="2"/>
      <c r="M844" s="33">
        <v>2.0507621829999998</v>
      </c>
      <c r="N844" s="33">
        <v>1.848914715</v>
      </c>
      <c r="O844" s="8"/>
      <c r="P844" s="1"/>
      <c r="Q844" s="1"/>
      <c r="R844" s="1"/>
      <c r="S844" s="3"/>
      <c r="T844" s="3"/>
      <c r="U844" s="3"/>
      <c r="V844" s="3"/>
      <c r="W844" s="3"/>
      <c r="X844" s="3"/>
      <c r="Y844" s="3"/>
      <c r="Z844" s="27" t="s">
        <v>247</v>
      </c>
      <c r="AA844" t="s">
        <v>426</v>
      </c>
    </row>
    <row r="845" spans="1:27" x14ac:dyDescent="0.25">
      <c r="A845" s="12">
        <v>124</v>
      </c>
      <c r="B845">
        <v>25</v>
      </c>
      <c r="C845">
        <f t="shared" si="111"/>
        <v>12425</v>
      </c>
      <c r="D845" s="3" t="s">
        <v>86</v>
      </c>
      <c r="E845" s="11">
        <f t="shared" si="118"/>
        <v>61.080305555555562</v>
      </c>
      <c r="F845" s="11">
        <f t="shared" si="119"/>
        <v>2.4997194444444446</v>
      </c>
      <c r="G845" s="12" t="s">
        <v>144</v>
      </c>
      <c r="H845" s="12" t="s">
        <v>47</v>
      </c>
      <c r="I845">
        <v>2010</v>
      </c>
      <c r="J845" s="12" t="s">
        <v>163</v>
      </c>
      <c r="K845" s="2">
        <v>0</v>
      </c>
      <c r="L845" s="2"/>
      <c r="M845" s="33">
        <v>3.132092224</v>
      </c>
      <c r="N845" s="33">
        <v>2.4343184340000001</v>
      </c>
      <c r="O845" s="8"/>
      <c r="P845" s="1"/>
      <c r="Q845" s="1"/>
      <c r="R845" s="1"/>
      <c r="S845" s="3"/>
      <c r="T845" s="3"/>
      <c r="U845" s="3"/>
      <c r="V845" s="3"/>
      <c r="W845" s="3"/>
      <c r="X845" s="3"/>
      <c r="Y845" s="3"/>
      <c r="Z845" s="27" t="s">
        <v>247</v>
      </c>
      <c r="AA845" t="s">
        <v>426</v>
      </c>
    </row>
    <row r="846" spans="1:27" x14ac:dyDescent="0.25">
      <c r="A846" s="12">
        <v>124</v>
      </c>
      <c r="B846">
        <v>25</v>
      </c>
      <c r="C846">
        <f t="shared" si="111"/>
        <v>12425</v>
      </c>
      <c r="D846" s="3" t="s">
        <v>86</v>
      </c>
      <c r="E846" s="11">
        <f t="shared" si="118"/>
        <v>61.080305555555562</v>
      </c>
      <c r="F846" s="11">
        <f t="shared" si="119"/>
        <v>2.4997194444444446</v>
      </c>
      <c r="G846" s="12" t="s">
        <v>144</v>
      </c>
      <c r="H846" s="12" t="s">
        <v>47</v>
      </c>
      <c r="I846">
        <v>2012</v>
      </c>
      <c r="J846" s="12" t="s">
        <v>163</v>
      </c>
      <c r="K846" s="2">
        <v>0</v>
      </c>
      <c r="L846" s="2"/>
      <c r="M846" s="33">
        <v>0.35</v>
      </c>
      <c r="N846" s="33">
        <v>0.59</v>
      </c>
      <c r="O846" s="8"/>
      <c r="P846" s="1"/>
      <c r="Q846" s="1"/>
      <c r="R846" s="1"/>
      <c r="S846" s="3"/>
      <c r="T846" s="3"/>
      <c r="U846" s="3"/>
      <c r="V846" s="3"/>
      <c r="W846" s="3"/>
      <c r="X846" s="3"/>
      <c r="Y846" s="3"/>
      <c r="Z846" s="27" t="s">
        <v>247</v>
      </c>
      <c r="AA846" t="s">
        <v>426</v>
      </c>
    </row>
    <row r="847" spans="1:27" x14ac:dyDescent="0.25">
      <c r="A847" s="12">
        <v>124</v>
      </c>
      <c r="B847">
        <v>25</v>
      </c>
      <c r="C847">
        <f t="shared" si="111"/>
        <v>12425</v>
      </c>
      <c r="D847" s="3" t="s">
        <v>86</v>
      </c>
      <c r="E847" s="11">
        <f t="shared" si="118"/>
        <v>61.080305555555562</v>
      </c>
      <c r="F847" s="11">
        <f t="shared" si="119"/>
        <v>2.4997194444444446</v>
      </c>
      <c r="G847" s="12" t="s">
        <v>144</v>
      </c>
      <c r="H847" s="12" t="s">
        <v>47</v>
      </c>
      <c r="I847">
        <v>2013</v>
      </c>
      <c r="J847" s="12" t="s">
        <v>163</v>
      </c>
      <c r="K847" s="2">
        <v>0</v>
      </c>
      <c r="L847" s="2"/>
      <c r="M847" s="33">
        <v>0.86666666666500003</v>
      </c>
      <c r="N847" s="33">
        <v>0.72666666666500002</v>
      </c>
      <c r="O847" s="8"/>
      <c r="P847" s="1"/>
      <c r="Q847" s="1"/>
      <c r="R847" s="1"/>
      <c r="S847" s="3"/>
      <c r="T847" s="3"/>
      <c r="U847" s="3"/>
      <c r="V847" s="3"/>
      <c r="W847" s="3"/>
      <c r="X847" s="3"/>
      <c r="Y847" s="3"/>
      <c r="Z847" s="27" t="s">
        <v>247</v>
      </c>
      <c r="AA847" t="s">
        <v>426</v>
      </c>
    </row>
    <row r="848" spans="1:27" x14ac:dyDescent="0.25">
      <c r="A848" s="12">
        <v>124</v>
      </c>
      <c r="B848">
        <v>25</v>
      </c>
      <c r="C848">
        <f t="shared" si="111"/>
        <v>12425</v>
      </c>
      <c r="D848" s="3" t="s">
        <v>86</v>
      </c>
      <c r="E848" s="11">
        <f t="shared" si="118"/>
        <v>61.080305555555562</v>
      </c>
      <c r="F848" s="11">
        <f t="shared" si="119"/>
        <v>2.4997194444444446</v>
      </c>
      <c r="G848" s="12" t="s">
        <v>144</v>
      </c>
      <c r="H848" s="12" t="s">
        <v>47</v>
      </c>
      <c r="I848">
        <v>2014</v>
      </c>
      <c r="J848" s="12" t="s">
        <v>163</v>
      </c>
      <c r="K848" s="2">
        <v>0</v>
      </c>
      <c r="L848" s="2"/>
      <c r="M848" s="33">
        <v>2.85</v>
      </c>
      <c r="N848" s="33">
        <v>2.4500000000000002</v>
      </c>
      <c r="O848" s="8"/>
      <c r="P848" s="1"/>
      <c r="Q848" s="1"/>
      <c r="R848" s="1"/>
      <c r="S848" s="3"/>
      <c r="T848" s="3"/>
      <c r="U848" s="3"/>
      <c r="V848" s="3"/>
      <c r="W848" s="3"/>
      <c r="X848" s="3"/>
      <c r="Y848" s="3"/>
      <c r="Z848" s="27" t="s">
        <v>247</v>
      </c>
      <c r="AA848" t="s">
        <v>426</v>
      </c>
    </row>
    <row r="849" spans="1:27" x14ac:dyDescent="0.25">
      <c r="A849" s="12">
        <v>124</v>
      </c>
      <c r="B849">
        <v>25</v>
      </c>
      <c r="C849">
        <f t="shared" si="111"/>
        <v>12425</v>
      </c>
      <c r="D849" s="3" t="s">
        <v>86</v>
      </c>
      <c r="E849" s="11">
        <f t="shared" si="118"/>
        <v>61.080305555555562</v>
      </c>
      <c r="F849" s="11">
        <f t="shared" si="119"/>
        <v>2.4997194444444446</v>
      </c>
      <c r="G849" s="12" t="s">
        <v>144</v>
      </c>
      <c r="H849" s="12" t="s">
        <v>47</v>
      </c>
      <c r="I849">
        <v>2015</v>
      </c>
      <c r="J849" s="12" t="s">
        <v>163</v>
      </c>
      <c r="K849" s="2">
        <v>0</v>
      </c>
      <c r="L849" s="2"/>
      <c r="M849" s="33">
        <v>4.165</v>
      </c>
      <c r="N849" s="33">
        <v>2.9550000000000001</v>
      </c>
      <c r="O849" s="8"/>
      <c r="P849" s="1"/>
      <c r="Q849" s="1"/>
      <c r="R849" s="1"/>
      <c r="S849" s="3"/>
      <c r="T849" s="3"/>
      <c r="U849" s="3"/>
      <c r="V849" s="3"/>
      <c r="W849" s="3"/>
      <c r="X849" s="3"/>
      <c r="Y849" s="3"/>
      <c r="Z849" s="27" t="s">
        <v>247</v>
      </c>
      <c r="AA849" t="s">
        <v>426</v>
      </c>
    </row>
    <row r="850" spans="1:27" x14ac:dyDescent="0.25">
      <c r="A850" s="12">
        <v>124</v>
      </c>
      <c r="B850">
        <v>25</v>
      </c>
      <c r="C850">
        <f t="shared" si="111"/>
        <v>12425</v>
      </c>
      <c r="D850" s="3" t="s">
        <v>86</v>
      </c>
      <c r="E850" s="11">
        <f t="shared" si="118"/>
        <v>61.080305555555562</v>
      </c>
      <c r="F850" s="11">
        <f t="shared" si="119"/>
        <v>2.4997194444444446</v>
      </c>
      <c r="G850" s="12" t="s">
        <v>144</v>
      </c>
      <c r="H850" s="12" t="s">
        <v>47</v>
      </c>
      <c r="I850">
        <v>2016</v>
      </c>
      <c r="J850" s="12" t="s">
        <v>163</v>
      </c>
      <c r="K850" s="2">
        <v>0</v>
      </c>
      <c r="L850" s="2"/>
      <c r="M850" s="33">
        <v>2.375</v>
      </c>
      <c r="N850" s="33">
        <v>1.91</v>
      </c>
      <c r="O850" s="8"/>
      <c r="P850" s="1"/>
      <c r="Q850" s="1"/>
      <c r="R850" s="1"/>
      <c r="S850" s="3"/>
      <c r="T850" s="3"/>
      <c r="U850" s="3"/>
      <c r="V850" s="3"/>
      <c r="W850" s="3"/>
      <c r="X850" s="3"/>
      <c r="Y850" s="3"/>
      <c r="Z850" s="27" t="s">
        <v>247</v>
      </c>
      <c r="AA850" t="s">
        <v>426</v>
      </c>
    </row>
    <row r="851" spans="1:27" x14ac:dyDescent="0.25">
      <c r="A851" s="12">
        <v>124</v>
      </c>
      <c r="B851">
        <v>25</v>
      </c>
      <c r="C851">
        <f t="shared" si="111"/>
        <v>12425</v>
      </c>
      <c r="D851" s="3" t="s">
        <v>86</v>
      </c>
      <c r="E851" s="11">
        <f t="shared" si="118"/>
        <v>61.080305555555562</v>
      </c>
      <c r="F851" s="11">
        <f t="shared" si="119"/>
        <v>2.4997194444444446</v>
      </c>
      <c r="G851" s="12" t="s">
        <v>144</v>
      </c>
      <c r="H851" s="12" t="s">
        <v>47</v>
      </c>
      <c r="I851">
        <v>2017</v>
      </c>
      <c r="J851" s="12" t="s">
        <v>163</v>
      </c>
      <c r="K851" s="2">
        <v>0</v>
      </c>
      <c r="L851" s="2"/>
      <c r="M851" s="33">
        <v>0.82874999999999999</v>
      </c>
      <c r="N851" s="33">
        <v>0.59250000000000003</v>
      </c>
      <c r="O851" s="8"/>
      <c r="P851" s="1"/>
      <c r="Q851" s="1"/>
      <c r="R851" s="1"/>
      <c r="S851" s="3"/>
      <c r="T851" s="3"/>
      <c r="U851" s="3"/>
      <c r="V851" s="3"/>
      <c r="W851" s="3"/>
      <c r="X851" s="3"/>
      <c r="Y851" s="3"/>
      <c r="Z851" s="27" t="s">
        <v>247</v>
      </c>
      <c r="AA851" t="s">
        <v>426</v>
      </c>
    </row>
    <row r="852" spans="1:27" x14ac:dyDescent="0.25">
      <c r="A852" s="12">
        <v>124</v>
      </c>
      <c r="B852">
        <v>25</v>
      </c>
      <c r="C852">
        <f t="shared" si="111"/>
        <v>12425</v>
      </c>
      <c r="D852" s="3" t="s">
        <v>86</v>
      </c>
      <c r="E852" s="11">
        <f t="shared" si="118"/>
        <v>61.080305555555562</v>
      </c>
      <c r="F852" s="11">
        <f t="shared" si="119"/>
        <v>2.4997194444444446</v>
      </c>
      <c r="G852" s="12" t="s">
        <v>144</v>
      </c>
      <c r="H852" s="12" t="s">
        <v>47</v>
      </c>
      <c r="I852">
        <v>2018</v>
      </c>
      <c r="J852" s="12" t="s">
        <v>163</v>
      </c>
      <c r="K852" s="2">
        <v>0</v>
      </c>
      <c r="L852" s="2"/>
      <c r="M852" s="33">
        <v>1.9575</v>
      </c>
      <c r="N852" s="33">
        <v>1.4775</v>
      </c>
      <c r="O852" s="8"/>
      <c r="P852" s="1"/>
      <c r="Q852" s="1"/>
      <c r="R852" s="1"/>
      <c r="S852" s="3"/>
      <c r="T852" s="3"/>
      <c r="U852" s="3"/>
      <c r="V852" s="3"/>
      <c r="W852" s="3"/>
      <c r="X852" s="3"/>
      <c r="Y852" s="3"/>
      <c r="Z852" s="27" t="s">
        <v>247</v>
      </c>
      <c r="AA852" t="s">
        <v>426</v>
      </c>
    </row>
    <row r="853" spans="1:27" x14ac:dyDescent="0.25">
      <c r="A853" s="12">
        <v>124</v>
      </c>
      <c r="B853">
        <v>25</v>
      </c>
      <c r="C853">
        <f t="shared" si="111"/>
        <v>12425</v>
      </c>
      <c r="D853" s="3" t="s">
        <v>86</v>
      </c>
      <c r="E853" s="11">
        <f t="shared" si="118"/>
        <v>61.080305555555562</v>
      </c>
      <c r="F853" s="11">
        <f t="shared" si="119"/>
        <v>2.4997194444444446</v>
      </c>
      <c r="G853" s="12" t="s">
        <v>144</v>
      </c>
      <c r="H853" s="12" t="s">
        <v>47</v>
      </c>
      <c r="I853">
        <v>2019</v>
      </c>
      <c r="J853" s="12" t="s">
        <v>163</v>
      </c>
      <c r="K853" s="2">
        <v>0</v>
      </c>
      <c r="L853" s="2"/>
      <c r="M853" s="33">
        <v>2.73</v>
      </c>
      <c r="N853" s="33">
        <v>2.1775000000000002</v>
      </c>
      <c r="O853" s="8"/>
      <c r="P853" s="1"/>
      <c r="Q853" s="1"/>
      <c r="R853" s="1"/>
      <c r="S853" s="3"/>
      <c r="T853" s="3"/>
      <c r="U853" s="3"/>
      <c r="V853" s="3"/>
      <c r="W853" s="3"/>
      <c r="X853" s="3"/>
      <c r="Y853" s="3"/>
      <c r="Z853" s="27" t="s">
        <v>247</v>
      </c>
      <c r="AA853" t="s">
        <v>426</v>
      </c>
    </row>
    <row r="854" spans="1:27" x14ac:dyDescent="0.25">
      <c r="A854" s="12">
        <v>124</v>
      </c>
      <c r="B854">
        <v>25</v>
      </c>
      <c r="C854">
        <f t="shared" si="111"/>
        <v>12425</v>
      </c>
      <c r="D854" s="3" t="s">
        <v>86</v>
      </c>
      <c r="E854" s="11">
        <f t="shared" si="118"/>
        <v>61.080305555555562</v>
      </c>
      <c r="F854" s="11">
        <f t="shared" si="119"/>
        <v>2.4997194444444446</v>
      </c>
      <c r="G854" s="12" t="s">
        <v>144</v>
      </c>
      <c r="H854" s="12" t="s">
        <v>47</v>
      </c>
      <c r="I854">
        <v>2020</v>
      </c>
      <c r="J854" s="12" t="s">
        <v>163</v>
      </c>
      <c r="K854" s="2">
        <v>0</v>
      </c>
      <c r="L854" s="2"/>
      <c r="M854" s="33">
        <v>1.04</v>
      </c>
      <c r="N854" s="33">
        <v>0.82974999999999999</v>
      </c>
      <c r="O854" s="8"/>
      <c r="P854" s="1"/>
      <c r="Q854" s="1"/>
      <c r="R854" s="1"/>
      <c r="S854" s="3"/>
      <c r="T854" s="3"/>
      <c r="U854" s="3"/>
      <c r="V854" s="3"/>
      <c r="W854" s="3"/>
      <c r="X854" s="3"/>
      <c r="Y854" s="3"/>
      <c r="Z854" s="27" t="s">
        <v>247</v>
      </c>
      <c r="AA854" t="s">
        <v>426</v>
      </c>
    </row>
    <row r="855" spans="1:27" x14ac:dyDescent="0.25">
      <c r="A855" s="12">
        <v>124</v>
      </c>
      <c r="B855">
        <v>25</v>
      </c>
      <c r="C855">
        <f t="shared" si="111"/>
        <v>12425</v>
      </c>
      <c r="D855" s="3" t="s">
        <v>86</v>
      </c>
      <c r="E855" s="11">
        <f t="shared" si="118"/>
        <v>61.080305555555562</v>
      </c>
      <c r="F855" s="11">
        <f t="shared" si="119"/>
        <v>2.4997194444444446</v>
      </c>
      <c r="G855" s="12" t="s">
        <v>144</v>
      </c>
      <c r="H855" s="12" t="s">
        <v>47</v>
      </c>
      <c r="I855">
        <v>2021</v>
      </c>
      <c r="J855" s="12" t="s">
        <v>163</v>
      </c>
      <c r="K855" s="2">
        <v>0</v>
      </c>
      <c r="L855" s="2"/>
      <c r="M855" s="33">
        <v>1.9973333333333301</v>
      </c>
      <c r="N855" s="33">
        <v>2.3765000000000001</v>
      </c>
      <c r="O855" s="8"/>
      <c r="P855" s="1"/>
      <c r="Q855" s="1"/>
      <c r="R855" s="1"/>
      <c r="S855" s="3"/>
      <c r="T855" s="3"/>
      <c r="U855" s="3"/>
      <c r="V855" s="3"/>
      <c r="W855" s="3"/>
      <c r="X855" s="3"/>
      <c r="Y855" s="3"/>
      <c r="Z855" s="27" t="s">
        <v>247</v>
      </c>
      <c r="AA855" t="s">
        <v>426</v>
      </c>
    </row>
    <row r="856" spans="1:27" x14ac:dyDescent="0.25">
      <c r="A856" s="12">
        <v>124</v>
      </c>
      <c r="B856">
        <v>26</v>
      </c>
      <c r="C856">
        <f t="shared" si="111"/>
        <v>12426</v>
      </c>
      <c r="D856" s="3" t="s">
        <v>86</v>
      </c>
      <c r="E856" s="11">
        <v>65.938599999999994</v>
      </c>
      <c r="F856" s="11">
        <v>7.2607999999999997</v>
      </c>
      <c r="G856" s="12" t="s">
        <v>144</v>
      </c>
      <c r="H856" s="12" t="s">
        <v>47</v>
      </c>
      <c r="I856">
        <v>2004</v>
      </c>
      <c r="J856" s="12" t="s">
        <v>163</v>
      </c>
      <c r="K856" s="2">
        <v>0</v>
      </c>
      <c r="L856" s="2"/>
      <c r="M856" s="33">
        <v>0</v>
      </c>
      <c r="N856" s="33"/>
      <c r="O856" s="8"/>
      <c r="P856" s="1"/>
      <c r="Q856" s="1"/>
      <c r="R856" s="1"/>
      <c r="S856" s="3"/>
      <c r="T856" s="3"/>
      <c r="U856" s="3"/>
      <c r="V856" s="3"/>
      <c r="W856" s="3"/>
      <c r="X856" s="3"/>
      <c r="Y856" s="3"/>
      <c r="Z856" s="27" t="s">
        <v>247</v>
      </c>
      <c r="AA856" t="s">
        <v>427</v>
      </c>
    </row>
    <row r="857" spans="1:27" x14ac:dyDescent="0.25">
      <c r="A857" s="12">
        <v>124</v>
      </c>
      <c r="B857">
        <v>27</v>
      </c>
      <c r="C857">
        <f t="shared" si="111"/>
        <v>12427</v>
      </c>
      <c r="D857" s="3" t="s">
        <v>86</v>
      </c>
      <c r="E857" s="11">
        <f>60+30/60+22.28/3600</f>
        <v>60.506188888888886</v>
      </c>
      <c r="F857" s="11">
        <f>2+53.38/3600</f>
        <v>2.0148277777777777</v>
      </c>
      <c r="G857" s="12" t="s">
        <v>144</v>
      </c>
      <c r="H857" s="12" t="s">
        <v>47</v>
      </c>
      <c r="I857">
        <v>2021</v>
      </c>
      <c r="J857" s="12" t="s">
        <v>163</v>
      </c>
      <c r="K857" s="2">
        <v>0</v>
      </c>
      <c r="L857" s="2"/>
      <c r="M857" s="33">
        <v>5.82</v>
      </c>
      <c r="N857" s="33">
        <v>4.28</v>
      </c>
      <c r="O857" s="8"/>
      <c r="P857" s="1"/>
      <c r="Q857" s="1"/>
      <c r="R857" s="1"/>
      <c r="S857" s="3"/>
      <c r="T857" s="3"/>
      <c r="U857" s="3"/>
      <c r="V857" s="3"/>
      <c r="W857" s="3"/>
      <c r="X857" s="3"/>
      <c r="Y857" s="3"/>
      <c r="Z857" s="27" t="s">
        <v>247</v>
      </c>
      <c r="AA857" t="s">
        <v>246</v>
      </c>
    </row>
    <row r="858" spans="1:27" x14ac:dyDescent="0.25">
      <c r="A858" s="12">
        <v>124</v>
      </c>
      <c r="B858">
        <v>28</v>
      </c>
      <c r="C858">
        <f t="shared" si="111"/>
        <v>12428</v>
      </c>
      <c r="D858" s="3" t="s">
        <v>86</v>
      </c>
      <c r="E858" s="11">
        <f>64+16/60+15.56/3600</f>
        <v>64.270988888888894</v>
      </c>
      <c r="F858" s="11">
        <f>7+12/60+5.48/3600</f>
        <v>7.2015222222222226</v>
      </c>
      <c r="G858" s="12" t="s">
        <v>144</v>
      </c>
      <c r="H858" s="12" t="s">
        <v>47</v>
      </c>
      <c r="I858">
        <v>2002</v>
      </c>
      <c r="J858" s="12" t="s">
        <v>163</v>
      </c>
      <c r="K858" s="2">
        <v>0</v>
      </c>
      <c r="L858" s="2"/>
      <c r="M858" s="33">
        <v>9.5333333329999999</v>
      </c>
      <c r="N858" s="33"/>
      <c r="O858" s="8"/>
      <c r="P858" s="1"/>
      <c r="Q858" s="1"/>
      <c r="R858" s="1"/>
      <c r="S858" s="3"/>
      <c r="T858" s="3"/>
      <c r="U858" s="3"/>
      <c r="V858" s="3"/>
      <c r="W858" s="3"/>
      <c r="X858" s="3"/>
      <c r="Y858" s="3"/>
      <c r="Z858" s="27" t="s">
        <v>247</v>
      </c>
      <c r="AA858" t="s">
        <v>216</v>
      </c>
    </row>
    <row r="859" spans="1:27" x14ac:dyDescent="0.25">
      <c r="A859" s="12">
        <v>124</v>
      </c>
      <c r="B859">
        <v>28</v>
      </c>
      <c r="C859">
        <f t="shared" si="111"/>
        <v>12428</v>
      </c>
      <c r="D859" s="3" t="s">
        <v>86</v>
      </c>
      <c r="E859" s="11">
        <f t="shared" ref="E859:E872" si="120">64+16/60+15.56/3600</f>
        <v>64.270988888888894</v>
      </c>
      <c r="F859" s="11">
        <f t="shared" ref="F859:F872" si="121">7+12/60+5.48/3600</f>
        <v>7.2015222222222226</v>
      </c>
      <c r="G859" s="12" t="s">
        <v>144</v>
      </c>
      <c r="H859" s="12" t="s">
        <v>47</v>
      </c>
      <c r="I859">
        <v>2003</v>
      </c>
      <c r="J859" s="12" t="s">
        <v>163</v>
      </c>
      <c r="K859" s="2">
        <v>0</v>
      </c>
      <c r="L859" s="2"/>
      <c r="M859" s="33">
        <v>9.3000000000000007</v>
      </c>
      <c r="N859" s="33"/>
      <c r="O859" s="8"/>
      <c r="P859" s="1"/>
      <c r="Q859" s="1"/>
      <c r="R859" s="1"/>
      <c r="S859" s="3"/>
      <c r="T859" s="3"/>
      <c r="U859" s="3"/>
      <c r="V859" s="3"/>
      <c r="W859" s="3"/>
      <c r="X859" s="3"/>
      <c r="Y859" s="3"/>
      <c r="Z859" s="27" t="s">
        <v>247</v>
      </c>
      <c r="AA859" t="s">
        <v>216</v>
      </c>
    </row>
    <row r="860" spans="1:27" x14ac:dyDescent="0.25">
      <c r="A860" s="12">
        <v>124</v>
      </c>
      <c r="B860">
        <v>28</v>
      </c>
      <c r="C860">
        <f t="shared" si="111"/>
        <v>12428</v>
      </c>
      <c r="D860" s="3" t="s">
        <v>86</v>
      </c>
      <c r="E860" s="11">
        <f t="shared" si="120"/>
        <v>64.270988888888894</v>
      </c>
      <c r="F860" s="11">
        <f t="shared" si="121"/>
        <v>7.2015222222222226</v>
      </c>
      <c r="G860" s="12" t="s">
        <v>144</v>
      </c>
      <c r="H860" s="12" t="s">
        <v>47</v>
      </c>
      <c r="I860">
        <v>2004</v>
      </c>
      <c r="J860" s="12" t="s">
        <v>163</v>
      </c>
      <c r="K860" s="2">
        <v>0</v>
      </c>
      <c r="L860" s="2"/>
      <c r="M860" s="33">
        <v>7.63</v>
      </c>
      <c r="N860" s="33"/>
      <c r="O860" s="8"/>
      <c r="P860" s="1"/>
      <c r="Q860" s="1"/>
      <c r="R860" s="1"/>
      <c r="S860" s="3"/>
      <c r="T860" s="3"/>
      <c r="U860" s="3"/>
      <c r="V860" s="3"/>
      <c r="W860" s="3"/>
      <c r="X860" s="3"/>
      <c r="Y860" s="3"/>
      <c r="Z860" s="27" t="s">
        <v>247</v>
      </c>
      <c r="AA860" t="s">
        <v>216</v>
      </c>
    </row>
    <row r="861" spans="1:27" x14ac:dyDescent="0.25">
      <c r="A861" s="12">
        <v>124</v>
      </c>
      <c r="B861">
        <v>28</v>
      </c>
      <c r="C861">
        <f t="shared" si="111"/>
        <v>12428</v>
      </c>
      <c r="D861" s="3" t="s">
        <v>86</v>
      </c>
      <c r="E861" s="11">
        <f t="shared" si="120"/>
        <v>64.270988888888894</v>
      </c>
      <c r="F861" s="11">
        <f t="shared" si="121"/>
        <v>7.2015222222222226</v>
      </c>
      <c r="G861" s="12" t="s">
        <v>144</v>
      </c>
      <c r="H861" s="12" t="s">
        <v>47</v>
      </c>
      <c r="I861">
        <v>2005</v>
      </c>
      <c r="J861" s="12" t="s">
        <v>163</v>
      </c>
      <c r="K861" s="2">
        <v>0</v>
      </c>
      <c r="L861" s="2"/>
      <c r="M861" s="33">
        <v>8.5</v>
      </c>
      <c r="N861" s="33"/>
      <c r="O861" s="8"/>
      <c r="P861" s="1"/>
      <c r="Q861" s="1"/>
      <c r="R861" s="1"/>
      <c r="S861" s="3"/>
      <c r="T861" s="3"/>
      <c r="U861" s="3"/>
      <c r="V861" s="3"/>
      <c r="W861" s="3"/>
      <c r="X861" s="3"/>
      <c r="Y861" s="3"/>
      <c r="Z861" s="27" t="s">
        <v>247</v>
      </c>
      <c r="AA861" t="s">
        <v>216</v>
      </c>
    </row>
    <row r="862" spans="1:27" x14ac:dyDescent="0.25">
      <c r="A862" s="12">
        <v>124</v>
      </c>
      <c r="B862">
        <v>28</v>
      </c>
      <c r="C862">
        <f t="shared" ref="C862:C925" si="122">A862*100+B862</f>
        <v>12428</v>
      </c>
      <c r="D862" s="3" t="s">
        <v>86</v>
      </c>
      <c r="E862" s="11">
        <f t="shared" si="120"/>
        <v>64.270988888888894</v>
      </c>
      <c r="F862" s="11">
        <f t="shared" si="121"/>
        <v>7.2015222222222226</v>
      </c>
      <c r="G862" s="12" t="s">
        <v>144</v>
      </c>
      <c r="H862" s="12" t="s">
        <v>47</v>
      </c>
      <c r="I862">
        <v>2006</v>
      </c>
      <c r="J862" s="12" t="s">
        <v>163</v>
      </c>
      <c r="K862" s="2">
        <v>0</v>
      </c>
      <c r="L862" s="2"/>
      <c r="M862" s="33">
        <v>10</v>
      </c>
      <c r="N862" s="33">
        <v>11.8</v>
      </c>
      <c r="O862" s="8"/>
      <c r="P862" s="1"/>
      <c r="Q862" s="1"/>
      <c r="R862" s="1"/>
      <c r="S862" s="3"/>
      <c r="T862" s="3"/>
      <c r="U862" s="3"/>
      <c r="V862" s="3"/>
      <c r="W862" s="3"/>
      <c r="X862" s="3"/>
      <c r="Y862" s="3"/>
      <c r="Z862" s="27" t="s">
        <v>247</v>
      </c>
      <c r="AA862" t="s">
        <v>216</v>
      </c>
    </row>
    <row r="863" spans="1:27" x14ac:dyDescent="0.25">
      <c r="A863" s="12">
        <v>124</v>
      </c>
      <c r="B863">
        <v>28</v>
      </c>
      <c r="C863">
        <f t="shared" si="122"/>
        <v>12428</v>
      </c>
      <c r="D863" s="3" t="s">
        <v>86</v>
      </c>
      <c r="E863" s="11">
        <f t="shared" si="120"/>
        <v>64.270988888888894</v>
      </c>
      <c r="F863" s="11">
        <f t="shared" si="121"/>
        <v>7.2015222222222226</v>
      </c>
      <c r="G863" s="12" t="s">
        <v>144</v>
      </c>
      <c r="H863" s="12" t="s">
        <v>47</v>
      </c>
      <c r="I863">
        <v>2007</v>
      </c>
      <c r="J863" s="12" t="s">
        <v>163</v>
      </c>
      <c r="K863" s="2">
        <v>0</v>
      </c>
      <c r="L863" s="2"/>
      <c r="M863" s="33">
        <v>10.9</v>
      </c>
      <c r="N863" s="33">
        <v>14.2</v>
      </c>
      <c r="O863" s="8"/>
      <c r="P863" s="1"/>
      <c r="Q863" s="1"/>
      <c r="R863" s="1"/>
      <c r="S863" s="3"/>
      <c r="T863" s="3"/>
      <c r="U863" s="3"/>
      <c r="V863" s="3"/>
      <c r="W863" s="3"/>
      <c r="X863" s="3"/>
      <c r="Y863" s="3"/>
      <c r="Z863" s="27" t="s">
        <v>247</v>
      </c>
      <c r="AA863" t="s">
        <v>216</v>
      </c>
    </row>
    <row r="864" spans="1:27" x14ac:dyDescent="0.25">
      <c r="A864" s="12">
        <v>124</v>
      </c>
      <c r="B864">
        <v>28</v>
      </c>
      <c r="C864">
        <f t="shared" si="122"/>
        <v>12428</v>
      </c>
      <c r="D864" s="3" t="s">
        <v>86</v>
      </c>
      <c r="E864" s="11">
        <f t="shared" si="120"/>
        <v>64.270988888888894</v>
      </c>
      <c r="F864" s="11">
        <f t="shared" si="121"/>
        <v>7.2015222222222226</v>
      </c>
      <c r="G864" s="12" t="s">
        <v>144</v>
      </c>
      <c r="H864" s="12" t="s">
        <v>47</v>
      </c>
      <c r="I864">
        <v>2008</v>
      </c>
      <c r="J864" s="12" t="s">
        <v>163</v>
      </c>
      <c r="K864" s="2">
        <v>0</v>
      </c>
      <c r="L864" s="2"/>
      <c r="M864" s="33">
        <v>7.7290667129999999</v>
      </c>
      <c r="N864" s="33">
        <v>13.563743519999999</v>
      </c>
      <c r="O864" s="8"/>
      <c r="P864" s="1"/>
      <c r="Q864" s="1"/>
      <c r="R864" s="1"/>
      <c r="S864" s="3"/>
      <c r="T864" s="3"/>
      <c r="U864" s="3"/>
      <c r="V864" s="3"/>
      <c r="W864" s="3"/>
      <c r="X864" s="3"/>
      <c r="Y864" s="3"/>
      <c r="Z864" s="27" t="s">
        <v>247</v>
      </c>
      <c r="AA864" t="s">
        <v>216</v>
      </c>
    </row>
    <row r="865" spans="1:27" x14ac:dyDescent="0.25">
      <c r="A865" s="12">
        <v>124</v>
      </c>
      <c r="B865">
        <v>28</v>
      </c>
      <c r="C865">
        <f t="shared" si="122"/>
        <v>12428</v>
      </c>
      <c r="D865" s="3" t="s">
        <v>86</v>
      </c>
      <c r="E865" s="11">
        <f t="shared" si="120"/>
        <v>64.270988888888894</v>
      </c>
      <c r="F865" s="11">
        <f t="shared" si="121"/>
        <v>7.2015222222222226</v>
      </c>
      <c r="G865" s="12" t="s">
        <v>144</v>
      </c>
      <c r="H865" s="12" t="s">
        <v>47</v>
      </c>
      <c r="I865">
        <v>2009</v>
      </c>
      <c r="J865" s="12" t="s">
        <v>163</v>
      </c>
      <c r="K865" s="2">
        <v>0</v>
      </c>
      <c r="L865" s="2"/>
      <c r="M865" s="33">
        <v>12.08726691</v>
      </c>
      <c r="N865" s="33">
        <v>17.52789409</v>
      </c>
      <c r="O865" s="8"/>
      <c r="P865" s="1"/>
      <c r="Q865" s="1"/>
      <c r="R865" s="1"/>
      <c r="S865" s="3"/>
      <c r="T865" s="3"/>
      <c r="U865" s="3"/>
      <c r="V865" s="3"/>
      <c r="W865" s="3"/>
      <c r="X865" s="3"/>
      <c r="Y865" s="3"/>
      <c r="Z865" s="27" t="s">
        <v>247</v>
      </c>
      <c r="AA865" t="s">
        <v>216</v>
      </c>
    </row>
    <row r="866" spans="1:27" x14ac:dyDescent="0.25">
      <c r="A866" s="12">
        <v>124</v>
      </c>
      <c r="B866">
        <v>28</v>
      </c>
      <c r="C866">
        <f t="shared" si="122"/>
        <v>12428</v>
      </c>
      <c r="D866" s="3" t="s">
        <v>86</v>
      </c>
      <c r="E866" s="11">
        <f t="shared" si="120"/>
        <v>64.270988888888894</v>
      </c>
      <c r="F866" s="11">
        <f t="shared" si="121"/>
        <v>7.2015222222222226</v>
      </c>
      <c r="G866" s="12" t="s">
        <v>144</v>
      </c>
      <c r="H866" s="12" t="s">
        <v>47</v>
      </c>
      <c r="I866">
        <v>2010</v>
      </c>
      <c r="J866" s="12" t="s">
        <v>163</v>
      </c>
      <c r="K866" s="2">
        <v>0</v>
      </c>
      <c r="L866" s="2"/>
      <c r="M866" s="33">
        <v>14.00186175</v>
      </c>
      <c r="N866" s="33">
        <v>19.01488264</v>
      </c>
      <c r="O866" s="8"/>
      <c r="P866" s="1"/>
      <c r="Q866" s="1"/>
      <c r="R866" s="1"/>
      <c r="S866" s="3"/>
      <c r="T866" s="3"/>
      <c r="U866" s="3"/>
      <c r="V866" s="3"/>
      <c r="W866" s="3"/>
      <c r="X866" s="3"/>
      <c r="Y866" s="3"/>
      <c r="Z866" s="27" t="s">
        <v>247</v>
      </c>
      <c r="AA866" t="s">
        <v>216</v>
      </c>
    </row>
    <row r="867" spans="1:27" x14ac:dyDescent="0.25">
      <c r="A867" s="12">
        <v>124</v>
      </c>
      <c r="B867">
        <v>28</v>
      </c>
      <c r="C867">
        <f t="shared" si="122"/>
        <v>12428</v>
      </c>
      <c r="D867" s="3" t="s">
        <v>86</v>
      </c>
      <c r="E867" s="11">
        <f t="shared" si="120"/>
        <v>64.270988888888894</v>
      </c>
      <c r="F867" s="11">
        <f t="shared" si="121"/>
        <v>7.2015222222222226</v>
      </c>
      <c r="G867" s="12" t="s">
        <v>144</v>
      </c>
      <c r="H867" s="12" t="s">
        <v>47</v>
      </c>
      <c r="I867">
        <v>2011</v>
      </c>
      <c r="J867" s="12" t="s">
        <v>163</v>
      </c>
      <c r="K867" s="2">
        <v>0</v>
      </c>
      <c r="L867" s="2"/>
      <c r="M867" s="33">
        <v>10.865536179999999</v>
      </c>
      <c r="N867" s="33">
        <v>13.964478509999999</v>
      </c>
      <c r="O867" s="8"/>
      <c r="P867" s="1"/>
      <c r="Q867" s="1"/>
      <c r="R867" s="1"/>
      <c r="S867" s="3"/>
      <c r="T867" s="3"/>
      <c r="U867" s="3"/>
      <c r="V867" s="3"/>
      <c r="W867" s="3"/>
      <c r="X867" s="3"/>
      <c r="Y867" s="3"/>
      <c r="Z867" s="27" t="s">
        <v>247</v>
      </c>
      <c r="AA867" t="s">
        <v>216</v>
      </c>
    </row>
    <row r="868" spans="1:27" x14ac:dyDescent="0.25">
      <c r="A868" s="12">
        <v>124</v>
      </c>
      <c r="B868">
        <v>28</v>
      </c>
      <c r="C868">
        <f t="shared" si="122"/>
        <v>12428</v>
      </c>
      <c r="D868" s="3" t="s">
        <v>86</v>
      </c>
      <c r="E868" s="11">
        <f t="shared" si="120"/>
        <v>64.270988888888894</v>
      </c>
      <c r="F868" s="11">
        <f t="shared" si="121"/>
        <v>7.2015222222222226</v>
      </c>
      <c r="G868" s="12" t="s">
        <v>144</v>
      </c>
      <c r="H868" s="12" t="s">
        <v>47</v>
      </c>
      <c r="I868">
        <v>2012</v>
      </c>
      <c r="J868" s="12" t="s">
        <v>163</v>
      </c>
      <c r="K868" s="2">
        <v>0</v>
      </c>
      <c r="L868" s="2"/>
      <c r="M868" s="33">
        <v>7.2374999999999998</v>
      </c>
      <c r="N868" s="33">
        <v>9.2750000000000004</v>
      </c>
      <c r="O868" s="8"/>
      <c r="P868" s="1"/>
      <c r="Q868" s="1"/>
      <c r="R868" s="1"/>
      <c r="S868" s="3"/>
      <c r="T868" s="3"/>
      <c r="U868" s="3"/>
      <c r="V868" s="3"/>
      <c r="W868" s="3"/>
      <c r="X868" s="3"/>
      <c r="Y868" s="3"/>
      <c r="Z868" s="27" t="s">
        <v>247</v>
      </c>
      <c r="AA868" t="s">
        <v>216</v>
      </c>
    </row>
    <row r="869" spans="1:27" x14ac:dyDescent="0.25">
      <c r="A869" s="12">
        <v>124</v>
      </c>
      <c r="B869">
        <v>28</v>
      </c>
      <c r="C869">
        <f t="shared" si="122"/>
        <v>12428</v>
      </c>
      <c r="D869" s="3" t="s">
        <v>86</v>
      </c>
      <c r="E869" s="11">
        <f t="shared" si="120"/>
        <v>64.270988888888894</v>
      </c>
      <c r="F869" s="11">
        <f t="shared" si="121"/>
        <v>7.2015222222222226</v>
      </c>
      <c r="G869" s="12" t="s">
        <v>144</v>
      </c>
      <c r="H869" s="12" t="s">
        <v>47</v>
      </c>
      <c r="I869">
        <v>2013</v>
      </c>
      <c r="J869" s="12" t="s">
        <v>163</v>
      </c>
      <c r="K869" s="2">
        <v>0</v>
      </c>
      <c r="L869" s="2"/>
      <c r="M869" s="33">
        <v>6.6611515957899998</v>
      </c>
      <c r="N869" s="33">
        <v>6.5333333333333297</v>
      </c>
      <c r="O869" s="8"/>
      <c r="P869" s="1"/>
      <c r="Q869" s="1"/>
      <c r="R869" s="1"/>
      <c r="S869" s="3"/>
      <c r="T869" s="3"/>
      <c r="U869" s="3"/>
      <c r="V869" s="3"/>
      <c r="W869" s="3"/>
      <c r="X869" s="3"/>
      <c r="Y869" s="3"/>
      <c r="Z869" s="27" t="s">
        <v>247</v>
      </c>
      <c r="AA869" t="s">
        <v>216</v>
      </c>
    </row>
    <row r="870" spans="1:27" x14ac:dyDescent="0.25">
      <c r="A870" s="12">
        <v>124</v>
      </c>
      <c r="B870">
        <v>28</v>
      </c>
      <c r="C870">
        <f t="shared" si="122"/>
        <v>12428</v>
      </c>
      <c r="D870" s="3" t="s">
        <v>86</v>
      </c>
      <c r="E870" s="11">
        <f t="shared" si="120"/>
        <v>64.270988888888894</v>
      </c>
      <c r="F870" s="11">
        <f t="shared" si="121"/>
        <v>7.2015222222222226</v>
      </c>
      <c r="G870" s="12" t="s">
        <v>144</v>
      </c>
      <c r="H870" s="12" t="s">
        <v>47</v>
      </c>
      <c r="I870">
        <v>2014</v>
      </c>
      <c r="J870" s="12" t="s">
        <v>163</v>
      </c>
      <c r="K870" s="2">
        <v>0</v>
      </c>
      <c r="L870" s="2"/>
      <c r="M870" s="33">
        <v>8.02</v>
      </c>
      <c r="N870" s="33">
        <v>14.54</v>
      </c>
      <c r="O870" s="8"/>
      <c r="P870" s="1"/>
      <c r="Q870" s="1"/>
      <c r="R870" s="1"/>
      <c r="S870" s="3"/>
      <c r="T870" s="3"/>
      <c r="U870" s="3"/>
      <c r="V870" s="3"/>
      <c r="W870" s="3"/>
      <c r="X870" s="3"/>
      <c r="Y870" s="3"/>
      <c r="Z870" s="27" t="s">
        <v>247</v>
      </c>
      <c r="AA870" t="s">
        <v>216</v>
      </c>
    </row>
    <row r="871" spans="1:27" x14ac:dyDescent="0.25">
      <c r="A871" s="12">
        <v>124</v>
      </c>
      <c r="B871">
        <v>28</v>
      </c>
      <c r="C871">
        <f t="shared" si="122"/>
        <v>12428</v>
      </c>
      <c r="D871" s="3" t="s">
        <v>86</v>
      </c>
      <c r="E871" s="11">
        <f t="shared" si="120"/>
        <v>64.270988888888894</v>
      </c>
      <c r="F871" s="11">
        <f t="shared" si="121"/>
        <v>7.2015222222222226</v>
      </c>
      <c r="G871" s="12" t="s">
        <v>144</v>
      </c>
      <c r="H871" s="12" t="s">
        <v>47</v>
      </c>
      <c r="I871">
        <v>2015</v>
      </c>
      <c r="J871" s="12" t="s">
        <v>163</v>
      </c>
      <c r="K871" s="2">
        <v>0</v>
      </c>
      <c r="L871" s="2"/>
      <c r="M871" s="33">
        <v>10.005000000000001</v>
      </c>
      <c r="N871" s="33">
        <v>18.225000000000001</v>
      </c>
      <c r="O871" s="8"/>
      <c r="P871" s="1"/>
      <c r="Q871" s="1"/>
      <c r="R871" s="1"/>
      <c r="S871" s="3"/>
      <c r="T871" s="3"/>
      <c r="U871" s="3"/>
      <c r="V871" s="3"/>
      <c r="W871" s="3"/>
      <c r="X871" s="3"/>
      <c r="Y871" s="3"/>
      <c r="Z871" s="27" t="s">
        <v>247</v>
      </c>
      <c r="AA871" t="s">
        <v>216</v>
      </c>
    </row>
    <row r="872" spans="1:27" x14ac:dyDescent="0.25">
      <c r="A872" s="12">
        <v>124</v>
      </c>
      <c r="B872">
        <v>28</v>
      </c>
      <c r="C872">
        <f t="shared" si="122"/>
        <v>12428</v>
      </c>
      <c r="D872" s="3" t="s">
        <v>86</v>
      </c>
      <c r="E872" s="11">
        <f t="shared" si="120"/>
        <v>64.270988888888894</v>
      </c>
      <c r="F872" s="11">
        <f t="shared" si="121"/>
        <v>7.2015222222222226</v>
      </c>
      <c r="G872" s="12" t="s">
        <v>144</v>
      </c>
      <c r="H872" s="12" t="s">
        <v>47</v>
      </c>
      <c r="I872">
        <v>2016</v>
      </c>
      <c r="J872" s="12" t="s">
        <v>163</v>
      </c>
      <c r="K872" s="2">
        <v>0</v>
      </c>
      <c r="L872" s="2"/>
      <c r="M872" s="33">
        <v>8.65</v>
      </c>
      <c r="N872" s="33">
        <v>17.5</v>
      </c>
      <c r="O872" s="8"/>
      <c r="P872" s="1"/>
      <c r="Q872" s="1"/>
      <c r="R872" s="1"/>
      <c r="S872" s="3"/>
      <c r="T872" s="3"/>
      <c r="U872" s="3"/>
      <c r="V872" s="3"/>
      <c r="W872" s="3"/>
      <c r="X872" s="3"/>
      <c r="Y872" s="3"/>
      <c r="Z872" s="27" t="s">
        <v>247</v>
      </c>
      <c r="AA872" t="s">
        <v>216</v>
      </c>
    </row>
    <row r="873" spans="1:27" x14ac:dyDescent="0.25">
      <c r="A873" s="12">
        <v>124</v>
      </c>
      <c r="B873">
        <v>29</v>
      </c>
      <c r="C873">
        <f t="shared" si="122"/>
        <v>12429</v>
      </c>
      <c r="D873" s="3" t="s">
        <v>86</v>
      </c>
      <c r="E873" s="11">
        <f>66+54.61/3600</f>
        <v>66.015169444444439</v>
      </c>
      <c r="F873" s="11">
        <f>8+3/60+15.12/3600</f>
        <v>8.0542000000000016</v>
      </c>
      <c r="G873" s="12" t="s">
        <v>144</v>
      </c>
      <c r="H873" s="12" t="s">
        <v>47</v>
      </c>
      <c r="I873">
        <v>2002</v>
      </c>
      <c r="J873" s="12" t="s">
        <v>163</v>
      </c>
      <c r="K873" s="2">
        <v>0</v>
      </c>
      <c r="L873" s="2"/>
      <c r="M873" s="33">
        <v>0.17</v>
      </c>
      <c r="N873" s="33"/>
      <c r="O873" s="8"/>
      <c r="P873" s="1"/>
      <c r="Q873" s="1"/>
      <c r="R873" s="1"/>
      <c r="S873" s="3"/>
      <c r="T873" s="3"/>
      <c r="U873" s="3"/>
      <c r="V873" s="3"/>
      <c r="W873" s="3"/>
      <c r="X873" s="3"/>
      <c r="Y873" s="3"/>
      <c r="Z873" s="27" t="s">
        <v>247</v>
      </c>
      <c r="AA873" t="s">
        <v>217</v>
      </c>
    </row>
    <row r="874" spans="1:27" x14ac:dyDescent="0.25">
      <c r="A874" s="12">
        <v>124</v>
      </c>
      <c r="B874">
        <v>29</v>
      </c>
      <c r="C874">
        <f t="shared" si="122"/>
        <v>12429</v>
      </c>
      <c r="D874" s="3" t="s">
        <v>86</v>
      </c>
      <c r="E874" s="11">
        <f t="shared" ref="E874:E891" si="123">66+54.61/3600</f>
        <v>66.015169444444439</v>
      </c>
      <c r="F874" s="11">
        <f t="shared" ref="F874:F891" si="124">8+3/60+15.12/3600</f>
        <v>8.0542000000000016</v>
      </c>
      <c r="G874" s="12" t="s">
        <v>144</v>
      </c>
      <c r="H874" s="12" t="s">
        <v>47</v>
      </c>
      <c r="I874">
        <v>2003</v>
      </c>
      <c r="J874" s="12" t="s">
        <v>163</v>
      </c>
      <c r="K874" s="2">
        <v>0</v>
      </c>
      <c r="L874" s="2"/>
      <c r="M874" s="33">
        <v>1.4</v>
      </c>
      <c r="N874" s="33"/>
      <c r="O874" s="8"/>
      <c r="P874" s="1"/>
      <c r="Q874" s="1"/>
      <c r="R874" s="1"/>
      <c r="S874" s="3"/>
      <c r="T874" s="3"/>
      <c r="U874" s="3"/>
      <c r="V874" s="3"/>
      <c r="W874" s="3"/>
      <c r="X874" s="3"/>
      <c r="Y874" s="3"/>
      <c r="Z874" s="27" t="s">
        <v>247</v>
      </c>
      <c r="AA874" t="s">
        <v>217</v>
      </c>
    </row>
    <row r="875" spans="1:27" x14ac:dyDescent="0.25">
      <c r="A875" s="12">
        <v>124</v>
      </c>
      <c r="B875">
        <v>29</v>
      </c>
      <c r="C875">
        <f t="shared" si="122"/>
        <v>12429</v>
      </c>
      <c r="D875" s="3" t="s">
        <v>86</v>
      </c>
      <c r="E875" s="11">
        <f t="shared" si="123"/>
        <v>66.015169444444439</v>
      </c>
      <c r="F875" s="11">
        <f t="shared" si="124"/>
        <v>8.0542000000000016</v>
      </c>
      <c r="G875" s="12" t="s">
        <v>144</v>
      </c>
      <c r="H875" s="12" t="s">
        <v>47</v>
      </c>
      <c r="I875">
        <v>2005</v>
      </c>
      <c r="J875" s="12" t="s">
        <v>163</v>
      </c>
      <c r="K875" s="2">
        <v>0</v>
      </c>
      <c r="L875" s="2"/>
      <c r="M875" s="33">
        <v>1.9</v>
      </c>
      <c r="N875" s="33">
        <v>2.2999999999999998</v>
      </c>
      <c r="O875" s="8"/>
      <c r="P875" s="1"/>
      <c r="Q875" s="1"/>
      <c r="R875" s="1"/>
      <c r="S875" s="3"/>
      <c r="T875" s="3"/>
      <c r="U875" s="3"/>
      <c r="V875" s="3"/>
      <c r="W875" s="3"/>
      <c r="X875" s="3"/>
      <c r="Y875" s="3"/>
      <c r="Z875" s="27" t="s">
        <v>247</v>
      </c>
      <c r="AA875" t="s">
        <v>217</v>
      </c>
    </row>
    <row r="876" spans="1:27" x14ac:dyDescent="0.25">
      <c r="A876" s="12">
        <v>124</v>
      </c>
      <c r="B876">
        <v>29</v>
      </c>
      <c r="C876">
        <f t="shared" si="122"/>
        <v>12429</v>
      </c>
      <c r="D876" s="3" t="s">
        <v>86</v>
      </c>
      <c r="E876" s="11">
        <f t="shared" si="123"/>
        <v>66.015169444444439</v>
      </c>
      <c r="F876" s="11">
        <f t="shared" si="124"/>
        <v>8.0542000000000016</v>
      </c>
      <c r="G876" s="12" t="s">
        <v>144</v>
      </c>
      <c r="H876" s="12" t="s">
        <v>47</v>
      </c>
      <c r="I876">
        <v>2006</v>
      </c>
      <c r="J876" s="12" t="s">
        <v>163</v>
      </c>
      <c r="K876" s="2">
        <v>0</v>
      </c>
      <c r="L876" s="2"/>
      <c r="M876" s="33">
        <v>2.0816499999999998</v>
      </c>
      <c r="N876" s="33">
        <v>2.19835</v>
      </c>
      <c r="O876" s="8"/>
      <c r="P876" s="1"/>
      <c r="Q876" s="1"/>
      <c r="R876" s="1"/>
      <c r="S876" s="3"/>
      <c r="T876" s="3"/>
      <c r="U876" s="3"/>
      <c r="V876" s="3"/>
      <c r="W876" s="3"/>
      <c r="X876" s="3"/>
      <c r="Y876" s="3"/>
      <c r="Z876" s="27" t="s">
        <v>247</v>
      </c>
      <c r="AA876" t="s">
        <v>217</v>
      </c>
    </row>
    <row r="877" spans="1:27" x14ac:dyDescent="0.25">
      <c r="A877" s="12">
        <v>124</v>
      </c>
      <c r="B877">
        <v>29</v>
      </c>
      <c r="C877">
        <f t="shared" si="122"/>
        <v>12429</v>
      </c>
      <c r="D877" s="3" t="s">
        <v>86</v>
      </c>
      <c r="E877" s="11">
        <f t="shared" si="123"/>
        <v>66.015169444444439</v>
      </c>
      <c r="F877" s="11">
        <f t="shared" si="124"/>
        <v>8.0542000000000016</v>
      </c>
      <c r="G877" s="12" t="s">
        <v>144</v>
      </c>
      <c r="H877" s="12" t="s">
        <v>47</v>
      </c>
      <c r="I877">
        <v>2007</v>
      </c>
      <c r="J877" s="12" t="s">
        <v>163</v>
      </c>
      <c r="K877" s="2">
        <v>0</v>
      </c>
      <c r="L877" s="2"/>
      <c r="M877" s="33">
        <v>0.77588000000000001</v>
      </c>
      <c r="N877" s="33">
        <v>1.1660299999999999</v>
      </c>
      <c r="O877" s="8"/>
      <c r="P877" s="1"/>
      <c r="Q877" s="1"/>
      <c r="R877" s="1"/>
      <c r="S877" s="3"/>
      <c r="T877" s="3"/>
      <c r="U877" s="3"/>
      <c r="V877" s="3"/>
      <c r="W877" s="3"/>
      <c r="X877" s="3"/>
      <c r="Y877" s="3"/>
      <c r="Z877" s="27" t="s">
        <v>247</v>
      </c>
      <c r="AA877" t="s">
        <v>217</v>
      </c>
    </row>
    <row r="878" spans="1:27" x14ac:dyDescent="0.25">
      <c r="A878" s="12">
        <v>124</v>
      </c>
      <c r="B878">
        <v>29</v>
      </c>
      <c r="C878">
        <f t="shared" si="122"/>
        <v>12429</v>
      </c>
      <c r="D878" s="3" t="s">
        <v>86</v>
      </c>
      <c r="E878" s="11">
        <f t="shared" si="123"/>
        <v>66.015169444444439</v>
      </c>
      <c r="F878" s="11">
        <f t="shared" si="124"/>
        <v>8.0542000000000016</v>
      </c>
      <c r="G878" s="12" t="s">
        <v>144</v>
      </c>
      <c r="H878" s="12" t="s">
        <v>47</v>
      </c>
      <c r="I878">
        <v>2008</v>
      </c>
      <c r="J878" s="12" t="s">
        <v>163</v>
      </c>
      <c r="K878" s="2">
        <v>0</v>
      </c>
      <c r="L878" s="2"/>
      <c r="M878" s="33">
        <v>1.03977995</v>
      </c>
      <c r="N878" s="33">
        <v>1.2773816650000001</v>
      </c>
      <c r="O878" s="8"/>
      <c r="P878" s="1"/>
      <c r="Q878" s="1"/>
      <c r="R878" s="1"/>
      <c r="S878" s="3"/>
      <c r="T878" s="3"/>
      <c r="U878" s="3"/>
      <c r="V878" s="3"/>
      <c r="W878" s="3"/>
      <c r="X878" s="3"/>
      <c r="Y878" s="3"/>
      <c r="Z878" s="27" t="s">
        <v>247</v>
      </c>
      <c r="AA878" t="s">
        <v>217</v>
      </c>
    </row>
    <row r="879" spans="1:27" x14ac:dyDescent="0.25">
      <c r="A879" s="12">
        <v>124</v>
      </c>
      <c r="B879">
        <v>29</v>
      </c>
      <c r="C879">
        <f t="shared" si="122"/>
        <v>12429</v>
      </c>
      <c r="D879" s="3" t="s">
        <v>86</v>
      </c>
      <c r="E879" s="11">
        <f t="shared" si="123"/>
        <v>66.015169444444439</v>
      </c>
      <c r="F879" s="11">
        <f t="shared" si="124"/>
        <v>8.0542000000000016</v>
      </c>
      <c r="G879" s="12" t="s">
        <v>144</v>
      </c>
      <c r="H879" s="12" t="s">
        <v>47</v>
      </c>
      <c r="I879">
        <v>2009</v>
      </c>
      <c r="J879" s="12" t="s">
        <v>163</v>
      </c>
      <c r="K879" s="2">
        <v>0</v>
      </c>
      <c r="L879" s="2"/>
      <c r="M879" s="33">
        <v>1.179002267</v>
      </c>
      <c r="N879" s="33">
        <v>0.99504916300000001</v>
      </c>
      <c r="O879" s="8"/>
      <c r="P879" s="1"/>
      <c r="Q879" s="1"/>
      <c r="R879" s="1"/>
      <c r="S879" s="3"/>
      <c r="T879" s="3"/>
      <c r="U879" s="3"/>
      <c r="V879" s="3"/>
      <c r="W879" s="3"/>
      <c r="X879" s="3"/>
      <c r="Y879" s="3"/>
      <c r="Z879" s="27" t="s">
        <v>247</v>
      </c>
      <c r="AA879" t="s">
        <v>217</v>
      </c>
    </row>
    <row r="880" spans="1:27" x14ac:dyDescent="0.25">
      <c r="A880" s="12">
        <v>124</v>
      </c>
      <c r="B880">
        <v>29</v>
      </c>
      <c r="C880">
        <f t="shared" si="122"/>
        <v>12429</v>
      </c>
      <c r="D880" s="3" t="s">
        <v>86</v>
      </c>
      <c r="E880" s="11">
        <f t="shared" si="123"/>
        <v>66.015169444444439</v>
      </c>
      <c r="F880" s="11">
        <f t="shared" si="124"/>
        <v>8.0542000000000016</v>
      </c>
      <c r="G880" s="12" t="s">
        <v>144</v>
      </c>
      <c r="H880" s="12" t="s">
        <v>47</v>
      </c>
      <c r="I880">
        <v>2010</v>
      </c>
      <c r="J880" s="12" t="s">
        <v>163</v>
      </c>
      <c r="K880" s="2">
        <v>0</v>
      </c>
      <c r="L880" s="2"/>
      <c r="M880" s="33">
        <v>0.96053075300000001</v>
      </c>
      <c r="N880" s="33">
        <v>0.93521553700000004</v>
      </c>
      <c r="O880" s="8"/>
      <c r="P880" s="1"/>
      <c r="Q880" s="1"/>
      <c r="R880" s="1"/>
      <c r="S880" s="3"/>
      <c r="T880" s="3"/>
      <c r="U880" s="3"/>
      <c r="V880" s="3"/>
      <c r="W880" s="3"/>
      <c r="X880" s="3"/>
      <c r="Y880" s="3"/>
      <c r="Z880" s="27" t="s">
        <v>247</v>
      </c>
      <c r="AA880" t="s">
        <v>217</v>
      </c>
    </row>
    <row r="881" spans="1:27" x14ac:dyDescent="0.25">
      <c r="A881" s="12">
        <v>124</v>
      </c>
      <c r="B881">
        <v>29</v>
      </c>
      <c r="C881">
        <f t="shared" si="122"/>
        <v>12429</v>
      </c>
      <c r="D881" s="3" t="s">
        <v>86</v>
      </c>
      <c r="E881" s="11">
        <f t="shared" si="123"/>
        <v>66.015169444444439</v>
      </c>
      <c r="F881" s="11">
        <f t="shared" si="124"/>
        <v>8.0542000000000016</v>
      </c>
      <c r="G881" s="12" t="s">
        <v>144</v>
      </c>
      <c r="H881" s="12" t="s">
        <v>47</v>
      </c>
      <c r="I881">
        <v>2011</v>
      </c>
      <c r="J881" s="12" t="s">
        <v>163</v>
      </c>
      <c r="K881" s="2">
        <v>0</v>
      </c>
      <c r="L881" s="2"/>
      <c r="M881" s="33">
        <v>0.79521728000000003</v>
      </c>
      <c r="N881" s="33">
        <v>0.87449870200000002</v>
      </c>
      <c r="O881" s="8"/>
      <c r="P881" s="1"/>
      <c r="Q881" s="1"/>
      <c r="R881" s="1"/>
      <c r="S881" s="3"/>
      <c r="T881" s="3"/>
      <c r="U881" s="3"/>
      <c r="V881" s="3"/>
      <c r="W881" s="3"/>
      <c r="X881" s="3"/>
      <c r="Y881" s="3"/>
      <c r="Z881" s="27" t="s">
        <v>247</v>
      </c>
      <c r="AA881" t="s">
        <v>217</v>
      </c>
    </row>
    <row r="882" spans="1:27" x14ac:dyDescent="0.25">
      <c r="A882" s="12">
        <v>124</v>
      </c>
      <c r="B882">
        <v>29</v>
      </c>
      <c r="C882">
        <f t="shared" si="122"/>
        <v>12429</v>
      </c>
      <c r="D882" s="3" t="s">
        <v>86</v>
      </c>
      <c r="E882" s="11">
        <f t="shared" si="123"/>
        <v>66.015169444444439</v>
      </c>
      <c r="F882" s="11">
        <f t="shared" si="124"/>
        <v>8.0542000000000016</v>
      </c>
      <c r="G882" s="12" t="s">
        <v>144</v>
      </c>
      <c r="H882" s="12" t="s">
        <v>47</v>
      </c>
      <c r="I882">
        <v>2012</v>
      </c>
      <c r="J882" s="12" t="s">
        <v>163</v>
      </c>
      <c r="K882" s="2">
        <v>0</v>
      </c>
      <c r="L882" s="2"/>
      <c r="M882" s="33">
        <v>0.89803200000000005</v>
      </c>
      <c r="N882" s="33">
        <v>1.3966666666666701</v>
      </c>
      <c r="O882" s="8"/>
      <c r="P882" s="1"/>
      <c r="Q882" s="1"/>
      <c r="R882" s="1"/>
      <c r="S882" s="3"/>
      <c r="T882" s="3"/>
      <c r="U882" s="3"/>
      <c r="V882" s="3"/>
      <c r="W882" s="3"/>
      <c r="X882" s="3"/>
      <c r="Y882" s="3"/>
      <c r="Z882" s="27" t="s">
        <v>247</v>
      </c>
      <c r="AA882" t="s">
        <v>217</v>
      </c>
    </row>
    <row r="883" spans="1:27" x14ac:dyDescent="0.25">
      <c r="A883" s="12">
        <v>124</v>
      </c>
      <c r="B883">
        <v>29</v>
      </c>
      <c r="C883">
        <f t="shared" si="122"/>
        <v>12429</v>
      </c>
      <c r="D883" s="3" t="s">
        <v>86</v>
      </c>
      <c r="E883" s="11">
        <f t="shared" si="123"/>
        <v>66.015169444444439</v>
      </c>
      <c r="F883" s="11">
        <f t="shared" si="124"/>
        <v>8.0542000000000016</v>
      </c>
      <c r="G883" s="12" t="s">
        <v>144</v>
      </c>
      <c r="H883" s="12" t="s">
        <v>47</v>
      </c>
      <c r="I883">
        <v>2013</v>
      </c>
      <c r="J883" s="12" t="s">
        <v>163</v>
      </c>
      <c r="K883" s="2">
        <v>0</v>
      </c>
      <c r="L883" s="2"/>
      <c r="M883" s="33">
        <v>0.89024645370436395</v>
      </c>
      <c r="N883" s="33">
        <v>1.4909090909090901</v>
      </c>
      <c r="O883" s="8"/>
      <c r="P883" s="1"/>
      <c r="Q883" s="1"/>
      <c r="R883" s="1"/>
      <c r="S883" s="3"/>
      <c r="T883" s="3"/>
      <c r="U883" s="3"/>
      <c r="V883" s="3"/>
      <c r="W883" s="3"/>
      <c r="X883" s="3"/>
      <c r="Y883" s="3"/>
      <c r="Z883" s="27" t="s">
        <v>247</v>
      </c>
      <c r="AA883" t="s">
        <v>217</v>
      </c>
    </row>
    <row r="884" spans="1:27" x14ac:dyDescent="0.25">
      <c r="A884" s="12">
        <v>124</v>
      </c>
      <c r="B884">
        <v>29</v>
      </c>
      <c r="C884">
        <f t="shared" si="122"/>
        <v>12429</v>
      </c>
      <c r="D884" s="3" t="s">
        <v>86</v>
      </c>
      <c r="E884" s="11">
        <f t="shared" si="123"/>
        <v>66.015169444444439</v>
      </c>
      <c r="F884" s="11">
        <f t="shared" si="124"/>
        <v>8.0542000000000016</v>
      </c>
      <c r="G884" s="12" t="s">
        <v>144</v>
      </c>
      <c r="H884" s="12" t="s">
        <v>47</v>
      </c>
      <c r="I884">
        <v>2014</v>
      </c>
      <c r="J884" s="12" t="s">
        <v>163</v>
      </c>
      <c r="K884" s="2">
        <v>0</v>
      </c>
      <c r="L884" s="2"/>
      <c r="M884" s="33">
        <v>1.1105454545454501</v>
      </c>
      <c r="N884" s="33">
        <v>1.8533333333333299</v>
      </c>
      <c r="O884" s="8"/>
      <c r="P884" s="1"/>
      <c r="Q884" s="1"/>
      <c r="R884" s="1"/>
      <c r="S884" s="3"/>
      <c r="T884" s="3"/>
      <c r="U884" s="3"/>
      <c r="V884" s="3"/>
      <c r="W884" s="3"/>
      <c r="X884" s="3"/>
      <c r="Y884" s="3"/>
      <c r="Z884" s="27" t="s">
        <v>247</v>
      </c>
      <c r="AA884" t="s">
        <v>217</v>
      </c>
    </row>
    <row r="885" spans="1:27" x14ac:dyDescent="0.25">
      <c r="A885" s="12">
        <v>124</v>
      </c>
      <c r="B885">
        <v>29</v>
      </c>
      <c r="C885">
        <f t="shared" si="122"/>
        <v>12429</v>
      </c>
      <c r="D885" s="3" t="s">
        <v>86</v>
      </c>
      <c r="E885" s="11">
        <f t="shared" si="123"/>
        <v>66.015169444444439</v>
      </c>
      <c r="F885" s="11">
        <f t="shared" si="124"/>
        <v>8.0542000000000016</v>
      </c>
      <c r="G885" s="12" t="s">
        <v>144</v>
      </c>
      <c r="H885" s="12" t="s">
        <v>47</v>
      </c>
      <c r="I885">
        <v>2015</v>
      </c>
      <c r="J885" s="12" t="s">
        <v>163</v>
      </c>
      <c r="K885" s="2">
        <v>0</v>
      </c>
      <c r="L885" s="2"/>
      <c r="M885" s="33">
        <v>1.0253000000000001</v>
      </c>
      <c r="N885" s="33">
        <v>1.7350000000000001</v>
      </c>
      <c r="O885" s="8"/>
      <c r="P885" s="1"/>
      <c r="Q885" s="1"/>
      <c r="R885" s="1"/>
      <c r="S885" s="3"/>
      <c r="T885" s="3"/>
      <c r="U885" s="3"/>
      <c r="V885" s="3"/>
      <c r="W885" s="3"/>
      <c r="X885" s="3"/>
      <c r="Y885" s="3"/>
      <c r="Z885" s="27" t="s">
        <v>247</v>
      </c>
      <c r="AA885" t="s">
        <v>217</v>
      </c>
    </row>
    <row r="886" spans="1:27" x14ac:dyDescent="0.25">
      <c r="A886" s="12">
        <v>124</v>
      </c>
      <c r="B886">
        <v>29</v>
      </c>
      <c r="C886">
        <f t="shared" si="122"/>
        <v>12429</v>
      </c>
      <c r="D886" s="3" t="s">
        <v>86</v>
      </c>
      <c r="E886" s="11">
        <f t="shared" si="123"/>
        <v>66.015169444444439</v>
      </c>
      <c r="F886" s="11">
        <f t="shared" si="124"/>
        <v>8.0542000000000016</v>
      </c>
      <c r="G886" s="12" t="s">
        <v>144</v>
      </c>
      <c r="H886" s="12" t="s">
        <v>47</v>
      </c>
      <c r="I886">
        <v>2016</v>
      </c>
      <c r="J886" s="12" t="s">
        <v>163</v>
      </c>
      <c r="K886" s="2">
        <v>0</v>
      </c>
      <c r="L886" s="2"/>
      <c r="M886" s="33">
        <v>0.88</v>
      </c>
      <c r="N886" s="33">
        <v>1.9125000000000001</v>
      </c>
      <c r="O886" s="8"/>
      <c r="P886" s="1"/>
      <c r="Q886" s="1"/>
      <c r="R886" s="1"/>
      <c r="S886" s="3"/>
      <c r="T886" s="3"/>
      <c r="U886" s="3"/>
      <c r="V886" s="3"/>
      <c r="W886" s="3"/>
      <c r="X886" s="3"/>
      <c r="Y886" s="3"/>
      <c r="Z886" s="27" t="s">
        <v>247</v>
      </c>
      <c r="AA886" t="s">
        <v>217</v>
      </c>
    </row>
    <row r="887" spans="1:27" x14ac:dyDescent="0.25">
      <c r="A887" s="12">
        <v>124</v>
      </c>
      <c r="B887">
        <v>29</v>
      </c>
      <c r="C887">
        <f t="shared" si="122"/>
        <v>12429</v>
      </c>
      <c r="D887" s="3" t="s">
        <v>86</v>
      </c>
      <c r="E887" s="11">
        <f t="shared" si="123"/>
        <v>66.015169444444439</v>
      </c>
      <c r="F887" s="11">
        <f t="shared" si="124"/>
        <v>8.0542000000000016</v>
      </c>
      <c r="G887" s="12" t="s">
        <v>144</v>
      </c>
      <c r="H887" s="12" t="s">
        <v>47</v>
      </c>
      <c r="I887">
        <v>2017</v>
      </c>
      <c r="J887" s="12" t="s">
        <v>163</v>
      </c>
      <c r="K887" s="2">
        <v>0</v>
      </c>
      <c r="L887" s="2"/>
      <c r="M887" s="33">
        <v>1.0149999999999999</v>
      </c>
      <c r="N887" s="33">
        <v>1.905</v>
      </c>
      <c r="O887" s="8"/>
      <c r="P887" s="1"/>
      <c r="Q887" s="1"/>
      <c r="R887" s="1"/>
      <c r="S887" s="3"/>
      <c r="T887" s="3"/>
      <c r="U887" s="3"/>
      <c r="V887" s="3"/>
      <c r="W887" s="3"/>
      <c r="X887" s="3"/>
      <c r="Y887" s="3"/>
      <c r="Z887" s="27" t="s">
        <v>247</v>
      </c>
      <c r="AA887" t="s">
        <v>217</v>
      </c>
    </row>
    <row r="888" spans="1:27" x14ac:dyDescent="0.25">
      <c r="A888" s="12">
        <v>124</v>
      </c>
      <c r="B888">
        <v>29</v>
      </c>
      <c r="C888">
        <f t="shared" si="122"/>
        <v>12429</v>
      </c>
      <c r="D888" s="3" t="s">
        <v>86</v>
      </c>
      <c r="E888" s="11">
        <f t="shared" si="123"/>
        <v>66.015169444444439</v>
      </c>
      <c r="F888" s="11">
        <f t="shared" si="124"/>
        <v>8.0542000000000016</v>
      </c>
      <c r="G888" s="12" t="s">
        <v>144</v>
      </c>
      <c r="H888" s="12" t="s">
        <v>47</v>
      </c>
      <c r="I888">
        <v>2018</v>
      </c>
      <c r="J888" s="12" t="s">
        <v>163</v>
      </c>
      <c r="K888" s="2">
        <v>0</v>
      </c>
      <c r="L888" s="2"/>
      <c r="M888" s="33">
        <v>0.90549999999999997</v>
      </c>
      <c r="N888" s="33">
        <v>1.8903333333333301</v>
      </c>
      <c r="O888" s="8"/>
      <c r="P888" s="1"/>
      <c r="Q888" s="1"/>
      <c r="R888" s="1"/>
      <c r="S888" s="3"/>
      <c r="T888" s="3"/>
      <c r="U888" s="3"/>
      <c r="V888" s="3"/>
      <c r="W888" s="3"/>
      <c r="X888" s="3"/>
      <c r="Y888" s="3"/>
      <c r="Z888" s="27" t="s">
        <v>247</v>
      </c>
      <c r="AA888" t="s">
        <v>217</v>
      </c>
    </row>
    <row r="889" spans="1:27" x14ac:dyDescent="0.25">
      <c r="A889" s="12">
        <v>124</v>
      </c>
      <c r="B889">
        <v>29</v>
      </c>
      <c r="C889">
        <f t="shared" si="122"/>
        <v>12429</v>
      </c>
      <c r="D889" s="3" t="s">
        <v>86</v>
      </c>
      <c r="E889" s="11">
        <f t="shared" si="123"/>
        <v>66.015169444444439</v>
      </c>
      <c r="F889" s="11">
        <f t="shared" si="124"/>
        <v>8.0542000000000016</v>
      </c>
      <c r="G889" s="12" t="s">
        <v>144</v>
      </c>
      <c r="H889" s="12" t="s">
        <v>47</v>
      </c>
      <c r="I889">
        <v>2019</v>
      </c>
      <c r="J889" s="12" t="s">
        <v>163</v>
      </c>
      <c r="K889" s="2">
        <v>0</v>
      </c>
      <c r="L889" s="2"/>
      <c r="M889" s="33">
        <v>0.46675</v>
      </c>
      <c r="N889" s="33">
        <v>1.5175000000000001</v>
      </c>
      <c r="O889" s="8"/>
      <c r="P889" s="1"/>
      <c r="Q889" s="1"/>
      <c r="R889" s="1"/>
      <c r="S889" s="3"/>
      <c r="T889" s="3"/>
      <c r="U889" s="3"/>
      <c r="V889" s="3"/>
      <c r="W889" s="3"/>
      <c r="X889" s="3"/>
      <c r="Y889" s="3"/>
      <c r="Z889" s="27" t="s">
        <v>247</v>
      </c>
      <c r="AA889" t="s">
        <v>217</v>
      </c>
    </row>
    <row r="890" spans="1:27" x14ac:dyDescent="0.25">
      <c r="A890" s="12">
        <v>124</v>
      </c>
      <c r="B890">
        <v>29</v>
      </c>
      <c r="C890">
        <f t="shared" si="122"/>
        <v>12429</v>
      </c>
      <c r="D890" s="3" t="s">
        <v>86</v>
      </c>
      <c r="E890" s="11">
        <f t="shared" si="123"/>
        <v>66.015169444444439</v>
      </c>
      <c r="F890" s="11">
        <f t="shared" si="124"/>
        <v>8.0542000000000016</v>
      </c>
      <c r="G890" s="12" t="s">
        <v>144</v>
      </c>
      <c r="H890" s="12" t="s">
        <v>47</v>
      </c>
      <c r="I890">
        <v>2020</v>
      </c>
      <c r="J890" s="12" t="s">
        <v>163</v>
      </c>
      <c r="K890" s="2">
        <v>0</v>
      </c>
      <c r="L890" s="2"/>
      <c r="M890" s="33">
        <v>0.55574999999999997</v>
      </c>
      <c r="N890" s="33">
        <v>1.8169999999999999</v>
      </c>
      <c r="O890" s="8"/>
      <c r="P890" s="1"/>
      <c r="Q890" s="1"/>
      <c r="R890" s="1"/>
      <c r="S890" s="3"/>
      <c r="T890" s="3"/>
      <c r="U890" s="3"/>
      <c r="V890" s="3"/>
      <c r="W890" s="3"/>
      <c r="X890" s="3"/>
      <c r="Y890" s="3"/>
      <c r="Z890" s="27" t="s">
        <v>247</v>
      </c>
      <c r="AA890" t="s">
        <v>217</v>
      </c>
    </row>
    <row r="891" spans="1:27" x14ac:dyDescent="0.25">
      <c r="A891" s="12">
        <v>124</v>
      </c>
      <c r="B891">
        <v>29</v>
      </c>
      <c r="C891">
        <f t="shared" si="122"/>
        <v>12429</v>
      </c>
      <c r="D891" s="3" t="s">
        <v>86</v>
      </c>
      <c r="E891" s="11">
        <f t="shared" si="123"/>
        <v>66.015169444444439</v>
      </c>
      <c r="F891" s="11">
        <f t="shared" si="124"/>
        <v>8.0542000000000016</v>
      </c>
      <c r="G891" s="12" t="s">
        <v>144</v>
      </c>
      <c r="H891" s="12" t="s">
        <v>47</v>
      </c>
      <c r="I891">
        <v>2021</v>
      </c>
      <c r="J891" s="12" t="s">
        <v>163</v>
      </c>
      <c r="K891" s="2">
        <v>0</v>
      </c>
      <c r="L891" s="2"/>
      <c r="M891" s="33">
        <v>0.56674999999999998</v>
      </c>
      <c r="N891" s="33">
        <v>1.80975</v>
      </c>
      <c r="O891" s="8"/>
      <c r="P891" s="1"/>
      <c r="Q891" s="1"/>
      <c r="R891" s="1"/>
      <c r="S891" s="3"/>
      <c r="T891" s="3"/>
      <c r="U891" s="3"/>
      <c r="V891" s="3"/>
      <c r="W891" s="3"/>
      <c r="X891" s="3"/>
      <c r="Y891" s="3"/>
      <c r="Z891" s="27" t="s">
        <v>247</v>
      </c>
      <c r="AA891" t="s">
        <v>217</v>
      </c>
    </row>
    <row r="892" spans="1:27" x14ac:dyDescent="0.25">
      <c r="A892" s="12">
        <v>124</v>
      </c>
      <c r="B892">
        <v>30</v>
      </c>
      <c r="C892">
        <f t="shared" si="122"/>
        <v>12430</v>
      </c>
      <c r="D892" s="3" t="s">
        <v>86</v>
      </c>
      <c r="E892" s="11">
        <f>62+50/60+52.06/3600</f>
        <v>62.847794444444446</v>
      </c>
      <c r="F892" s="11">
        <f>6+57/60+13.32/3600</f>
        <v>6.9537000000000004</v>
      </c>
      <c r="G892" s="12" t="s">
        <v>144</v>
      </c>
      <c r="H892" s="12" t="s">
        <v>47</v>
      </c>
      <c r="I892">
        <v>2013</v>
      </c>
      <c r="J892" s="12" t="s">
        <v>163</v>
      </c>
      <c r="K892" s="2">
        <v>0</v>
      </c>
      <c r="L892" s="2"/>
      <c r="M892" s="33">
        <v>0.41305407365833302</v>
      </c>
      <c r="N892" s="33">
        <v>0.142440774033333</v>
      </c>
      <c r="O892" s="8"/>
      <c r="P892" s="1"/>
      <c r="Q892" s="1"/>
      <c r="R892" s="1"/>
      <c r="S892" s="3"/>
      <c r="T892" s="3"/>
      <c r="U892" s="3"/>
      <c r="V892" s="3"/>
      <c r="W892" s="3"/>
      <c r="X892" s="3"/>
      <c r="Y892" s="3"/>
      <c r="Z892" s="27" t="s">
        <v>247</v>
      </c>
      <c r="AA892" t="s">
        <v>236</v>
      </c>
    </row>
    <row r="893" spans="1:27" x14ac:dyDescent="0.25">
      <c r="A893" s="12">
        <v>124</v>
      </c>
      <c r="B893">
        <v>30</v>
      </c>
      <c r="C893">
        <f t="shared" si="122"/>
        <v>12430</v>
      </c>
      <c r="D893" s="3" t="s">
        <v>86</v>
      </c>
      <c r="E893" s="11">
        <f t="shared" ref="E893:E899" si="125">62+50/60+52.06/3600</f>
        <v>62.847794444444446</v>
      </c>
      <c r="F893" s="11">
        <f t="shared" ref="F893:F899" si="126">6+57/60+13.32/3600</f>
        <v>6.9537000000000004</v>
      </c>
      <c r="G893" s="12" t="s">
        <v>144</v>
      </c>
      <c r="H893" s="12" t="s">
        <v>47</v>
      </c>
      <c r="I893">
        <v>2014</v>
      </c>
      <c r="J893" s="12" t="s">
        <v>163</v>
      </c>
      <c r="K893" s="2">
        <v>0</v>
      </c>
      <c r="L893" s="2"/>
      <c r="M893" s="33">
        <v>0.35977334503333303</v>
      </c>
      <c r="N893" s="33">
        <v>0.15869784649166699</v>
      </c>
      <c r="O893" s="8"/>
      <c r="P893" s="1"/>
      <c r="Q893" s="1"/>
      <c r="R893" s="1"/>
      <c r="S893" s="3"/>
      <c r="T893" s="3"/>
      <c r="U893" s="3"/>
      <c r="V893" s="3"/>
      <c r="W893" s="3"/>
      <c r="X893" s="3"/>
      <c r="Y893" s="3"/>
      <c r="Z893" s="27" t="s">
        <v>247</v>
      </c>
      <c r="AA893" t="s">
        <v>236</v>
      </c>
    </row>
    <row r="894" spans="1:27" x14ac:dyDescent="0.25">
      <c r="A894" s="12">
        <v>124</v>
      </c>
      <c r="B894">
        <v>30</v>
      </c>
      <c r="C894">
        <f t="shared" si="122"/>
        <v>12430</v>
      </c>
      <c r="D894" s="3" t="s">
        <v>86</v>
      </c>
      <c r="E894" s="11">
        <f t="shared" si="125"/>
        <v>62.847794444444446</v>
      </c>
      <c r="F894" s="11">
        <f t="shared" si="126"/>
        <v>6.9537000000000004</v>
      </c>
      <c r="G894" s="12" t="s">
        <v>144</v>
      </c>
      <c r="H894" s="12" t="s">
        <v>47</v>
      </c>
      <c r="I894">
        <v>2015</v>
      </c>
      <c r="J894" s="12" t="s">
        <v>163</v>
      </c>
      <c r="K894" s="2">
        <v>0</v>
      </c>
      <c r="L894" s="2"/>
      <c r="M894" s="33">
        <v>0.20661046121666701</v>
      </c>
      <c r="N894" s="33">
        <v>9.5763974758333301E-2</v>
      </c>
      <c r="O894" s="8"/>
      <c r="P894" s="1"/>
      <c r="Q894" s="1"/>
      <c r="R894" s="1"/>
      <c r="S894" s="3"/>
      <c r="T894" s="3"/>
      <c r="U894" s="3"/>
      <c r="V894" s="3"/>
      <c r="W894" s="3"/>
      <c r="X894" s="3"/>
      <c r="Y894" s="3"/>
      <c r="Z894" s="27" t="s">
        <v>247</v>
      </c>
      <c r="AA894" t="s">
        <v>236</v>
      </c>
    </row>
    <row r="895" spans="1:27" x14ac:dyDescent="0.25">
      <c r="A895" s="12">
        <v>124</v>
      </c>
      <c r="B895">
        <v>30</v>
      </c>
      <c r="C895">
        <f t="shared" si="122"/>
        <v>12430</v>
      </c>
      <c r="D895" s="3" t="s">
        <v>86</v>
      </c>
      <c r="E895" s="11">
        <f t="shared" si="125"/>
        <v>62.847794444444446</v>
      </c>
      <c r="F895" s="11">
        <f t="shared" si="126"/>
        <v>6.9537000000000004</v>
      </c>
      <c r="G895" s="12" t="s">
        <v>144</v>
      </c>
      <c r="H895" s="12" t="s">
        <v>47</v>
      </c>
      <c r="I895">
        <v>2016</v>
      </c>
      <c r="J895" s="12" t="s">
        <v>163</v>
      </c>
      <c r="K895" s="2">
        <v>0</v>
      </c>
      <c r="L895" s="2"/>
      <c r="M895" s="33">
        <v>0.175533186566667</v>
      </c>
      <c r="N895" s="33">
        <v>6.8666306733333293E-2</v>
      </c>
      <c r="O895" s="8"/>
      <c r="P895" s="1"/>
      <c r="Q895" s="1"/>
      <c r="R895" s="1"/>
      <c r="S895" s="3"/>
      <c r="T895" s="3"/>
      <c r="U895" s="3"/>
      <c r="V895" s="3"/>
      <c r="W895" s="3"/>
      <c r="X895" s="3"/>
      <c r="Y895" s="3"/>
      <c r="Z895" s="27" t="s">
        <v>247</v>
      </c>
      <c r="AA895" t="s">
        <v>236</v>
      </c>
    </row>
    <row r="896" spans="1:27" x14ac:dyDescent="0.25">
      <c r="A896" s="12">
        <v>124</v>
      </c>
      <c r="B896">
        <v>30</v>
      </c>
      <c r="C896">
        <f t="shared" si="122"/>
        <v>12430</v>
      </c>
      <c r="D896" s="3" t="s">
        <v>86</v>
      </c>
      <c r="E896" s="11">
        <f t="shared" si="125"/>
        <v>62.847794444444446</v>
      </c>
      <c r="F896" s="11">
        <f t="shared" si="126"/>
        <v>6.9537000000000004</v>
      </c>
      <c r="G896" s="12" t="s">
        <v>144</v>
      </c>
      <c r="H896" s="12" t="s">
        <v>47</v>
      </c>
      <c r="I896">
        <v>2017</v>
      </c>
      <c r="J896" s="12" t="s">
        <v>163</v>
      </c>
      <c r="K896" s="2">
        <v>0</v>
      </c>
      <c r="L896" s="2"/>
      <c r="M896" s="33">
        <v>0.226032216233333</v>
      </c>
      <c r="N896" s="33">
        <v>6.9749388524999997E-2</v>
      </c>
      <c r="O896" s="8"/>
      <c r="P896" s="1"/>
      <c r="Q896" s="1"/>
      <c r="R896" s="1"/>
      <c r="S896" s="3"/>
      <c r="T896" s="3"/>
      <c r="U896" s="3"/>
      <c r="V896" s="3"/>
      <c r="W896" s="3"/>
      <c r="X896" s="3"/>
      <c r="Y896" s="3"/>
      <c r="Z896" s="27" t="s">
        <v>247</v>
      </c>
      <c r="AA896" t="s">
        <v>236</v>
      </c>
    </row>
    <row r="897" spans="1:27" x14ac:dyDescent="0.25">
      <c r="A897" s="12">
        <v>124</v>
      </c>
      <c r="B897">
        <v>30</v>
      </c>
      <c r="C897">
        <f t="shared" si="122"/>
        <v>12430</v>
      </c>
      <c r="D897" s="3" t="s">
        <v>86</v>
      </c>
      <c r="E897" s="11">
        <f t="shared" si="125"/>
        <v>62.847794444444446</v>
      </c>
      <c r="F897" s="11">
        <f t="shared" si="126"/>
        <v>6.9537000000000004</v>
      </c>
      <c r="G897" s="12" t="s">
        <v>144</v>
      </c>
      <c r="H897" s="12" t="s">
        <v>47</v>
      </c>
      <c r="I897">
        <v>2019</v>
      </c>
      <c r="J897" s="12" t="s">
        <v>163</v>
      </c>
      <c r="K897" s="2">
        <v>0</v>
      </c>
      <c r="L897" s="2"/>
      <c r="M897" s="33">
        <v>0.17520511990833301</v>
      </c>
      <c r="N897" s="33">
        <v>6.3185548783333295E-2</v>
      </c>
      <c r="O897" s="8"/>
      <c r="P897" s="1"/>
      <c r="Q897" s="1"/>
      <c r="R897" s="1"/>
      <c r="S897" s="3"/>
      <c r="T897" s="3"/>
      <c r="U897" s="3"/>
      <c r="V897" s="3"/>
      <c r="W897" s="3"/>
      <c r="X897" s="3"/>
      <c r="Y897" s="3"/>
      <c r="Z897" s="27" t="s">
        <v>247</v>
      </c>
      <c r="AA897" t="s">
        <v>236</v>
      </c>
    </row>
    <row r="898" spans="1:27" x14ac:dyDescent="0.25">
      <c r="A898" s="12">
        <v>124</v>
      </c>
      <c r="B898">
        <v>30</v>
      </c>
      <c r="C898">
        <f t="shared" si="122"/>
        <v>12430</v>
      </c>
      <c r="D898" s="3" t="s">
        <v>86</v>
      </c>
      <c r="E898" s="11">
        <f t="shared" si="125"/>
        <v>62.847794444444446</v>
      </c>
      <c r="F898" s="11">
        <f t="shared" si="126"/>
        <v>6.9537000000000004</v>
      </c>
      <c r="G898" s="12" t="s">
        <v>144</v>
      </c>
      <c r="H898" s="12" t="s">
        <v>47</v>
      </c>
      <c r="I898">
        <v>2020</v>
      </c>
      <c r="J898" s="12" t="s">
        <v>163</v>
      </c>
      <c r="K898" s="2">
        <v>0</v>
      </c>
      <c r="L898" s="2"/>
      <c r="M898" s="33">
        <v>0.18468613824166699</v>
      </c>
      <c r="N898" s="33">
        <v>6.1248093258333303E-2</v>
      </c>
      <c r="O898" s="8"/>
      <c r="P898" s="1"/>
      <c r="Q898" s="1"/>
      <c r="R898" s="1"/>
      <c r="S898" s="3"/>
      <c r="T898" s="3"/>
      <c r="U898" s="3"/>
      <c r="V898" s="3"/>
      <c r="W898" s="3"/>
      <c r="X898" s="3"/>
      <c r="Y898" s="3"/>
      <c r="Z898" s="27" t="s">
        <v>247</v>
      </c>
      <c r="AA898" t="s">
        <v>236</v>
      </c>
    </row>
    <row r="899" spans="1:27" x14ac:dyDescent="0.25">
      <c r="A899" s="12">
        <v>124</v>
      </c>
      <c r="B899">
        <v>30</v>
      </c>
      <c r="C899">
        <f t="shared" si="122"/>
        <v>12430</v>
      </c>
      <c r="D899" s="3" t="s">
        <v>86</v>
      </c>
      <c r="E899" s="11">
        <f t="shared" si="125"/>
        <v>62.847794444444446</v>
      </c>
      <c r="F899" s="11">
        <f t="shared" si="126"/>
        <v>6.9537000000000004</v>
      </c>
      <c r="G899" s="12" t="s">
        <v>144</v>
      </c>
      <c r="H899" s="12" t="s">
        <v>47</v>
      </c>
      <c r="I899">
        <v>2021</v>
      </c>
      <c r="J899" s="12" t="s">
        <v>163</v>
      </c>
      <c r="K899" s="2">
        <v>0</v>
      </c>
      <c r="L899" s="2"/>
      <c r="M899" s="33">
        <v>0.29594574894166698</v>
      </c>
      <c r="N899" s="33">
        <v>6.1157977491666703E-2</v>
      </c>
      <c r="O899" s="8"/>
      <c r="P899" s="1"/>
      <c r="Q899" s="1"/>
      <c r="R899" s="1"/>
      <c r="S899" s="3"/>
      <c r="T899" s="3"/>
      <c r="U899" s="3"/>
      <c r="V899" s="3"/>
      <c r="W899" s="3"/>
      <c r="X899" s="3"/>
      <c r="Y899" s="3"/>
      <c r="Z899" s="27" t="s">
        <v>247</v>
      </c>
      <c r="AA899" t="s">
        <v>236</v>
      </c>
    </row>
    <row r="900" spans="1:27" x14ac:dyDescent="0.25">
      <c r="A900" s="12">
        <v>124</v>
      </c>
      <c r="B900">
        <v>31</v>
      </c>
      <c r="C900">
        <f t="shared" si="122"/>
        <v>12431</v>
      </c>
      <c r="D900" s="3" t="s">
        <v>86</v>
      </c>
      <c r="E900" s="11">
        <f>60+29/60+30.71/3600</f>
        <v>60.491863888888886</v>
      </c>
      <c r="F900" s="11">
        <f>2+49/60+38.33/3600</f>
        <v>2.8273138888888885</v>
      </c>
      <c r="G900" s="12" t="s">
        <v>144</v>
      </c>
      <c r="H900" s="12" t="s">
        <v>47</v>
      </c>
      <c r="I900">
        <v>2002</v>
      </c>
      <c r="J900" s="12" t="s">
        <v>163</v>
      </c>
      <c r="K900" s="2">
        <v>0</v>
      </c>
      <c r="L900" s="2"/>
      <c r="M900" s="33">
        <v>5.5666666664999997</v>
      </c>
      <c r="N900" s="33"/>
      <c r="O900" s="8"/>
      <c r="P900" s="1"/>
      <c r="Q900" s="1"/>
      <c r="R900" s="1"/>
      <c r="S900" s="3"/>
      <c r="T900" s="3"/>
      <c r="U900" s="3"/>
      <c r="V900" s="3"/>
      <c r="W900" s="3"/>
      <c r="X900" s="3"/>
      <c r="Y900" s="3"/>
      <c r="Z900" s="27" t="s">
        <v>247</v>
      </c>
      <c r="AA900" t="s">
        <v>218</v>
      </c>
    </row>
    <row r="901" spans="1:27" x14ac:dyDescent="0.25">
      <c r="A901" s="12">
        <v>124</v>
      </c>
      <c r="B901">
        <v>31</v>
      </c>
      <c r="C901">
        <f t="shared" si="122"/>
        <v>12431</v>
      </c>
      <c r="D901" s="3" t="s">
        <v>86</v>
      </c>
      <c r="E901" s="11">
        <f t="shared" ref="E901:E919" si="127">60+29/60+30.71/3600</f>
        <v>60.491863888888886</v>
      </c>
      <c r="F901" s="11">
        <f t="shared" ref="F901:F919" si="128">2+49/60+38.33/3600</f>
        <v>2.8273138888888885</v>
      </c>
      <c r="G901" s="12" t="s">
        <v>144</v>
      </c>
      <c r="H901" s="12" t="s">
        <v>47</v>
      </c>
      <c r="I901">
        <v>2003</v>
      </c>
      <c r="J901" s="12" t="s">
        <v>163</v>
      </c>
      <c r="K901" s="2">
        <v>0</v>
      </c>
      <c r="L901" s="2"/>
      <c r="M901" s="33">
        <v>7.55</v>
      </c>
      <c r="N901" s="33"/>
      <c r="O901" s="8"/>
      <c r="P901" s="1"/>
      <c r="Q901" s="1"/>
      <c r="R901" s="1"/>
      <c r="S901" s="3"/>
      <c r="T901" s="3"/>
      <c r="U901" s="3"/>
      <c r="V901" s="3"/>
      <c r="W901" s="3"/>
      <c r="X901" s="3"/>
      <c r="Y901" s="3"/>
      <c r="Z901" s="27" t="s">
        <v>247</v>
      </c>
      <c r="AA901" t="s">
        <v>218</v>
      </c>
    </row>
    <row r="902" spans="1:27" x14ac:dyDescent="0.25">
      <c r="A902" s="12">
        <v>124</v>
      </c>
      <c r="B902">
        <v>31</v>
      </c>
      <c r="C902">
        <f t="shared" si="122"/>
        <v>12431</v>
      </c>
      <c r="D902" s="3" t="s">
        <v>86</v>
      </c>
      <c r="E902" s="11">
        <f t="shared" si="127"/>
        <v>60.491863888888886</v>
      </c>
      <c r="F902" s="11">
        <f t="shared" si="128"/>
        <v>2.8273138888888885</v>
      </c>
      <c r="G902" s="12" t="s">
        <v>144</v>
      </c>
      <c r="H902" s="12" t="s">
        <v>47</v>
      </c>
      <c r="I902">
        <v>2004</v>
      </c>
      <c r="J902" s="12" t="s">
        <v>163</v>
      </c>
      <c r="K902" s="2">
        <v>0</v>
      </c>
      <c r="L902" s="2"/>
      <c r="M902" s="33">
        <v>6.4</v>
      </c>
      <c r="N902" s="33"/>
      <c r="O902" s="8"/>
      <c r="P902" s="1"/>
      <c r="Q902" s="1"/>
      <c r="R902" s="1"/>
      <c r="S902" s="3"/>
      <c r="T902" s="3"/>
      <c r="U902" s="3"/>
      <c r="V902" s="3"/>
      <c r="W902" s="3"/>
      <c r="X902" s="3"/>
      <c r="Y902" s="3"/>
      <c r="Z902" s="27" t="s">
        <v>247</v>
      </c>
      <c r="AA902" t="s">
        <v>218</v>
      </c>
    </row>
    <row r="903" spans="1:27" x14ac:dyDescent="0.25">
      <c r="A903" s="12">
        <v>124</v>
      </c>
      <c r="B903">
        <v>31</v>
      </c>
      <c r="C903">
        <f t="shared" si="122"/>
        <v>12431</v>
      </c>
      <c r="D903" s="3" t="s">
        <v>86</v>
      </c>
      <c r="E903" s="11">
        <f t="shared" si="127"/>
        <v>60.491863888888886</v>
      </c>
      <c r="F903" s="11">
        <f t="shared" si="128"/>
        <v>2.8273138888888885</v>
      </c>
      <c r="G903" s="12" t="s">
        <v>144</v>
      </c>
      <c r="H903" s="12" t="s">
        <v>47</v>
      </c>
      <c r="I903">
        <v>2005</v>
      </c>
      <c r="J903" s="12" t="s">
        <v>163</v>
      </c>
      <c r="K903" s="2">
        <v>0</v>
      </c>
      <c r="L903" s="2"/>
      <c r="M903" s="33">
        <v>6</v>
      </c>
      <c r="N903" s="33"/>
      <c r="O903" s="8"/>
      <c r="P903" s="1"/>
      <c r="Q903" s="1"/>
      <c r="R903" s="1"/>
      <c r="S903" s="3"/>
      <c r="T903" s="3"/>
      <c r="U903" s="3"/>
      <c r="V903" s="3"/>
      <c r="W903" s="3"/>
      <c r="X903" s="3"/>
      <c r="Y903" s="3"/>
      <c r="Z903" s="27" t="s">
        <v>247</v>
      </c>
      <c r="AA903" t="s">
        <v>218</v>
      </c>
    </row>
    <row r="904" spans="1:27" x14ac:dyDescent="0.25">
      <c r="A904" s="12">
        <v>124</v>
      </c>
      <c r="B904">
        <v>31</v>
      </c>
      <c r="C904">
        <f t="shared" si="122"/>
        <v>12431</v>
      </c>
      <c r="D904" s="3" t="s">
        <v>86</v>
      </c>
      <c r="E904" s="11">
        <f t="shared" si="127"/>
        <v>60.491863888888886</v>
      </c>
      <c r="F904" s="11">
        <f t="shared" si="128"/>
        <v>2.8273138888888885</v>
      </c>
      <c r="G904" s="12" t="s">
        <v>144</v>
      </c>
      <c r="H904" s="12" t="s">
        <v>47</v>
      </c>
      <c r="I904">
        <v>2006</v>
      </c>
      <c r="J904" s="12" t="s">
        <v>163</v>
      </c>
      <c r="K904" s="2">
        <v>0</v>
      </c>
      <c r="L904" s="2"/>
      <c r="M904" s="33">
        <v>6.35</v>
      </c>
      <c r="N904" s="33">
        <v>7.5</v>
      </c>
      <c r="O904" s="8"/>
      <c r="P904" s="1"/>
      <c r="Q904" s="1"/>
      <c r="R904" s="1"/>
      <c r="S904" s="3"/>
      <c r="T904" s="3"/>
      <c r="U904" s="3"/>
      <c r="V904" s="3"/>
      <c r="W904" s="3"/>
      <c r="X904" s="3"/>
      <c r="Y904" s="3"/>
      <c r="Z904" s="27" t="s">
        <v>247</v>
      </c>
      <c r="AA904" t="s">
        <v>218</v>
      </c>
    </row>
    <row r="905" spans="1:27" x14ac:dyDescent="0.25">
      <c r="A905" s="12">
        <v>124</v>
      </c>
      <c r="B905">
        <v>31</v>
      </c>
      <c r="C905">
        <f t="shared" si="122"/>
        <v>12431</v>
      </c>
      <c r="D905" s="3" t="s">
        <v>86</v>
      </c>
      <c r="E905" s="11">
        <f t="shared" si="127"/>
        <v>60.491863888888886</v>
      </c>
      <c r="F905" s="11">
        <f t="shared" si="128"/>
        <v>2.8273138888888885</v>
      </c>
      <c r="G905" s="12" t="s">
        <v>144</v>
      </c>
      <c r="H905" s="12" t="s">
        <v>47</v>
      </c>
      <c r="I905">
        <v>2007</v>
      </c>
      <c r="J905" s="12" t="s">
        <v>163</v>
      </c>
      <c r="K905" s="2">
        <v>0</v>
      </c>
      <c r="L905" s="2"/>
      <c r="M905" s="33">
        <v>4.2</v>
      </c>
      <c r="N905" s="33">
        <v>4.7</v>
      </c>
      <c r="O905" s="8"/>
      <c r="P905" s="1"/>
      <c r="Q905" s="1"/>
      <c r="R905" s="1"/>
      <c r="S905" s="3"/>
      <c r="T905" s="3"/>
      <c r="U905" s="3"/>
      <c r="V905" s="3"/>
      <c r="W905" s="3"/>
      <c r="X905" s="3"/>
      <c r="Y905" s="3"/>
      <c r="Z905" s="27" t="s">
        <v>247</v>
      </c>
      <c r="AA905" t="s">
        <v>218</v>
      </c>
    </row>
    <row r="906" spans="1:27" x14ac:dyDescent="0.25">
      <c r="A906" s="12">
        <v>124</v>
      </c>
      <c r="B906">
        <v>31</v>
      </c>
      <c r="C906">
        <f t="shared" si="122"/>
        <v>12431</v>
      </c>
      <c r="D906" s="3" t="s">
        <v>86</v>
      </c>
      <c r="E906" s="11">
        <f t="shared" si="127"/>
        <v>60.491863888888886</v>
      </c>
      <c r="F906" s="11">
        <f t="shared" si="128"/>
        <v>2.8273138888888885</v>
      </c>
      <c r="G906" s="12" t="s">
        <v>144</v>
      </c>
      <c r="H906" s="12" t="s">
        <v>47</v>
      </c>
      <c r="I906">
        <v>2008</v>
      </c>
      <c r="J906" s="12" t="s">
        <v>163</v>
      </c>
      <c r="K906" s="2">
        <v>0</v>
      </c>
      <c r="L906" s="2"/>
      <c r="M906" s="33">
        <v>3.95</v>
      </c>
      <c r="N906" s="33">
        <v>4.3499999999999996</v>
      </c>
      <c r="O906" s="8"/>
      <c r="P906" s="1"/>
      <c r="Q906" s="1"/>
      <c r="R906" s="1"/>
      <c r="S906" s="3"/>
      <c r="T906" s="3"/>
      <c r="U906" s="3"/>
      <c r="V906" s="3"/>
      <c r="W906" s="3"/>
      <c r="X906" s="3"/>
      <c r="Y906" s="3"/>
      <c r="Z906" s="27" t="s">
        <v>247</v>
      </c>
      <c r="AA906" t="s">
        <v>218</v>
      </c>
    </row>
    <row r="907" spans="1:27" x14ac:dyDescent="0.25">
      <c r="A907" s="12">
        <v>124</v>
      </c>
      <c r="B907">
        <v>31</v>
      </c>
      <c r="C907">
        <f t="shared" si="122"/>
        <v>12431</v>
      </c>
      <c r="D907" s="3" t="s">
        <v>86</v>
      </c>
      <c r="E907" s="11">
        <f t="shared" si="127"/>
        <v>60.491863888888886</v>
      </c>
      <c r="F907" s="11">
        <f t="shared" si="128"/>
        <v>2.8273138888888885</v>
      </c>
      <c r="G907" s="12" t="s">
        <v>144</v>
      </c>
      <c r="H907" s="12" t="s">
        <v>47</v>
      </c>
      <c r="I907">
        <v>2009</v>
      </c>
      <c r="J907" s="12" t="s">
        <v>163</v>
      </c>
      <c r="K907" s="2">
        <v>0</v>
      </c>
      <c r="L907" s="2"/>
      <c r="M907" s="33">
        <v>8.6068134979999993</v>
      </c>
      <c r="N907" s="33">
        <v>8.7038443250000004</v>
      </c>
      <c r="O907" s="8"/>
      <c r="P907" s="1"/>
      <c r="Q907" s="1"/>
      <c r="R907" s="1"/>
      <c r="S907" s="3"/>
      <c r="T907" s="3"/>
      <c r="U907" s="3"/>
      <c r="V907" s="3"/>
      <c r="W907" s="3"/>
      <c r="X907" s="3"/>
      <c r="Y907" s="3"/>
      <c r="Z907" s="27" t="s">
        <v>247</v>
      </c>
      <c r="AA907" t="s">
        <v>218</v>
      </c>
    </row>
    <row r="908" spans="1:27" x14ac:dyDescent="0.25">
      <c r="A908" s="12">
        <v>124</v>
      </c>
      <c r="B908">
        <v>31</v>
      </c>
      <c r="C908">
        <f t="shared" si="122"/>
        <v>12431</v>
      </c>
      <c r="D908" s="3" t="s">
        <v>86</v>
      </c>
      <c r="E908" s="11">
        <f t="shared" si="127"/>
        <v>60.491863888888886</v>
      </c>
      <c r="F908" s="11">
        <f t="shared" si="128"/>
        <v>2.8273138888888885</v>
      </c>
      <c r="G908" s="12" t="s">
        <v>144</v>
      </c>
      <c r="H908" s="12" t="s">
        <v>47</v>
      </c>
      <c r="I908">
        <v>2010</v>
      </c>
      <c r="J908" s="12" t="s">
        <v>163</v>
      </c>
      <c r="K908" s="2">
        <v>0</v>
      </c>
      <c r="L908" s="2"/>
      <c r="M908" s="33">
        <v>9.2032767404999998</v>
      </c>
      <c r="N908" s="33">
        <v>8.8946330329999999</v>
      </c>
      <c r="O908" s="8"/>
      <c r="P908" s="1"/>
      <c r="Q908" s="1"/>
      <c r="R908" s="1"/>
      <c r="S908" s="3"/>
      <c r="T908" s="3"/>
      <c r="U908" s="3"/>
      <c r="V908" s="3"/>
      <c r="W908" s="3"/>
      <c r="X908" s="3"/>
      <c r="Y908" s="3"/>
      <c r="Z908" s="27" t="s">
        <v>247</v>
      </c>
      <c r="AA908" t="s">
        <v>218</v>
      </c>
    </row>
    <row r="909" spans="1:27" x14ac:dyDescent="0.25">
      <c r="A909" s="12">
        <v>124</v>
      </c>
      <c r="B909">
        <v>31</v>
      </c>
      <c r="C909">
        <f t="shared" si="122"/>
        <v>12431</v>
      </c>
      <c r="D909" s="3" t="s">
        <v>86</v>
      </c>
      <c r="E909" s="11">
        <f t="shared" si="127"/>
        <v>60.491863888888886</v>
      </c>
      <c r="F909" s="11">
        <f t="shared" si="128"/>
        <v>2.8273138888888885</v>
      </c>
      <c r="G909" s="12" t="s">
        <v>144</v>
      </c>
      <c r="H909" s="12" t="s">
        <v>47</v>
      </c>
      <c r="I909">
        <v>2011</v>
      </c>
      <c r="J909" s="12" t="s">
        <v>163</v>
      </c>
      <c r="K909" s="2">
        <v>0</v>
      </c>
      <c r="L909" s="2"/>
      <c r="M909" s="33">
        <v>7.1355609690000001</v>
      </c>
      <c r="N909" s="33">
        <v>7.0802932890000001</v>
      </c>
      <c r="O909" s="8"/>
      <c r="P909" s="1"/>
      <c r="Q909" s="1"/>
      <c r="R909" s="1"/>
      <c r="S909" s="3"/>
      <c r="T909" s="3"/>
      <c r="U909" s="3"/>
      <c r="V909" s="3"/>
      <c r="W909" s="3"/>
      <c r="X909" s="3"/>
      <c r="Y909" s="3"/>
      <c r="Z909" s="27" t="s">
        <v>247</v>
      </c>
      <c r="AA909" t="s">
        <v>218</v>
      </c>
    </row>
    <row r="910" spans="1:27" x14ac:dyDescent="0.25">
      <c r="A910" s="12">
        <v>124</v>
      </c>
      <c r="B910">
        <v>31</v>
      </c>
      <c r="C910">
        <f t="shared" si="122"/>
        <v>12431</v>
      </c>
      <c r="D910" s="3" t="s">
        <v>86</v>
      </c>
      <c r="E910" s="11">
        <f t="shared" si="127"/>
        <v>60.491863888888886</v>
      </c>
      <c r="F910" s="11">
        <f t="shared" si="128"/>
        <v>2.8273138888888885</v>
      </c>
      <c r="G910" s="12" t="s">
        <v>144</v>
      </c>
      <c r="H910" s="12" t="s">
        <v>47</v>
      </c>
      <c r="I910">
        <v>2012</v>
      </c>
      <c r="J910" s="12" t="s">
        <v>163</v>
      </c>
      <c r="K910" s="2">
        <v>0</v>
      </c>
      <c r="L910" s="2"/>
      <c r="M910" s="33">
        <v>7.6204650000000003</v>
      </c>
      <c r="N910" s="33">
        <v>6.47</v>
      </c>
      <c r="O910" s="8"/>
      <c r="P910" s="1"/>
      <c r="Q910" s="1"/>
      <c r="R910" s="1"/>
      <c r="S910" s="3"/>
      <c r="T910" s="3"/>
      <c r="U910" s="3"/>
      <c r="V910" s="3"/>
      <c r="W910" s="3"/>
      <c r="X910" s="3"/>
      <c r="Y910" s="3"/>
      <c r="Z910" s="27" t="s">
        <v>247</v>
      </c>
      <c r="AA910" t="s">
        <v>218</v>
      </c>
    </row>
    <row r="911" spans="1:27" x14ac:dyDescent="0.25">
      <c r="A911" s="12">
        <v>124</v>
      </c>
      <c r="B911">
        <v>31</v>
      </c>
      <c r="C911">
        <f t="shared" si="122"/>
        <v>12431</v>
      </c>
      <c r="D911" s="3" t="s">
        <v>86</v>
      </c>
      <c r="E911" s="11">
        <f t="shared" si="127"/>
        <v>60.491863888888886</v>
      </c>
      <c r="F911" s="11">
        <f t="shared" si="128"/>
        <v>2.8273138888888885</v>
      </c>
      <c r="G911" s="12" t="s">
        <v>144</v>
      </c>
      <c r="H911" s="12" t="s">
        <v>47</v>
      </c>
      <c r="I911">
        <v>2013</v>
      </c>
      <c r="J911" s="12" t="s">
        <v>163</v>
      </c>
      <c r="K911" s="2">
        <v>0</v>
      </c>
      <c r="L911" s="2"/>
      <c r="M911" s="33">
        <v>8.0814709436633301</v>
      </c>
      <c r="N911" s="33">
        <v>6.9314285714285697</v>
      </c>
      <c r="O911" s="8"/>
      <c r="P911" s="1"/>
      <c r="Q911" s="1"/>
      <c r="R911" s="1"/>
      <c r="S911" s="3"/>
      <c r="T911" s="3"/>
      <c r="U911" s="3"/>
      <c r="V911" s="3"/>
      <c r="W911" s="3"/>
      <c r="X911" s="3"/>
      <c r="Y911" s="3"/>
      <c r="Z911" s="27" t="s">
        <v>247</v>
      </c>
      <c r="AA911" t="s">
        <v>218</v>
      </c>
    </row>
    <row r="912" spans="1:27" x14ac:dyDescent="0.25">
      <c r="A912" s="12">
        <v>124</v>
      </c>
      <c r="B912">
        <v>31</v>
      </c>
      <c r="C912">
        <f t="shared" si="122"/>
        <v>12431</v>
      </c>
      <c r="D912" s="3" t="s">
        <v>86</v>
      </c>
      <c r="E912" s="11">
        <f t="shared" si="127"/>
        <v>60.491863888888886</v>
      </c>
      <c r="F912" s="11">
        <f t="shared" si="128"/>
        <v>2.8273138888888885</v>
      </c>
      <c r="G912" s="12" t="s">
        <v>144</v>
      </c>
      <c r="H912" s="12" t="s">
        <v>47</v>
      </c>
      <c r="I912">
        <v>2014</v>
      </c>
      <c r="J912" s="12" t="s">
        <v>163</v>
      </c>
      <c r="K912" s="2">
        <v>0</v>
      </c>
      <c r="L912" s="2"/>
      <c r="M912" s="33">
        <v>5.3387500000000001</v>
      </c>
      <c r="N912" s="33">
        <v>5.2275</v>
      </c>
      <c r="O912" s="8"/>
      <c r="P912" s="1"/>
      <c r="Q912" s="1"/>
      <c r="R912" s="1"/>
      <c r="S912" s="3"/>
      <c r="T912" s="3"/>
      <c r="U912" s="3"/>
      <c r="V912" s="3"/>
      <c r="W912" s="3"/>
      <c r="X912" s="3"/>
      <c r="Y912" s="3"/>
      <c r="Z912" s="27" t="s">
        <v>247</v>
      </c>
      <c r="AA912" t="s">
        <v>218</v>
      </c>
    </row>
    <row r="913" spans="1:27" x14ac:dyDescent="0.25">
      <c r="A913" s="12">
        <v>124</v>
      </c>
      <c r="B913">
        <v>31</v>
      </c>
      <c r="C913">
        <f t="shared" si="122"/>
        <v>12431</v>
      </c>
      <c r="D913" s="3" t="s">
        <v>86</v>
      </c>
      <c r="E913" s="11">
        <f t="shared" si="127"/>
        <v>60.491863888888886</v>
      </c>
      <c r="F913" s="11">
        <f t="shared" si="128"/>
        <v>2.8273138888888885</v>
      </c>
      <c r="G913" s="12" t="s">
        <v>144</v>
      </c>
      <c r="H913" s="12" t="s">
        <v>47</v>
      </c>
      <c r="I913">
        <v>2015</v>
      </c>
      <c r="J913" s="12" t="s">
        <v>163</v>
      </c>
      <c r="K913" s="2">
        <v>0</v>
      </c>
      <c r="L913" s="2"/>
      <c r="M913" s="33">
        <v>5.8612500000000001</v>
      </c>
      <c r="N913" s="33">
        <v>5.4862500000000001</v>
      </c>
      <c r="O913" s="8"/>
      <c r="P913" s="1"/>
      <c r="Q913" s="1"/>
      <c r="R913" s="1"/>
      <c r="S913" s="3"/>
      <c r="T913" s="3"/>
      <c r="U913" s="3"/>
      <c r="V913" s="3"/>
      <c r="W913" s="3"/>
      <c r="X913" s="3"/>
      <c r="Y913" s="3"/>
      <c r="Z913" s="27" t="s">
        <v>247</v>
      </c>
      <c r="AA913" t="s">
        <v>218</v>
      </c>
    </row>
    <row r="914" spans="1:27" x14ac:dyDescent="0.25">
      <c r="A914" s="12">
        <v>124</v>
      </c>
      <c r="B914">
        <v>31</v>
      </c>
      <c r="C914">
        <f t="shared" si="122"/>
        <v>12431</v>
      </c>
      <c r="D914" s="3" t="s">
        <v>86</v>
      </c>
      <c r="E914" s="11">
        <f t="shared" si="127"/>
        <v>60.491863888888886</v>
      </c>
      <c r="F914" s="11">
        <f t="shared" si="128"/>
        <v>2.8273138888888885</v>
      </c>
      <c r="G914" s="12" t="s">
        <v>144</v>
      </c>
      <c r="H914" s="12" t="s">
        <v>47</v>
      </c>
      <c r="I914">
        <v>2016</v>
      </c>
      <c r="J914" s="12" t="s">
        <v>163</v>
      </c>
      <c r="K914" s="2">
        <v>0</v>
      </c>
      <c r="L914" s="2"/>
      <c r="M914" s="33">
        <v>6.30375</v>
      </c>
      <c r="N914" s="33">
        <v>6.2737499999999997</v>
      </c>
      <c r="O914" s="8"/>
      <c r="P914" s="1"/>
      <c r="Q914" s="1"/>
      <c r="R914" s="1"/>
      <c r="S914" s="3"/>
      <c r="T914" s="3"/>
      <c r="U914" s="3"/>
      <c r="V914" s="3"/>
      <c r="W914" s="3"/>
      <c r="X914" s="3"/>
      <c r="Y914" s="3"/>
      <c r="Z914" s="27" t="s">
        <v>247</v>
      </c>
      <c r="AA914" t="s">
        <v>218</v>
      </c>
    </row>
    <row r="915" spans="1:27" x14ac:dyDescent="0.25">
      <c r="A915" s="12">
        <v>124</v>
      </c>
      <c r="B915">
        <v>31</v>
      </c>
      <c r="C915">
        <f t="shared" si="122"/>
        <v>12431</v>
      </c>
      <c r="D915" s="3" t="s">
        <v>86</v>
      </c>
      <c r="E915" s="11">
        <f t="shared" si="127"/>
        <v>60.491863888888886</v>
      </c>
      <c r="F915" s="11">
        <f t="shared" si="128"/>
        <v>2.8273138888888885</v>
      </c>
      <c r="G915" s="12" t="s">
        <v>144</v>
      </c>
      <c r="H915" s="12" t="s">
        <v>47</v>
      </c>
      <c r="I915">
        <v>2017</v>
      </c>
      <c r="J915" s="12" t="s">
        <v>163</v>
      </c>
      <c r="K915" s="2">
        <v>0</v>
      </c>
      <c r="L915" s="2"/>
      <c r="M915" s="33">
        <v>4.7312500000000002</v>
      </c>
      <c r="N915" s="33">
        <v>4.37</v>
      </c>
      <c r="O915" s="8"/>
      <c r="P915" s="1"/>
      <c r="Q915" s="1"/>
      <c r="R915" s="1"/>
      <c r="S915" s="3"/>
      <c r="T915" s="3"/>
      <c r="U915" s="3"/>
      <c r="V915" s="3"/>
      <c r="W915" s="3"/>
      <c r="X915" s="3"/>
      <c r="Y915" s="3"/>
      <c r="Z915" s="27" t="s">
        <v>247</v>
      </c>
      <c r="AA915" t="s">
        <v>218</v>
      </c>
    </row>
    <row r="916" spans="1:27" x14ac:dyDescent="0.25">
      <c r="A916" s="12">
        <v>124</v>
      </c>
      <c r="B916">
        <v>31</v>
      </c>
      <c r="C916">
        <f t="shared" si="122"/>
        <v>12431</v>
      </c>
      <c r="D916" s="3" t="s">
        <v>86</v>
      </c>
      <c r="E916" s="11">
        <f t="shared" si="127"/>
        <v>60.491863888888886</v>
      </c>
      <c r="F916" s="11">
        <f t="shared" si="128"/>
        <v>2.8273138888888885</v>
      </c>
      <c r="G916" s="12" t="s">
        <v>144</v>
      </c>
      <c r="H916" s="12" t="s">
        <v>47</v>
      </c>
      <c r="I916">
        <v>2018</v>
      </c>
      <c r="J916" s="12" t="s">
        <v>163</v>
      </c>
      <c r="K916" s="2">
        <v>0</v>
      </c>
      <c r="L916" s="2"/>
      <c r="M916" s="33">
        <v>5.1528749999999999</v>
      </c>
      <c r="N916" s="33">
        <v>5.3155000000000001</v>
      </c>
      <c r="O916" s="8"/>
      <c r="P916" s="1"/>
      <c r="Q916" s="1"/>
      <c r="R916" s="1"/>
      <c r="S916" s="3"/>
      <c r="T916" s="3"/>
      <c r="U916" s="3"/>
      <c r="V916" s="3"/>
      <c r="W916" s="3"/>
      <c r="X916" s="3"/>
      <c r="Y916" s="3"/>
      <c r="Z916" s="27" t="s">
        <v>247</v>
      </c>
      <c r="AA916" t="s">
        <v>218</v>
      </c>
    </row>
    <row r="917" spans="1:27" x14ac:dyDescent="0.25">
      <c r="A917" s="12">
        <v>124</v>
      </c>
      <c r="B917">
        <v>31</v>
      </c>
      <c r="C917">
        <f t="shared" si="122"/>
        <v>12431</v>
      </c>
      <c r="D917" s="3" t="s">
        <v>86</v>
      </c>
      <c r="E917" s="11">
        <f t="shared" si="127"/>
        <v>60.491863888888886</v>
      </c>
      <c r="F917" s="11">
        <f t="shared" si="128"/>
        <v>2.8273138888888885</v>
      </c>
      <c r="G917" s="12" t="s">
        <v>144</v>
      </c>
      <c r="H917" s="12" t="s">
        <v>47</v>
      </c>
      <c r="I917">
        <v>2019</v>
      </c>
      <c r="J917" s="12" t="s">
        <v>163</v>
      </c>
      <c r="K917" s="2">
        <v>0</v>
      </c>
      <c r="L917" s="2"/>
      <c r="M917" s="33">
        <v>3.6617500000000001</v>
      </c>
      <c r="N917" s="33">
        <v>3.7974999999999999</v>
      </c>
      <c r="O917" s="8"/>
      <c r="P917" s="1"/>
      <c r="Q917" s="1"/>
      <c r="R917" s="1"/>
      <c r="S917" s="3"/>
      <c r="T917" s="3"/>
      <c r="U917" s="3"/>
      <c r="V917" s="3"/>
      <c r="W917" s="3"/>
      <c r="X917" s="3"/>
      <c r="Y917" s="3"/>
      <c r="Z917" s="27" t="s">
        <v>247</v>
      </c>
      <c r="AA917" t="s">
        <v>218</v>
      </c>
    </row>
    <row r="918" spans="1:27" x14ac:dyDescent="0.25">
      <c r="A918" s="12">
        <v>124</v>
      </c>
      <c r="B918">
        <v>31</v>
      </c>
      <c r="C918">
        <f t="shared" si="122"/>
        <v>12431</v>
      </c>
      <c r="D918" s="3" t="s">
        <v>86</v>
      </c>
      <c r="E918" s="11">
        <f t="shared" si="127"/>
        <v>60.491863888888886</v>
      </c>
      <c r="F918" s="11">
        <f t="shared" si="128"/>
        <v>2.8273138888888885</v>
      </c>
      <c r="G918" s="12" t="s">
        <v>144</v>
      </c>
      <c r="H918" s="12" t="s">
        <v>47</v>
      </c>
      <c r="I918">
        <v>2020</v>
      </c>
      <c r="J918" s="12" t="s">
        <v>163</v>
      </c>
      <c r="K918" s="2">
        <v>0</v>
      </c>
      <c r="L918" s="2"/>
      <c r="M918" s="33">
        <v>5.12425</v>
      </c>
      <c r="N918" s="33">
        <v>5.2</v>
      </c>
      <c r="O918" s="8"/>
      <c r="P918" s="1"/>
      <c r="Q918" s="1"/>
      <c r="R918" s="1"/>
      <c r="S918" s="3"/>
      <c r="T918" s="3"/>
      <c r="U918" s="3"/>
      <c r="V918" s="3"/>
      <c r="W918" s="3"/>
      <c r="X918" s="3"/>
      <c r="Y918" s="3"/>
      <c r="Z918" s="27" t="s">
        <v>247</v>
      </c>
      <c r="AA918" t="s">
        <v>218</v>
      </c>
    </row>
    <row r="919" spans="1:27" x14ac:dyDescent="0.25">
      <c r="A919" s="12">
        <v>124</v>
      </c>
      <c r="B919">
        <v>31</v>
      </c>
      <c r="C919">
        <f t="shared" si="122"/>
        <v>12431</v>
      </c>
      <c r="D919" s="3" t="s">
        <v>86</v>
      </c>
      <c r="E919" s="11">
        <f t="shared" si="127"/>
        <v>60.491863888888886</v>
      </c>
      <c r="F919" s="11">
        <f t="shared" si="128"/>
        <v>2.8273138888888885</v>
      </c>
      <c r="G919" s="12" t="s">
        <v>144</v>
      </c>
      <c r="H919" s="12" t="s">
        <v>47</v>
      </c>
      <c r="I919">
        <v>2021</v>
      </c>
      <c r="J919" s="12" t="s">
        <v>163</v>
      </c>
      <c r="K919" s="2">
        <v>0</v>
      </c>
      <c r="L919" s="2"/>
      <c r="M919" s="33">
        <v>4.6483749999999997</v>
      </c>
      <c r="N919" s="33">
        <v>5.2538749999999999</v>
      </c>
      <c r="O919" s="8"/>
      <c r="P919" s="1"/>
      <c r="Q919" s="1"/>
      <c r="R919" s="1"/>
      <c r="S919" s="3"/>
      <c r="T919" s="3"/>
      <c r="U919" s="3"/>
      <c r="V919" s="3"/>
      <c r="W919" s="3"/>
      <c r="X919" s="3"/>
      <c r="Y919" s="3"/>
      <c r="Z919" s="27" t="s">
        <v>247</v>
      </c>
      <c r="AA919" t="s">
        <v>218</v>
      </c>
    </row>
    <row r="920" spans="1:27" x14ac:dyDescent="0.25">
      <c r="A920" s="12">
        <v>124</v>
      </c>
      <c r="B920">
        <v>32</v>
      </c>
      <c r="C920">
        <f t="shared" si="122"/>
        <v>12432</v>
      </c>
      <c r="D920" s="3" t="s">
        <v>86</v>
      </c>
      <c r="E920" s="11">
        <f>60+42/60+1.79/3600</f>
        <v>60.700497222222225</v>
      </c>
      <c r="F920" s="11">
        <f>2+56/60+6.79/3600</f>
        <v>2.9352194444444448</v>
      </c>
      <c r="G920" s="12" t="s">
        <v>144</v>
      </c>
      <c r="H920" s="12" t="s">
        <v>47</v>
      </c>
      <c r="I920">
        <v>2002</v>
      </c>
      <c r="J920" s="12" t="s">
        <v>163</v>
      </c>
      <c r="K920" s="2">
        <v>0</v>
      </c>
      <c r="L920" s="2"/>
      <c r="M920" s="33">
        <v>7.3666666669999996</v>
      </c>
      <c r="N920" s="33"/>
      <c r="O920" s="8"/>
      <c r="P920" s="1"/>
      <c r="Q920" s="1"/>
      <c r="R920" s="1"/>
      <c r="S920" s="3"/>
      <c r="T920" s="3"/>
      <c r="U920" s="3"/>
      <c r="V920" s="3"/>
      <c r="W920" s="3"/>
      <c r="X920" s="3"/>
      <c r="Y920" s="3"/>
      <c r="Z920" s="27" t="s">
        <v>247</v>
      </c>
      <c r="AA920" t="s">
        <v>428</v>
      </c>
    </row>
    <row r="921" spans="1:27" x14ac:dyDescent="0.25">
      <c r="A921" s="12">
        <v>124</v>
      </c>
      <c r="B921">
        <v>32</v>
      </c>
      <c r="C921">
        <f t="shared" si="122"/>
        <v>12432</v>
      </c>
      <c r="D921" s="3" t="s">
        <v>86</v>
      </c>
      <c r="E921" s="11">
        <f t="shared" ref="E921:E938" si="129">60+42/60+1.79/3600</f>
        <v>60.700497222222225</v>
      </c>
      <c r="F921" s="11">
        <f t="shared" ref="F921:F938" si="130">2+56/60+6.79/3600</f>
        <v>2.9352194444444448</v>
      </c>
      <c r="G921" s="12" t="s">
        <v>144</v>
      </c>
      <c r="H921" s="12" t="s">
        <v>47</v>
      </c>
      <c r="I921">
        <v>2003</v>
      </c>
      <c r="J921" s="12" t="s">
        <v>163</v>
      </c>
      <c r="K921" s="2">
        <v>0</v>
      </c>
      <c r="L921" s="2"/>
      <c r="M921" s="33">
        <v>7.8</v>
      </c>
      <c r="N921" s="33"/>
      <c r="O921" s="8"/>
      <c r="P921" s="1"/>
      <c r="Q921" s="1"/>
      <c r="R921" s="1"/>
      <c r="S921" s="3"/>
      <c r="T921" s="3"/>
      <c r="U921" s="3"/>
      <c r="V921" s="3"/>
      <c r="W921" s="3"/>
      <c r="X921" s="3"/>
      <c r="Y921" s="3"/>
      <c r="Z921" s="27" t="s">
        <v>247</v>
      </c>
      <c r="AA921" t="s">
        <v>428</v>
      </c>
    </row>
    <row r="922" spans="1:27" x14ac:dyDescent="0.25">
      <c r="A922" s="12">
        <v>124</v>
      </c>
      <c r="B922">
        <v>32</v>
      </c>
      <c r="C922">
        <f t="shared" si="122"/>
        <v>12432</v>
      </c>
      <c r="D922" s="3" t="s">
        <v>86</v>
      </c>
      <c r="E922" s="11">
        <f t="shared" si="129"/>
        <v>60.700497222222225</v>
      </c>
      <c r="F922" s="11">
        <f t="shared" si="130"/>
        <v>2.9352194444444448</v>
      </c>
      <c r="G922" s="12" t="s">
        <v>144</v>
      </c>
      <c r="H922" s="12" t="s">
        <v>47</v>
      </c>
      <c r="I922">
        <v>2004</v>
      </c>
      <c r="J922" s="12" t="s">
        <v>163</v>
      </c>
      <c r="K922" s="2">
        <v>0</v>
      </c>
      <c r="L922" s="2"/>
      <c r="M922" s="33">
        <v>6.17</v>
      </c>
      <c r="N922" s="33"/>
      <c r="O922" s="8"/>
      <c r="P922" s="1"/>
      <c r="Q922" s="1"/>
      <c r="R922" s="1"/>
      <c r="S922" s="3"/>
      <c r="T922" s="3"/>
      <c r="U922" s="3"/>
      <c r="V922" s="3"/>
      <c r="W922" s="3"/>
      <c r="X922" s="3"/>
      <c r="Y922" s="3"/>
      <c r="Z922" s="27" t="s">
        <v>247</v>
      </c>
      <c r="AA922" t="s">
        <v>428</v>
      </c>
    </row>
    <row r="923" spans="1:27" x14ac:dyDescent="0.25">
      <c r="A923" s="12">
        <v>124</v>
      </c>
      <c r="B923">
        <v>32</v>
      </c>
      <c r="C923">
        <f t="shared" si="122"/>
        <v>12432</v>
      </c>
      <c r="D923" s="3" t="s">
        <v>86</v>
      </c>
      <c r="E923" s="11">
        <f t="shared" si="129"/>
        <v>60.700497222222225</v>
      </c>
      <c r="F923" s="11">
        <f t="shared" si="130"/>
        <v>2.9352194444444448</v>
      </c>
      <c r="G923" s="12" t="s">
        <v>144</v>
      </c>
      <c r="H923" s="12" t="s">
        <v>47</v>
      </c>
      <c r="I923">
        <v>2005</v>
      </c>
      <c r="J923" s="12" t="s">
        <v>163</v>
      </c>
      <c r="K923" s="2">
        <v>0</v>
      </c>
      <c r="L923" s="2"/>
      <c r="M923" s="33">
        <v>5.5</v>
      </c>
      <c r="N923" s="33"/>
      <c r="O923" s="8"/>
      <c r="P923" s="1"/>
      <c r="Q923" s="1"/>
      <c r="R923" s="1"/>
      <c r="S923" s="3"/>
      <c r="T923" s="3"/>
      <c r="U923" s="3"/>
      <c r="V923" s="3"/>
      <c r="W923" s="3"/>
      <c r="X923" s="3"/>
      <c r="Y923" s="3"/>
      <c r="Z923" s="27" t="s">
        <v>247</v>
      </c>
      <c r="AA923" t="s">
        <v>428</v>
      </c>
    </row>
    <row r="924" spans="1:27" x14ac:dyDescent="0.25">
      <c r="A924" s="12">
        <v>124</v>
      </c>
      <c r="B924">
        <v>32</v>
      </c>
      <c r="C924">
        <f t="shared" si="122"/>
        <v>12432</v>
      </c>
      <c r="D924" s="3" t="s">
        <v>86</v>
      </c>
      <c r="E924" s="11">
        <f t="shared" si="129"/>
        <v>60.700497222222225</v>
      </c>
      <c r="F924" s="11">
        <f t="shared" si="130"/>
        <v>2.9352194444444448</v>
      </c>
      <c r="G924" s="12" t="s">
        <v>144</v>
      </c>
      <c r="H924" s="12" t="s">
        <v>47</v>
      </c>
      <c r="I924">
        <v>2006</v>
      </c>
      <c r="J924" s="12" t="s">
        <v>163</v>
      </c>
      <c r="K924" s="2">
        <v>0</v>
      </c>
      <c r="L924" s="2"/>
      <c r="M924" s="33">
        <v>5.4</v>
      </c>
      <c r="N924" s="33">
        <v>7.4</v>
      </c>
      <c r="O924" s="8"/>
      <c r="P924" s="1"/>
      <c r="Q924" s="1"/>
      <c r="R924" s="1"/>
      <c r="S924" s="3"/>
      <c r="T924" s="3"/>
      <c r="U924" s="3"/>
      <c r="V924" s="3"/>
      <c r="W924" s="3"/>
      <c r="X924" s="3"/>
      <c r="Y924" s="3"/>
      <c r="Z924" s="27" t="s">
        <v>247</v>
      </c>
      <c r="AA924" t="s">
        <v>428</v>
      </c>
    </row>
    <row r="925" spans="1:27" x14ac:dyDescent="0.25">
      <c r="A925" s="12">
        <v>124</v>
      </c>
      <c r="B925">
        <v>32</v>
      </c>
      <c r="C925">
        <f t="shared" si="122"/>
        <v>12432</v>
      </c>
      <c r="D925" s="3" t="s">
        <v>86</v>
      </c>
      <c r="E925" s="11">
        <f t="shared" si="129"/>
        <v>60.700497222222225</v>
      </c>
      <c r="F925" s="11">
        <f t="shared" si="130"/>
        <v>2.9352194444444448</v>
      </c>
      <c r="G925" s="12" t="s">
        <v>144</v>
      </c>
      <c r="H925" s="12" t="s">
        <v>47</v>
      </c>
      <c r="I925">
        <v>2007</v>
      </c>
      <c r="J925" s="12" t="s">
        <v>163</v>
      </c>
      <c r="K925" s="2">
        <v>0</v>
      </c>
      <c r="L925" s="2"/>
      <c r="M925" s="33">
        <v>6.1</v>
      </c>
      <c r="N925" s="33">
        <v>6.9</v>
      </c>
      <c r="O925" s="8"/>
      <c r="P925" s="1"/>
      <c r="Q925" s="1"/>
      <c r="R925" s="1"/>
      <c r="S925" s="3"/>
      <c r="T925" s="3"/>
      <c r="U925" s="3"/>
      <c r="V925" s="3"/>
      <c r="W925" s="3"/>
      <c r="X925" s="3"/>
      <c r="Y925" s="3"/>
      <c r="Z925" s="27" t="s">
        <v>247</v>
      </c>
      <c r="AA925" t="s">
        <v>428</v>
      </c>
    </row>
    <row r="926" spans="1:27" x14ac:dyDescent="0.25">
      <c r="A926" s="12">
        <v>124</v>
      </c>
      <c r="B926">
        <v>32</v>
      </c>
      <c r="C926">
        <f t="shared" ref="C926:C989" si="131">A926*100+B926</f>
        <v>12432</v>
      </c>
      <c r="D926" s="3" t="s">
        <v>86</v>
      </c>
      <c r="E926" s="11">
        <f t="shared" si="129"/>
        <v>60.700497222222225</v>
      </c>
      <c r="F926" s="11">
        <f t="shared" si="130"/>
        <v>2.9352194444444448</v>
      </c>
      <c r="G926" s="12" t="s">
        <v>144</v>
      </c>
      <c r="H926" s="12" t="s">
        <v>47</v>
      </c>
      <c r="I926">
        <v>2008</v>
      </c>
      <c r="J926" s="12" t="s">
        <v>163</v>
      </c>
      <c r="K926" s="2">
        <v>0</v>
      </c>
      <c r="L926" s="2"/>
      <c r="M926" s="33">
        <v>5.4</v>
      </c>
      <c r="N926" s="33">
        <v>8</v>
      </c>
      <c r="O926" s="8"/>
      <c r="P926" s="1"/>
      <c r="Q926" s="1"/>
      <c r="R926" s="1"/>
      <c r="S926" s="3"/>
      <c r="T926" s="3"/>
      <c r="U926" s="3"/>
      <c r="V926" s="3"/>
      <c r="W926" s="3"/>
      <c r="X926" s="3"/>
      <c r="Y926" s="3"/>
      <c r="Z926" s="27" t="s">
        <v>247</v>
      </c>
      <c r="AA926" t="s">
        <v>428</v>
      </c>
    </row>
    <row r="927" spans="1:27" x14ac:dyDescent="0.25">
      <c r="A927" s="12">
        <v>124</v>
      </c>
      <c r="B927">
        <v>32</v>
      </c>
      <c r="C927">
        <f t="shared" si="131"/>
        <v>12432</v>
      </c>
      <c r="D927" s="3" t="s">
        <v>86</v>
      </c>
      <c r="E927" s="11">
        <f t="shared" si="129"/>
        <v>60.700497222222225</v>
      </c>
      <c r="F927" s="11">
        <f t="shared" si="130"/>
        <v>2.9352194444444448</v>
      </c>
      <c r="G927" s="12" t="s">
        <v>144</v>
      </c>
      <c r="H927" s="12" t="s">
        <v>47</v>
      </c>
      <c r="I927">
        <v>2009</v>
      </c>
      <c r="J927" s="12" t="s">
        <v>163</v>
      </c>
      <c r="K927" s="2">
        <v>0</v>
      </c>
      <c r="L927" s="2"/>
      <c r="M927" s="33">
        <v>8.1999999999999993</v>
      </c>
      <c r="N927" s="33">
        <v>9.6999999999999993</v>
      </c>
      <c r="O927" s="8"/>
      <c r="P927" s="1"/>
      <c r="Q927" s="1"/>
      <c r="R927" s="1"/>
      <c r="S927" s="3"/>
      <c r="T927" s="3"/>
      <c r="U927" s="3"/>
      <c r="V927" s="3"/>
      <c r="W927" s="3"/>
      <c r="X927" s="3"/>
      <c r="Y927" s="3"/>
      <c r="Z927" s="27" t="s">
        <v>247</v>
      </c>
      <c r="AA927" t="s">
        <v>428</v>
      </c>
    </row>
    <row r="928" spans="1:27" x14ac:dyDescent="0.25">
      <c r="A928" s="12">
        <v>124</v>
      </c>
      <c r="B928">
        <v>32</v>
      </c>
      <c r="C928">
        <f t="shared" si="131"/>
        <v>12432</v>
      </c>
      <c r="D928" s="3" t="s">
        <v>86</v>
      </c>
      <c r="E928" s="11">
        <f t="shared" si="129"/>
        <v>60.700497222222225</v>
      </c>
      <c r="F928" s="11">
        <f t="shared" si="130"/>
        <v>2.9352194444444448</v>
      </c>
      <c r="G928" s="12" t="s">
        <v>144</v>
      </c>
      <c r="H928" s="12" t="s">
        <v>47</v>
      </c>
      <c r="I928">
        <v>2010</v>
      </c>
      <c r="J928" s="12" t="s">
        <v>163</v>
      </c>
      <c r="K928" s="2">
        <v>0</v>
      </c>
      <c r="L928" s="2"/>
      <c r="M928" s="33">
        <v>6.665394107</v>
      </c>
      <c r="N928" s="33">
        <v>8.5497737790000006</v>
      </c>
      <c r="O928" s="8"/>
      <c r="P928" s="1"/>
      <c r="Q928" s="1"/>
      <c r="R928" s="1"/>
      <c r="S928" s="3"/>
      <c r="T928" s="3"/>
      <c r="U928" s="3"/>
      <c r="V928" s="3"/>
      <c r="W928" s="3"/>
      <c r="X928" s="3"/>
      <c r="Y928" s="3"/>
      <c r="Z928" s="27" t="s">
        <v>247</v>
      </c>
      <c r="AA928" t="s">
        <v>428</v>
      </c>
    </row>
    <row r="929" spans="1:27" x14ac:dyDescent="0.25">
      <c r="A929" s="12">
        <v>124</v>
      </c>
      <c r="B929">
        <v>32</v>
      </c>
      <c r="C929">
        <f t="shared" si="131"/>
        <v>12432</v>
      </c>
      <c r="D929" s="3" t="s">
        <v>86</v>
      </c>
      <c r="E929" s="11">
        <f t="shared" si="129"/>
        <v>60.700497222222225</v>
      </c>
      <c r="F929" s="11">
        <f t="shared" si="130"/>
        <v>2.9352194444444448</v>
      </c>
      <c r="G929" s="12" t="s">
        <v>144</v>
      </c>
      <c r="H929" s="12" t="s">
        <v>47</v>
      </c>
      <c r="I929">
        <v>2012</v>
      </c>
      <c r="J929" s="12" t="s">
        <v>163</v>
      </c>
      <c r="K929" s="2">
        <v>0</v>
      </c>
      <c r="L929" s="2"/>
      <c r="M929" s="33">
        <v>5.912795</v>
      </c>
      <c r="N929" s="33">
        <v>7.125</v>
      </c>
      <c r="O929" s="8"/>
      <c r="P929" s="1"/>
      <c r="Q929" s="1"/>
      <c r="R929" s="1"/>
      <c r="S929" s="3"/>
      <c r="T929" s="3"/>
      <c r="U929" s="3"/>
      <c r="V929" s="3"/>
      <c r="W929" s="3"/>
      <c r="X929" s="3"/>
      <c r="Y929" s="3"/>
      <c r="Z929" s="27" t="s">
        <v>247</v>
      </c>
      <c r="AA929" t="s">
        <v>428</v>
      </c>
    </row>
    <row r="930" spans="1:27" x14ac:dyDescent="0.25">
      <c r="A930" s="12">
        <v>124</v>
      </c>
      <c r="B930">
        <v>32</v>
      </c>
      <c r="C930">
        <f t="shared" si="131"/>
        <v>12432</v>
      </c>
      <c r="D930" s="3" t="s">
        <v>86</v>
      </c>
      <c r="E930" s="11">
        <f t="shared" si="129"/>
        <v>60.700497222222225</v>
      </c>
      <c r="F930" s="11">
        <f t="shared" si="130"/>
        <v>2.9352194444444448</v>
      </c>
      <c r="G930" s="12" t="s">
        <v>144</v>
      </c>
      <c r="H930" s="12" t="s">
        <v>47</v>
      </c>
      <c r="I930">
        <v>2013</v>
      </c>
      <c r="J930" s="12" t="s">
        <v>163</v>
      </c>
      <c r="K930" s="2">
        <v>0</v>
      </c>
      <c r="L930" s="2"/>
      <c r="M930" s="33">
        <v>5.9516594943966696</v>
      </c>
      <c r="N930" s="33">
        <v>7.35666666666667</v>
      </c>
      <c r="O930" s="8"/>
      <c r="P930" s="1"/>
      <c r="Q930" s="1"/>
      <c r="R930" s="1"/>
      <c r="S930" s="3"/>
      <c r="T930" s="3"/>
      <c r="U930" s="3"/>
      <c r="V930" s="3"/>
      <c r="W930" s="3"/>
      <c r="X930" s="3"/>
      <c r="Y930" s="3"/>
      <c r="Z930" s="27" t="s">
        <v>247</v>
      </c>
      <c r="AA930" t="s">
        <v>428</v>
      </c>
    </row>
    <row r="931" spans="1:27" x14ac:dyDescent="0.25">
      <c r="A931" s="12">
        <v>124</v>
      </c>
      <c r="B931">
        <v>32</v>
      </c>
      <c r="C931">
        <f t="shared" si="131"/>
        <v>12432</v>
      </c>
      <c r="D931" s="3" t="s">
        <v>86</v>
      </c>
      <c r="E931" s="11">
        <f t="shared" si="129"/>
        <v>60.700497222222225</v>
      </c>
      <c r="F931" s="11">
        <f t="shared" si="130"/>
        <v>2.9352194444444448</v>
      </c>
      <c r="G931" s="12" t="s">
        <v>144</v>
      </c>
      <c r="H931" s="12" t="s">
        <v>47</v>
      </c>
      <c r="I931">
        <v>2014</v>
      </c>
      <c r="J931" s="12" t="s">
        <v>163</v>
      </c>
      <c r="K931" s="2">
        <v>0</v>
      </c>
      <c r="L931" s="2"/>
      <c r="M931" s="33">
        <v>6.6825000000000001</v>
      </c>
      <c r="N931" s="33">
        <v>7.03</v>
      </c>
      <c r="O931" s="8"/>
      <c r="P931" s="1"/>
      <c r="Q931" s="1"/>
      <c r="R931" s="1"/>
      <c r="S931" s="3"/>
      <c r="T931" s="3"/>
      <c r="U931" s="3"/>
      <c r="V931" s="3"/>
      <c r="W931" s="3"/>
      <c r="X931" s="3"/>
      <c r="Y931" s="3"/>
      <c r="Z931" s="27" t="s">
        <v>247</v>
      </c>
      <c r="AA931" t="s">
        <v>428</v>
      </c>
    </row>
    <row r="932" spans="1:27" x14ac:dyDescent="0.25">
      <c r="A932" s="12">
        <v>124</v>
      </c>
      <c r="B932">
        <v>32</v>
      </c>
      <c r="C932">
        <f t="shared" si="131"/>
        <v>12432</v>
      </c>
      <c r="D932" s="3" t="s">
        <v>86</v>
      </c>
      <c r="E932" s="11">
        <f t="shared" si="129"/>
        <v>60.700497222222225</v>
      </c>
      <c r="F932" s="11">
        <f t="shared" si="130"/>
        <v>2.9352194444444448</v>
      </c>
      <c r="G932" s="12" t="s">
        <v>144</v>
      </c>
      <c r="H932" s="12" t="s">
        <v>47</v>
      </c>
      <c r="I932">
        <v>2015</v>
      </c>
      <c r="J932" s="12" t="s">
        <v>163</v>
      </c>
      <c r="K932" s="2">
        <v>0</v>
      </c>
      <c r="L932" s="2"/>
      <c r="M932" s="33">
        <v>5.81</v>
      </c>
      <c r="N932" s="33">
        <v>6.9</v>
      </c>
      <c r="O932" s="8"/>
      <c r="P932" s="1"/>
      <c r="Q932" s="1"/>
      <c r="R932" s="1"/>
      <c r="S932" s="3"/>
      <c r="T932" s="3"/>
      <c r="U932" s="3"/>
      <c r="V932" s="3"/>
      <c r="W932" s="3"/>
      <c r="X932" s="3"/>
      <c r="Y932" s="3"/>
      <c r="Z932" s="27" t="s">
        <v>247</v>
      </c>
      <c r="AA932" t="s">
        <v>428</v>
      </c>
    </row>
    <row r="933" spans="1:27" x14ac:dyDescent="0.25">
      <c r="A933" s="12">
        <v>124</v>
      </c>
      <c r="B933">
        <v>32</v>
      </c>
      <c r="C933">
        <f t="shared" si="131"/>
        <v>12432</v>
      </c>
      <c r="D933" s="3" t="s">
        <v>86</v>
      </c>
      <c r="E933" s="11">
        <f t="shared" si="129"/>
        <v>60.700497222222225</v>
      </c>
      <c r="F933" s="11">
        <f t="shared" si="130"/>
        <v>2.9352194444444448</v>
      </c>
      <c r="G933" s="12" t="s">
        <v>144</v>
      </c>
      <c r="H933" s="12" t="s">
        <v>47</v>
      </c>
      <c r="I933">
        <v>2016</v>
      </c>
      <c r="J933" s="12" t="s">
        <v>163</v>
      </c>
      <c r="K933" s="2">
        <v>0</v>
      </c>
      <c r="L933" s="2"/>
      <c r="M933" s="33">
        <v>5.5049999999999999</v>
      </c>
      <c r="N933" s="33">
        <v>7.4874999999999998</v>
      </c>
      <c r="O933" s="8"/>
      <c r="P933" s="1"/>
      <c r="Q933" s="1"/>
      <c r="R933" s="1"/>
      <c r="S933" s="3"/>
      <c r="T933" s="3"/>
      <c r="U933" s="3"/>
      <c r="V933" s="3"/>
      <c r="W933" s="3"/>
      <c r="X933" s="3"/>
      <c r="Y933" s="3"/>
      <c r="Z933" s="27" t="s">
        <v>247</v>
      </c>
      <c r="AA933" t="s">
        <v>428</v>
      </c>
    </row>
    <row r="934" spans="1:27" x14ac:dyDescent="0.25">
      <c r="A934" s="12">
        <v>124</v>
      </c>
      <c r="B934">
        <v>32</v>
      </c>
      <c r="C934">
        <f t="shared" si="131"/>
        <v>12432</v>
      </c>
      <c r="D934" s="3" t="s">
        <v>86</v>
      </c>
      <c r="E934" s="11">
        <f t="shared" si="129"/>
        <v>60.700497222222225</v>
      </c>
      <c r="F934" s="11">
        <f t="shared" si="130"/>
        <v>2.9352194444444448</v>
      </c>
      <c r="G934" s="12" t="s">
        <v>144</v>
      </c>
      <c r="H934" s="12" t="s">
        <v>47</v>
      </c>
      <c r="I934">
        <v>2017</v>
      </c>
      <c r="J934" s="12" t="s">
        <v>163</v>
      </c>
      <c r="K934" s="2">
        <v>0</v>
      </c>
      <c r="L934" s="2"/>
      <c r="M934" s="33">
        <v>6.19</v>
      </c>
      <c r="N934" s="33">
        <v>8.5824999999999996</v>
      </c>
      <c r="O934" s="8"/>
      <c r="P934" s="1"/>
      <c r="Q934" s="1"/>
      <c r="R934" s="1"/>
      <c r="S934" s="3"/>
      <c r="T934" s="3"/>
      <c r="U934" s="3"/>
      <c r="V934" s="3"/>
      <c r="W934" s="3"/>
      <c r="X934" s="3"/>
      <c r="Y934" s="3"/>
      <c r="Z934" s="27" t="s">
        <v>247</v>
      </c>
      <c r="AA934" t="s">
        <v>428</v>
      </c>
    </row>
    <row r="935" spans="1:27" x14ac:dyDescent="0.25">
      <c r="A935" s="12">
        <v>124</v>
      </c>
      <c r="B935">
        <v>32</v>
      </c>
      <c r="C935">
        <f t="shared" si="131"/>
        <v>12432</v>
      </c>
      <c r="D935" s="3" t="s">
        <v>86</v>
      </c>
      <c r="E935" s="11">
        <f t="shared" si="129"/>
        <v>60.700497222222225</v>
      </c>
      <c r="F935" s="11">
        <f t="shared" si="130"/>
        <v>2.9352194444444448</v>
      </c>
      <c r="G935" s="12" t="s">
        <v>144</v>
      </c>
      <c r="H935" s="12" t="s">
        <v>47</v>
      </c>
      <c r="I935">
        <v>2018</v>
      </c>
      <c r="J935" s="12" t="s">
        <v>163</v>
      </c>
      <c r="K935" s="2">
        <v>0</v>
      </c>
      <c r="L935" s="2"/>
      <c r="M935" s="33">
        <v>5.8375000000000004</v>
      </c>
      <c r="N935" s="33">
        <v>8.4924999999999997</v>
      </c>
      <c r="O935" s="8"/>
      <c r="P935" s="1"/>
      <c r="Q935" s="1"/>
      <c r="R935" s="1"/>
      <c r="S935" s="3"/>
      <c r="T935" s="3"/>
      <c r="U935" s="3"/>
      <c r="V935" s="3"/>
      <c r="W935" s="3"/>
      <c r="X935" s="3"/>
      <c r="Y935" s="3"/>
      <c r="Z935" s="27" t="s">
        <v>247</v>
      </c>
      <c r="AA935" t="s">
        <v>428</v>
      </c>
    </row>
    <row r="936" spans="1:27" x14ac:dyDescent="0.25">
      <c r="A936" s="12">
        <v>124</v>
      </c>
      <c r="B936">
        <v>32</v>
      </c>
      <c r="C936">
        <f t="shared" si="131"/>
        <v>12432</v>
      </c>
      <c r="D936" s="3" t="s">
        <v>86</v>
      </c>
      <c r="E936" s="11">
        <f t="shared" si="129"/>
        <v>60.700497222222225</v>
      </c>
      <c r="F936" s="11">
        <f t="shared" si="130"/>
        <v>2.9352194444444448</v>
      </c>
      <c r="G936" s="12" t="s">
        <v>144</v>
      </c>
      <c r="H936" s="12" t="s">
        <v>47</v>
      </c>
      <c r="I936">
        <v>2019</v>
      </c>
      <c r="J936" s="12" t="s">
        <v>163</v>
      </c>
      <c r="K936" s="2">
        <v>0</v>
      </c>
      <c r="L936" s="2"/>
      <c r="M936" s="33">
        <v>5.05</v>
      </c>
      <c r="N936" s="33">
        <v>7.7275</v>
      </c>
      <c r="O936" s="8"/>
      <c r="P936" s="1"/>
      <c r="Q936" s="1"/>
      <c r="R936" s="1"/>
      <c r="S936" s="3"/>
      <c r="T936" s="3"/>
      <c r="U936" s="3"/>
      <c r="V936" s="3"/>
      <c r="W936" s="3"/>
      <c r="X936" s="3"/>
      <c r="Y936" s="3"/>
      <c r="Z936" s="27" t="s">
        <v>247</v>
      </c>
      <c r="AA936" t="s">
        <v>428</v>
      </c>
    </row>
    <row r="937" spans="1:27" x14ac:dyDescent="0.25">
      <c r="A937" s="12">
        <v>124</v>
      </c>
      <c r="B937">
        <v>32</v>
      </c>
      <c r="C937">
        <f t="shared" si="131"/>
        <v>12432</v>
      </c>
      <c r="D937" s="3" t="s">
        <v>86</v>
      </c>
      <c r="E937" s="11">
        <f t="shared" si="129"/>
        <v>60.700497222222225</v>
      </c>
      <c r="F937" s="11">
        <f t="shared" si="130"/>
        <v>2.9352194444444448</v>
      </c>
      <c r="G937" s="12" t="s">
        <v>144</v>
      </c>
      <c r="H937" s="12" t="s">
        <v>47</v>
      </c>
      <c r="I937">
        <v>2020</v>
      </c>
      <c r="J937" s="12" t="s">
        <v>163</v>
      </c>
      <c r="K937" s="2">
        <v>0</v>
      </c>
      <c r="L937" s="2"/>
      <c r="M937" s="33">
        <v>5.3237500000000004</v>
      </c>
      <c r="N937" s="33">
        <v>7.4080000000000004</v>
      </c>
      <c r="O937" s="8"/>
      <c r="P937" s="1"/>
      <c r="Q937" s="1"/>
      <c r="R937" s="1"/>
      <c r="S937" s="3"/>
      <c r="T937" s="3"/>
      <c r="U937" s="3"/>
      <c r="V937" s="3"/>
      <c r="W937" s="3"/>
      <c r="X937" s="3"/>
      <c r="Y937" s="3"/>
      <c r="Z937" s="27" t="s">
        <v>247</v>
      </c>
      <c r="AA937" t="s">
        <v>428</v>
      </c>
    </row>
    <row r="938" spans="1:27" x14ac:dyDescent="0.25">
      <c r="A938" s="12">
        <v>124</v>
      </c>
      <c r="B938">
        <v>32</v>
      </c>
      <c r="C938">
        <f t="shared" si="131"/>
        <v>12432</v>
      </c>
      <c r="D938" s="3" t="s">
        <v>86</v>
      </c>
      <c r="E938" s="11">
        <f t="shared" si="129"/>
        <v>60.700497222222225</v>
      </c>
      <c r="F938" s="11">
        <f t="shared" si="130"/>
        <v>2.9352194444444448</v>
      </c>
      <c r="G938" s="12" t="s">
        <v>144</v>
      </c>
      <c r="H938" s="12" t="s">
        <v>47</v>
      </c>
      <c r="I938">
        <v>2021</v>
      </c>
      <c r="J938" s="12" t="s">
        <v>163</v>
      </c>
      <c r="K938" s="2">
        <v>0</v>
      </c>
      <c r="L938" s="2"/>
      <c r="M938" s="33">
        <v>5.3937499999999998</v>
      </c>
      <c r="N938" s="33">
        <v>7.8022499999999999</v>
      </c>
      <c r="O938" s="8"/>
      <c r="P938" s="1"/>
      <c r="Q938" s="1"/>
      <c r="R938" s="1"/>
      <c r="S938" s="3"/>
      <c r="T938" s="3"/>
      <c r="U938" s="3"/>
      <c r="V938" s="3"/>
      <c r="W938" s="3"/>
      <c r="X938" s="3"/>
      <c r="Y938" s="3"/>
      <c r="Z938" s="27" t="s">
        <v>247</v>
      </c>
      <c r="AA938" t="s">
        <v>428</v>
      </c>
    </row>
    <row r="939" spans="1:27" x14ac:dyDescent="0.25">
      <c r="A939" s="12">
        <v>124</v>
      </c>
      <c r="B939">
        <v>33</v>
      </c>
      <c r="C939">
        <f t="shared" si="131"/>
        <v>12433</v>
      </c>
      <c r="D939" s="3" t="s">
        <v>86</v>
      </c>
      <c r="E939" s="11">
        <f>60+23/60+24.62/3600</f>
        <v>60.390172222222219</v>
      </c>
      <c r="F939" s="11">
        <f>2+47/60+49.06/3600</f>
        <v>2.796961111111111</v>
      </c>
      <c r="G939" s="12" t="s">
        <v>144</v>
      </c>
      <c r="H939" s="12" t="s">
        <v>47</v>
      </c>
      <c r="I939">
        <v>2002</v>
      </c>
      <c r="J939" s="12" t="s">
        <v>163</v>
      </c>
      <c r="K939" s="2">
        <v>0</v>
      </c>
      <c r="L939" s="2"/>
      <c r="M939" s="33">
        <v>14.7</v>
      </c>
      <c r="N939" s="33"/>
      <c r="O939" s="8"/>
      <c r="P939" s="1"/>
      <c r="Q939" s="1"/>
      <c r="R939" s="1"/>
      <c r="S939" s="3"/>
      <c r="T939" s="3"/>
      <c r="U939" s="3"/>
      <c r="V939" s="3"/>
      <c r="W939" s="3"/>
      <c r="X939" s="3"/>
      <c r="Y939" s="3"/>
      <c r="Z939" s="27" t="s">
        <v>247</v>
      </c>
      <c r="AA939" t="s">
        <v>429</v>
      </c>
    </row>
    <row r="940" spans="1:27" x14ac:dyDescent="0.25">
      <c r="A940" s="12">
        <v>124</v>
      </c>
      <c r="B940">
        <v>33</v>
      </c>
      <c r="C940">
        <f t="shared" si="131"/>
        <v>12433</v>
      </c>
      <c r="D940" s="3" t="s">
        <v>86</v>
      </c>
      <c r="E940" s="11">
        <f t="shared" ref="E940:E958" si="132">60+23/60+24.62/3600</f>
        <v>60.390172222222219</v>
      </c>
      <c r="F940" s="11">
        <f t="shared" ref="F940:F958" si="133">2+47/60+49.06/3600</f>
        <v>2.796961111111111</v>
      </c>
      <c r="G940" s="12" t="s">
        <v>144</v>
      </c>
      <c r="H940" s="12" t="s">
        <v>47</v>
      </c>
      <c r="I940">
        <v>2003</v>
      </c>
      <c r="J940" s="12" t="s">
        <v>163</v>
      </c>
      <c r="K940" s="2">
        <v>0</v>
      </c>
      <c r="L940" s="2"/>
      <c r="M940" s="33">
        <v>12.2</v>
      </c>
      <c r="N940" s="33"/>
      <c r="O940" s="8"/>
      <c r="P940" s="1"/>
      <c r="Q940" s="1"/>
      <c r="R940" s="1"/>
      <c r="S940" s="3"/>
      <c r="T940" s="3"/>
      <c r="U940" s="3"/>
      <c r="V940" s="3"/>
      <c r="W940" s="3"/>
      <c r="X940" s="3"/>
      <c r="Y940" s="3"/>
      <c r="Z940" s="27" t="s">
        <v>247</v>
      </c>
      <c r="AA940" t="s">
        <v>429</v>
      </c>
    </row>
    <row r="941" spans="1:27" x14ac:dyDescent="0.25">
      <c r="A941" s="12">
        <v>124</v>
      </c>
      <c r="B941">
        <v>33</v>
      </c>
      <c r="C941">
        <f t="shared" si="131"/>
        <v>12433</v>
      </c>
      <c r="D941" s="3" t="s">
        <v>86</v>
      </c>
      <c r="E941" s="11">
        <f t="shared" si="132"/>
        <v>60.390172222222219</v>
      </c>
      <c r="F941" s="11">
        <f t="shared" si="133"/>
        <v>2.796961111111111</v>
      </c>
      <c r="G941" s="12" t="s">
        <v>144</v>
      </c>
      <c r="H941" s="12" t="s">
        <v>47</v>
      </c>
      <c r="I941">
        <v>2004</v>
      </c>
      <c r="J941" s="12" t="s">
        <v>163</v>
      </c>
      <c r="K941" s="2">
        <v>0</v>
      </c>
      <c r="L941" s="2"/>
      <c r="M941" s="33">
        <v>1.33</v>
      </c>
      <c r="N941" s="33"/>
      <c r="O941" s="8"/>
      <c r="P941" s="1"/>
      <c r="Q941" s="1"/>
      <c r="R941" s="1"/>
      <c r="S941" s="3"/>
      <c r="T941" s="3"/>
      <c r="U941" s="3"/>
      <c r="V941" s="3"/>
      <c r="W941" s="3"/>
      <c r="X941" s="3"/>
      <c r="Y941" s="3"/>
      <c r="Z941" s="27" t="s">
        <v>247</v>
      </c>
      <c r="AA941" t="s">
        <v>429</v>
      </c>
    </row>
    <row r="942" spans="1:27" x14ac:dyDescent="0.25">
      <c r="A942" s="12">
        <v>124</v>
      </c>
      <c r="B942">
        <v>33</v>
      </c>
      <c r="C942">
        <f t="shared" si="131"/>
        <v>12433</v>
      </c>
      <c r="D942" s="3" t="s">
        <v>86</v>
      </c>
      <c r="E942" s="11">
        <f t="shared" si="132"/>
        <v>60.390172222222219</v>
      </c>
      <c r="F942" s="11">
        <f t="shared" si="133"/>
        <v>2.796961111111111</v>
      </c>
      <c r="G942" s="12" t="s">
        <v>144</v>
      </c>
      <c r="H942" s="12" t="s">
        <v>47</v>
      </c>
      <c r="I942">
        <v>2005</v>
      </c>
      <c r="J942" s="12" t="s">
        <v>163</v>
      </c>
      <c r="K942" s="2">
        <v>0</v>
      </c>
      <c r="L942" s="2"/>
      <c r="M942" s="33">
        <v>7.4</v>
      </c>
      <c r="N942" s="33"/>
      <c r="O942" s="8"/>
      <c r="P942" s="1"/>
      <c r="Q942" s="1"/>
      <c r="R942" s="1"/>
      <c r="S942" s="3"/>
      <c r="T942" s="3"/>
      <c r="U942" s="3"/>
      <c r="V942" s="3"/>
      <c r="W942" s="3"/>
      <c r="X942" s="3"/>
      <c r="Y942" s="3"/>
      <c r="Z942" s="27" t="s">
        <v>247</v>
      </c>
      <c r="AA942" t="s">
        <v>429</v>
      </c>
    </row>
    <row r="943" spans="1:27" x14ac:dyDescent="0.25">
      <c r="A943" s="12">
        <v>124</v>
      </c>
      <c r="B943">
        <v>33</v>
      </c>
      <c r="C943">
        <f t="shared" si="131"/>
        <v>12433</v>
      </c>
      <c r="D943" s="3" t="s">
        <v>86</v>
      </c>
      <c r="E943" s="11">
        <f t="shared" si="132"/>
        <v>60.390172222222219</v>
      </c>
      <c r="F943" s="11">
        <f t="shared" si="133"/>
        <v>2.796961111111111</v>
      </c>
      <c r="G943" s="12" t="s">
        <v>144</v>
      </c>
      <c r="H943" s="12" t="s">
        <v>47</v>
      </c>
      <c r="I943">
        <v>2006</v>
      </c>
      <c r="J943" s="12" t="s">
        <v>163</v>
      </c>
      <c r="K943" s="2">
        <v>0</v>
      </c>
      <c r="L943" s="2"/>
      <c r="M943" s="33">
        <v>5.9</v>
      </c>
      <c r="N943" s="33">
        <v>5.4</v>
      </c>
      <c r="O943" s="8"/>
      <c r="P943" s="1"/>
      <c r="Q943" s="1"/>
      <c r="R943" s="1"/>
      <c r="S943" s="3"/>
      <c r="T943" s="3"/>
      <c r="U943" s="3"/>
      <c r="V943" s="3"/>
      <c r="W943" s="3"/>
      <c r="X943" s="3"/>
      <c r="Y943" s="3"/>
      <c r="Z943" s="27" t="s">
        <v>247</v>
      </c>
      <c r="AA943" t="s">
        <v>429</v>
      </c>
    </row>
    <row r="944" spans="1:27" x14ac:dyDescent="0.25">
      <c r="A944" s="12">
        <v>124</v>
      </c>
      <c r="B944">
        <v>33</v>
      </c>
      <c r="C944">
        <f t="shared" si="131"/>
        <v>12433</v>
      </c>
      <c r="D944" s="3" t="s">
        <v>86</v>
      </c>
      <c r="E944" s="11">
        <f t="shared" si="132"/>
        <v>60.390172222222219</v>
      </c>
      <c r="F944" s="11">
        <f t="shared" si="133"/>
        <v>2.796961111111111</v>
      </c>
      <c r="G944" s="12" t="s">
        <v>144</v>
      </c>
      <c r="H944" s="12" t="s">
        <v>47</v>
      </c>
      <c r="I944">
        <v>2007</v>
      </c>
      <c r="J944" s="12" t="s">
        <v>163</v>
      </c>
      <c r="K944" s="2">
        <v>0</v>
      </c>
      <c r="L944" s="2"/>
      <c r="M944" s="33">
        <v>5.4</v>
      </c>
      <c r="N944" s="33">
        <v>4.8</v>
      </c>
      <c r="O944" s="8"/>
      <c r="P944" s="1"/>
      <c r="Q944" s="1"/>
      <c r="R944" s="1"/>
      <c r="S944" s="3"/>
      <c r="T944" s="3"/>
      <c r="U944" s="3"/>
      <c r="V944" s="3"/>
      <c r="W944" s="3"/>
      <c r="X944" s="3"/>
      <c r="Y944" s="3"/>
      <c r="Z944" s="27" t="s">
        <v>247</v>
      </c>
      <c r="AA944" t="s">
        <v>429</v>
      </c>
    </row>
    <row r="945" spans="1:27" x14ac:dyDescent="0.25">
      <c r="A945" s="12">
        <v>124</v>
      </c>
      <c r="B945">
        <v>33</v>
      </c>
      <c r="C945">
        <f t="shared" si="131"/>
        <v>12433</v>
      </c>
      <c r="D945" s="3" t="s">
        <v>86</v>
      </c>
      <c r="E945" s="11">
        <f t="shared" si="132"/>
        <v>60.390172222222219</v>
      </c>
      <c r="F945" s="11">
        <f t="shared" si="133"/>
        <v>2.796961111111111</v>
      </c>
      <c r="G945" s="12" t="s">
        <v>144</v>
      </c>
      <c r="H945" s="12" t="s">
        <v>47</v>
      </c>
      <c r="I945">
        <v>2008</v>
      </c>
      <c r="J945" s="12" t="s">
        <v>163</v>
      </c>
      <c r="K945" s="2">
        <v>0</v>
      </c>
      <c r="L945" s="2"/>
      <c r="M945" s="33">
        <v>5.5</v>
      </c>
      <c r="N945" s="33">
        <v>5.0999999999999996</v>
      </c>
      <c r="O945" s="8"/>
      <c r="P945" s="1"/>
      <c r="Q945" s="1"/>
      <c r="R945" s="1"/>
      <c r="S945" s="3"/>
      <c r="T945" s="3"/>
      <c r="U945" s="3"/>
      <c r="V945" s="3"/>
      <c r="W945" s="3"/>
      <c r="X945" s="3"/>
      <c r="Y945" s="3"/>
      <c r="Z945" s="27" t="s">
        <v>247</v>
      </c>
      <c r="AA945" t="s">
        <v>429</v>
      </c>
    </row>
    <row r="946" spans="1:27" x14ac:dyDescent="0.25">
      <c r="A946" s="12">
        <v>124</v>
      </c>
      <c r="B946">
        <v>33</v>
      </c>
      <c r="C946">
        <f t="shared" si="131"/>
        <v>12433</v>
      </c>
      <c r="D946" s="3" t="s">
        <v>86</v>
      </c>
      <c r="E946" s="11">
        <f t="shared" si="132"/>
        <v>60.390172222222219</v>
      </c>
      <c r="F946" s="11">
        <f t="shared" si="133"/>
        <v>2.796961111111111</v>
      </c>
      <c r="G946" s="12" t="s">
        <v>144</v>
      </c>
      <c r="H946" s="12" t="s">
        <v>47</v>
      </c>
      <c r="I946">
        <v>2009</v>
      </c>
      <c r="J946" s="12" t="s">
        <v>163</v>
      </c>
      <c r="K946" s="2">
        <v>0</v>
      </c>
      <c r="L946" s="2"/>
      <c r="M946" s="33">
        <v>5.7461901720000004</v>
      </c>
      <c r="N946" s="33">
        <v>4.3367031559999996</v>
      </c>
      <c r="O946" s="8"/>
      <c r="P946" s="1"/>
      <c r="Q946" s="1"/>
      <c r="R946" s="1"/>
      <c r="S946" s="3"/>
      <c r="T946" s="3"/>
      <c r="U946" s="3"/>
      <c r="V946" s="3"/>
      <c r="W946" s="3"/>
      <c r="X946" s="3"/>
      <c r="Y946" s="3"/>
      <c r="Z946" s="27" t="s">
        <v>247</v>
      </c>
      <c r="AA946" t="s">
        <v>429</v>
      </c>
    </row>
    <row r="947" spans="1:27" x14ac:dyDescent="0.25">
      <c r="A947" s="12">
        <v>124</v>
      </c>
      <c r="B947">
        <v>33</v>
      </c>
      <c r="C947">
        <f t="shared" si="131"/>
        <v>12433</v>
      </c>
      <c r="D947" s="3" t="s">
        <v>86</v>
      </c>
      <c r="E947" s="11">
        <f t="shared" si="132"/>
        <v>60.390172222222219</v>
      </c>
      <c r="F947" s="11">
        <f t="shared" si="133"/>
        <v>2.796961111111111</v>
      </c>
      <c r="G947" s="12" t="s">
        <v>144</v>
      </c>
      <c r="H947" s="12" t="s">
        <v>47</v>
      </c>
      <c r="I947">
        <v>2010</v>
      </c>
      <c r="J947" s="12" t="s">
        <v>163</v>
      </c>
      <c r="K947" s="2">
        <v>0</v>
      </c>
      <c r="L947" s="2"/>
      <c r="M947" s="33">
        <v>5.6142781790000003</v>
      </c>
      <c r="N947" s="33">
        <v>5.1797263210000004</v>
      </c>
      <c r="O947" s="8"/>
      <c r="P947" s="1"/>
      <c r="Q947" s="1"/>
      <c r="R947" s="1"/>
      <c r="S947" s="3"/>
      <c r="T947" s="3"/>
      <c r="U947" s="3"/>
      <c r="V947" s="3"/>
      <c r="W947" s="3"/>
      <c r="X947" s="3"/>
      <c r="Y947" s="3"/>
      <c r="Z947" s="27" t="s">
        <v>247</v>
      </c>
      <c r="AA947" t="s">
        <v>429</v>
      </c>
    </row>
    <row r="948" spans="1:27" x14ac:dyDescent="0.25">
      <c r="A948" s="12">
        <v>124</v>
      </c>
      <c r="B948">
        <v>33</v>
      </c>
      <c r="C948">
        <f t="shared" si="131"/>
        <v>12433</v>
      </c>
      <c r="D948" s="3" t="s">
        <v>86</v>
      </c>
      <c r="E948" s="11">
        <f t="shared" si="132"/>
        <v>60.390172222222219</v>
      </c>
      <c r="F948" s="11">
        <f t="shared" si="133"/>
        <v>2.796961111111111</v>
      </c>
      <c r="G948" s="12" t="s">
        <v>144</v>
      </c>
      <c r="H948" s="12" t="s">
        <v>47</v>
      </c>
      <c r="I948">
        <v>2011</v>
      </c>
      <c r="J948" s="12" t="s">
        <v>163</v>
      </c>
      <c r="K948" s="2">
        <v>0</v>
      </c>
      <c r="L948" s="2"/>
      <c r="M948" s="33">
        <v>4.7978160059999997</v>
      </c>
      <c r="N948" s="33">
        <v>4.2440667489999999</v>
      </c>
      <c r="O948" s="8"/>
      <c r="P948" s="1"/>
      <c r="Q948" s="1"/>
      <c r="R948" s="1"/>
      <c r="S948" s="3"/>
      <c r="T948" s="3"/>
      <c r="U948" s="3"/>
      <c r="V948" s="3"/>
      <c r="W948" s="3"/>
      <c r="X948" s="3"/>
      <c r="Y948" s="3"/>
      <c r="Z948" s="27" t="s">
        <v>247</v>
      </c>
      <c r="AA948" t="s">
        <v>429</v>
      </c>
    </row>
    <row r="949" spans="1:27" x14ac:dyDescent="0.25">
      <c r="A949" s="12">
        <v>124</v>
      </c>
      <c r="B949">
        <v>33</v>
      </c>
      <c r="C949">
        <f t="shared" si="131"/>
        <v>12433</v>
      </c>
      <c r="D949" s="3" t="s">
        <v>86</v>
      </c>
      <c r="E949" s="11">
        <f t="shared" si="132"/>
        <v>60.390172222222219</v>
      </c>
      <c r="F949" s="11">
        <f t="shared" si="133"/>
        <v>2.796961111111111</v>
      </c>
      <c r="G949" s="12" t="s">
        <v>144</v>
      </c>
      <c r="H949" s="12" t="s">
        <v>47</v>
      </c>
      <c r="I949">
        <v>2012</v>
      </c>
      <c r="J949" s="12" t="s">
        <v>163</v>
      </c>
      <c r="K949" s="2">
        <v>0</v>
      </c>
      <c r="L949" s="2"/>
      <c r="M949" s="33">
        <v>9.3254474999999992</v>
      </c>
      <c r="N949" s="33">
        <v>7.1</v>
      </c>
      <c r="O949" s="8"/>
      <c r="P949" s="1"/>
      <c r="Q949" s="1"/>
      <c r="R949" s="1"/>
      <c r="S949" s="3"/>
      <c r="T949" s="3"/>
      <c r="U949" s="3"/>
      <c r="V949" s="3"/>
      <c r="W949" s="3"/>
      <c r="X949" s="3"/>
      <c r="Y949" s="3"/>
      <c r="Z949" s="27" t="s">
        <v>247</v>
      </c>
      <c r="AA949" t="s">
        <v>429</v>
      </c>
    </row>
    <row r="950" spans="1:27" x14ac:dyDescent="0.25">
      <c r="A950" s="12">
        <v>124</v>
      </c>
      <c r="B950">
        <v>33</v>
      </c>
      <c r="C950">
        <f t="shared" si="131"/>
        <v>12433</v>
      </c>
      <c r="D950" s="3" t="s">
        <v>86</v>
      </c>
      <c r="E950" s="11">
        <f t="shared" si="132"/>
        <v>60.390172222222219</v>
      </c>
      <c r="F950" s="11">
        <f t="shared" si="133"/>
        <v>2.796961111111111</v>
      </c>
      <c r="G950" s="12" t="s">
        <v>144</v>
      </c>
      <c r="H950" s="12" t="s">
        <v>47</v>
      </c>
      <c r="I950">
        <v>2013</v>
      </c>
      <c r="J950" s="12" t="s">
        <v>163</v>
      </c>
      <c r="K950" s="2">
        <v>0</v>
      </c>
      <c r="L950" s="2"/>
      <c r="M950" s="33">
        <v>7.6719328227224999</v>
      </c>
      <c r="N950" s="33">
        <v>6.4</v>
      </c>
      <c r="O950" s="8"/>
      <c r="P950" s="1"/>
      <c r="Q950" s="1"/>
      <c r="R950" s="1"/>
      <c r="S950" s="3"/>
      <c r="T950" s="3"/>
      <c r="U950" s="3"/>
      <c r="V950" s="3"/>
      <c r="W950" s="3"/>
      <c r="X950" s="3"/>
      <c r="Y950" s="3"/>
      <c r="Z950" s="27" t="s">
        <v>247</v>
      </c>
      <c r="AA950" t="s">
        <v>429</v>
      </c>
    </row>
    <row r="951" spans="1:27" x14ac:dyDescent="0.25">
      <c r="A951" s="12">
        <v>124</v>
      </c>
      <c r="B951">
        <v>33</v>
      </c>
      <c r="C951">
        <f t="shared" si="131"/>
        <v>12433</v>
      </c>
      <c r="D951" s="3" t="s">
        <v>86</v>
      </c>
      <c r="E951" s="11">
        <f t="shared" si="132"/>
        <v>60.390172222222219</v>
      </c>
      <c r="F951" s="11">
        <f t="shared" si="133"/>
        <v>2.796961111111111</v>
      </c>
      <c r="G951" s="12" t="s">
        <v>144</v>
      </c>
      <c r="H951" s="12" t="s">
        <v>47</v>
      </c>
      <c r="I951">
        <v>2014</v>
      </c>
      <c r="J951" s="12" t="s">
        <v>163</v>
      </c>
      <c r="K951" s="2">
        <v>0</v>
      </c>
      <c r="L951" s="2"/>
      <c r="M951" s="33">
        <v>6.05</v>
      </c>
      <c r="N951" s="33">
        <v>5.3075000000000001</v>
      </c>
      <c r="O951" s="8"/>
      <c r="P951" s="1"/>
      <c r="Q951" s="1"/>
      <c r="R951" s="1"/>
      <c r="S951" s="3"/>
      <c r="T951" s="3"/>
      <c r="U951" s="3"/>
      <c r="V951" s="3"/>
      <c r="W951" s="3"/>
      <c r="X951" s="3"/>
      <c r="Y951" s="3"/>
      <c r="Z951" s="27" t="s">
        <v>247</v>
      </c>
      <c r="AA951" t="s">
        <v>429</v>
      </c>
    </row>
    <row r="952" spans="1:27" x14ac:dyDescent="0.25">
      <c r="A952" s="12">
        <v>124</v>
      </c>
      <c r="B952">
        <v>33</v>
      </c>
      <c r="C952">
        <f t="shared" si="131"/>
        <v>12433</v>
      </c>
      <c r="D952" s="3" t="s">
        <v>86</v>
      </c>
      <c r="E952" s="11">
        <f t="shared" si="132"/>
        <v>60.390172222222219</v>
      </c>
      <c r="F952" s="11">
        <f t="shared" si="133"/>
        <v>2.796961111111111</v>
      </c>
      <c r="G952" s="12" t="s">
        <v>144</v>
      </c>
      <c r="H952" s="12" t="s">
        <v>47</v>
      </c>
      <c r="I952">
        <v>2015</v>
      </c>
      <c r="J952" s="12" t="s">
        <v>163</v>
      </c>
      <c r="K952" s="2">
        <v>0</v>
      </c>
      <c r="L952" s="2"/>
      <c r="M952" s="33">
        <v>4.7266666666666701</v>
      </c>
      <c r="N952" s="33">
        <v>3.88</v>
      </c>
      <c r="O952" s="8"/>
      <c r="P952" s="1"/>
      <c r="Q952" s="1"/>
      <c r="R952" s="1"/>
      <c r="S952" s="3"/>
      <c r="T952" s="3"/>
      <c r="U952" s="3"/>
      <c r="V952" s="3"/>
      <c r="W952" s="3"/>
      <c r="X952" s="3"/>
      <c r="Y952" s="3"/>
      <c r="Z952" s="27" t="s">
        <v>247</v>
      </c>
      <c r="AA952" t="s">
        <v>429</v>
      </c>
    </row>
    <row r="953" spans="1:27" x14ac:dyDescent="0.25">
      <c r="A953" s="12">
        <v>124</v>
      </c>
      <c r="B953">
        <v>33</v>
      </c>
      <c r="C953">
        <f t="shared" si="131"/>
        <v>12433</v>
      </c>
      <c r="D953" s="3" t="s">
        <v>86</v>
      </c>
      <c r="E953" s="11">
        <f t="shared" si="132"/>
        <v>60.390172222222219</v>
      </c>
      <c r="F953" s="11">
        <f t="shared" si="133"/>
        <v>2.796961111111111</v>
      </c>
      <c r="G953" s="12" t="s">
        <v>144</v>
      </c>
      <c r="H953" s="12" t="s">
        <v>47</v>
      </c>
      <c r="I953">
        <v>2016</v>
      </c>
      <c r="J953" s="12" t="s">
        <v>163</v>
      </c>
      <c r="K953" s="2">
        <v>0</v>
      </c>
      <c r="L953" s="2"/>
      <c r="M953" s="33">
        <v>5.0449999999999999</v>
      </c>
      <c r="N953" s="33">
        <v>5.0175000000000001</v>
      </c>
      <c r="O953" s="8"/>
      <c r="P953" s="1"/>
      <c r="Q953" s="1"/>
      <c r="R953" s="1"/>
      <c r="S953" s="3"/>
      <c r="T953" s="3"/>
      <c r="U953" s="3"/>
      <c r="V953" s="3"/>
      <c r="W953" s="3"/>
      <c r="X953" s="3"/>
      <c r="Y953" s="3"/>
      <c r="Z953" s="27" t="s">
        <v>247</v>
      </c>
      <c r="AA953" t="s">
        <v>429</v>
      </c>
    </row>
    <row r="954" spans="1:27" x14ac:dyDescent="0.25">
      <c r="A954" s="12">
        <v>124</v>
      </c>
      <c r="B954">
        <v>33</v>
      </c>
      <c r="C954">
        <f t="shared" si="131"/>
        <v>12433</v>
      </c>
      <c r="D954" s="3" t="s">
        <v>86</v>
      </c>
      <c r="E954" s="11">
        <f t="shared" si="132"/>
        <v>60.390172222222219</v>
      </c>
      <c r="F954" s="11">
        <f t="shared" si="133"/>
        <v>2.796961111111111</v>
      </c>
      <c r="G954" s="12" t="s">
        <v>144</v>
      </c>
      <c r="H954" s="12" t="s">
        <v>47</v>
      </c>
      <c r="I954">
        <v>2017</v>
      </c>
      <c r="J954" s="12" t="s">
        <v>163</v>
      </c>
      <c r="K954" s="2">
        <v>0</v>
      </c>
      <c r="L954" s="2"/>
      <c r="M954" s="33">
        <v>5.1133333333333297</v>
      </c>
      <c r="N954" s="33">
        <v>5.0875000000000004</v>
      </c>
      <c r="O954" s="8"/>
      <c r="P954" s="1"/>
      <c r="Q954" s="1"/>
      <c r="R954" s="1"/>
      <c r="S954" s="3"/>
      <c r="T954" s="3"/>
      <c r="U954" s="3"/>
      <c r="V954" s="3"/>
      <c r="W954" s="3"/>
      <c r="X954" s="3"/>
      <c r="Y954" s="3"/>
      <c r="Z954" s="27" t="s">
        <v>247</v>
      </c>
      <c r="AA954" t="s">
        <v>429</v>
      </c>
    </row>
    <row r="955" spans="1:27" x14ac:dyDescent="0.25">
      <c r="A955" s="12">
        <v>124</v>
      </c>
      <c r="B955">
        <v>33</v>
      </c>
      <c r="C955">
        <f t="shared" si="131"/>
        <v>12433</v>
      </c>
      <c r="D955" s="3" t="s">
        <v>86</v>
      </c>
      <c r="E955" s="11">
        <f t="shared" si="132"/>
        <v>60.390172222222219</v>
      </c>
      <c r="F955" s="11">
        <f t="shared" si="133"/>
        <v>2.796961111111111</v>
      </c>
      <c r="G955" s="12" t="s">
        <v>144</v>
      </c>
      <c r="H955" s="12" t="s">
        <v>47</v>
      </c>
      <c r="I955">
        <v>2018</v>
      </c>
      <c r="J955" s="12" t="s">
        <v>163</v>
      </c>
      <c r="K955" s="2">
        <v>0</v>
      </c>
      <c r="L955" s="2"/>
      <c r="M955" s="33">
        <v>4.2489999999999997</v>
      </c>
      <c r="N955" s="33">
        <v>4.7850000000000001</v>
      </c>
      <c r="O955" s="8"/>
      <c r="P955" s="1"/>
      <c r="Q955" s="1"/>
      <c r="R955" s="1"/>
      <c r="S955" s="3"/>
      <c r="T955" s="3"/>
      <c r="U955" s="3"/>
      <c r="V955" s="3"/>
      <c r="W955" s="3"/>
      <c r="X955" s="3"/>
      <c r="Y955" s="3"/>
      <c r="Z955" s="27" t="s">
        <v>247</v>
      </c>
      <c r="AA955" t="s">
        <v>429</v>
      </c>
    </row>
    <row r="956" spans="1:27" x14ac:dyDescent="0.25">
      <c r="A956" s="12">
        <v>124</v>
      </c>
      <c r="B956">
        <v>33</v>
      </c>
      <c r="C956">
        <f t="shared" si="131"/>
        <v>12433</v>
      </c>
      <c r="D956" s="3" t="s">
        <v>86</v>
      </c>
      <c r="E956" s="11">
        <f t="shared" si="132"/>
        <v>60.390172222222219</v>
      </c>
      <c r="F956" s="11">
        <f t="shared" si="133"/>
        <v>2.796961111111111</v>
      </c>
      <c r="G956" s="12" t="s">
        <v>144</v>
      </c>
      <c r="H956" s="12" t="s">
        <v>47</v>
      </c>
      <c r="I956">
        <v>2019</v>
      </c>
      <c r="J956" s="12" t="s">
        <v>163</v>
      </c>
      <c r="K956" s="2">
        <v>0</v>
      </c>
      <c r="L956" s="2"/>
      <c r="M956" s="33">
        <v>3.82</v>
      </c>
      <c r="N956" s="33">
        <v>3.9075000000000002</v>
      </c>
      <c r="O956" s="8"/>
      <c r="P956" s="1"/>
      <c r="Q956" s="1"/>
      <c r="R956" s="1"/>
      <c r="S956" s="3"/>
      <c r="T956" s="3"/>
      <c r="U956" s="3"/>
      <c r="V956" s="3"/>
      <c r="W956" s="3"/>
      <c r="X956" s="3"/>
      <c r="Y956" s="3"/>
      <c r="Z956" s="27" t="s">
        <v>247</v>
      </c>
      <c r="AA956" t="s">
        <v>429</v>
      </c>
    </row>
    <row r="957" spans="1:27" x14ac:dyDescent="0.25">
      <c r="A957" s="12">
        <v>124</v>
      </c>
      <c r="B957">
        <v>33</v>
      </c>
      <c r="C957">
        <f t="shared" si="131"/>
        <v>12433</v>
      </c>
      <c r="D957" s="3" t="s">
        <v>86</v>
      </c>
      <c r="E957" s="11">
        <f t="shared" si="132"/>
        <v>60.390172222222219</v>
      </c>
      <c r="F957" s="11">
        <f t="shared" si="133"/>
        <v>2.796961111111111</v>
      </c>
      <c r="G957" s="12" t="s">
        <v>144</v>
      </c>
      <c r="H957" s="12" t="s">
        <v>47</v>
      </c>
      <c r="I957">
        <v>2020</v>
      </c>
      <c r="J957" s="12" t="s">
        <v>163</v>
      </c>
      <c r="K957" s="2">
        <v>0</v>
      </c>
      <c r="L957" s="2"/>
      <c r="M957" s="33">
        <v>4.2767499999999998</v>
      </c>
      <c r="N957" s="33">
        <v>4.4106666666666703</v>
      </c>
      <c r="O957" s="8"/>
      <c r="P957" s="1"/>
      <c r="Q957" s="1"/>
      <c r="R957" s="1"/>
      <c r="S957" s="3"/>
      <c r="T957" s="3"/>
      <c r="U957" s="3"/>
      <c r="V957" s="3"/>
      <c r="W957" s="3"/>
      <c r="X957" s="3"/>
      <c r="Y957" s="3"/>
      <c r="Z957" s="27" t="s">
        <v>247</v>
      </c>
      <c r="AA957" t="s">
        <v>429</v>
      </c>
    </row>
    <row r="958" spans="1:27" x14ac:dyDescent="0.25">
      <c r="A958" s="12">
        <v>124</v>
      </c>
      <c r="B958">
        <v>33</v>
      </c>
      <c r="C958">
        <f t="shared" si="131"/>
        <v>12433</v>
      </c>
      <c r="D958" s="3" t="s">
        <v>86</v>
      </c>
      <c r="E958" s="11">
        <f t="shared" si="132"/>
        <v>60.390172222222219</v>
      </c>
      <c r="F958" s="11">
        <f t="shared" si="133"/>
        <v>2.796961111111111</v>
      </c>
      <c r="G958" s="12" t="s">
        <v>144</v>
      </c>
      <c r="H958" s="12" t="s">
        <v>47</v>
      </c>
      <c r="I958">
        <v>2021</v>
      </c>
      <c r="J958" s="12" t="s">
        <v>163</v>
      </c>
      <c r="K958" s="2">
        <v>0</v>
      </c>
      <c r="L958" s="2"/>
      <c r="M958" s="33">
        <v>4.6654999999999998</v>
      </c>
      <c r="N958" s="33">
        <v>5.2309999999999999</v>
      </c>
      <c r="O958" s="8"/>
      <c r="P958" s="1"/>
      <c r="Q958" s="1"/>
      <c r="R958" s="1"/>
      <c r="S958" s="3"/>
      <c r="T958" s="3"/>
      <c r="U958" s="3"/>
      <c r="V958" s="3"/>
      <c r="W958" s="3"/>
      <c r="X958" s="3"/>
      <c r="Y958" s="3"/>
      <c r="Z958" s="27" t="s">
        <v>247</v>
      </c>
      <c r="AA958" t="s">
        <v>429</v>
      </c>
    </row>
    <row r="959" spans="1:27" x14ac:dyDescent="0.25">
      <c r="A959" s="12">
        <v>124</v>
      </c>
      <c r="B959">
        <v>34</v>
      </c>
      <c r="C959">
        <f t="shared" si="131"/>
        <v>12434</v>
      </c>
      <c r="D959" s="3" t="s">
        <v>87</v>
      </c>
      <c r="E959" s="11">
        <f>AVERAGE(E939,E938,E919)</f>
        <v>60.527511111111117</v>
      </c>
      <c r="F959" s="11">
        <f>AVERAGE(F939,F938,F919)</f>
        <v>2.8531648148148148</v>
      </c>
      <c r="G959" s="12" t="s">
        <v>144</v>
      </c>
      <c r="H959" s="12" t="s">
        <v>47</v>
      </c>
      <c r="I959">
        <v>2006</v>
      </c>
      <c r="J959" s="12" t="s">
        <v>163</v>
      </c>
      <c r="K959" s="2">
        <v>0</v>
      </c>
      <c r="L959" s="2"/>
      <c r="M959" s="33">
        <v>0</v>
      </c>
      <c r="N959" s="33"/>
      <c r="O959" s="8"/>
      <c r="P959" s="1"/>
      <c r="Q959" s="1"/>
      <c r="R959" s="1"/>
      <c r="S959" s="3"/>
      <c r="T959" s="3"/>
      <c r="U959" s="3"/>
      <c r="V959" s="3"/>
      <c r="W959" s="3"/>
      <c r="X959" s="3"/>
      <c r="Y959" s="3"/>
      <c r="Z959" s="27" t="s">
        <v>247</v>
      </c>
      <c r="AA959" t="s">
        <v>430</v>
      </c>
    </row>
    <row r="960" spans="1:27" x14ac:dyDescent="0.25">
      <c r="A960" s="12">
        <v>124</v>
      </c>
      <c r="B960">
        <v>34</v>
      </c>
      <c r="C960">
        <f t="shared" si="131"/>
        <v>12434</v>
      </c>
      <c r="D960" s="3" t="s">
        <v>87</v>
      </c>
      <c r="E960" s="11">
        <f t="shared" ref="E960:F961" si="134">AVERAGE(E940,E939,E920)</f>
        <v>60.493613888888888</v>
      </c>
      <c r="F960" s="11">
        <f t="shared" si="134"/>
        <v>2.8430472222222227</v>
      </c>
      <c r="G960" s="12" t="s">
        <v>144</v>
      </c>
      <c r="H960" s="12" t="s">
        <v>47</v>
      </c>
      <c r="I960">
        <v>2020</v>
      </c>
      <c r="J960" s="12" t="s">
        <v>163</v>
      </c>
      <c r="K960" s="2">
        <v>0</v>
      </c>
      <c r="L960" s="2"/>
      <c r="M960" s="33">
        <v>1.45</v>
      </c>
      <c r="N960" s="33">
        <v>1.08666666666667</v>
      </c>
      <c r="O960" s="8"/>
      <c r="P960" s="1"/>
      <c r="Q960" s="1"/>
      <c r="R960" s="1"/>
      <c r="S960" s="3"/>
      <c r="T960" s="3"/>
      <c r="U960" s="3"/>
      <c r="V960" s="3"/>
      <c r="W960" s="3"/>
      <c r="X960" s="3"/>
      <c r="Y960" s="3"/>
      <c r="Z960" s="27" t="s">
        <v>247</v>
      </c>
      <c r="AA960" t="s">
        <v>430</v>
      </c>
    </row>
    <row r="961" spans="1:27" x14ac:dyDescent="0.25">
      <c r="A961" s="12">
        <v>124</v>
      </c>
      <c r="B961">
        <v>34</v>
      </c>
      <c r="C961">
        <f t="shared" si="131"/>
        <v>12434</v>
      </c>
      <c r="D961" s="3" t="s">
        <v>87</v>
      </c>
      <c r="E961" s="11">
        <f t="shared" si="134"/>
        <v>60.493613888888888</v>
      </c>
      <c r="F961" s="11">
        <f t="shared" si="134"/>
        <v>2.8430472222222227</v>
      </c>
      <c r="G961" s="12" t="s">
        <v>144</v>
      </c>
      <c r="H961" s="12" t="s">
        <v>47</v>
      </c>
      <c r="I961">
        <v>2021</v>
      </c>
      <c r="J961" s="12" t="s">
        <v>163</v>
      </c>
      <c r="K961" s="2">
        <v>0</v>
      </c>
      <c r="L961" s="2"/>
      <c r="M961" s="33">
        <v>1.81666666666667</v>
      </c>
      <c r="N961" s="33">
        <v>2.8466666666666698</v>
      </c>
      <c r="O961" s="8"/>
      <c r="P961" s="1"/>
      <c r="Q961" s="1"/>
      <c r="R961" s="1"/>
      <c r="S961" s="3"/>
      <c r="T961" s="3"/>
      <c r="U961" s="3"/>
      <c r="V961" s="3"/>
      <c r="W961" s="3"/>
      <c r="X961" s="3"/>
      <c r="Y961" s="3"/>
      <c r="Z961" s="27" t="s">
        <v>247</v>
      </c>
      <c r="AA961" t="s">
        <v>430</v>
      </c>
    </row>
    <row r="962" spans="1:27" x14ac:dyDescent="0.25">
      <c r="A962" s="12">
        <v>124</v>
      </c>
      <c r="B962">
        <v>35</v>
      </c>
      <c r="C962">
        <f t="shared" si="131"/>
        <v>12435</v>
      </c>
      <c r="D962" s="3" t="s">
        <v>86</v>
      </c>
      <c r="E962" s="11">
        <f>65+44/60+19.23/3600</f>
        <v>65.738675000000001</v>
      </c>
      <c r="F962" s="11">
        <f>7+39/60+21.17/3600</f>
        <v>7.655880555555556</v>
      </c>
      <c r="G962" s="12" t="s">
        <v>144</v>
      </c>
      <c r="H962" s="12" t="s">
        <v>47</v>
      </c>
      <c r="I962">
        <v>2013</v>
      </c>
      <c r="J962" s="12" t="s">
        <v>163</v>
      </c>
      <c r="K962" s="2">
        <v>0</v>
      </c>
      <c r="L962" s="2"/>
      <c r="M962" s="33">
        <v>0.69410680582499995</v>
      </c>
      <c r="N962" s="33">
        <v>0.61713645809999995</v>
      </c>
      <c r="O962" s="8"/>
      <c r="P962" s="1"/>
      <c r="Q962" s="1"/>
      <c r="R962" s="1"/>
      <c r="S962" s="3"/>
      <c r="T962" s="3"/>
      <c r="U962" s="3"/>
      <c r="V962" s="3"/>
      <c r="W962" s="3"/>
      <c r="X962" s="3"/>
      <c r="Y962" s="3"/>
      <c r="Z962" s="27" t="s">
        <v>247</v>
      </c>
      <c r="AA962" t="s">
        <v>237</v>
      </c>
    </row>
    <row r="963" spans="1:27" x14ac:dyDescent="0.25">
      <c r="A963" s="12">
        <v>124</v>
      </c>
      <c r="B963">
        <v>35</v>
      </c>
      <c r="C963">
        <f t="shared" si="131"/>
        <v>12435</v>
      </c>
      <c r="D963" s="3" t="s">
        <v>86</v>
      </c>
      <c r="E963" s="11">
        <f t="shared" ref="E963:E970" si="135">65+44/60+19.23/3600</f>
        <v>65.738675000000001</v>
      </c>
      <c r="F963" s="11">
        <f t="shared" ref="F963:F970" si="136">7+39/60+21.17/3600</f>
        <v>7.655880555555556</v>
      </c>
      <c r="G963" s="12" t="s">
        <v>144</v>
      </c>
      <c r="H963" s="12" t="s">
        <v>47</v>
      </c>
      <c r="I963">
        <v>2014</v>
      </c>
      <c r="J963" s="12" t="s">
        <v>163</v>
      </c>
      <c r="K963" s="2">
        <v>0</v>
      </c>
      <c r="L963" s="2"/>
      <c r="M963" s="33">
        <v>1.6097357009714299</v>
      </c>
      <c r="N963" s="33">
        <v>0.72596061445714299</v>
      </c>
      <c r="O963" s="8"/>
      <c r="P963" s="1"/>
      <c r="Q963" s="1"/>
      <c r="R963" s="1"/>
      <c r="S963" s="3"/>
      <c r="T963" s="3"/>
      <c r="U963" s="3"/>
      <c r="V963" s="3"/>
      <c r="W963" s="3"/>
      <c r="X963" s="3"/>
      <c r="Y963" s="3"/>
      <c r="Z963" s="27" t="s">
        <v>247</v>
      </c>
      <c r="AA963" t="s">
        <v>237</v>
      </c>
    </row>
    <row r="964" spans="1:27" x14ac:dyDescent="0.25">
      <c r="A964" s="12">
        <v>124</v>
      </c>
      <c r="B964">
        <v>35</v>
      </c>
      <c r="C964">
        <f t="shared" si="131"/>
        <v>12435</v>
      </c>
      <c r="D964" s="3" t="s">
        <v>86</v>
      </c>
      <c r="E964" s="11">
        <f t="shared" si="135"/>
        <v>65.738675000000001</v>
      </c>
      <c r="F964" s="11">
        <f t="shared" si="136"/>
        <v>7.655880555555556</v>
      </c>
      <c r="G964" s="12" t="s">
        <v>144</v>
      </c>
      <c r="H964" s="12" t="s">
        <v>47</v>
      </c>
      <c r="I964">
        <v>2015</v>
      </c>
      <c r="J964" s="12" t="s">
        <v>163</v>
      </c>
      <c r="K964" s="2">
        <v>0</v>
      </c>
      <c r="L964" s="2"/>
      <c r="M964" s="33">
        <v>3.09875099004286</v>
      </c>
      <c r="N964" s="33">
        <v>0.96844540391428602</v>
      </c>
      <c r="O964" s="8"/>
      <c r="P964" s="1"/>
      <c r="Q964" s="1"/>
      <c r="R964" s="1"/>
      <c r="S964" s="3"/>
      <c r="T964" s="3"/>
      <c r="U964" s="3"/>
      <c r="V964" s="3"/>
      <c r="W964" s="3"/>
      <c r="X964" s="3"/>
      <c r="Y964" s="3"/>
      <c r="Z964" s="27" t="s">
        <v>247</v>
      </c>
      <c r="AA964" t="s">
        <v>237</v>
      </c>
    </row>
    <row r="965" spans="1:27" x14ac:dyDescent="0.25">
      <c r="A965" s="12">
        <v>124</v>
      </c>
      <c r="B965">
        <v>35</v>
      </c>
      <c r="C965">
        <f t="shared" si="131"/>
        <v>12435</v>
      </c>
      <c r="D965" s="3" t="s">
        <v>86</v>
      </c>
      <c r="E965" s="11">
        <f t="shared" si="135"/>
        <v>65.738675000000001</v>
      </c>
      <c r="F965" s="11">
        <f t="shared" si="136"/>
        <v>7.655880555555556</v>
      </c>
      <c r="G965" s="12" t="s">
        <v>144</v>
      </c>
      <c r="H965" s="12" t="s">
        <v>47</v>
      </c>
      <c r="I965">
        <v>2016</v>
      </c>
      <c r="J965" s="12" t="s">
        <v>163</v>
      </c>
      <c r="K965" s="2">
        <v>0</v>
      </c>
      <c r="L965" s="2"/>
      <c r="M965" s="33">
        <v>3.8285783318142901</v>
      </c>
      <c r="N965" s="33">
        <v>2.3988925722428598</v>
      </c>
      <c r="O965" s="8"/>
      <c r="P965" s="1"/>
      <c r="Q965" s="1"/>
      <c r="R965" s="1"/>
      <c r="S965" s="3"/>
      <c r="T965" s="3"/>
      <c r="U965" s="3"/>
      <c r="V965" s="3"/>
      <c r="W965" s="3"/>
      <c r="X965" s="3"/>
      <c r="Y965" s="3"/>
      <c r="Z965" s="27" t="s">
        <v>247</v>
      </c>
      <c r="AA965" t="s">
        <v>237</v>
      </c>
    </row>
    <row r="966" spans="1:27" x14ac:dyDescent="0.25">
      <c r="A966" s="12">
        <v>124</v>
      </c>
      <c r="B966">
        <v>35</v>
      </c>
      <c r="C966">
        <f t="shared" si="131"/>
        <v>12435</v>
      </c>
      <c r="D966" s="3" t="s">
        <v>86</v>
      </c>
      <c r="E966" s="11">
        <f t="shared" si="135"/>
        <v>65.738675000000001</v>
      </c>
      <c r="F966" s="11">
        <f t="shared" si="136"/>
        <v>7.655880555555556</v>
      </c>
      <c r="G966" s="12" t="s">
        <v>144</v>
      </c>
      <c r="H966" s="12" t="s">
        <v>47</v>
      </c>
      <c r="I966">
        <v>2017</v>
      </c>
      <c r="J966" s="12" t="s">
        <v>163</v>
      </c>
      <c r="K966" s="2">
        <v>0</v>
      </c>
      <c r="L966" s="2"/>
      <c r="M966" s="33">
        <v>3.1400054773799999</v>
      </c>
      <c r="N966" s="33">
        <v>2.1466660983833301</v>
      </c>
      <c r="O966" s="8"/>
      <c r="P966" s="1"/>
      <c r="Q966" s="1"/>
      <c r="R966" s="1"/>
      <c r="S966" s="3"/>
      <c r="T966" s="3"/>
      <c r="U966" s="3"/>
      <c r="V966" s="3"/>
      <c r="W966" s="3"/>
      <c r="X966" s="3"/>
      <c r="Y966" s="3"/>
      <c r="Z966" s="27" t="s">
        <v>247</v>
      </c>
      <c r="AA966" t="s">
        <v>237</v>
      </c>
    </row>
    <row r="967" spans="1:27" x14ac:dyDescent="0.25">
      <c r="A967" s="12">
        <v>124</v>
      </c>
      <c r="B967">
        <v>35</v>
      </c>
      <c r="C967">
        <f t="shared" si="131"/>
        <v>12435</v>
      </c>
      <c r="D967" s="3" t="s">
        <v>86</v>
      </c>
      <c r="E967" s="11">
        <f t="shared" si="135"/>
        <v>65.738675000000001</v>
      </c>
      <c r="F967" s="11">
        <f t="shared" si="136"/>
        <v>7.655880555555556</v>
      </c>
      <c r="G967" s="12" t="s">
        <v>144</v>
      </c>
      <c r="H967" s="12" t="s">
        <v>47</v>
      </c>
      <c r="I967">
        <v>2018</v>
      </c>
      <c r="J967" s="12" t="s">
        <v>163</v>
      </c>
      <c r="K967" s="2">
        <v>0</v>
      </c>
      <c r="L967" s="2"/>
      <c r="M967" s="33">
        <v>4.0408372576833296</v>
      </c>
      <c r="N967" s="33">
        <v>2.9265257281500001</v>
      </c>
      <c r="O967" s="8"/>
      <c r="P967" s="1"/>
      <c r="Q967" s="1"/>
      <c r="R967" s="1"/>
      <c r="S967" s="3"/>
      <c r="T967" s="3"/>
      <c r="U967" s="3"/>
      <c r="V967" s="3"/>
      <c r="W967" s="3"/>
      <c r="X967" s="3"/>
      <c r="Y967" s="3"/>
      <c r="Z967" s="27" t="s">
        <v>247</v>
      </c>
      <c r="AA967" t="s">
        <v>237</v>
      </c>
    </row>
    <row r="968" spans="1:27" x14ac:dyDescent="0.25">
      <c r="A968" s="12">
        <v>124</v>
      </c>
      <c r="B968">
        <v>35</v>
      </c>
      <c r="C968">
        <f t="shared" si="131"/>
        <v>12435</v>
      </c>
      <c r="D968" s="3" t="s">
        <v>86</v>
      </c>
      <c r="E968" s="11">
        <f t="shared" si="135"/>
        <v>65.738675000000001</v>
      </c>
      <c r="F968" s="11">
        <f t="shared" si="136"/>
        <v>7.655880555555556</v>
      </c>
      <c r="G968" s="12" t="s">
        <v>144</v>
      </c>
      <c r="H968" s="12" t="s">
        <v>47</v>
      </c>
      <c r="I968">
        <v>2019</v>
      </c>
      <c r="J968" s="12" t="s">
        <v>163</v>
      </c>
      <c r="K968" s="2">
        <v>0</v>
      </c>
      <c r="L968" s="2"/>
      <c r="M968" s="33">
        <v>4.460329781525</v>
      </c>
      <c r="N968" s="33">
        <v>3.5457145297000001</v>
      </c>
      <c r="O968" s="8"/>
      <c r="P968" s="1"/>
      <c r="Q968" s="1"/>
      <c r="R968" s="1"/>
      <c r="S968" s="3"/>
      <c r="T968" s="3"/>
      <c r="U968" s="3"/>
      <c r="V968" s="3"/>
      <c r="W968" s="3"/>
      <c r="X968" s="3"/>
      <c r="Y968" s="3"/>
      <c r="Z968" s="27" t="s">
        <v>247</v>
      </c>
      <c r="AA968" t="s">
        <v>237</v>
      </c>
    </row>
    <row r="969" spans="1:27" x14ac:dyDescent="0.25">
      <c r="A969" s="12">
        <v>124</v>
      </c>
      <c r="B969">
        <v>35</v>
      </c>
      <c r="C969">
        <f t="shared" si="131"/>
        <v>12435</v>
      </c>
      <c r="D969" s="3" t="s">
        <v>86</v>
      </c>
      <c r="E969" s="11">
        <f t="shared" si="135"/>
        <v>65.738675000000001</v>
      </c>
      <c r="F969" s="11">
        <f t="shared" si="136"/>
        <v>7.655880555555556</v>
      </c>
      <c r="G969" s="12" t="s">
        <v>144</v>
      </c>
      <c r="H969" s="12" t="s">
        <v>47</v>
      </c>
      <c r="I969">
        <v>2020</v>
      </c>
      <c r="J969" s="12" t="s">
        <v>163</v>
      </c>
      <c r="K969" s="2">
        <v>0</v>
      </c>
      <c r="L969" s="2"/>
      <c r="M969" s="33">
        <v>2.25</v>
      </c>
      <c r="N969" s="33">
        <v>1.55</v>
      </c>
      <c r="O969" s="8"/>
      <c r="P969" s="1"/>
      <c r="Q969" s="1"/>
      <c r="R969" s="1"/>
      <c r="S969" s="3"/>
      <c r="T969" s="3"/>
      <c r="U969" s="3"/>
      <c r="V969" s="3"/>
      <c r="W969" s="3"/>
      <c r="X969" s="3"/>
      <c r="Y969" s="3"/>
      <c r="Z969" s="27" t="s">
        <v>247</v>
      </c>
      <c r="AA969" t="s">
        <v>237</v>
      </c>
    </row>
    <row r="970" spans="1:27" x14ac:dyDescent="0.25">
      <c r="A970" s="12">
        <v>124</v>
      </c>
      <c r="B970">
        <v>35</v>
      </c>
      <c r="C970">
        <f t="shared" si="131"/>
        <v>12435</v>
      </c>
      <c r="D970" s="3" t="s">
        <v>86</v>
      </c>
      <c r="E970" s="11">
        <f t="shared" si="135"/>
        <v>65.738675000000001</v>
      </c>
      <c r="F970" s="11">
        <f t="shared" si="136"/>
        <v>7.655880555555556</v>
      </c>
      <c r="G970" s="12" t="s">
        <v>144</v>
      </c>
      <c r="H970" s="12" t="s">
        <v>47</v>
      </c>
      <c r="I970">
        <v>2021</v>
      </c>
      <c r="J970" s="12" t="s">
        <v>163</v>
      </c>
      <c r="K970" s="2">
        <v>0</v>
      </c>
      <c r="L970" s="2"/>
      <c r="M970" s="33">
        <v>1.14998772874</v>
      </c>
      <c r="N970" s="33">
        <v>0.99999672766000003</v>
      </c>
      <c r="O970" s="8"/>
      <c r="P970" s="1"/>
      <c r="Q970" s="1"/>
      <c r="R970" s="1"/>
      <c r="S970" s="3"/>
      <c r="T970" s="3"/>
      <c r="U970" s="3"/>
      <c r="V970" s="3"/>
      <c r="W970" s="3"/>
      <c r="X970" s="3"/>
      <c r="Y970" s="3"/>
      <c r="Z970" s="27" t="s">
        <v>247</v>
      </c>
      <c r="AA970" t="s">
        <v>237</v>
      </c>
    </row>
    <row r="971" spans="1:27" x14ac:dyDescent="0.25">
      <c r="A971" s="12">
        <v>124</v>
      </c>
      <c r="B971">
        <v>36</v>
      </c>
      <c r="C971">
        <f t="shared" si="131"/>
        <v>12436</v>
      </c>
      <c r="D971" s="3" t="s">
        <v>86</v>
      </c>
      <c r="E971" s="11">
        <f>58+22/60+2.33/3600</f>
        <v>58.367313888888887</v>
      </c>
      <c r="F971" s="11">
        <f>1+54/60+31.01/3600</f>
        <v>1.9086138888888888</v>
      </c>
      <c r="G971" s="12" t="s">
        <v>144</v>
      </c>
      <c r="H971" s="12" t="s">
        <v>47</v>
      </c>
      <c r="I971">
        <v>2002</v>
      </c>
      <c r="J971" s="12" t="s">
        <v>163</v>
      </c>
      <c r="K971" s="2">
        <v>0</v>
      </c>
      <c r="L971" s="2"/>
      <c r="M971" s="33">
        <v>3.66</v>
      </c>
      <c r="N971" s="33"/>
      <c r="O971" s="8"/>
      <c r="P971" s="1"/>
      <c r="Q971" s="1"/>
      <c r="R971" s="1"/>
      <c r="S971" s="3"/>
      <c r="T971" s="3"/>
      <c r="U971" s="3"/>
      <c r="V971" s="3"/>
      <c r="W971" s="3"/>
      <c r="X971" s="3"/>
      <c r="Y971" s="3"/>
      <c r="Z971" s="27" t="s">
        <v>247</v>
      </c>
      <c r="AA971" t="s">
        <v>431</v>
      </c>
    </row>
    <row r="972" spans="1:27" x14ac:dyDescent="0.25">
      <c r="A972" s="12">
        <v>124</v>
      </c>
      <c r="B972">
        <v>36</v>
      </c>
      <c r="C972">
        <f t="shared" si="131"/>
        <v>12436</v>
      </c>
      <c r="D972" s="3" t="s">
        <v>86</v>
      </c>
      <c r="E972" s="11">
        <f t="shared" ref="E972:E990" si="137">58+22/60+2.33/3600</f>
        <v>58.367313888888887</v>
      </c>
      <c r="F972" s="11">
        <f t="shared" ref="F972:F990" si="138">1+54/60+31.01/3600</f>
        <v>1.9086138888888888</v>
      </c>
      <c r="G972" s="12" t="s">
        <v>144</v>
      </c>
      <c r="H972" s="12" t="s">
        <v>47</v>
      </c>
      <c r="I972">
        <v>2003</v>
      </c>
      <c r="J972" s="12" t="s">
        <v>163</v>
      </c>
      <c r="K972" s="2">
        <v>0</v>
      </c>
      <c r="L972" s="2"/>
      <c r="M972" s="33">
        <v>5.2</v>
      </c>
      <c r="N972" s="33"/>
      <c r="O972" s="8"/>
      <c r="P972" s="1"/>
      <c r="Q972" s="1"/>
      <c r="R972" s="1"/>
      <c r="S972" s="3"/>
      <c r="T972" s="3"/>
      <c r="U972" s="3"/>
      <c r="V972" s="3"/>
      <c r="W972" s="3"/>
      <c r="X972" s="3"/>
      <c r="Y972" s="3"/>
      <c r="Z972" s="27" t="s">
        <v>247</v>
      </c>
      <c r="AA972" t="s">
        <v>431</v>
      </c>
    </row>
    <row r="973" spans="1:27" x14ac:dyDescent="0.25">
      <c r="A973" s="12">
        <v>124</v>
      </c>
      <c r="B973">
        <v>36</v>
      </c>
      <c r="C973">
        <f t="shared" si="131"/>
        <v>12436</v>
      </c>
      <c r="D973" s="3" t="s">
        <v>86</v>
      </c>
      <c r="E973" s="11">
        <f t="shared" si="137"/>
        <v>58.367313888888887</v>
      </c>
      <c r="F973" s="11">
        <f t="shared" si="138"/>
        <v>1.9086138888888888</v>
      </c>
      <c r="G973" s="12" t="s">
        <v>144</v>
      </c>
      <c r="H973" s="12" t="s">
        <v>47</v>
      </c>
      <c r="I973">
        <v>2004</v>
      </c>
      <c r="J973" s="12" t="s">
        <v>163</v>
      </c>
      <c r="K973" s="2">
        <v>0</v>
      </c>
      <c r="L973" s="2"/>
      <c r="M973" s="33">
        <v>12.4</v>
      </c>
      <c r="N973" s="33"/>
      <c r="O973" s="8"/>
      <c r="P973" s="1"/>
      <c r="Q973" s="1"/>
      <c r="R973" s="1"/>
      <c r="S973" s="3"/>
      <c r="T973" s="3"/>
      <c r="U973" s="3"/>
      <c r="V973" s="3"/>
      <c r="W973" s="3"/>
      <c r="X973" s="3"/>
      <c r="Y973" s="3"/>
      <c r="Z973" s="27" t="s">
        <v>247</v>
      </c>
      <c r="AA973" t="s">
        <v>431</v>
      </c>
    </row>
    <row r="974" spans="1:27" x14ac:dyDescent="0.25">
      <c r="A974" s="12">
        <v>124</v>
      </c>
      <c r="B974">
        <v>36</v>
      </c>
      <c r="C974">
        <f t="shared" si="131"/>
        <v>12436</v>
      </c>
      <c r="D974" s="3" t="s">
        <v>86</v>
      </c>
      <c r="E974" s="11">
        <f t="shared" si="137"/>
        <v>58.367313888888887</v>
      </c>
      <c r="F974" s="11">
        <f t="shared" si="138"/>
        <v>1.9086138888888888</v>
      </c>
      <c r="G974" s="12" t="s">
        <v>144</v>
      </c>
      <c r="H974" s="12" t="s">
        <v>47</v>
      </c>
      <c r="I974">
        <v>2005</v>
      </c>
      <c r="J974" s="12" t="s">
        <v>163</v>
      </c>
      <c r="K974" s="2">
        <v>0</v>
      </c>
      <c r="L974" s="2"/>
      <c r="M974" s="33">
        <v>19</v>
      </c>
      <c r="N974" s="33">
        <v>14</v>
      </c>
      <c r="O974" s="8"/>
      <c r="P974" s="1"/>
      <c r="Q974" s="1"/>
      <c r="R974" s="1"/>
      <c r="S974" s="3"/>
      <c r="T974" s="3"/>
      <c r="U974" s="3"/>
      <c r="V974" s="3"/>
      <c r="W974" s="3"/>
      <c r="X974" s="3"/>
      <c r="Y974" s="3"/>
      <c r="Z974" s="27" t="s">
        <v>247</v>
      </c>
      <c r="AA974" t="s">
        <v>431</v>
      </c>
    </row>
    <row r="975" spans="1:27" x14ac:dyDescent="0.25">
      <c r="A975" s="12">
        <v>124</v>
      </c>
      <c r="B975">
        <v>36</v>
      </c>
      <c r="C975">
        <f t="shared" si="131"/>
        <v>12436</v>
      </c>
      <c r="D975" s="3" t="s">
        <v>86</v>
      </c>
      <c r="E975" s="11">
        <f t="shared" si="137"/>
        <v>58.367313888888887</v>
      </c>
      <c r="F975" s="11">
        <f t="shared" si="138"/>
        <v>1.9086138888888888</v>
      </c>
      <c r="G975" s="12" t="s">
        <v>144</v>
      </c>
      <c r="H975" s="12" t="s">
        <v>47</v>
      </c>
      <c r="I975">
        <v>2006</v>
      </c>
      <c r="J975" s="12" t="s">
        <v>163</v>
      </c>
      <c r="K975" s="2">
        <v>0</v>
      </c>
      <c r="L975" s="2"/>
      <c r="M975" s="33">
        <v>14.833349999999999</v>
      </c>
      <c r="N975" s="33">
        <v>12.781650000000001</v>
      </c>
      <c r="O975" s="8"/>
      <c r="P975" s="1"/>
      <c r="Q975" s="1"/>
      <c r="R975" s="1"/>
      <c r="S975" s="3"/>
      <c r="T975" s="3"/>
      <c r="U975" s="3"/>
      <c r="V975" s="3"/>
      <c r="W975" s="3"/>
      <c r="X975" s="3"/>
      <c r="Y975" s="3"/>
      <c r="Z975" s="27" t="s">
        <v>247</v>
      </c>
      <c r="AA975" t="s">
        <v>431</v>
      </c>
    </row>
    <row r="976" spans="1:27" x14ac:dyDescent="0.25">
      <c r="A976" s="12">
        <v>124</v>
      </c>
      <c r="B976">
        <v>36</v>
      </c>
      <c r="C976">
        <f t="shared" si="131"/>
        <v>12436</v>
      </c>
      <c r="D976" s="3" t="s">
        <v>86</v>
      </c>
      <c r="E976" s="11">
        <f t="shared" si="137"/>
        <v>58.367313888888887</v>
      </c>
      <c r="F976" s="11">
        <f t="shared" si="138"/>
        <v>1.9086138888888888</v>
      </c>
      <c r="G976" s="12" t="s">
        <v>144</v>
      </c>
      <c r="H976" s="12" t="s">
        <v>47</v>
      </c>
      <c r="I976">
        <v>2007</v>
      </c>
      <c r="J976" s="12" t="s">
        <v>163</v>
      </c>
      <c r="K976" s="2">
        <v>0</v>
      </c>
      <c r="L976" s="2"/>
      <c r="M976" s="33">
        <v>14.66273</v>
      </c>
      <c r="N976" s="33">
        <v>11.24948</v>
      </c>
      <c r="O976" s="8"/>
      <c r="P976" s="1"/>
      <c r="Q976" s="1"/>
      <c r="R976" s="1"/>
      <c r="S976" s="3"/>
      <c r="T976" s="3"/>
      <c r="U976" s="3"/>
      <c r="V976" s="3"/>
      <c r="W976" s="3"/>
      <c r="X976" s="3"/>
      <c r="Y976" s="3"/>
      <c r="Z976" s="27" t="s">
        <v>247</v>
      </c>
      <c r="AA976" t="s">
        <v>431</v>
      </c>
    </row>
    <row r="977" spans="1:27" x14ac:dyDescent="0.25">
      <c r="A977" s="12">
        <v>124</v>
      </c>
      <c r="B977">
        <v>36</v>
      </c>
      <c r="C977">
        <f t="shared" si="131"/>
        <v>12436</v>
      </c>
      <c r="D977" s="3" t="s">
        <v>86</v>
      </c>
      <c r="E977" s="11">
        <f t="shared" si="137"/>
        <v>58.367313888888887</v>
      </c>
      <c r="F977" s="11">
        <f t="shared" si="138"/>
        <v>1.9086138888888888</v>
      </c>
      <c r="G977" s="12" t="s">
        <v>144</v>
      </c>
      <c r="H977" s="12" t="s">
        <v>47</v>
      </c>
      <c r="I977">
        <v>2008</v>
      </c>
      <c r="J977" s="12" t="s">
        <v>163</v>
      </c>
      <c r="K977" s="2">
        <v>0</v>
      </c>
      <c r="L977" s="2"/>
      <c r="M977" s="33">
        <v>18.421203980000001</v>
      </c>
      <c r="N977" s="33">
        <v>14.89890494</v>
      </c>
      <c r="O977" s="8"/>
      <c r="P977" s="1"/>
      <c r="Q977" s="1"/>
      <c r="R977" s="1"/>
      <c r="S977" s="3"/>
      <c r="T977" s="3"/>
      <c r="U977" s="3"/>
      <c r="V977" s="3"/>
      <c r="W977" s="3"/>
      <c r="X977" s="3"/>
      <c r="Y977" s="3"/>
      <c r="Z977" s="27" t="s">
        <v>247</v>
      </c>
      <c r="AA977" t="s">
        <v>431</v>
      </c>
    </row>
    <row r="978" spans="1:27" x14ac:dyDescent="0.25">
      <c r="A978" s="12">
        <v>124</v>
      </c>
      <c r="B978">
        <v>36</v>
      </c>
      <c r="C978">
        <f t="shared" si="131"/>
        <v>12436</v>
      </c>
      <c r="D978" s="3" t="s">
        <v>86</v>
      </c>
      <c r="E978" s="11">
        <f t="shared" si="137"/>
        <v>58.367313888888887</v>
      </c>
      <c r="F978" s="11">
        <f t="shared" si="138"/>
        <v>1.9086138888888888</v>
      </c>
      <c r="G978" s="12" t="s">
        <v>144</v>
      </c>
      <c r="H978" s="12" t="s">
        <v>47</v>
      </c>
      <c r="I978">
        <v>2009</v>
      </c>
      <c r="J978" s="12" t="s">
        <v>163</v>
      </c>
      <c r="K978" s="2">
        <v>0</v>
      </c>
      <c r="L978" s="2"/>
      <c r="M978" s="33">
        <v>28.616231209999999</v>
      </c>
      <c r="N978" s="33">
        <v>20.560368570000001</v>
      </c>
      <c r="O978" s="8"/>
      <c r="P978" s="1"/>
      <c r="Q978" s="1"/>
      <c r="R978" s="1"/>
      <c r="S978" s="3"/>
      <c r="T978" s="3"/>
      <c r="U978" s="3"/>
      <c r="V978" s="3"/>
      <c r="W978" s="3"/>
      <c r="X978" s="3"/>
      <c r="Y978" s="3"/>
      <c r="Z978" s="27" t="s">
        <v>247</v>
      </c>
      <c r="AA978" t="s">
        <v>431</v>
      </c>
    </row>
    <row r="979" spans="1:27" x14ac:dyDescent="0.25">
      <c r="A979" s="12">
        <v>124</v>
      </c>
      <c r="B979">
        <v>36</v>
      </c>
      <c r="C979">
        <f t="shared" si="131"/>
        <v>12436</v>
      </c>
      <c r="D979" s="3" t="s">
        <v>86</v>
      </c>
      <c r="E979" s="11">
        <f t="shared" si="137"/>
        <v>58.367313888888887</v>
      </c>
      <c r="F979" s="11">
        <f t="shared" si="138"/>
        <v>1.9086138888888888</v>
      </c>
      <c r="G979" s="12" t="s">
        <v>144</v>
      </c>
      <c r="H979" s="12" t="s">
        <v>47</v>
      </c>
      <c r="I979">
        <v>2010</v>
      </c>
      <c r="J979" s="12" t="s">
        <v>163</v>
      </c>
      <c r="K979" s="2">
        <v>0</v>
      </c>
      <c r="L979" s="2"/>
      <c r="M979" s="33">
        <v>19.371148389999998</v>
      </c>
      <c r="N979" s="33">
        <v>13.673358049999999</v>
      </c>
      <c r="O979" s="8"/>
      <c r="P979" s="1"/>
      <c r="Q979" s="1"/>
      <c r="R979" s="1"/>
      <c r="S979" s="3"/>
      <c r="T979" s="3"/>
      <c r="U979" s="3"/>
      <c r="V979" s="3"/>
      <c r="W979" s="3"/>
      <c r="X979" s="3"/>
      <c r="Y979" s="3"/>
      <c r="Z979" s="27" t="s">
        <v>247</v>
      </c>
      <c r="AA979" t="s">
        <v>431</v>
      </c>
    </row>
    <row r="980" spans="1:27" x14ac:dyDescent="0.25">
      <c r="A980" s="12">
        <v>124</v>
      </c>
      <c r="B980">
        <v>36</v>
      </c>
      <c r="C980">
        <f t="shared" si="131"/>
        <v>12436</v>
      </c>
      <c r="D980" s="3" t="s">
        <v>86</v>
      </c>
      <c r="E980" s="11">
        <f t="shared" si="137"/>
        <v>58.367313888888887</v>
      </c>
      <c r="F980" s="11">
        <f t="shared" si="138"/>
        <v>1.9086138888888888</v>
      </c>
      <c r="G980" s="12" t="s">
        <v>144</v>
      </c>
      <c r="H980" s="12" t="s">
        <v>47</v>
      </c>
      <c r="I980">
        <v>2011</v>
      </c>
      <c r="J980" s="12" t="s">
        <v>163</v>
      </c>
      <c r="K980" s="2">
        <v>0</v>
      </c>
      <c r="L980" s="2"/>
      <c r="M980" s="33">
        <v>25.335132699999999</v>
      </c>
      <c r="N980" s="33">
        <v>18.13673292</v>
      </c>
      <c r="O980" s="8"/>
      <c r="P980" s="1"/>
      <c r="Q980" s="1"/>
      <c r="R980" s="1"/>
      <c r="S980" s="3"/>
      <c r="T980" s="3"/>
      <c r="U980" s="3"/>
      <c r="V980" s="3"/>
      <c r="W980" s="3"/>
      <c r="X980" s="3"/>
      <c r="Y980" s="3"/>
      <c r="Z980" s="27" t="s">
        <v>247</v>
      </c>
      <c r="AA980" t="s">
        <v>431</v>
      </c>
    </row>
    <row r="981" spans="1:27" x14ac:dyDescent="0.25">
      <c r="A981" s="12">
        <v>124</v>
      </c>
      <c r="B981">
        <v>36</v>
      </c>
      <c r="C981">
        <f t="shared" si="131"/>
        <v>12436</v>
      </c>
      <c r="D981" s="3" t="s">
        <v>86</v>
      </c>
      <c r="E981" s="11">
        <f t="shared" si="137"/>
        <v>58.367313888888887</v>
      </c>
      <c r="F981" s="11">
        <f t="shared" si="138"/>
        <v>1.9086138888888888</v>
      </c>
      <c r="G981" s="12" t="s">
        <v>144</v>
      </c>
      <c r="H981" s="12" t="s">
        <v>47</v>
      </c>
      <c r="I981">
        <v>2012</v>
      </c>
      <c r="J981" s="12" t="s">
        <v>163</v>
      </c>
      <c r="K981" s="2">
        <v>0</v>
      </c>
      <c r="L981" s="2"/>
      <c r="M981" s="33">
        <v>19.221382500000001</v>
      </c>
      <c r="N981" s="33">
        <v>14.775</v>
      </c>
      <c r="O981" s="8"/>
      <c r="P981" s="1"/>
      <c r="Q981" s="1"/>
      <c r="R981" s="1"/>
      <c r="S981" s="3"/>
      <c r="T981" s="3"/>
      <c r="U981" s="3"/>
      <c r="V981" s="3"/>
      <c r="W981" s="3"/>
      <c r="X981" s="3"/>
      <c r="Y981" s="3"/>
      <c r="Z981" s="27" t="s">
        <v>247</v>
      </c>
      <c r="AA981" t="s">
        <v>431</v>
      </c>
    </row>
    <row r="982" spans="1:27" x14ac:dyDescent="0.25">
      <c r="A982" s="12">
        <v>124</v>
      </c>
      <c r="B982">
        <v>36</v>
      </c>
      <c r="C982">
        <f t="shared" si="131"/>
        <v>12436</v>
      </c>
      <c r="D982" s="3" t="s">
        <v>86</v>
      </c>
      <c r="E982" s="11">
        <f t="shared" si="137"/>
        <v>58.367313888888887</v>
      </c>
      <c r="F982" s="11">
        <f t="shared" si="138"/>
        <v>1.9086138888888888</v>
      </c>
      <c r="G982" s="12" t="s">
        <v>144</v>
      </c>
      <c r="H982" s="12" t="s">
        <v>47</v>
      </c>
      <c r="I982">
        <v>2013</v>
      </c>
      <c r="J982" s="12" t="s">
        <v>163</v>
      </c>
      <c r="K982" s="2">
        <v>0</v>
      </c>
      <c r="L982" s="2"/>
      <c r="M982" s="33">
        <v>19.335948672175</v>
      </c>
      <c r="N982" s="33">
        <v>16.725000000000001</v>
      </c>
      <c r="O982" s="8"/>
      <c r="P982" s="1"/>
      <c r="Q982" s="1"/>
      <c r="R982" s="1"/>
      <c r="S982" s="3"/>
      <c r="T982" s="3"/>
      <c r="U982" s="3"/>
      <c r="V982" s="3"/>
      <c r="W982" s="3"/>
      <c r="X982" s="3"/>
      <c r="Y982" s="3"/>
      <c r="Z982" s="27" t="s">
        <v>247</v>
      </c>
      <c r="AA982" t="s">
        <v>431</v>
      </c>
    </row>
    <row r="983" spans="1:27" x14ac:dyDescent="0.25">
      <c r="A983" s="12">
        <v>124</v>
      </c>
      <c r="B983">
        <v>36</v>
      </c>
      <c r="C983">
        <f t="shared" si="131"/>
        <v>12436</v>
      </c>
      <c r="D983" s="3" t="s">
        <v>86</v>
      </c>
      <c r="E983" s="11">
        <f t="shared" si="137"/>
        <v>58.367313888888887</v>
      </c>
      <c r="F983" s="11">
        <f t="shared" si="138"/>
        <v>1.9086138888888888</v>
      </c>
      <c r="G983" s="12" t="s">
        <v>144</v>
      </c>
      <c r="H983" s="12" t="s">
        <v>47</v>
      </c>
      <c r="I983">
        <v>2014</v>
      </c>
      <c r="J983" s="12" t="s">
        <v>163</v>
      </c>
      <c r="K983" s="2">
        <v>0</v>
      </c>
      <c r="L983" s="2"/>
      <c r="M983" s="33">
        <v>14.025</v>
      </c>
      <c r="N983" s="33">
        <v>16.324999999999999</v>
      </c>
      <c r="O983" s="8"/>
      <c r="P983" s="1"/>
      <c r="Q983" s="1"/>
      <c r="R983" s="1"/>
      <c r="S983" s="3"/>
      <c r="T983" s="3"/>
      <c r="U983" s="3"/>
      <c r="V983" s="3"/>
      <c r="W983" s="3"/>
      <c r="X983" s="3"/>
      <c r="Y983" s="3"/>
      <c r="Z983" s="27" t="s">
        <v>247</v>
      </c>
      <c r="AA983" t="s">
        <v>431</v>
      </c>
    </row>
    <row r="984" spans="1:27" x14ac:dyDescent="0.25">
      <c r="A984" s="12">
        <v>124</v>
      </c>
      <c r="B984">
        <v>36</v>
      </c>
      <c r="C984">
        <f t="shared" si="131"/>
        <v>12436</v>
      </c>
      <c r="D984" s="3" t="s">
        <v>86</v>
      </c>
      <c r="E984" s="11">
        <f t="shared" si="137"/>
        <v>58.367313888888887</v>
      </c>
      <c r="F984" s="11">
        <f t="shared" si="138"/>
        <v>1.9086138888888888</v>
      </c>
      <c r="G984" s="12" t="s">
        <v>144</v>
      </c>
      <c r="H984" s="12" t="s">
        <v>47</v>
      </c>
      <c r="I984">
        <v>2015</v>
      </c>
      <c r="J984" s="12" t="s">
        <v>163</v>
      </c>
      <c r="K984" s="2">
        <v>0</v>
      </c>
      <c r="L984" s="2"/>
      <c r="M984" s="33">
        <v>12.49</v>
      </c>
      <c r="N984" s="33">
        <v>14.425000000000001</v>
      </c>
      <c r="O984" s="8"/>
      <c r="P984" s="1"/>
      <c r="Q984" s="1"/>
      <c r="R984" s="1"/>
      <c r="S984" s="3"/>
      <c r="T984" s="3"/>
      <c r="U984" s="3"/>
      <c r="V984" s="3"/>
      <c r="W984" s="3"/>
      <c r="X984" s="3"/>
      <c r="Y984" s="3"/>
      <c r="Z984" s="27" t="s">
        <v>247</v>
      </c>
      <c r="AA984" t="s">
        <v>431</v>
      </c>
    </row>
    <row r="985" spans="1:27" x14ac:dyDescent="0.25">
      <c r="A985" s="12">
        <v>124</v>
      </c>
      <c r="B985">
        <v>36</v>
      </c>
      <c r="C985">
        <f t="shared" si="131"/>
        <v>12436</v>
      </c>
      <c r="D985" s="3" t="s">
        <v>86</v>
      </c>
      <c r="E985" s="11">
        <f t="shared" si="137"/>
        <v>58.367313888888887</v>
      </c>
      <c r="F985" s="11">
        <f t="shared" si="138"/>
        <v>1.9086138888888888</v>
      </c>
      <c r="G985" s="12" t="s">
        <v>144</v>
      </c>
      <c r="H985" s="12" t="s">
        <v>47</v>
      </c>
      <c r="I985">
        <v>2016</v>
      </c>
      <c r="J985" s="12" t="s">
        <v>163</v>
      </c>
      <c r="K985" s="2">
        <v>0</v>
      </c>
      <c r="L985" s="2"/>
      <c r="M985" s="33">
        <v>7.72</v>
      </c>
      <c r="N985" s="33">
        <v>9.8366666666666696</v>
      </c>
      <c r="O985" s="8"/>
      <c r="P985" s="1"/>
      <c r="Q985" s="1"/>
      <c r="R985" s="1"/>
      <c r="S985" s="3"/>
      <c r="T985" s="3"/>
      <c r="U985" s="3"/>
      <c r="V985" s="3"/>
      <c r="W985" s="3"/>
      <c r="X985" s="3"/>
      <c r="Y985" s="3"/>
      <c r="Z985" s="27" t="s">
        <v>247</v>
      </c>
      <c r="AA985" t="s">
        <v>431</v>
      </c>
    </row>
    <row r="986" spans="1:27" x14ac:dyDescent="0.25">
      <c r="A986" s="12">
        <v>124</v>
      </c>
      <c r="B986">
        <v>36</v>
      </c>
      <c r="C986">
        <f t="shared" si="131"/>
        <v>12436</v>
      </c>
      <c r="D986" s="3" t="s">
        <v>86</v>
      </c>
      <c r="E986" s="11">
        <f t="shared" si="137"/>
        <v>58.367313888888887</v>
      </c>
      <c r="F986" s="11">
        <f t="shared" si="138"/>
        <v>1.9086138888888888</v>
      </c>
      <c r="G986" s="12" t="s">
        <v>144</v>
      </c>
      <c r="H986" s="12" t="s">
        <v>47</v>
      </c>
      <c r="I986">
        <v>2017</v>
      </c>
      <c r="J986" s="12" t="s">
        <v>163</v>
      </c>
      <c r="K986" s="2">
        <v>0</v>
      </c>
      <c r="L986" s="2"/>
      <c r="M986" s="33">
        <v>8.26</v>
      </c>
      <c r="N986" s="33">
        <v>9.0225000000000009</v>
      </c>
      <c r="O986" s="8"/>
      <c r="P986" s="1"/>
      <c r="Q986" s="1"/>
      <c r="R986" s="1"/>
      <c r="S986" s="3"/>
      <c r="T986" s="3"/>
      <c r="U986" s="3"/>
      <c r="V986" s="3"/>
      <c r="W986" s="3"/>
      <c r="X986" s="3"/>
      <c r="Y986" s="3"/>
      <c r="Z986" s="27" t="s">
        <v>247</v>
      </c>
      <c r="AA986" t="s">
        <v>431</v>
      </c>
    </row>
    <row r="987" spans="1:27" x14ac:dyDescent="0.25">
      <c r="A987" s="12">
        <v>124</v>
      </c>
      <c r="B987">
        <v>36</v>
      </c>
      <c r="C987">
        <f t="shared" si="131"/>
        <v>12436</v>
      </c>
      <c r="D987" s="3" t="s">
        <v>86</v>
      </c>
      <c r="E987" s="11">
        <f t="shared" si="137"/>
        <v>58.367313888888887</v>
      </c>
      <c r="F987" s="11">
        <f t="shared" si="138"/>
        <v>1.9086138888888888</v>
      </c>
      <c r="G987" s="12" t="s">
        <v>144</v>
      </c>
      <c r="H987" s="12" t="s">
        <v>47</v>
      </c>
      <c r="I987">
        <v>2018</v>
      </c>
      <c r="J987" s="12" t="s">
        <v>163</v>
      </c>
      <c r="K987" s="2">
        <v>0</v>
      </c>
      <c r="L987" s="2"/>
      <c r="M987" s="33">
        <v>7.9249999999999998</v>
      </c>
      <c r="N987" s="33">
        <v>8.9600000000000009</v>
      </c>
      <c r="O987" s="8"/>
      <c r="P987" s="1"/>
      <c r="Q987" s="1"/>
      <c r="R987" s="1"/>
      <c r="S987" s="3"/>
      <c r="T987" s="3"/>
      <c r="U987" s="3"/>
      <c r="V987" s="3"/>
      <c r="W987" s="3"/>
      <c r="X987" s="3"/>
      <c r="Y987" s="3"/>
      <c r="Z987" s="27" t="s">
        <v>247</v>
      </c>
      <c r="AA987" t="s">
        <v>431</v>
      </c>
    </row>
    <row r="988" spans="1:27" x14ac:dyDescent="0.25">
      <c r="A988" s="12">
        <v>124</v>
      </c>
      <c r="B988">
        <v>36</v>
      </c>
      <c r="C988">
        <f t="shared" si="131"/>
        <v>12436</v>
      </c>
      <c r="D988" s="3" t="s">
        <v>86</v>
      </c>
      <c r="E988" s="11">
        <f t="shared" si="137"/>
        <v>58.367313888888887</v>
      </c>
      <c r="F988" s="11">
        <f t="shared" si="138"/>
        <v>1.9086138888888888</v>
      </c>
      <c r="G988" s="12" t="s">
        <v>144</v>
      </c>
      <c r="H988" s="12" t="s">
        <v>47</v>
      </c>
      <c r="I988">
        <v>2019</v>
      </c>
      <c r="J988" s="12" t="s">
        <v>163</v>
      </c>
      <c r="K988" s="2">
        <v>0</v>
      </c>
      <c r="L988" s="2"/>
      <c r="M988" s="33">
        <v>12.225</v>
      </c>
      <c r="N988" s="33">
        <v>14.5025</v>
      </c>
      <c r="O988" s="8"/>
      <c r="P988" s="1"/>
      <c r="Q988" s="1"/>
      <c r="R988" s="1"/>
      <c r="S988" s="3"/>
      <c r="T988" s="3"/>
      <c r="U988" s="3"/>
      <c r="V988" s="3"/>
      <c r="W988" s="3"/>
      <c r="X988" s="3"/>
      <c r="Y988" s="3"/>
      <c r="Z988" s="27" t="s">
        <v>247</v>
      </c>
      <c r="AA988" t="s">
        <v>431</v>
      </c>
    </row>
    <row r="989" spans="1:27" x14ac:dyDescent="0.25">
      <c r="A989" s="12">
        <v>124</v>
      </c>
      <c r="B989">
        <v>36</v>
      </c>
      <c r="C989">
        <f t="shared" si="131"/>
        <v>12436</v>
      </c>
      <c r="D989" s="3" t="s">
        <v>86</v>
      </c>
      <c r="E989" s="11">
        <f t="shared" si="137"/>
        <v>58.367313888888887</v>
      </c>
      <c r="F989" s="11">
        <f t="shared" si="138"/>
        <v>1.9086138888888888</v>
      </c>
      <c r="G989" s="12" t="s">
        <v>144</v>
      </c>
      <c r="H989" s="12" t="s">
        <v>47</v>
      </c>
      <c r="I989">
        <v>2020</v>
      </c>
      <c r="J989" s="12" t="s">
        <v>163</v>
      </c>
      <c r="K989" s="2">
        <v>0</v>
      </c>
      <c r="L989" s="2"/>
      <c r="M989" s="33">
        <v>13.426500000000001</v>
      </c>
      <c r="N989" s="33">
        <v>15.437250000000001</v>
      </c>
      <c r="O989" s="8"/>
      <c r="P989" s="1"/>
      <c r="Q989" s="1"/>
      <c r="R989" s="1"/>
      <c r="S989" s="3"/>
      <c r="T989" s="3"/>
      <c r="U989" s="3"/>
      <c r="V989" s="3"/>
      <c r="W989" s="3"/>
      <c r="X989" s="3"/>
      <c r="Y989" s="3"/>
      <c r="Z989" s="27" t="s">
        <v>247</v>
      </c>
      <c r="AA989" t="s">
        <v>431</v>
      </c>
    </row>
    <row r="990" spans="1:27" x14ac:dyDescent="0.25">
      <c r="A990" s="12">
        <v>124</v>
      </c>
      <c r="B990">
        <v>36</v>
      </c>
      <c r="C990">
        <f t="shared" ref="C990:C1053" si="139">A990*100+B990</f>
        <v>12436</v>
      </c>
      <c r="D990" s="3" t="s">
        <v>86</v>
      </c>
      <c r="E990" s="11">
        <f t="shared" si="137"/>
        <v>58.367313888888887</v>
      </c>
      <c r="F990" s="11">
        <f t="shared" si="138"/>
        <v>1.9086138888888888</v>
      </c>
      <c r="G990" s="12" t="s">
        <v>144</v>
      </c>
      <c r="H990" s="12" t="s">
        <v>47</v>
      </c>
      <c r="I990">
        <v>2021</v>
      </c>
      <c r="J990" s="12" t="s">
        <v>163</v>
      </c>
      <c r="K990" s="2">
        <v>0</v>
      </c>
      <c r="L990" s="2"/>
      <c r="M990" s="33">
        <v>13.88125</v>
      </c>
      <c r="N990" s="33">
        <v>15.706250000000001</v>
      </c>
      <c r="O990" s="8"/>
      <c r="P990" s="1"/>
      <c r="Q990" s="1"/>
      <c r="R990" s="1"/>
      <c r="S990" s="3"/>
      <c r="T990" s="3"/>
      <c r="U990" s="3"/>
      <c r="V990" s="3"/>
      <c r="W990" s="3"/>
      <c r="X990" s="3"/>
      <c r="Y990" s="3"/>
      <c r="Z990" s="27" t="s">
        <v>247</v>
      </c>
      <c r="AA990" t="s">
        <v>431</v>
      </c>
    </row>
    <row r="991" spans="1:27" x14ac:dyDescent="0.25">
      <c r="A991" s="12">
        <v>124</v>
      </c>
      <c r="B991">
        <v>37</v>
      </c>
      <c r="C991">
        <f t="shared" si="139"/>
        <v>12437</v>
      </c>
      <c r="D991" s="3" t="s">
        <v>86</v>
      </c>
      <c r="E991" s="11">
        <v>58.36</v>
      </c>
      <c r="F991" s="11">
        <v>1.91</v>
      </c>
      <c r="G991" s="12" t="s">
        <v>144</v>
      </c>
      <c r="H991" s="12" t="s">
        <v>47</v>
      </c>
      <c r="I991">
        <v>2002</v>
      </c>
      <c r="J991" s="12" t="s">
        <v>163</v>
      </c>
      <c r="K991" s="2">
        <v>0</v>
      </c>
      <c r="L991" s="2"/>
      <c r="M991" s="33">
        <v>2.02</v>
      </c>
      <c r="N991" s="33"/>
      <c r="O991" s="8"/>
      <c r="P991" s="1"/>
      <c r="Q991" s="1"/>
      <c r="R991" s="1"/>
      <c r="S991" s="3"/>
      <c r="T991" s="3"/>
      <c r="U991" s="3"/>
      <c r="V991" s="3"/>
      <c r="W991" s="3"/>
      <c r="X991" s="3"/>
      <c r="Y991" s="3"/>
      <c r="Z991" s="27" t="s">
        <v>247</v>
      </c>
      <c r="AA991" t="s">
        <v>219</v>
      </c>
    </row>
    <row r="992" spans="1:27" x14ac:dyDescent="0.25">
      <c r="A992" s="12">
        <v>124</v>
      </c>
      <c r="B992">
        <v>37</v>
      </c>
      <c r="C992">
        <f t="shared" si="139"/>
        <v>12437</v>
      </c>
      <c r="D992" s="3" t="s">
        <v>86</v>
      </c>
      <c r="E992" s="11">
        <v>58.36</v>
      </c>
      <c r="F992" s="11">
        <v>1.91</v>
      </c>
      <c r="G992" s="12" t="s">
        <v>144</v>
      </c>
      <c r="H992" s="12" t="s">
        <v>47</v>
      </c>
      <c r="I992">
        <v>2003</v>
      </c>
      <c r="J992" s="12" t="s">
        <v>163</v>
      </c>
      <c r="K992" s="2">
        <v>0</v>
      </c>
      <c r="L992" s="2"/>
      <c r="M992" s="33">
        <v>1.1000000000000001</v>
      </c>
      <c r="N992" s="33"/>
      <c r="O992" s="8"/>
      <c r="P992" s="1"/>
      <c r="Q992" s="1"/>
      <c r="R992" s="1"/>
      <c r="S992" s="3"/>
      <c r="T992" s="3"/>
      <c r="U992" s="3"/>
      <c r="V992" s="3"/>
      <c r="W992" s="3"/>
      <c r="X992" s="3"/>
      <c r="Y992" s="3"/>
      <c r="Z992" s="27" t="s">
        <v>247</v>
      </c>
      <c r="AA992" t="s">
        <v>219</v>
      </c>
    </row>
    <row r="993" spans="1:27" x14ac:dyDescent="0.25">
      <c r="A993" s="12">
        <v>124</v>
      </c>
      <c r="B993">
        <v>37</v>
      </c>
      <c r="C993">
        <f t="shared" si="139"/>
        <v>12437</v>
      </c>
      <c r="D993" s="3" t="s">
        <v>86</v>
      </c>
      <c r="E993" s="11">
        <v>58.36</v>
      </c>
      <c r="F993" s="11">
        <v>1.91</v>
      </c>
      <c r="G993" s="12" t="s">
        <v>144</v>
      </c>
      <c r="H993" s="12" t="s">
        <v>47</v>
      </c>
      <c r="I993">
        <v>2004</v>
      </c>
      <c r="J993" s="12" t="s">
        <v>163</v>
      </c>
      <c r="K993" s="2">
        <v>0</v>
      </c>
      <c r="L993" s="2"/>
      <c r="M993" s="33">
        <v>8.4</v>
      </c>
      <c r="N993" s="33"/>
      <c r="O993" s="8"/>
      <c r="P993" s="1"/>
      <c r="Q993" s="1"/>
      <c r="R993" s="1"/>
      <c r="S993" s="3"/>
      <c r="T993" s="3"/>
      <c r="U993" s="3"/>
      <c r="V993" s="3"/>
      <c r="W993" s="3"/>
      <c r="X993" s="3"/>
      <c r="Y993" s="3"/>
      <c r="Z993" s="27" t="s">
        <v>247</v>
      </c>
      <c r="AA993" t="s">
        <v>219</v>
      </c>
    </row>
    <row r="994" spans="1:27" x14ac:dyDescent="0.25">
      <c r="A994" s="12">
        <v>124</v>
      </c>
      <c r="B994">
        <v>37</v>
      </c>
      <c r="C994">
        <f t="shared" si="139"/>
        <v>12437</v>
      </c>
      <c r="D994" s="3" t="s">
        <v>86</v>
      </c>
      <c r="E994" s="11">
        <v>58.36</v>
      </c>
      <c r="F994" s="11">
        <v>1.91</v>
      </c>
      <c r="G994" s="12" t="s">
        <v>144</v>
      </c>
      <c r="H994" s="12" t="s">
        <v>47</v>
      </c>
      <c r="I994">
        <v>2005</v>
      </c>
      <c r="J994" s="12" t="s">
        <v>163</v>
      </c>
      <c r="K994" s="2">
        <v>0</v>
      </c>
      <c r="L994" s="2"/>
      <c r="M994" s="33">
        <v>0.28000000000000003</v>
      </c>
      <c r="N994" s="33">
        <v>0.4</v>
      </c>
      <c r="O994" s="8"/>
      <c r="P994" s="1"/>
      <c r="Q994" s="1"/>
      <c r="R994" s="1"/>
      <c r="S994" s="3"/>
      <c r="T994" s="3"/>
      <c r="U994" s="3"/>
      <c r="V994" s="3"/>
      <c r="W994" s="3"/>
      <c r="X994" s="3"/>
      <c r="Y994" s="3"/>
      <c r="Z994" s="27" t="s">
        <v>247</v>
      </c>
      <c r="AA994" t="s">
        <v>219</v>
      </c>
    </row>
    <row r="995" spans="1:27" x14ac:dyDescent="0.25">
      <c r="A995" s="12">
        <v>124</v>
      </c>
      <c r="B995">
        <v>37</v>
      </c>
      <c r="C995">
        <f t="shared" si="139"/>
        <v>12437</v>
      </c>
      <c r="D995" s="3" t="s">
        <v>86</v>
      </c>
      <c r="E995" s="11">
        <v>58.36</v>
      </c>
      <c r="F995" s="11">
        <v>1.91</v>
      </c>
      <c r="G995" s="12" t="s">
        <v>144</v>
      </c>
      <c r="H995" s="12" t="s">
        <v>47</v>
      </c>
      <c r="I995">
        <v>2006</v>
      </c>
      <c r="J995" s="12" t="s">
        <v>163</v>
      </c>
      <c r="K995" s="2">
        <v>0</v>
      </c>
      <c r="L995" s="2"/>
      <c r="M995" s="33">
        <v>5.85</v>
      </c>
      <c r="N995" s="33">
        <v>4.3316499999999998</v>
      </c>
      <c r="O995" s="8"/>
      <c r="P995" s="1"/>
      <c r="Q995" s="1"/>
      <c r="R995" s="1"/>
      <c r="S995" s="3"/>
      <c r="T995" s="3"/>
      <c r="U995" s="3"/>
      <c r="V995" s="3"/>
      <c r="W995" s="3"/>
      <c r="X995" s="3"/>
      <c r="Y995" s="3"/>
      <c r="Z995" s="27" t="s">
        <v>247</v>
      </c>
      <c r="AA995" t="s">
        <v>219</v>
      </c>
    </row>
    <row r="996" spans="1:27" x14ac:dyDescent="0.25">
      <c r="A996" s="12">
        <v>124</v>
      </c>
      <c r="B996">
        <v>37</v>
      </c>
      <c r="C996">
        <f t="shared" si="139"/>
        <v>12437</v>
      </c>
      <c r="D996" s="3" t="s">
        <v>86</v>
      </c>
      <c r="E996" s="11">
        <v>58.36</v>
      </c>
      <c r="F996" s="11">
        <v>1.91</v>
      </c>
      <c r="G996" s="12" t="s">
        <v>144</v>
      </c>
      <c r="H996" s="12" t="s">
        <v>47</v>
      </c>
      <c r="I996">
        <v>2007</v>
      </c>
      <c r="J996" s="12" t="s">
        <v>163</v>
      </c>
      <c r="K996" s="2">
        <v>0</v>
      </c>
      <c r="L996" s="2"/>
      <c r="M996" s="33">
        <v>6.7523099999999996</v>
      </c>
      <c r="N996" s="33">
        <v>4.5138299999999996</v>
      </c>
      <c r="O996" s="8"/>
      <c r="P996" s="1"/>
      <c r="Q996" s="1"/>
      <c r="R996" s="1"/>
      <c r="S996" s="3"/>
      <c r="T996" s="3"/>
      <c r="U996" s="3"/>
      <c r="V996" s="3"/>
      <c r="W996" s="3"/>
      <c r="X996" s="3"/>
      <c r="Y996" s="3"/>
      <c r="Z996" s="27" t="s">
        <v>247</v>
      </c>
      <c r="AA996" t="s">
        <v>219</v>
      </c>
    </row>
    <row r="997" spans="1:27" x14ac:dyDescent="0.25">
      <c r="A997" s="12">
        <v>124</v>
      </c>
      <c r="B997">
        <v>37</v>
      </c>
      <c r="C997">
        <f t="shared" si="139"/>
        <v>12437</v>
      </c>
      <c r="D997" s="3" t="s">
        <v>86</v>
      </c>
      <c r="E997" s="11">
        <v>58.36</v>
      </c>
      <c r="F997" s="11">
        <v>1.91</v>
      </c>
      <c r="G997" s="12" t="s">
        <v>144</v>
      </c>
      <c r="H997" s="12" t="s">
        <v>47</v>
      </c>
      <c r="I997">
        <v>2008</v>
      </c>
      <c r="J997" s="12" t="s">
        <v>163</v>
      </c>
      <c r="K997" s="2">
        <v>0</v>
      </c>
      <c r="L997" s="2"/>
      <c r="M997" s="33">
        <v>2.8431765840000001</v>
      </c>
      <c r="N997" s="33">
        <v>2.1609520199999999</v>
      </c>
      <c r="O997" s="8"/>
      <c r="P997" s="1"/>
      <c r="Q997" s="1"/>
      <c r="R997" s="1"/>
      <c r="S997" s="3"/>
      <c r="T997" s="3"/>
      <c r="U997" s="3"/>
      <c r="V997" s="3"/>
      <c r="W997" s="3"/>
      <c r="X997" s="3"/>
      <c r="Y997" s="3"/>
      <c r="Z997" s="27" t="s">
        <v>247</v>
      </c>
      <c r="AA997" t="s">
        <v>219</v>
      </c>
    </row>
    <row r="998" spans="1:27" x14ac:dyDescent="0.25">
      <c r="A998" s="12">
        <v>124</v>
      </c>
      <c r="B998">
        <v>37</v>
      </c>
      <c r="C998">
        <f t="shared" si="139"/>
        <v>12437</v>
      </c>
      <c r="D998" s="3" t="s">
        <v>86</v>
      </c>
      <c r="E998" s="11">
        <v>58.36</v>
      </c>
      <c r="F998" s="11">
        <v>1.91</v>
      </c>
      <c r="G998" s="12" t="s">
        <v>144</v>
      </c>
      <c r="H998" s="12" t="s">
        <v>47</v>
      </c>
      <c r="I998">
        <v>2009</v>
      </c>
      <c r="J998" s="12" t="s">
        <v>163</v>
      </c>
      <c r="K998" s="2">
        <v>0</v>
      </c>
      <c r="L998" s="2"/>
      <c r="M998" s="33">
        <v>1.876385339</v>
      </c>
      <c r="N998" s="33">
        <v>0.95614417600000001</v>
      </c>
      <c r="O998" s="8"/>
      <c r="P998" s="1"/>
      <c r="Q998" s="1"/>
      <c r="R998" s="1"/>
      <c r="S998" s="3"/>
      <c r="T998" s="3"/>
      <c r="U998" s="3"/>
      <c r="V998" s="3"/>
      <c r="W998" s="3"/>
      <c r="X998" s="3"/>
      <c r="Y998" s="3"/>
      <c r="Z998" s="27" t="s">
        <v>247</v>
      </c>
      <c r="AA998" t="s">
        <v>219</v>
      </c>
    </row>
    <row r="999" spans="1:27" x14ac:dyDescent="0.25">
      <c r="A999" s="12">
        <v>124</v>
      </c>
      <c r="B999">
        <v>37</v>
      </c>
      <c r="C999">
        <f t="shared" si="139"/>
        <v>12437</v>
      </c>
      <c r="D999" s="3" t="s">
        <v>86</v>
      </c>
      <c r="E999" s="11">
        <v>58.36</v>
      </c>
      <c r="F999" s="11">
        <v>1.91</v>
      </c>
      <c r="G999" s="12" t="s">
        <v>144</v>
      </c>
      <c r="H999" s="12" t="s">
        <v>47</v>
      </c>
      <c r="I999">
        <v>2010</v>
      </c>
      <c r="J999" s="12" t="s">
        <v>163</v>
      </c>
      <c r="K999" s="2">
        <v>0</v>
      </c>
      <c r="L999" s="2"/>
      <c r="M999" s="33">
        <v>1.2091467460000001</v>
      </c>
      <c r="N999" s="33">
        <v>1.385728793</v>
      </c>
      <c r="O999" s="8"/>
      <c r="P999" s="1"/>
      <c r="Q999" s="1"/>
      <c r="R999" s="1"/>
      <c r="S999" s="3"/>
      <c r="T999" s="3"/>
      <c r="U999" s="3"/>
      <c r="V999" s="3"/>
      <c r="W999" s="3"/>
      <c r="X999" s="3"/>
      <c r="Y999" s="3"/>
      <c r="Z999" s="27" t="s">
        <v>247</v>
      </c>
      <c r="AA999" t="s">
        <v>219</v>
      </c>
    </row>
    <row r="1000" spans="1:27" x14ac:dyDescent="0.25">
      <c r="A1000" s="12">
        <v>124</v>
      </c>
      <c r="B1000">
        <v>37</v>
      </c>
      <c r="C1000">
        <f t="shared" si="139"/>
        <v>12437</v>
      </c>
      <c r="D1000" s="3" t="s">
        <v>86</v>
      </c>
      <c r="E1000" s="11">
        <v>58.36</v>
      </c>
      <c r="F1000" s="11">
        <v>1.91</v>
      </c>
      <c r="G1000" s="12" t="s">
        <v>144</v>
      </c>
      <c r="H1000" s="12" t="s">
        <v>47</v>
      </c>
      <c r="I1000">
        <v>2011</v>
      </c>
      <c r="J1000" s="12" t="s">
        <v>163</v>
      </c>
      <c r="K1000" s="2">
        <v>0</v>
      </c>
      <c r="L1000" s="2"/>
      <c r="M1000" s="33">
        <v>1.8927189149999999</v>
      </c>
      <c r="N1000" s="33">
        <v>1.662097352</v>
      </c>
      <c r="O1000" s="8"/>
      <c r="P1000" s="1"/>
      <c r="Q1000" s="1"/>
      <c r="R1000" s="1"/>
      <c r="S1000" s="3"/>
      <c r="T1000" s="3"/>
      <c r="U1000" s="3"/>
      <c r="V1000" s="3"/>
      <c r="W1000" s="3"/>
      <c r="X1000" s="3"/>
      <c r="Y1000" s="3"/>
      <c r="Z1000" s="27" t="s">
        <v>247</v>
      </c>
      <c r="AA1000" t="s">
        <v>219</v>
      </c>
    </row>
    <row r="1001" spans="1:27" x14ac:dyDescent="0.25">
      <c r="A1001" s="12">
        <v>124</v>
      </c>
      <c r="B1001">
        <v>37</v>
      </c>
      <c r="C1001">
        <f t="shared" si="139"/>
        <v>12437</v>
      </c>
      <c r="D1001" s="3" t="s">
        <v>86</v>
      </c>
      <c r="E1001" s="11">
        <v>58.36</v>
      </c>
      <c r="F1001" s="11">
        <v>1.91</v>
      </c>
      <c r="G1001" s="12" t="s">
        <v>144</v>
      </c>
      <c r="H1001" s="12" t="s">
        <v>47</v>
      </c>
      <c r="I1001">
        <v>2012</v>
      </c>
      <c r="J1001" s="12" t="s">
        <v>163</v>
      </c>
      <c r="K1001" s="2">
        <v>0</v>
      </c>
      <c r="L1001" s="2"/>
      <c r="M1001" s="33">
        <v>7.8107924999999998</v>
      </c>
      <c r="N1001" s="33">
        <v>11.82</v>
      </c>
      <c r="O1001" s="8"/>
      <c r="P1001" s="1"/>
      <c r="Q1001" s="1"/>
      <c r="R1001" s="1"/>
      <c r="S1001" s="3"/>
      <c r="T1001" s="3"/>
      <c r="U1001" s="3"/>
      <c r="V1001" s="3"/>
      <c r="W1001" s="3"/>
      <c r="X1001" s="3"/>
      <c r="Y1001" s="3"/>
      <c r="Z1001" s="27" t="s">
        <v>247</v>
      </c>
      <c r="AA1001" t="s">
        <v>219</v>
      </c>
    </row>
    <row r="1002" spans="1:27" x14ac:dyDescent="0.25">
      <c r="A1002" s="12">
        <v>124</v>
      </c>
      <c r="B1002">
        <v>37</v>
      </c>
      <c r="C1002">
        <f t="shared" si="139"/>
        <v>12437</v>
      </c>
      <c r="D1002" s="3" t="s">
        <v>86</v>
      </c>
      <c r="E1002" s="11">
        <v>58.36</v>
      </c>
      <c r="F1002" s="11">
        <v>1.91</v>
      </c>
      <c r="G1002" s="12" t="s">
        <v>144</v>
      </c>
      <c r="H1002" s="12" t="s">
        <v>47</v>
      </c>
      <c r="I1002">
        <v>2013</v>
      </c>
      <c r="J1002" s="12" t="s">
        <v>163</v>
      </c>
      <c r="K1002" s="2">
        <v>0</v>
      </c>
      <c r="L1002" s="2"/>
      <c r="M1002" s="33">
        <v>5.9378743835250001</v>
      </c>
      <c r="N1002" s="33">
        <v>8.8074999999999992</v>
      </c>
      <c r="O1002" s="8"/>
      <c r="P1002" s="1"/>
      <c r="Q1002" s="1"/>
      <c r="R1002" s="1"/>
      <c r="S1002" s="3"/>
      <c r="T1002" s="3"/>
      <c r="U1002" s="3"/>
      <c r="V1002" s="3"/>
      <c r="W1002" s="3"/>
      <c r="X1002" s="3"/>
      <c r="Y1002" s="3"/>
      <c r="Z1002" s="27" t="s">
        <v>247</v>
      </c>
      <c r="AA1002" t="s">
        <v>219</v>
      </c>
    </row>
    <row r="1003" spans="1:27" x14ac:dyDescent="0.25">
      <c r="A1003" s="12">
        <v>124</v>
      </c>
      <c r="B1003">
        <v>37</v>
      </c>
      <c r="C1003">
        <f t="shared" si="139"/>
        <v>12437</v>
      </c>
      <c r="D1003" s="3" t="s">
        <v>86</v>
      </c>
      <c r="E1003" s="11">
        <v>58.36</v>
      </c>
      <c r="F1003" s="11">
        <v>1.91</v>
      </c>
      <c r="G1003" s="12" t="s">
        <v>144</v>
      </c>
      <c r="H1003" s="12" t="s">
        <v>47</v>
      </c>
      <c r="I1003">
        <v>2014</v>
      </c>
      <c r="J1003" s="12" t="s">
        <v>163</v>
      </c>
      <c r="K1003" s="2">
        <v>0</v>
      </c>
      <c r="L1003" s="2"/>
      <c r="M1003" s="33">
        <v>6.9749999999999996</v>
      </c>
      <c r="N1003" s="33">
        <v>6.35</v>
      </c>
      <c r="O1003" s="8"/>
      <c r="P1003" s="1"/>
      <c r="Q1003" s="1"/>
      <c r="R1003" s="1"/>
      <c r="S1003" s="3"/>
      <c r="T1003" s="3"/>
      <c r="U1003" s="3"/>
      <c r="V1003" s="3"/>
      <c r="W1003" s="3"/>
      <c r="X1003" s="3"/>
      <c r="Y1003" s="3"/>
      <c r="Z1003" s="27" t="s">
        <v>247</v>
      </c>
      <c r="AA1003" t="s">
        <v>219</v>
      </c>
    </row>
    <row r="1004" spans="1:27" x14ac:dyDescent="0.25">
      <c r="A1004" s="12">
        <v>124</v>
      </c>
      <c r="B1004">
        <v>37</v>
      </c>
      <c r="C1004">
        <f t="shared" si="139"/>
        <v>12437</v>
      </c>
      <c r="D1004" s="3" t="s">
        <v>86</v>
      </c>
      <c r="E1004" s="11">
        <v>58.36</v>
      </c>
      <c r="F1004" s="11">
        <v>1.91</v>
      </c>
      <c r="G1004" s="12" t="s">
        <v>144</v>
      </c>
      <c r="H1004" s="12" t="s">
        <v>47</v>
      </c>
      <c r="I1004">
        <v>2015</v>
      </c>
      <c r="J1004" s="12" t="s">
        <v>163</v>
      </c>
      <c r="K1004" s="2">
        <v>0</v>
      </c>
      <c r="L1004" s="2"/>
      <c r="M1004" s="33">
        <v>6.9966666666666697</v>
      </c>
      <c r="N1004" s="33">
        <v>6.1349999999999998</v>
      </c>
      <c r="O1004" s="8"/>
      <c r="P1004" s="1"/>
      <c r="Q1004" s="1"/>
      <c r="R1004" s="1"/>
      <c r="S1004" s="3"/>
      <c r="T1004" s="3"/>
      <c r="U1004" s="3"/>
      <c r="V1004" s="3"/>
      <c r="W1004" s="3"/>
      <c r="X1004" s="3"/>
      <c r="Y1004" s="3"/>
      <c r="Z1004" s="27" t="s">
        <v>247</v>
      </c>
      <c r="AA1004" t="s">
        <v>219</v>
      </c>
    </row>
    <row r="1005" spans="1:27" x14ac:dyDescent="0.25">
      <c r="A1005" s="12">
        <v>124</v>
      </c>
      <c r="B1005">
        <v>37</v>
      </c>
      <c r="C1005">
        <f t="shared" si="139"/>
        <v>12437</v>
      </c>
      <c r="D1005" s="3" t="s">
        <v>86</v>
      </c>
      <c r="E1005" s="11">
        <v>58.36</v>
      </c>
      <c r="F1005" s="11">
        <v>1.91</v>
      </c>
      <c r="G1005" s="12" t="s">
        <v>144</v>
      </c>
      <c r="H1005" s="12" t="s">
        <v>47</v>
      </c>
      <c r="I1005">
        <v>2016</v>
      </c>
      <c r="J1005" s="12" t="s">
        <v>163</v>
      </c>
      <c r="K1005" s="2">
        <v>0</v>
      </c>
      <c r="L1005" s="2"/>
      <c r="M1005" s="33">
        <v>6.29</v>
      </c>
      <c r="N1005" s="33">
        <v>6.2866666666666697</v>
      </c>
      <c r="O1005" s="8"/>
      <c r="P1005" s="1"/>
      <c r="Q1005" s="1"/>
      <c r="R1005" s="1"/>
      <c r="S1005" s="3"/>
      <c r="T1005" s="3"/>
      <c r="U1005" s="3"/>
      <c r="V1005" s="3"/>
      <c r="W1005" s="3"/>
      <c r="X1005" s="3"/>
      <c r="Y1005" s="3"/>
      <c r="Z1005" s="27" t="s">
        <v>247</v>
      </c>
      <c r="AA1005" t="s">
        <v>219</v>
      </c>
    </row>
    <row r="1006" spans="1:27" x14ac:dyDescent="0.25">
      <c r="A1006" s="12">
        <v>124</v>
      </c>
      <c r="B1006">
        <v>37</v>
      </c>
      <c r="C1006">
        <f t="shared" si="139"/>
        <v>12437</v>
      </c>
      <c r="D1006" s="3" t="s">
        <v>86</v>
      </c>
      <c r="E1006" s="11">
        <v>58.36</v>
      </c>
      <c r="F1006" s="11">
        <v>1.91</v>
      </c>
      <c r="G1006" s="12" t="s">
        <v>144</v>
      </c>
      <c r="H1006" s="12" t="s">
        <v>47</v>
      </c>
      <c r="I1006">
        <v>2017</v>
      </c>
      <c r="J1006" s="12" t="s">
        <v>163</v>
      </c>
      <c r="K1006" s="2">
        <v>0</v>
      </c>
      <c r="L1006" s="2"/>
      <c r="M1006" s="33">
        <v>4.49</v>
      </c>
      <c r="N1006" s="33">
        <v>5.6825000000000001</v>
      </c>
      <c r="O1006" s="8"/>
      <c r="P1006" s="1"/>
      <c r="Q1006" s="1"/>
      <c r="R1006" s="1"/>
      <c r="S1006" s="3"/>
      <c r="T1006" s="3"/>
      <c r="U1006" s="3"/>
      <c r="V1006" s="3"/>
      <c r="W1006" s="3"/>
      <c r="X1006" s="3"/>
      <c r="Y1006" s="3"/>
      <c r="Z1006" s="27" t="s">
        <v>247</v>
      </c>
      <c r="AA1006" t="s">
        <v>219</v>
      </c>
    </row>
    <row r="1007" spans="1:27" x14ac:dyDescent="0.25">
      <c r="A1007" s="12">
        <v>124</v>
      </c>
      <c r="B1007">
        <v>37</v>
      </c>
      <c r="C1007">
        <f t="shared" si="139"/>
        <v>12437</v>
      </c>
      <c r="D1007" s="3" t="s">
        <v>86</v>
      </c>
      <c r="E1007" s="11">
        <v>58.36</v>
      </c>
      <c r="F1007" s="11">
        <v>1.91</v>
      </c>
      <c r="G1007" s="12" t="s">
        <v>144</v>
      </c>
      <c r="H1007" s="12" t="s">
        <v>47</v>
      </c>
      <c r="I1007">
        <v>2018</v>
      </c>
      <c r="J1007" s="12" t="s">
        <v>163</v>
      </c>
      <c r="K1007" s="2">
        <v>0</v>
      </c>
      <c r="L1007" s="2"/>
      <c r="M1007" s="33">
        <v>4.6539999999999999</v>
      </c>
      <c r="N1007" s="33">
        <v>5.9859999999999998</v>
      </c>
      <c r="O1007" s="8"/>
      <c r="P1007" s="1"/>
      <c r="Q1007" s="1"/>
      <c r="R1007" s="1"/>
      <c r="S1007" s="3"/>
      <c r="T1007" s="3"/>
      <c r="U1007" s="3"/>
      <c r="V1007" s="3"/>
      <c r="W1007" s="3"/>
      <c r="X1007" s="3"/>
      <c r="Y1007" s="3"/>
      <c r="Z1007" s="27" t="s">
        <v>247</v>
      </c>
      <c r="AA1007" t="s">
        <v>219</v>
      </c>
    </row>
    <row r="1008" spans="1:27" x14ac:dyDescent="0.25">
      <c r="A1008" s="12">
        <v>124</v>
      </c>
      <c r="B1008">
        <v>37</v>
      </c>
      <c r="C1008">
        <f t="shared" si="139"/>
        <v>12437</v>
      </c>
      <c r="D1008" s="3" t="s">
        <v>86</v>
      </c>
      <c r="E1008" s="11">
        <v>58.36</v>
      </c>
      <c r="F1008" s="11">
        <v>1.91</v>
      </c>
      <c r="G1008" s="12" t="s">
        <v>144</v>
      </c>
      <c r="H1008" s="12" t="s">
        <v>47</v>
      </c>
      <c r="I1008">
        <v>2019</v>
      </c>
      <c r="J1008" s="12" t="s">
        <v>163</v>
      </c>
      <c r="K1008" s="2">
        <v>0</v>
      </c>
      <c r="L1008" s="2"/>
      <c r="M1008" s="33">
        <v>3.3075000000000001</v>
      </c>
      <c r="N1008" s="33">
        <v>3.6924999999999999</v>
      </c>
      <c r="O1008" s="8"/>
      <c r="P1008" s="1"/>
      <c r="Q1008" s="1"/>
      <c r="R1008" s="1"/>
      <c r="S1008" s="3"/>
      <c r="T1008" s="3"/>
      <c r="U1008" s="3"/>
      <c r="V1008" s="3"/>
      <c r="W1008" s="3"/>
      <c r="X1008" s="3"/>
      <c r="Y1008" s="3"/>
      <c r="Z1008" s="27" t="s">
        <v>247</v>
      </c>
      <c r="AA1008" t="s">
        <v>219</v>
      </c>
    </row>
    <row r="1009" spans="1:27" x14ac:dyDescent="0.25">
      <c r="A1009" s="12">
        <v>124</v>
      </c>
      <c r="B1009">
        <v>37</v>
      </c>
      <c r="C1009">
        <f t="shared" si="139"/>
        <v>12437</v>
      </c>
      <c r="D1009" s="3" t="s">
        <v>86</v>
      </c>
      <c r="E1009" s="11">
        <v>58.36</v>
      </c>
      <c r="F1009" s="11">
        <v>1.91</v>
      </c>
      <c r="G1009" s="12" t="s">
        <v>144</v>
      </c>
      <c r="H1009" s="12" t="s">
        <v>47</v>
      </c>
      <c r="I1009">
        <v>2020</v>
      </c>
      <c r="J1009" s="12" t="s">
        <v>163</v>
      </c>
      <c r="K1009" s="2">
        <v>0</v>
      </c>
      <c r="L1009" s="2"/>
      <c r="M1009" s="33">
        <v>12.36825</v>
      </c>
      <c r="N1009" s="33">
        <v>17.853000000000002</v>
      </c>
      <c r="O1009" s="8"/>
      <c r="P1009" s="1"/>
      <c r="Q1009" s="1"/>
      <c r="R1009" s="1"/>
      <c r="S1009" s="3"/>
      <c r="T1009" s="3"/>
      <c r="U1009" s="3"/>
      <c r="V1009" s="3"/>
      <c r="W1009" s="3"/>
      <c r="X1009" s="3"/>
      <c r="Y1009" s="3"/>
      <c r="Z1009" s="27" t="s">
        <v>247</v>
      </c>
      <c r="AA1009" t="s">
        <v>219</v>
      </c>
    </row>
    <row r="1010" spans="1:27" x14ac:dyDescent="0.25">
      <c r="A1010" s="12">
        <v>124</v>
      </c>
      <c r="B1010">
        <v>37</v>
      </c>
      <c r="C1010">
        <f t="shared" si="139"/>
        <v>12437</v>
      </c>
      <c r="D1010" s="3" t="s">
        <v>86</v>
      </c>
      <c r="E1010" s="11">
        <v>58.36</v>
      </c>
      <c r="F1010" s="11">
        <v>1.91</v>
      </c>
      <c r="G1010" s="12" t="s">
        <v>144</v>
      </c>
      <c r="H1010" s="12" t="s">
        <v>47</v>
      </c>
      <c r="I1010">
        <v>2021</v>
      </c>
      <c r="J1010" s="12" t="s">
        <v>163</v>
      </c>
      <c r="K1010" s="2">
        <v>0</v>
      </c>
      <c r="L1010" s="2"/>
      <c r="M1010" s="33">
        <v>9.0257500000000004</v>
      </c>
      <c r="N1010" s="33">
        <v>6.4379999999999997</v>
      </c>
      <c r="O1010" s="8"/>
      <c r="P1010" s="1"/>
      <c r="Q1010" s="1"/>
      <c r="R1010" s="1"/>
      <c r="S1010" s="3"/>
      <c r="T1010" s="3"/>
      <c r="U1010" s="3"/>
      <c r="V1010" s="3"/>
      <c r="W1010" s="3"/>
      <c r="X1010" s="3"/>
      <c r="Y1010" s="3"/>
      <c r="Z1010" s="27" t="s">
        <v>247</v>
      </c>
      <c r="AA1010" t="s">
        <v>219</v>
      </c>
    </row>
    <row r="1011" spans="1:27" x14ac:dyDescent="0.25">
      <c r="A1011" s="12">
        <v>124</v>
      </c>
      <c r="B1011">
        <v>38</v>
      </c>
      <c r="C1011">
        <f t="shared" si="139"/>
        <v>12438</v>
      </c>
      <c r="D1011" s="3" t="s">
        <v>86</v>
      </c>
      <c r="E1011" s="11">
        <f>71+35/60+31.8/3600</f>
        <v>71.592166666666657</v>
      </c>
      <c r="F1011" s="11">
        <f>21+16/60+22.8/3600</f>
        <v>21.273</v>
      </c>
      <c r="G1011" s="12" t="s">
        <v>144</v>
      </c>
      <c r="H1011" s="12" t="s">
        <v>47</v>
      </c>
      <c r="I1011">
        <v>2012</v>
      </c>
      <c r="J1011" s="12" t="s">
        <v>163</v>
      </c>
      <c r="K1011" s="2">
        <v>0</v>
      </c>
      <c r="L1011" s="2"/>
      <c r="M1011" s="33">
        <v>0.45</v>
      </c>
      <c r="N1011" s="33">
        <v>0.28000000000000003</v>
      </c>
      <c r="O1011" s="8"/>
      <c r="P1011" s="1"/>
      <c r="Q1011" s="1"/>
      <c r="R1011" s="1"/>
      <c r="S1011" s="3"/>
      <c r="T1011" s="3"/>
      <c r="U1011" s="3"/>
      <c r="V1011" s="3"/>
      <c r="W1011" s="3"/>
      <c r="X1011" s="3"/>
      <c r="Y1011" s="3"/>
      <c r="Z1011" s="27" t="s">
        <v>247</v>
      </c>
      <c r="AA1011" t="s">
        <v>432</v>
      </c>
    </row>
    <row r="1012" spans="1:27" x14ac:dyDescent="0.25">
      <c r="A1012" s="12">
        <v>124</v>
      </c>
      <c r="B1012">
        <v>38</v>
      </c>
      <c r="C1012">
        <f t="shared" si="139"/>
        <v>12438</v>
      </c>
      <c r="D1012" s="3" t="s">
        <v>86</v>
      </c>
      <c r="E1012" s="11">
        <f t="shared" ref="E1012:E1018" si="140">71+35/60+31.8/3600</f>
        <v>71.592166666666657</v>
      </c>
      <c r="F1012" s="11">
        <f t="shared" ref="F1012:F1018" si="141">21+16/60+22.8/3600</f>
        <v>21.273</v>
      </c>
      <c r="G1012" s="12" t="s">
        <v>144</v>
      </c>
      <c r="H1012" s="12" t="s">
        <v>47</v>
      </c>
      <c r="I1012">
        <v>2014</v>
      </c>
      <c r="J1012" s="12" t="s">
        <v>163</v>
      </c>
      <c r="K1012" s="2">
        <v>0</v>
      </c>
      <c r="L1012" s="2"/>
      <c r="M1012" s="33">
        <v>3.7499999999999999E-2</v>
      </c>
      <c r="N1012" s="33">
        <v>3.6499999999999998E-2</v>
      </c>
      <c r="O1012" s="8"/>
      <c r="P1012" s="1"/>
      <c r="Q1012" s="1"/>
      <c r="R1012" s="1"/>
      <c r="S1012" s="3"/>
      <c r="T1012" s="3"/>
      <c r="U1012" s="3"/>
      <c r="V1012" s="3"/>
      <c r="W1012" s="3"/>
      <c r="X1012" s="3"/>
      <c r="Y1012" s="3"/>
      <c r="Z1012" s="27" t="s">
        <v>247</v>
      </c>
      <c r="AA1012" t="s">
        <v>432</v>
      </c>
    </row>
    <row r="1013" spans="1:27" x14ac:dyDescent="0.25">
      <c r="A1013" s="12">
        <v>124</v>
      </c>
      <c r="B1013">
        <v>38</v>
      </c>
      <c r="C1013">
        <f t="shared" si="139"/>
        <v>12438</v>
      </c>
      <c r="D1013" s="3" t="s">
        <v>86</v>
      </c>
      <c r="E1013" s="11">
        <f t="shared" si="140"/>
        <v>71.592166666666657</v>
      </c>
      <c r="F1013" s="11">
        <f t="shared" si="141"/>
        <v>21.273</v>
      </c>
      <c r="G1013" s="12" t="s">
        <v>144</v>
      </c>
      <c r="H1013" s="12" t="s">
        <v>47</v>
      </c>
      <c r="I1013">
        <v>2015</v>
      </c>
      <c r="J1013" s="12" t="s">
        <v>163</v>
      </c>
      <c r="K1013" s="2">
        <v>0</v>
      </c>
      <c r="L1013" s="2"/>
      <c r="M1013" s="33">
        <v>2.0625000000000001E-2</v>
      </c>
      <c r="N1013" s="33">
        <v>2.5000000000000001E-2</v>
      </c>
      <c r="O1013" s="8"/>
      <c r="P1013" s="1"/>
      <c r="Q1013" s="1"/>
      <c r="R1013" s="1"/>
      <c r="S1013" s="3"/>
      <c r="T1013" s="3"/>
      <c r="U1013" s="3"/>
      <c r="V1013" s="3"/>
      <c r="W1013" s="3"/>
      <c r="X1013" s="3"/>
      <c r="Y1013" s="3"/>
      <c r="Z1013" s="27" t="s">
        <v>247</v>
      </c>
      <c r="AA1013" t="s">
        <v>432</v>
      </c>
    </row>
    <row r="1014" spans="1:27" x14ac:dyDescent="0.25">
      <c r="A1014" s="12">
        <v>124</v>
      </c>
      <c r="B1014">
        <v>38</v>
      </c>
      <c r="C1014">
        <f t="shared" si="139"/>
        <v>12438</v>
      </c>
      <c r="D1014" s="3" t="s">
        <v>86</v>
      </c>
      <c r="E1014" s="11">
        <f t="shared" si="140"/>
        <v>71.592166666666657</v>
      </c>
      <c r="F1014" s="11">
        <f t="shared" si="141"/>
        <v>21.273</v>
      </c>
      <c r="G1014" s="12" t="s">
        <v>144</v>
      </c>
      <c r="H1014" s="12" t="s">
        <v>47</v>
      </c>
      <c r="I1014">
        <v>2016</v>
      </c>
      <c r="J1014" s="12" t="s">
        <v>163</v>
      </c>
      <c r="K1014" s="2">
        <v>0</v>
      </c>
      <c r="L1014" s="2"/>
      <c r="M1014" s="33">
        <v>4.4999999999999998E-2</v>
      </c>
      <c r="N1014" s="33">
        <v>0.04</v>
      </c>
      <c r="O1014" s="8"/>
      <c r="P1014" s="1"/>
      <c r="Q1014" s="1"/>
      <c r="R1014" s="1"/>
      <c r="S1014" s="3"/>
      <c r="T1014" s="3"/>
      <c r="U1014" s="3"/>
      <c r="V1014" s="3"/>
      <c r="W1014" s="3"/>
      <c r="X1014" s="3"/>
      <c r="Y1014" s="3"/>
      <c r="Z1014" s="27" t="s">
        <v>247</v>
      </c>
      <c r="AA1014" t="s">
        <v>432</v>
      </c>
    </row>
    <row r="1015" spans="1:27" x14ac:dyDescent="0.25">
      <c r="A1015" s="12">
        <v>124</v>
      </c>
      <c r="B1015">
        <v>38</v>
      </c>
      <c r="C1015">
        <f t="shared" si="139"/>
        <v>12438</v>
      </c>
      <c r="D1015" s="3" t="s">
        <v>86</v>
      </c>
      <c r="E1015" s="11">
        <f t="shared" si="140"/>
        <v>71.592166666666657</v>
      </c>
      <c r="F1015" s="11">
        <f t="shared" si="141"/>
        <v>21.273</v>
      </c>
      <c r="G1015" s="12" t="s">
        <v>144</v>
      </c>
      <c r="H1015" s="12" t="s">
        <v>47</v>
      </c>
      <c r="I1015">
        <v>2017</v>
      </c>
      <c r="J1015" s="12" t="s">
        <v>163</v>
      </c>
      <c r="K1015" s="2">
        <v>0</v>
      </c>
      <c r="L1015" s="2"/>
      <c r="M1015" s="33">
        <v>4.4249999999999998E-2</v>
      </c>
      <c r="N1015" s="33">
        <v>3.58333333333333E-2</v>
      </c>
      <c r="O1015" s="8"/>
      <c r="P1015" s="1"/>
      <c r="Q1015" s="1"/>
      <c r="R1015" s="1"/>
      <c r="S1015" s="3"/>
      <c r="T1015" s="3"/>
      <c r="U1015" s="3"/>
      <c r="V1015" s="3"/>
      <c r="W1015" s="3"/>
      <c r="X1015" s="3"/>
      <c r="Y1015" s="3"/>
      <c r="Z1015" s="27" t="s">
        <v>247</v>
      </c>
      <c r="AA1015" t="s">
        <v>432</v>
      </c>
    </row>
    <row r="1016" spans="1:27" x14ac:dyDescent="0.25">
      <c r="A1016" s="12">
        <v>124</v>
      </c>
      <c r="B1016">
        <v>38</v>
      </c>
      <c r="C1016">
        <f t="shared" si="139"/>
        <v>12438</v>
      </c>
      <c r="D1016" s="3" t="s">
        <v>86</v>
      </c>
      <c r="E1016" s="11">
        <f t="shared" si="140"/>
        <v>71.592166666666657</v>
      </c>
      <c r="F1016" s="11">
        <f t="shared" si="141"/>
        <v>21.273</v>
      </c>
      <c r="G1016" s="12" t="s">
        <v>144</v>
      </c>
      <c r="H1016" s="12" t="s">
        <v>47</v>
      </c>
      <c r="I1016">
        <v>2018</v>
      </c>
      <c r="J1016" s="12" t="s">
        <v>163</v>
      </c>
      <c r="K1016" s="2">
        <v>0</v>
      </c>
      <c r="L1016" s="2"/>
      <c r="M1016" s="33">
        <v>7.3333333333333306E-2</v>
      </c>
      <c r="N1016" s="33">
        <v>4.2500000000000003E-2</v>
      </c>
      <c r="O1016" s="8"/>
      <c r="P1016" s="1"/>
      <c r="Q1016" s="1"/>
      <c r="R1016" s="1"/>
      <c r="S1016" s="3"/>
      <c r="T1016" s="3"/>
      <c r="U1016" s="3"/>
      <c r="V1016" s="3"/>
      <c r="W1016" s="3"/>
      <c r="X1016" s="3"/>
      <c r="Y1016" s="3"/>
      <c r="Z1016" s="27" t="s">
        <v>247</v>
      </c>
      <c r="AA1016" t="s">
        <v>432</v>
      </c>
    </row>
    <row r="1017" spans="1:27" x14ac:dyDescent="0.25">
      <c r="A1017" s="12">
        <v>124</v>
      </c>
      <c r="B1017">
        <v>38</v>
      </c>
      <c r="C1017">
        <f t="shared" si="139"/>
        <v>12438</v>
      </c>
      <c r="D1017" s="3" t="s">
        <v>86</v>
      </c>
      <c r="E1017" s="11">
        <f t="shared" si="140"/>
        <v>71.592166666666657</v>
      </c>
      <c r="F1017" s="11">
        <f t="shared" si="141"/>
        <v>21.273</v>
      </c>
      <c r="G1017" s="12" t="s">
        <v>144</v>
      </c>
      <c r="H1017" s="12" t="s">
        <v>47</v>
      </c>
      <c r="I1017">
        <v>2019</v>
      </c>
      <c r="J1017" s="12" t="s">
        <v>163</v>
      </c>
      <c r="K1017" s="2">
        <v>0</v>
      </c>
      <c r="L1017" s="2"/>
      <c r="M1017" s="33">
        <v>4.4999999999999998E-2</v>
      </c>
      <c r="N1017" s="33">
        <v>4.33333333333333E-2</v>
      </c>
      <c r="O1017" s="8"/>
      <c r="P1017" s="1"/>
      <c r="Q1017" s="1"/>
      <c r="R1017" s="1"/>
      <c r="S1017" s="3"/>
      <c r="T1017" s="3"/>
      <c r="U1017" s="3"/>
      <c r="V1017" s="3"/>
      <c r="W1017" s="3"/>
      <c r="X1017" s="3"/>
      <c r="Y1017" s="3"/>
      <c r="Z1017" s="27" t="s">
        <v>247</v>
      </c>
      <c r="AA1017" t="s">
        <v>432</v>
      </c>
    </row>
    <row r="1018" spans="1:27" x14ac:dyDescent="0.25">
      <c r="A1018" s="12">
        <v>124</v>
      </c>
      <c r="B1018">
        <v>38</v>
      </c>
      <c r="C1018">
        <f t="shared" si="139"/>
        <v>12438</v>
      </c>
      <c r="D1018" s="3" t="s">
        <v>86</v>
      </c>
      <c r="E1018" s="11">
        <f t="shared" si="140"/>
        <v>71.592166666666657</v>
      </c>
      <c r="F1018" s="11">
        <f t="shared" si="141"/>
        <v>21.273</v>
      </c>
      <c r="G1018" s="12" t="s">
        <v>144</v>
      </c>
      <c r="H1018" s="12" t="s">
        <v>47</v>
      </c>
      <c r="I1018">
        <v>2020</v>
      </c>
      <c r="J1018" s="12" t="s">
        <v>163</v>
      </c>
      <c r="K1018" s="2">
        <v>0</v>
      </c>
      <c r="L1018" s="2"/>
      <c r="M1018" s="33">
        <v>2.9166666666666698E-2</v>
      </c>
      <c r="N1018" s="33">
        <v>2.66666666666667E-2</v>
      </c>
      <c r="O1018" s="8"/>
      <c r="P1018" s="1"/>
      <c r="Q1018" s="1"/>
      <c r="R1018" s="1"/>
      <c r="S1018" s="3"/>
      <c r="T1018" s="3"/>
      <c r="U1018" s="3"/>
      <c r="V1018" s="3"/>
      <c r="W1018" s="3"/>
      <c r="X1018" s="3"/>
      <c r="Y1018" s="3"/>
      <c r="Z1018" s="27" t="s">
        <v>247</v>
      </c>
      <c r="AA1018" t="s">
        <v>432</v>
      </c>
    </row>
    <row r="1019" spans="1:27" x14ac:dyDescent="0.25">
      <c r="A1019" s="12">
        <v>124</v>
      </c>
      <c r="B1019">
        <v>39</v>
      </c>
      <c r="C1019">
        <f t="shared" si="139"/>
        <v>12439</v>
      </c>
      <c r="D1019" s="3" t="s">
        <v>86</v>
      </c>
      <c r="E1019" s="11">
        <f>61+26/60+57.61/3600</f>
        <v>61.449336111111108</v>
      </c>
      <c r="F1019" s="11">
        <f>2+8/60+39.64/3600</f>
        <v>2.1443444444444446</v>
      </c>
      <c r="G1019" s="12" t="s">
        <v>144</v>
      </c>
      <c r="H1019" s="12" t="s">
        <v>47</v>
      </c>
      <c r="I1019">
        <v>2002</v>
      </c>
      <c r="J1019" s="12" t="s">
        <v>163</v>
      </c>
      <c r="K1019" s="2">
        <v>0</v>
      </c>
      <c r="L1019" s="2"/>
      <c r="M1019" s="33">
        <v>4.2833333334999999</v>
      </c>
      <c r="N1019" s="33"/>
      <c r="O1019" s="8"/>
      <c r="P1019" s="1"/>
      <c r="Q1019" s="1"/>
      <c r="R1019" s="1"/>
      <c r="S1019" s="3"/>
      <c r="T1019" s="3"/>
      <c r="U1019" s="3"/>
      <c r="V1019" s="3"/>
      <c r="W1019" s="3"/>
      <c r="X1019" s="3"/>
      <c r="Y1019" s="3"/>
      <c r="Z1019" s="27" t="s">
        <v>247</v>
      </c>
      <c r="AA1019" t="s">
        <v>220</v>
      </c>
    </row>
    <row r="1020" spans="1:27" x14ac:dyDescent="0.25">
      <c r="A1020" s="12">
        <v>124</v>
      </c>
      <c r="B1020">
        <v>39</v>
      </c>
      <c r="C1020">
        <f t="shared" si="139"/>
        <v>12439</v>
      </c>
      <c r="D1020" s="3" t="s">
        <v>86</v>
      </c>
      <c r="E1020" s="11">
        <f t="shared" ref="E1020:E1038" si="142">61+26/60+57.61/3600</f>
        <v>61.449336111111108</v>
      </c>
      <c r="F1020" s="11">
        <f t="shared" ref="F1020:F1038" si="143">2+8/60+39.64/3600</f>
        <v>2.1443444444444446</v>
      </c>
      <c r="G1020" s="12" t="s">
        <v>144</v>
      </c>
      <c r="H1020" s="12" t="s">
        <v>47</v>
      </c>
      <c r="I1020">
        <v>2003</v>
      </c>
      <c r="J1020" s="12" t="s">
        <v>163</v>
      </c>
      <c r="K1020" s="2">
        <v>0</v>
      </c>
      <c r="L1020" s="2"/>
      <c r="M1020" s="33">
        <v>3.8744999999999998</v>
      </c>
      <c r="N1020" s="33"/>
      <c r="O1020" s="8"/>
      <c r="P1020" s="1"/>
      <c r="Q1020" s="1"/>
      <c r="R1020" s="1"/>
      <c r="S1020" s="3"/>
      <c r="T1020" s="3"/>
      <c r="U1020" s="3"/>
      <c r="V1020" s="3"/>
      <c r="W1020" s="3"/>
      <c r="X1020" s="3"/>
      <c r="Y1020" s="3"/>
      <c r="Z1020" s="27" t="s">
        <v>247</v>
      </c>
      <c r="AA1020" t="s">
        <v>220</v>
      </c>
    </row>
    <row r="1021" spans="1:27" x14ac:dyDescent="0.25">
      <c r="A1021" s="12">
        <v>124</v>
      </c>
      <c r="B1021">
        <v>39</v>
      </c>
      <c r="C1021">
        <f t="shared" si="139"/>
        <v>12439</v>
      </c>
      <c r="D1021" s="3" t="s">
        <v>86</v>
      </c>
      <c r="E1021" s="11">
        <f t="shared" si="142"/>
        <v>61.449336111111108</v>
      </c>
      <c r="F1021" s="11">
        <f t="shared" si="143"/>
        <v>2.1443444444444446</v>
      </c>
      <c r="G1021" s="12" t="s">
        <v>144</v>
      </c>
      <c r="H1021" s="12" t="s">
        <v>47</v>
      </c>
      <c r="I1021">
        <v>2004</v>
      </c>
      <c r="J1021" s="12" t="s">
        <v>163</v>
      </c>
      <c r="K1021" s="2">
        <v>0</v>
      </c>
      <c r="L1021" s="2"/>
      <c r="M1021" s="33">
        <v>3.2146831484999998</v>
      </c>
      <c r="N1021" s="33"/>
      <c r="O1021" s="8"/>
      <c r="P1021" s="1"/>
      <c r="Q1021" s="1"/>
      <c r="R1021" s="1"/>
      <c r="S1021" s="3"/>
      <c r="T1021" s="3"/>
      <c r="U1021" s="3"/>
      <c r="V1021" s="3"/>
      <c r="W1021" s="3"/>
      <c r="X1021" s="3"/>
      <c r="Y1021" s="3"/>
      <c r="Z1021" s="27" t="s">
        <v>247</v>
      </c>
      <c r="AA1021" t="s">
        <v>220</v>
      </c>
    </row>
    <row r="1022" spans="1:27" x14ac:dyDescent="0.25">
      <c r="A1022" s="12">
        <v>124</v>
      </c>
      <c r="B1022">
        <v>39</v>
      </c>
      <c r="C1022">
        <f t="shared" si="139"/>
        <v>12439</v>
      </c>
      <c r="D1022" s="3" t="s">
        <v>86</v>
      </c>
      <c r="E1022" s="11">
        <f t="shared" si="142"/>
        <v>61.449336111111108</v>
      </c>
      <c r="F1022" s="11">
        <f t="shared" si="143"/>
        <v>2.1443444444444446</v>
      </c>
      <c r="G1022" s="12" t="s">
        <v>144</v>
      </c>
      <c r="H1022" s="12" t="s">
        <v>47</v>
      </c>
      <c r="I1022">
        <v>2005</v>
      </c>
      <c r="J1022" s="12" t="s">
        <v>163</v>
      </c>
      <c r="K1022" s="2">
        <v>0</v>
      </c>
      <c r="L1022" s="2"/>
      <c r="M1022" s="33">
        <v>4.042083656</v>
      </c>
      <c r="N1022" s="33">
        <v>4.9673374560000001</v>
      </c>
      <c r="O1022" s="8"/>
      <c r="P1022" s="1"/>
      <c r="Q1022" s="1"/>
      <c r="R1022" s="1"/>
      <c r="S1022" s="3"/>
      <c r="T1022" s="3"/>
      <c r="U1022" s="3"/>
      <c r="V1022" s="3"/>
      <c r="W1022" s="3"/>
      <c r="X1022" s="3"/>
      <c r="Y1022" s="3"/>
      <c r="Z1022" s="27" t="s">
        <v>247</v>
      </c>
      <c r="AA1022" t="s">
        <v>220</v>
      </c>
    </row>
    <row r="1023" spans="1:27" x14ac:dyDescent="0.25">
      <c r="A1023" s="12">
        <v>124</v>
      </c>
      <c r="B1023">
        <v>39</v>
      </c>
      <c r="C1023">
        <f t="shared" si="139"/>
        <v>12439</v>
      </c>
      <c r="D1023" s="3" t="s">
        <v>86</v>
      </c>
      <c r="E1023" s="11">
        <f t="shared" si="142"/>
        <v>61.449336111111108</v>
      </c>
      <c r="F1023" s="11">
        <f t="shared" si="143"/>
        <v>2.1443444444444446</v>
      </c>
      <c r="G1023" s="12" t="s">
        <v>144</v>
      </c>
      <c r="H1023" s="12" t="s">
        <v>47</v>
      </c>
      <c r="I1023">
        <v>2006</v>
      </c>
      <c r="J1023" s="12" t="s">
        <v>163</v>
      </c>
      <c r="K1023" s="2">
        <v>0</v>
      </c>
      <c r="L1023" s="2"/>
      <c r="M1023" s="33">
        <v>2.6019444809999999</v>
      </c>
      <c r="N1023" s="33">
        <v>3.4936115045</v>
      </c>
      <c r="O1023" s="8"/>
      <c r="P1023" s="1"/>
      <c r="Q1023" s="1"/>
      <c r="R1023" s="1"/>
      <c r="S1023" s="3"/>
      <c r="T1023" s="3"/>
      <c r="U1023" s="3"/>
      <c r="V1023" s="3"/>
      <c r="W1023" s="3"/>
      <c r="X1023" s="3"/>
      <c r="Y1023" s="3"/>
      <c r="Z1023" s="27" t="s">
        <v>247</v>
      </c>
      <c r="AA1023" t="s">
        <v>220</v>
      </c>
    </row>
    <row r="1024" spans="1:27" x14ac:dyDescent="0.25">
      <c r="A1024" s="12">
        <v>124</v>
      </c>
      <c r="B1024">
        <v>39</v>
      </c>
      <c r="C1024">
        <f t="shared" si="139"/>
        <v>12439</v>
      </c>
      <c r="D1024" s="3" t="s">
        <v>86</v>
      </c>
      <c r="E1024" s="11">
        <f t="shared" si="142"/>
        <v>61.449336111111108</v>
      </c>
      <c r="F1024" s="11">
        <f t="shared" si="143"/>
        <v>2.1443444444444446</v>
      </c>
      <c r="G1024" s="12" t="s">
        <v>144</v>
      </c>
      <c r="H1024" s="12" t="s">
        <v>47</v>
      </c>
      <c r="I1024">
        <v>2007</v>
      </c>
      <c r="J1024" s="12" t="s">
        <v>163</v>
      </c>
      <c r="K1024" s="2">
        <v>0</v>
      </c>
      <c r="L1024" s="2"/>
      <c r="M1024" s="33">
        <v>3.6961599999999999</v>
      </c>
      <c r="N1024" s="33">
        <v>3.7126549999999998</v>
      </c>
      <c r="O1024" s="8"/>
      <c r="P1024" s="1"/>
      <c r="Q1024" s="1"/>
      <c r="R1024" s="1"/>
      <c r="S1024" s="3"/>
      <c r="T1024" s="3"/>
      <c r="U1024" s="3"/>
      <c r="V1024" s="3"/>
      <c r="W1024" s="3"/>
      <c r="X1024" s="3"/>
      <c r="Y1024" s="3"/>
      <c r="Z1024" s="27" t="s">
        <v>247</v>
      </c>
      <c r="AA1024" t="s">
        <v>220</v>
      </c>
    </row>
    <row r="1025" spans="1:27" x14ac:dyDescent="0.25">
      <c r="A1025" s="12">
        <v>124</v>
      </c>
      <c r="B1025">
        <v>39</v>
      </c>
      <c r="C1025">
        <f t="shared" si="139"/>
        <v>12439</v>
      </c>
      <c r="D1025" s="3" t="s">
        <v>86</v>
      </c>
      <c r="E1025" s="11">
        <f t="shared" si="142"/>
        <v>61.449336111111108</v>
      </c>
      <c r="F1025" s="11">
        <f t="shared" si="143"/>
        <v>2.1443444444444446</v>
      </c>
      <c r="G1025" s="12" t="s">
        <v>144</v>
      </c>
      <c r="H1025" s="12" t="s">
        <v>47</v>
      </c>
      <c r="I1025">
        <v>2008</v>
      </c>
      <c r="J1025" s="12" t="s">
        <v>163</v>
      </c>
      <c r="K1025" s="2">
        <v>0</v>
      </c>
      <c r="L1025" s="2"/>
      <c r="M1025" s="33">
        <v>3.9645599040000001</v>
      </c>
      <c r="N1025" s="33">
        <v>4.1363012745000001</v>
      </c>
      <c r="O1025" s="8"/>
      <c r="P1025" s="1"/>
      <c r="Q1025" s="1"/>
      <c r="R1025" s="1"/>
      <c r="S1025" s="3"/>
      <c r="T1025" s="3"/>
      <c r="U1025" s="3"/>
      <c r="V1025" s="3"/>
      <c r="W1025" s="3"/>
      <c r="X1025" s="3"/>
      <c r="Y1025" s="3"/>
      <c r="Z1025" s="27" t="s">
        <v>247</v>
      </c>
      <c r="AA1025" t="s">
        <v>220</v>
      </c>
    </row>
    <row r="1026" spans="1:27" x14ac:dyDescent="0.25">
      <c r="A1026" s="12">
        <v>124</v>
      </c>
      <c r="B1026">
        <v>39</v>
      </c>
      <c r="C1026">
        <f t="shared" si="139"/>
        <v>12439</v>
      </c>
      <c r="D1026" s="3" t="s">
        <v>86</v>
      </c>
      <c r="E1026" s="11">
        <f t="shared" si="142"/>
        <v>61.449336111111108</v>
      </c>
      <c r="F1026" s="11">
        <f t="shared" si="143"/>
        <v>2.1443444444444446</v>
      </c>
      <c r="G1026" s="12" t="s">
        <v>144</v>
      </c>
      <c r="H1026" s="12" t="s">
        <v>47</v>
      </c>
      <c r="I1026">
        <v>2009</v>
      </c>
      <c r="J1026" s="12" t="s">
        <v>163</v>
      </c>
      <c r="K1026" s="2">
        <v>0</v>
      </c>
      <c r="L1026" s="2"/>
      <c r="M1026" s="33">
        <v>5.0588190515000004</v>
      </c>
      <c r="N1026" s="33">
        <v>4.0236326729999998</v>
      </c>
      <c r="O1026" s="8"/>
      <c r="P1026" s="1"/>
      <c r="Q1026" s="1"/>
      <c r="R1026" s="1"/>
      <c r="S1026" s="3"/>
      <c r="T1026" s="3"/>
      <c r="U1026" s="3"/>
      <c r="V1026" s="3"/>
      <c r="W1026" s="3"/>
      <c r="X1026" s="3"/>
      <c r="Y1026" s="3"/>
      <c r="Z1026" s="27" t="s">
        <v>247</v>
      </c>
      <c r="AA1026" t="s">
        <v>220</v>
      </c>
    </row>
    <row r="1027" spans="1:27" x14ac:dyDescent="0.25">
      <c r="A1027" s="12">
        <v>124</v>
      </c>
      <c r="B1027">
        <v>39</v>
      </c>
      <c r="C1027">
        <f t="shared" si="139"/>
        <v>12439</v>
      </c>
      <c r="D1027" s="3" t="s">
        <v>86</v>
      </c>
      <c r="E1027" s="11">
        <f t="shared" si="142"/>
        <v>61.449336111111108</v>
      </c>
      <c r="F1027" s="11">
        <f t="shared" si="143"/>
        <v>2.1443444444444446</v>
      </c>
      <c r="G1027" s="12" t="s">
        <v>144</v>
      </c>
      <c r="H1027" s="12" t="s">
        <v>47</v>
      </c>
      <c r="I1027">
        <v>2010</v>
      </c>
      <c r="J1027" s="12" t="s">
        <v>163</v>
      </c>
      <c r="K1027" s="2">
        <v>0</v>
      </c>
      <c r="L1027" s="2"/>
      <c r="M1027" s="33">
        <v>2.95844342</v>
      </c>
      <c r="N1027" s="33">
        <v>2.8522708529999998</v>
      </c>
      <c r="O1027" s="8"/>
      <c r="P1027" s="1"/>
      <c r="Q1027" s="1"/>
      <c r="R1027" s="1"/>
      <c r="S1027" s="3"/>
      <c r="T1027" s="3"/>
      <c r="U1027" s="3"/>
      <c r="V1027" s="3"/>
      <c r="W1027" s="3"/>
      <c r="X1027" s="3"/>
      <c r="Y1027" s="3"/>
      <c r="Z1027" s="27" t="s">
        <v>247</v>
      </c>
      <c r="AA1027" t="s">
        <v>220</v>
      </c>
    </row>
    <row r="1028" spans="1:27" x14ac:dyDescent="0.25">
      <c r="A1028" s="12">
        <v>124</v>
      </c>
      <c r="B1028">
        <v>39</v>
      </c>
      <c r="C1028">
        <f t="shared" si="139"/>
        <v>12439</v>
      </c>
      <c r="D1028" s="3" t="s">
        <v>86</v>
      </c>
      <c r="E1028" s="11">
        <f t="shared" si="142"/>
        <v>61.449336111111108</v>
      </c>
      <c r="F1028" s="11">
        <f t="shared" si="143"/>
        <v>2.1443444444444446</v>
      </c>
      <c r="G1028" s="12" t="s">
        <v>144</v>
      </c>
      <c r="H1028" s="12" t="s">
        <v>47</v>
      </c>
      <c r="I1028">
        <v>2011</v>
      </c>
      <c r="J1028" s="12" t="s">
        <v>163</v>
      </c>
      <c r="K1028" s="2">
        <v>0</v>
      </c>
      <c r="L1028" s="2"/>
      <c r="M1028" s="33">
        <v>3.9075715799999999</v>
      </c>
      <c r="N1028" s="33">
        <v>3.4951651300000002</v>
      </c>
      <c r="O1028" s="8"/>
      <c r="P1028" s="1"/>
      <c r="Q1028" s="1"/>
      <c r="R1028" s="1"/>
      <c r="S1028" s="3"/>
      <c r="T1028" s="3"/>
      <c r="U1028" s="3"/>
      <c r="V1028" s="3"/>
      <c r="W1028" s="3"/>
      <c r="X1028" s="3"/>
      <c r="Y1028" s="3"/>
      <c r="Z1028" s="27" t="s">
        <v>247</v>
      </c>
      <c r="AA1028" t="s">
        <v>220</v>
      </c>
    </row>
    <row r="1029" spans="1:27" x14ac:dyDescent="0.25">
      <c r="A1029" s="12">
        <v>124</v>
      </c>
      <c r="B1029">
        <v>39</v>
      </c>
      <c r="C1029">
        <f t="shared" si="139"/>
        <v>12439</v>
      </c>
      <c r="D1029" s="3" t="s">
        <v>86</v>
      </c>
      <c r="E1029" s="11">
        <f t="shared" si="142"/>
        <v>61.449336111111108</v>
      </c>
      <c r="F1029" s="11">
        <f t="shared" si="143"/>
        <v>2.1443444444444446</v>
      </c>
      <c r="G1029" s="12" t="s">
        <v>144</v>
      </c>
      <c r="H1029" s="12" t="s">
        <v>47</v>
      </c>
      <c r="I1029">
        <v>2012</v>
      </c>
      <c r="J1029" s="12" t="s">
        <v>163</v>
      </c>
      <c r="K1029" s="2">
        <v>0</v>
      </c>
      <c r="L1029" s="2"/>
      <c r="M1029" s="33">
        <v>4.6320870833333299</v>
      </c>
      <c r="N1029" s="33">
        <v>3.6548804545454501</v>
      </c>
      <c r="O1029" s="8"/>
      <c r="P1029" s="1"/>
      <c r="Q1029" s="1"/>
      <c r="R1029" s="1"/>
      <c r="S1029" s="3"/>
      <c r="T1029" s="3"/>
      <c r="U1029" s="3"/>
      <c r="V1029" s="3"/>
      <c r="W1029" s="3"/>
      <c r="X1029" s="3"/>
      <c r="Y1029" s="3"/>
      <c r="Z1029" s="27" t="s">
        <v>247</v>
      </c>
      <c r="AA1029" t="s">
        <v>220</v>
      </c>
    </row>
    <row r="1030" spans="1:27" x14ac:dyDescent="0.25">
      <c r="A1030" s="12">
        <v>124</v>
      </c>
      <c r="B1030">
        <v>39</v>
      </c>
      <c r="C1030">
        <f t="shared" si="139"/>
        <v>12439</v>
      </c>
      <c r="D1030" s="3" t="s">
        <v>86</v>
      </c>
      <c r="E1030" s="11">
        <f t="shared" si="142"/>
        <v>61.449336111111108</v>
      </c>
      <c r="F1030" s="11">
        <f t="shared" si="143"/>
        <v>2.1443444444444446</v>
      </c>
      <c r="G1030" s="12" t="s">
        <v>144</v>
      </c>
      <c r="H1030" s="12" t="s">
        <v>47</v>
      </c>
      <c r="I1030">
        <v>2013</v>
      </c>
      <c r="J1030" s="12" t="s">
        <v>163</v>
      </c>
      <c r="K1030" s="2">
        <v>0</v>
      </c>
      <c r="L1030" s="2"/>
      <c r="M1030" s="33">
        <v>3.82418082732188</v>
      </c>
      <c r="N1030" s="33">
        <v>3.2863127486898298</v>
      </c>
      <c r="O1030" s="8"/>
      <c r="P1030" s="1"/>
      <c r="Q1030" s="1"/>
      <c r="R1030" s="1"/>
      <c r="S1030" s="3"/>
      <c r="T1030" s="3"/>
      <c r="U1030" s="3"/>
      <c r="V1030" s="3"/>
      <c r="W1030" s="3"/>
      <c r="X1030" s="3"/>
      <c r="Y1030" s="3"/>
      <c r="Z1030" s="27" t="s">
        <v>247</v>
      </c>
      <c r="AA1030" t="s">
        <v>220</v>
      </c>
    </row>
    <row r="1031" spans="1:27" x14ac:dyDescent="0.25">
      <c r="A1031" s="12">
        <v>124</v>
      </c>
      <c r="B1031">
        <v>39</v>
      </c>
      <c r="C1031">
        <f t="shared" si="139"/>
        <v>12439</v>
      </c>
      <c r="D1031" s="3" t="s">
        <v>86</v>
      </c>
      <c r="E1031" s="11">
        <f t="shared" si="142"/>
        <v>61.449336111111108</v>
      </c>
      <c r="F1031" s="11">
        <f t="shared" si="143"/>
        <v>2.1443444444444446</v>
      </c>
      <c r="G1031" s="12" t="s">
        <v>144</v>
      </c>
      <c r="H1031" s="12" t="s">
        <v>47</v>
      </c>
      <c r="I1031">
        <v>2014</v>
      </c>
      <c r="J1031" s="12" t="s">
        <v>163</v>
      </c>
      <c r="K1031" s="2">
        <v>0</v>
      </c>
      <c r="L1031" s="2"/>
      <c r="M1031" s="33">
        <v>3.4543653799084599</v>
      </c>
      <c r="N1031" s="33">
        <v>3.00462015135109</v>
      </c>
      <c r="O1031" s="8"/>
      <c r="P1031" s="1"/>
      <c r="Q1031" s="1"/>
      <c r="R1031" s="1"/>
      <c r="S1031" s="3"/>
      <c r="T1031" s="3"/>
      <c r="U1031" s="3"/>
      <c r="V1031" s="3"/>
      <c r="W1031" s="3"/>
      <c r="X1031" s="3"/>
      <c r="Y1031" s="3"/>
      <c r="Z1031" s="27" t="s">
        <v>247</v>
      </c>
      <c r="AA1031" t="s">
        <v>220</v>
      </c>
    </row>
    <row r="1032" spans="1:27" x14ac:dyDescent="0.25">
      <c r="A1032" s="12">
        <v>124</v>
      </c>
      <c r="B1032">
        <v>39</v>
      </c>
      <c r="C1032">
        <f t="shared" si="139"/>
        <v>12439</v>
      </c>
      <c r="D1032" s="3" t="s">
        <v>86</v>
      </c>
      <c r="E1032" s="11">
        <f t="shared" si="142"/>
        <v>61.449336111111108</v>
      </c>
      <c r="F1032" s="11">
        <f t="shared" si="143"/>
        <v>2.1443444444444446</v>
      </c>
      <c r="G1032" s="12" t="s">
        <v>144</v>
      </c>
      <c r="H1032" s="12" t="s">
        <v>47</v>
      </c>
      <c r="I1032">
        <v>2015</v>
      </c>
      <c r="J1032" s="12" t="s">
        <v>163</v>
      </c>
      <c r="K1032" s="2">
        <v>0</v>
      </c>
      <c r="L1032" s="2"/>
      <c r="M1032" s="33">
        <v>3.01232445423202</v>
      </c>
      <c r="N1032" s="33">
        <v>2.8831097469631</v>
      </c>
      <c r="O1032" s="8"/>
      <c r="P1032" s="1"/>
      <c r="Q1032" s="1"/>
      <c r="R1032" s="1"/>
      <c r="S1032" s="3"/>
      <c r="T1032" s="3"/>
      <c r="U1032" s="3"/>
      <c r="V1032" s="3"/>
      <c r="W1032" s="3"/>
      <c r="X1032" s="3"/>
      <c r="Y1032" s="3"/>
      <c r="Z1032" s="27" t="s">
        <v>247</v>
      </c>
      <c r="AA1032" t="s">
        <v>220</v>
      </c>
    </row>
    <row r="1033" spans="1:27" x14ac:dyDescent="0.25">
      <c r="A1033" s="12">
        <v>124</v>
      </c>
      <c r="B1033">
        <v>39</v>
      </c>
      <c r="C1033">
        <f t="shared" si="139"/>
        <v>12439</v>
      </c>
      <c r="D1033" s="3" t="s">
        <v>86</v>
      </c>
      <c r="E1033" s="11">
        <f t="shared" si="142"/>
        <v>61.449336111111108</v>
      </c>
      <c r="F1033" s="11">
        <f t="shared" si="143"/>
        <v>2.1443444444444446</v>
      </c>
      <c r="G1033" s="12" t="s">
        <v>144</v>
      </c>
      <c r="H1033" s="12" t="s">
        <v>47</v>
      </c>
      <c r="I1033">
        <v>2016</v>
      </c>
      <c r="J1033" s="12" t="s">
        <v>163</v>
      </c>
      <c r="K1033" s="2">
        <v>0</v>
      </c>
      <c r="L1033" s="2"/>
      <c r="M1033" s="33">
        <v>2.0977270198578202</v>
      </c>
      <c r="N1033" s="33">
        <v>2.1000521210310801</v>
      </c>
      <c r="O1033" s="8"/>
      <c r="P1033" s="1"/>
      <c r="Q1033" s="1"/>
      <c r="R1033" s="1"/>
      <c r="S1033" s="3"/>
      <c r="T1033" s="3"/>
      <c r="U1033" s="3"/>
      <c r="V1033" s="3"/>
      <c r="W1033" s="3"/>
      <c r="X1033" s="3"/>
      <c r="Y1033" s="3"/>
      <c r="Z1033" s="27" t="s">
        <v>247</v>
      </c>
      <c r="AA1033" t="s">
        <v>220</v>
      </c>
    </row>
    <row r="1034" spans="1:27" x14ac:dyDescent="0.25">
      <c r="A1034" s="12">
        <v>124</v>
      </c>
      <c r="B1034">
        <v>39</v>
      </c>
      <c r="C1034">
        <f t="shared" si="139"/>
        <v>12439</v>
      </c>
      <c r="D1034" s="3" t="s">
        <v>86</v>
      </c>
      <c r="E1034" s="11">
        <f t="shared" si="142"/>
        <v>61.449336111111108</v>
      </c>
      <c r="F1034" s="11">
        <f t="shared" si="143"/>
        <v>2.1443444444444446</v>
      </c>
      <c r="G1034" s="12" t="s">
        <v>144</v>
      </c>
      <c r="H1034" s="12" t="s">
        <v>47</v>
      </c>
      <c r="I1034">
        <v>2017</v>
      </c>
      <c r="J1034" s="12" t="s">
        <v>163</v>
      </c>
      <c r="K1034" s="2">
        <v>0</v>
      </c>
      <c r="L1034" s="2"/>
      <c r="M1034" s="33">
        <v>1.75092348964651</v>
      </c>
      <c r="N1034" s="33">
        <v>1.8384483190149701</v>
      </c>
      <c r="O1034" s="8"/>
      <c r="P1034" s="1"/>
      <c r="Q1034" s="1"/>
      <c r="R1034" s="1"/>
      <c r="S1034" s="3"/>
      <c r="T1034" s="3"/>
      <c r="U1034" s="3"/>
      <c r="V1034" s="3"/>
      <c r="W1034" s="3"/>
      <c r="X1034" s="3"/>
      <c r="Y1034" s="3"/>
      <c r="Z1034" s="27" t="s">
        <v>247</v>
      </c>
      <c r="AA1034" t="s">
        <v>220</v>
      </c>
    </row>
    <row r="1035" spans="1:27" x14ac:dyDescent="0.25">
      <c r="A1035" s="12">
        <v>124</v>
      </c>
      <c r="B1035">
        <v>39</v>
      </c>
      <c r="C1035">
        <f t="shared" si="139"/>
        <v>12439</v>
      </c>
      <c r="D1035" s="3" t="s">
        <v>86</v>
      </c>
      <c r="E1035" s="11">
        <f t="shared" si="142"/>
        <v>61.449336111111108</v>
      </c>
      <c r="F1035" s="11">
        <f t="shared" si="143"/>
        <v>2.1443444444444446</v>
      </c>
      <c r="G1035" s="12" t="s">
        <v>144</v>
      </c>
      <c r="H1035" s="12" t="s">
        <v>47</v>
      </c>
      <c r="I1035">
        <v>2018</v>
      </c>
      <c r="J1035" s="12" t="s">
        <v>163</v>
      </c>
      <c r="K1035" s="2">
        <v>0</v>
      </c>
      <c r="L1035" s="2"/>
      <c r="M1035" s="33">
        <v>1.48777995442232</v>
      </c>
      <c r="N1035" s="33">
        <v>1.73674557229455</v>
      </c>
      <c r="O1035" s="8"/>
      <c r="P1035" s="1"/>
      <c r="Q1035" s="1"/>
      <c r="R1035" s="1"/>
      <c r="S1035" s="3"/>
      <c r="T1035" s="3"/>
      <c r="U1035" s="3"/>
      <c r="V1035" s="3"/>
      <c r="W1035" s="3"/>
      <c r="X1035" s="3"/>
      <c r="Y1035" s="3"/>
      <c r="Z1035" s="27" t="s">
        <v>247</v>
      </c>
      <c r="AA1035" t="s">
        <v>220</v>
      </c>
    </row>
    <row r="1036" spans="1:27" x14ac:dyDescent="0.25">
      <c r="A1036" s="12">
        <v>124</v>
      </c>
      <c r="B1036">
        <v>39</v>
      </c>
      <c r="C1036">
        <f t="shared" si="139"/>
        <v>12439</v>
      </c>
      <c r="D1036" s="3" t="s">
        <v>86</v>
      </c>
      <c r="E1036" s="11">
        <f t="shared" si="142"/>
        <v>61.449336111111108</v>
      </c>
      <c r="F1036" s="11">
        <f t="shared" si="143"/>
        <v>2.1443444444444446</v>
      </c>
      <c r="G1036" s="12" t="s">
        <v>144</v>
      </c>
      <c r="H1036" s="12" t="s">
        <v>47</v>
      </c>
      <c r="I1036">
        <v>2019</v>
      </c>
      <c r="J1036" s="12" t="s">
        <v>163</v>
      </c>
      <c r="K1036" s="2">
        <v>0</v>
      </c>
      <c r="L1036" s="2"/>
      <c r="M1036" s="33">
        <v>1.27318181818182</v>
      </c>
      <c r="N1036" s="33">
        <v>1.51444444444444</v>
      </c>
      <c r="O1036" s="8"/>
      <c r="P1036" s="1"/>
      <c r="Q1036" s="1"/>
      <c r="R1036" s="1"/>
      <c r="S1036" s="3"/>
      <c r="T1036" s="3"/>
      <c r="U1036" s="3"/>
      <c r="V1036" s="3"/>
      <c r="W1036" s="3"/>
      <c r="X1036" s="3"/>
      <c r="Y1036" s="3"/>
      <c r="Z1036" s="27" t="s">
        <v>247</v>
      </c>
      <c r="AA1036" t="s">
        <v>220</v>
      </c>
    </row>
    <row r="1037" spans="1:27" x14ac:dyDescent="0.25">
      <c r="A1037" s="12">
        <v>124</v>
      </c>
      <c r="B1037">
        <v>39</v>
      </c>
      <c r="C1037">
        <f t="shared" si="139"/>
        <v>12439</v>
      </c>
      <c r="D1037" s="3" t="s">
        <v>86</v>
      </c>
      <c r="E1037" s="11">
        <f t="shared" si="142"/>
        <v>61.449336111111108</v>
      </c>
      <c r="F1037" s="11">
        <f t="shared" si="143"/>
        <v>2.1443444444444446</v>
      </c>
      <c r="G1037" s="12" t="s">
        <v>144</v>
      </c>
      <c r="H1037" s="12" t="s">
        <v>47</v>
      </c>
      <c r="I1037">
        <v>2020</v>
      </c>
      <c r="J1037" s="12" t="s">
        <v>163</v>
      </c>
      <c r="K1037" s="2">
        <v>0</v>
      </c>
      <c r="L1037" s="2"/>
      <c r="M1037" s="33">
        <v>2.1755833333333299</v>
      </c>
      <c r="N1037" s="33">
        <v>2.5390000000000001</v>
      </c>
      <c r="O1037" s="8"/>
      <c r="P1037" s="1"/>
      <c r="Q1037" s="1"/>
      <c r="R1037" s="1"/>
      <c r="S1037" s="3"/>
      <c r="T1037" s="3"/>
      <c r="U1037" s="3"/>
      <c r="V1037" s="3"/>
      <c r="W1037" s="3"/>
      <c r="X1037" s="3"/>
      <c r="Y1037" s="3"/>
      <c r="Z1037" s="27" t="s">
        <v>247</v>
      </c>
      <c r="AA1037" t="s">
        <v>220</v>
      </c>
    </row>
    <row r="1038" spans="1:27" x14ac:dyDescent="0.25">
      <c r="A1038" s="12">
        <v>124</v>
      </c>
      <c r="B1038">
        <v>39</v>
      </c>
      <c r="C1038">
        <f t="shared" si="139"/>
        <v>12439</v>
      </c>
      <c r="D1038" s="3" t="s">
        <v>86</v>
      </c>
      <c r="E1038" s="11">
        <f t="shared" si="142"/>
        <v>61.449336111111108</v>
      </c>
      <c r="F1038" s="11">
        <f t="shared" si="143"/>
        <v>2.1443444444444446</v>
      </c>
      <c r="G1038" s="12" t="s">
        <v>144</v>
      </c>
      <c r="H1038" s="12" t="s">
        <v>47</v>
      </c>
      <c r="I1038">
        <v>2021</v>
      </c>
      <c r="J1038" s="12" t="s">
        <v>163</v>
      </c>
      <c r="K1038" s="2">
        <v>0</v>
      </c>
      <c r="L1038" s="2"/>
      <c r="M1038" s="33">
        <v>2.3835833333333301</v>
      </c>
      <c r="N1038" s="33">
        <v>2.7240833333333301</v>
      </c>
      <c r="O1038" s="8"/>
      <c r="P1038" s="1"/>
      <c r="Q1038" s="1"/>
      <c r="R1038" s="1"/>
      <c r="S1038" s="3"/>
      <c r="T1038" s="3"/>
      <c r="U1038" s="3"/>
      <c r="V1038" s="3"/>
      <c r="W1038" s="3"/>
      <c r="X1038" s="3"/>
      <c r="Y1038" s="3"/>
      <c r="Z1038" s="27" t="s">
        <v>247</v>
      </c>
      <c r="AA1038" t="s">
        <v>220</v>
      </c>
    </row>
    <row r="1039" spans="1:27" x14ac:dyDescent="0.25">
      <c r="A1039" s="12">
        <v>124</v>
      </c>
      <c r="B1039">
        <v>40</v>
      </c>
      <c r="C1039">
        <f t="shared" si="139"/>
        <v>12440</v>
      </c>
      <c r="D1039" s="3" t="s">
        <v>86</v>
      </c>
      <c r="E1039" s="11">
        <f>61+15/60+20.46/3600</f>
        <v>61.25568333333333</v>
      </c>
      <c r="F1039" s="11">
        <f>1+51/60+13.95/3600</f>
        <v>1.8538750000000002</v>
      </c>
      <c r="G1039" s="12" t="s">
        <v>144</v>
      </c>
      <c r="H1039" s="12" t="s">
        <v>47</v>
      </c>
      <c r="I1039">
        <v>2003</v>
      </c>
      <c r="J1039" s="12" t="s">
        <v>163</v>
      </c>
      <c r="K1039" s="2">
        <v>0</v>
      </c>
      <c r="L1039" s="2"/>
      <c r="M1039" s="33">
        <v>0.671333333333333</v>
      </c>
      <c r="N1039" s="33"/>
      <c r="O1039" s="8"/>
      <c r="P1039" s="1"/>
      <c r="Q1039" s="1"/>
      <c r="R1039" s="1"/>
      <c r="S1039" s="3"/>
      <c r="T1039" s="3"/>
      <c r="U1039" s="3"/>
      <c r="V1039" s="3"/>
      <c r="W1039" s="3"/>
      <c r="X1039" s="3"/>
      <c r="Y1039" s="3"/>
      <c r="Z1039" s="27" t="s">
        <v>247</v>
      </c>
      <c r="AA1039" t="s">
        <v>230</v>
      </c>
    </row>
    <row r="1040" spans="1:27" x14ac:dyDescent="0.25">
      <c r="A1040" s="12">
        <v>124</v>
      </c>
      <c r="B1040">
        <v>40</v>
      </c>
      <c r="C1040">
        <f t="shared" si="139"/>
        <v>12440</v>
      </c>
      <c r="D1040" s="3" t="s">
        <v>86</v>
      </c>
      <c r="E1040" s="11">
        <f t="shared" ref="E1040:E1057" si="144">61+15/60+20.46/3600</f>
        <v>61.25568333333333</v>
      </c>
      <c r="F1040" s="11">
        <f t="shared" ref="F1040:F1057" si="145">1+51/60+13.95/3600</f>
        <v>1.8538750000000002</v>
      </c>
      <c r="G1040" s="12" t="s">
        <v>144</v>
      </c>
      <c r="H1040" s="12" t="s">
        <v>47</v>
      </c>
      <c r="I1040">
        <v>2004</v>
      </c>
      <c r="J1040" s="12" t="s">
        <v>163</v>
      </c>
      <c r="K1040" s="2">
        <v>0</v>
      </c>
      <c r="L1040" s="2"/>
      <c r="M1040" s="33">
        <v>0.69254526650000003</v>
      </c>
      <c r="N1040" s="33"/>
      <c r="O1040" s="8"/>
      <c r="P1040" s="1"/>
      <c r="Q1040" s="1"/>
      <c r="R1040" s="1"/>
      <c r="S1040" s="3"/>
      <c r="T1040" s="3"/>
      <c r="U1040" s="3"/>
      <c r="V1040" s="3"/>
      <c r="W1040" s="3"/>
      <c r="X1040" s="3"/>
      <c r="Y1040" s="3"/>
      <c r="Z1040" s="27" t="s">
        <v>247</v>
      </c>
      <c r="AA1040" t="s">
        <v>230</v>
      </c>
    </row>
    <row r="1041" spans="1:27" x14ac:dyDescent="0.25">
      <c r="A1041" s="12">
        <v>124</v>
      </c>
      <c r="B1041">
        <v>40</v>
      </c>
      <c r="C1041">
        <f t="shared" si="139"/>
        <v>12440</v>
      </c>
      <c r="D1041" s="3" t="s">
        <v>86</v>
      </c>
      <c r="E1041" s="11">
        <f t="shared" si="144"/>
        <v>61.25568333333333</v>
      </c>
      <c r="F1041" s="11">
        <f t="shared" si="145"/>
        <v>1.8538750000000002</v>
      </c>
      <c r="G1041" s="12" t="s">
        <v>144</v>
      </c>
      <c r="H1041" s="12" t="s">
        <v>47</v>
      </c>
      <c r="I1041">
        <v>2005</v>
      </c>
      <c r="J1041" s="12" t="s">
        <v>163</v>
      </c>
      <c r="K1041" s="2">
        <v>0</v>
      </c>
      <c r="L1041" s="2"/>
      <c r="M1041" s="33">
        <v>0.77145022433333299</v>
      </c>
      <c r="N1041" s="33">
        <v>0.70343821133333295</v>
      </c>
      <c r="O1041" s="8"/>
      <c r="P1041" s="1"/>
      <c r="Q1041" s="1"/>
      <c r="R1041" s="1"/>
      <c r="S1041" s="3"/>
      <c r="T1041" s="3"/>
      <c r="U1041" s="3"/>
      <c r="V1041" s="3"/>
      <c r="W1041" s="3"/>
      <c r="X1041" s="3"/>
      <c r="Y1041" s="3"/>
      <c r="Z1041" s="27" t="s">
        <v>247</v>
      </c>
      <c r="AA1041" t="s">
        <v>230</v>
      </c>
    </row>
    <row r="1042" spans="1:27" x14ac:dyDescent="0.25">
      <c r="A1042" s="12">
        <v>124</v>
      </c>
      <c r="B1042">
        <v>40</v>
      </c>
      <c r="C1042">
        <f t="shared" si="139"/>
        <v>12440</v>
      </c>
      <c r="D1042" s="3" t="s">
        <v>86</v>
      </c>
      <c r="E1042" s="11">
        <f t="shared" si="144"/>
        <v>61.25568333333333</v>
      </c>
      <c r="F1042" s="11">
        <f t="shared" si="145"/>
        <v>1.8538750000000002</v>
      </c>
      <c r="G1042" s="12" t="s">
        <v>144</v>
      </c>
      <c r="H1042" s="12" t="s">
        <v>47</v>
      </c>
      <c r="I1042">
        <v>2006</v>
      </c>
      <c r="J1042" s="12" t="s">
        <v>163</v>
      </c>
      <c r="K1042" s="2">
        <v>0</v>
      </c>
      <c r="L1042" s="2"/>
      <c r="M1042" s="33">
        <v>0.894932796333333</v>
      </c>
      <c r="N1042" s="33">
        <v>0.61695026933333297</v>
      </c>
      <c r="O1042" s="8"/>
      <c r="P1042" s="1"/>
      <c r="Q1042" s="1"/>
      <c r="R1042" s="1"/>
      <c r="S1042" s="3"/>
      <c r="T1042" s="3"/>
      <c r="U1042" s="3"/>
      <c r="V1042" s="3"/>
      <c r="W1042" s="3"/>
      <c r="X1042" s="3"/>
      <c r="Y1042" s="3"/>
      <c r="Z1042" s="27" t="s">
        <v>247</v>
      </c>
      <c r="AA1042" t="s">
        <v>230</v>
      </c>
    </row>
    <row r="1043" spans="1:27" x14ac:dyDescent="0.25">
      <c r="A1043" s="12">
        <v>124</v>
      </c>
      <c r="B1043">
        <v>40</v>
      </c>
      <c r="C1043">
        <f t="shared" si="139"/>
        <v>12440</v>
      </c>
      <c r="D1043" s="3" t="s">
        <v>86</v>
      </c>
      <c r="E1043" s="11">
        <f t="shared" si="144"/>
        <v>61.25568333333333</v>
      </c>
      <c r="F1043" s="11">
        <f t="shared" si="145"/>
        <v>1.8538750000000002</v>
      </c>
      <c r="G1043" s="12" t="s">
        <v>144</v>
      </c>
      <c r="H1043" s="12" t="s">
        <v>47</v>
      </c>
      <c r="I1043">
        <v>2007</v>
      </c>
      <c r="J1043" s="12" t="s">
        <v>163</v>
      </c>
      <c r="K1043" s="2">
        <v>0</v>
      </c>
      <c r="L1043" s="2"/>
      <c r="M1043" s="33">
        <v>0.74830333333333299</v>
      </c>
      <c r="N1043" s="33">
        <v>0.34253333333333302</v>
      </c>
      <c r="O1043" s="8"/>
      <c r="P1043" s="1"/>
      <c r="Q1043" s="1"/>
      <c r="R1043" s="1"/>
      <c r="S1043" s="3"/>
      <c r="T1043" s="3"/>
      <c r="U1043" s="3"/>
      <c r="V1043" s="3"/>
      <c r="W1043" s="3"/>
      <c r="X1043" s="3"/>
      <c r="Y1043" s="3"/>
      <c r="Z1043" s="27" t="s">
        <v>247</v>
      </c>
      <c r="AA1043" t="s">
        <v>230</v>
      </c>
    </row>
    <row r="1044" spans="1:27" x14ac:dyDescent="0.25">
      <c r="A1044" s="12">
        <v>124</v>
      </c>
      <c r="B1044">
        <v>40</v>
      </c>
      <c r="C1044">
        <f t="shared" si="139"/>
        <v>12440</v>
      </c>
      <c r="D1044" s="3" t="s">
        <v>86</v>
      </c>
      <c r="E1044" s="11">
        <f t="shared" si="144"/>
        <v>61.25568333333333</v>
      </c>
      <c r="F1044" s="11">
        <f t="shared" si="145"/>
        <v>1.8538750000000002</v>
      </c>
      <c r="G1044" s="12" t="s">
        <v>144</v>
      </c>
      <c r="H1044" s="12" t="s">
        <v>47</v>
      </c>
      <c r="I1044">
        <v>2008</v>
      </c>
      <c r="J1044" s="12" t="s">
        <v>163</v>
      </c>
      <c r="K1044" s="2">
        <v>0</v>
      </c>
      <c r="L1044" s="2"/>
      <c r="M1044" s="33">
        <v>0.48694584666666701</v>
      </c>
      <c r="N1044" s="33">
        <v>0.40501730833333299</v>
      </c>
      <c r="O1044" s="8"/>
      <c r="P1044" s="1"/>
      <c r="Q1044" s="1"/>
      <c r="R1044" s="1"/>
      <c r="S1044" s="3"/>
      <c r="T1044" s="3"/>
      <c r="U1044" s="3"/>
      <c r="V1044" s="3"/>
      <c r="W1044" s="3"/>
      <c r="X1044" s="3"/>
      <c r="Y1044" s="3"/>
      <c r="Z1044" s="27" t="s">
        <v>247</v>
      </c>
      <c r="AA1044" t="s">
        <v>230</v>
      </c>
    </row>
    <row r="1045" spans="1:27" x14ac:dyDescent="0.25">
      <c r="A1045" s="12">
        <v>124</v>
      </c>
      <c r="B1045">
        <v>40</v>
      </c>
      <c r="C1045">
        <f t="shared" si="139"/>
        <v>12440</v>
      </c>
      <c r="D1045" s="3" t="s">
        <v>86</v>
      </c>
      <c r="E1045" s="11">
        <f t="shared" si="144"/>
        <v>61.25568333333333</v>
      </c>
      <c r="F1045" s="11">
        <f t="shared" si="145"/>
        <v>1.8538750000000002</v>
      </c>
      <c r="G1045" s="12" t="s">
        <v>144</v>
      </c>
      <c r="H1045" s="12" t="s">
        <v>47</v>
      </c>
      <c r="I1045">
        <v>2009</v>
      </c>
      <c r="J1045" s="12" t="s">
        <v>163</v>
      </c>
      <c r="K1045" s="2">
        <v>0</v>
      </c>
      <c r="L1045" s="2"/>
      <c r="M1045" s="33">
        <v>0.56082965533333295</v>
      </c>
      <c r="N1045" s="33">
        <v>0.47219698533333299</v>
      </c>
      <c r="O1045" s="8"/>
      <c r="P1045" s="1"/>
      <c r="Q1045" s="1"/>
      <c r="R1045" s="1"/>
      <c r="S1045" s="3"/>
      <c r="T1045" s="3"/>
      <c r="U1045" s="3"/>
      <c r="V1045" s="3"/>
      <c r="W1045" s="3"/>
      <c r="X1045" s="3"/>
      <c r="Y1045" s="3"/>
      <c r="Z1045" s="27" t="s">
        <v>247</v>
      </c>
      <c r="AA1045" t="s">
        <v>230</v>
      </c>
    </row>
    <row r="1046" spans="1:27" x14ac:dyDescent="0.25">
      <c r="A1046" s="12">
        <v>124</v>
      </c>
      <c r="B1046">
        <v>40</v>
      </c>
      <c r="C1046">
        <f t="shared" si="139"/>
        <v>12440</v>
      </c>
      <c r="D1046" s="3" t="s">
        <v>86</v>
      </c>
      <c r="E1046" s="11">
        <f t="shared" si="144"/>
        <v>61.25568333333333</v>
      </c>
      <c r="F1046" s="11">
        <f t="shared" si="145"/>
        <v>1.8538750000000002</v>
      </c>
      <c r="G1046" s="12" t="s">
        <v>144</v>
      </c>
      <c r="H1046" s="12" t="s">
        <v>47</v>
      </c>
      <c r="I1046">
        <v>2010</v>
      </c>
      <c r="J1046" s="12" t="s">
        <v>163</v>
      </c>
      <c r="K1046" s="2">
        <v>0</v>
      </c>
      <c r="L1046" s="2"/>
      <c r="M1046" s="33">
        <v>0.58241999600000005</v>
      </c>
      <c r="N1046" s="33">
        <v>0.47123885866666698</v>
      </c>
      <c r="O1046" s="8"/>
      <c r="P1046" s="1"/>
      <c r="Q1046" s="1"/>
      <c r="R1046" s="1"/>
      <c r="S1046" s="3"/>
      <c r="T1046" s="3"/>
      <c r="U1046" s="3"/>
      <c r="V1046" s="3"/>
      <c r="W1046" s="3"/>
      <c r="X1046" s="3"/>
      <c r="Y1046" s="3"/>
      <c r="Z1046" s="27" t="s">
        <v>247</v>
      </c>
      <c r="AA1046" t="s">
        <v>230</v>
      </c>
    </row>
    <row r="1047" spans="1:27" x14ac:dyDescent="0.25">
      <c r="A1047" s="12">
        <v>124</v>
      </c>
      <c r="B1047">
        <v>40</v>
      </c>
      <c r="C1047">
        <f t="shared" si="139"/>
        <v>12440</v>
      </c>
      <c r="D1047" s="3" t="s">
        <v>86</v>
      </c>
      <c r="E1047" s="11">
        <f t="shared" si="144"/>
        <v>61.25568333333333</v>
      </c>
      <c r="F1047" s="11">
        <f t="shared" si="145"/>
        <v>1.8538750000000002</v>
      </c>
      <c r="G1047" s="12" t="s">
        <v>144</v>
      </c>
      <c r="H1047" s="12" t="s">
        <v>47</v>
      </c>
      <c r="I1047">
        <v>2011</v>
      </c>
      <c r="J1047" s="12" t="s">
        <v>163</v>
      </c>
      <c r="K1047" s="2">
        <v>0</v>
      </c>
      <c r="L1047" s="2"/>
      <c r="M1047" s="33">
        <v>0.82787283866666705</v>
      </c>
      <c r="N1047" s="33">
        <v>0.65441147700000002</v>
      </c>
      <c r="O1047" s="8"/>
      <c r="P1047" s="1"/>
      <c r="Q1047" s="1"/>
      <c r="R1047" s="1"/>
      <c r="S1047" s="3"/>
      <c r="T1047" s="3"/>
      <c r="U1047" s="3"/>
      <c r="V1047" s="3"/>
      <c r="W1047" s="3"/>
      <c r="X1047" s="3"/>
      <c r="Y1047" s="3"/>
      <c r="Z1047" s="27" t="s">
        <v>247</v>
      </c>
      <c r="AA1047" t="s">
        <v>230</v>
      </c>
    </row>
    <row r="1048" spans="1:27" x14ac:dyDescent="0.25">
      <c r="A1048" s="12">
        <v>124</v>
      </c>
      <c r="B1048">
        <v>40</v>
      </c>
      <c r="C1048">
        <f t="shared" si="139"/>
        <v>12440</v>
      </c>
      <c r="D1048" s="3" t="s">
        <v>86</v>
      </c>
      <c r="E1048" s="11">
        <f t="shared" si="144"/>
        <v>61.25568333333333</v>
      </c>
      <c r="F1048" s="11">
        <f t="shared" si="145"/>
        <v>1.8538750000000002</v>
      </c>
      <c r="G1048" s="12" t="s">
        <v>144</v>
      </c>
      <c r="H1048" s="12" t="s">
        <v>47</v>
      </c>
      <c r="I1048">
        <v>2012</v>
      </c>
      <c r="J1048" s="12" t="s">
        <v>163</v>
      </c>
      <c r="K1048" s="2">
        <v>0</v>
      </c>
      <c r="L1048" s="2"/>
      <c r="M1048" s="33">
        <v>0.5851864</v>
      </c>
      <c r="N1048" s="33">
        <v>0.74887000000000004</v>
      </c>
      <c r="O1048" s="8"/>
      <c r="P1048" s="1"/>
      <c r="Q1048" s="1"/>
      <c r="R1048" s="1"/>
      <c r="S1048" s="3"/>
      <c r="T1048" s="3"/>
      <c r="U1048" s="3"/>
      <c r="V1048" s="3"/>
      <c r="W1048" s="3"/>
      <c r="X1048" s="3"/>
      <c r="Y1048" s="3"/>
      <c r="Z1048" s="27" t="s">
        <v>247</v>
      </c>
      <c r="AA1048" t="s">
        <v>230</v>
      </c>
    </row>
    <row r="1049" spans="1:27" x14ac:dyDescent="0.25">
      <c r="A1049" s="12">
        <v>124</v>
      </c>
      <c r="B1049">
        <v>40</v>
      </c>
      <c r="C1049">
        <f t="shared" si="139"/>
        <v>12440</v>
      </c>
      <c r="D1049" s="3" t="s">
        <v>86</v>
      </c>
      <c r="E1049" s="11">
        <f t="shared" si="144"/>
        <v>61.25568333333333</v>
      </c>
      <c r="F1049" s="11">
        <f t="shared" si="145"/>
        <v>1.8538750000000002</v>
      </c>
      <c r="G1049" s="12" t="s">
        <v>144</v>
      </c>
      <c r="H1049" s="12" t="s">
        <v>47</v>
      </c>
      <c r="I1049">
        <v>2013</v>
      </c>
      <c r="J1049" s="12" t="s">
        <v>163</v>
      </c>
      <c r="K1049" s="2">
        <v>0</v>
      </c>
      <c r="L1049" s="2"/>
      <c r="M1049" s="33">
        <v>0.52984648810299995</v>
      </c>
      <c r="N1049" s="33">
        <v>0.56584605666568799</v>
      </c>
      <c r="O1049" s="8"/>
      <c r="P1049" s="1"/>
      <c r="Q1049" s="1"/>
      <c r="R1049" s="1"/>
      <c r="S1049" s="3"/>
      <c r="T1049" s="3"/>
      <c r="U1049" s="3"/>
      <c r="V1049" s="3"/>
      <c r="W1049" s="3"/>
      <c r="X1049" s="3"/>
      <c r="Y1049" s="3"/>
      <c r="Z1049" s="27" t="s">
        <v>247</v>
      </c>
      <c r="AA1049" t="s">
        <v>230</v>
      </c>
    </row>
    <row r="1050" spans="1:27" x14ac:dyDescent="0.25">
      <c r="A1050" s="12">
        <v>124</v>
      </c>
      <c r="B1050">
        <v>40</v>
      </c>
      <c r="C1050">
        <f t="shared" si="139"/>
        <v>12440</v>
      </c>
      <c r="D1050" s="3" t="s">
        <v>86</v>
      </c>
      <c r="E1050" s="11">
        <f t="shared" si="144"/>
        <v>61.25568333333333</v>
      </c>
      <c r="F1050" s="11">
        <f t="shared" si="145"/>
        <v>1.8538750000000002</v>
      </c>
      <c r="G1050" s="12" t="s">
        <v>144</v>
      </c>
      <c r="H1050" s="12" t="s">
        <v>47</v>
      </c>
      <c r="I1050">
        <v>2014</v>
      </c>
      <c r="J1050" s="12" t="s">
        <v>163</v>
      </c>
      <c r="K1050" s="2">
        <v>0</v>
      </c>
      <c r="L1050" s="2"/>
      <c r="M1050" s="33">
        <v>0.35066450223450002</v>
      </c>
      <c r="N1050" s="33">
        <v>0.42920056121667699</v>
      </c>
      <c r="O1050" s="8"/>
      <c r="P1050" s="1"/>
      <c r="Q1050" s="1"/>
      <c r="R1050" s="1"/>
      <c r="S1050" s="3"/>
      <c r="T1050" s="3"/>
      <c r="U1050" s="3"/>
      <c r="V1050" s="3"/>
      <c r="W1050" s="3"/>
      <c r="X1050" s="3"/>
      <c r="Y1050" s="3"/>
      <c r="Z1050" s="27" t="s">
        <v>247</v>
      </c>
      <c r="AA1050" t="s">
        <v>230</v>
      </c>
    </row>
    <row r="1051" spans="1:27" x14ac:dyDescent="0.25">
      <c r="A1051" s="12">
        <v>124</v>
      </c>
      <c r="B1051">
        <v>40</v>
      </c>
      <c r="C1051">
        <f t="shared" si="139"/>
        <v>12440</v>
      </c>
      <c r="D1051" s="3" t="s">
        <v>86</v>
      </c>
      <c r="E1051" s="11">
        <f t="shared" si="144"/>
        <v>61.25568333333333</v>
      </c>
      <c r="F1051" s="11">
        <f t="shared" si="145"/>
        <v>1.8538750000000002</v>
      </c>
      <c r="G1051" s="12" t="s">
        <v>144</v>
      </c>
      <c r="H1051" s="12" t="s">
        <v>47</v>
      </c>
      <c r="I1051">
        <v>2015</v>
      </c>
      <c r="J1051" s="12" t="s">
        <v>163</v>
      </c>
      <c r="K1051" s="2">
        <v>0</v>
      </c>
      <c r="L1051" s="2"/>
      <c r="M1051" s="33">
        <v>0.35756097560975603</v>
      </c>
      <c r="N1051" s="33">
        <v>0.43569767441860502</v>
      </c>
      <c r="O1051" s="8"/>
      <c r="P1051" s="1"/>
      <c r="Q1051" s="1"/>
      <c r="R1051" s="1"/>
      <c r="S1051" s="3"/>
      <c r="T1051" s="3"/>
      <c r="U1051" s="3"/>
      <c r="V1051" s="3"/>
      <c r="W1051" s="3"/>
      <c r="X1051" s="3"/>
      <c r="Y1051" s="3"/>
      <c r="Z1051" s="27" t="s">
        <v>247</v>
      </c>
      <c r="AA1051" t="s">
        <v>230</v>
      </c>
    </row>
    <row r="1052" spans="1:27" x14ac:dyDescent="0.25">
      <c r="A1052" s="12">
        <v>124</v>
      </c>
      <c r="B1052">
        <v>40</v>
      </c>
      <c r="C1052">
        <f t="shared" si="139"/>
        <v>12440</v>
      </c>
      <c r="D1052" s="3" t="s">
        <v>86</v>
      </c>
      <c r="E1052" s="11">
        <f t="shared" si="144"/>
        <v>61.25568333333333</v>
      </c>
      <c r="F1052" s="11">
        <f t="shared" si="145"/>
        <v>1.8538750000000002</v>
      </c>
      <c r="G1052" s="12" t="s">
        <v>144</v>
      </c>
      <c r="H1052" s="12" t="s">
        <v>47</v>
      </c>
      <c r="I1052">
        <v>2016</v>
      </c>
      <c r="J1052" s="12" t="s">
        <v>163</v>
      </c>
      <c r="K1052" s="2">
        <v>0</v>
      </c>
      <c r="L1052" s="2"/>
      <c r="M1052" s="33">
        <v>0.4730625</v>
      </c>
      <c r="N1052" s="33">
        <v>0.63468749999999996</v>
      </c>
      <c r="O1052" s="8"/>
      <c r="P1052" s="1"/>
      <c r="Q1052" s="1"/>
      <c r="R1052" s="1"/>
      <c r="S1052" s="3"/>
      <c r="T1052" s="3"/>
      <c r="U1052" s="3"/>
      <c r="V1052" s="3"/>
      <c r="W1052" s="3"/>
      <c r="X1052" s="3"/>
      <c r="Y1052" s="3"/>
      <c r="Z1052" s="27" t="s">
        <v>247</v>
      </c>
      <c r="AA1052" t="s">
        <v>230</v>
      </c>
    </row>
    <row r="1053" spans="1:27" x14ac:dyDescent="0.25">
      <c r="A1053" s="12">
        <v>124</v>
      </c>
      <c r="B1053">
        <v>40</v>
      </c>
      <c r="C1053">
        <f t="shared" si="139"/>
        <v>12440</v>
      </c>
      <c r="D1053" s="3" t="s">
        <v>86</v>
      </c>
      <c r="E1053" s="11">
        <f t="shared" si="144"/>
        <v>61.25568333333333</v>
      </c>
      <c r="F1053" s="11">
        <f t="shared" si="145"/>
        <v>1.8538750000000002</v>
      </c>
      <c r="G1053" s="12" t="s">
        <v>144</v>
      </c>
      <c r="H1053" s="12" t="s">
        <v>47</v>
      </c>
      <c r="I1053">
        <v>2017</v>
      </c>
      <c r="J1053" s="12" t="s">
        <v>163</v>
      </c>
      <c r="K1053" s="2">
        <v>0</v>
      </c>
      <c r="L1053" s="2"/>
      <c r="M1053" s="33">
        <v>0.55300000000000005</v>
      </c>
      <c r="N1053" s="33">
        <v>0.71546666666666703</v>
      </c>
      <c r="O1053" s="8"/>
      <c r="P1053" s="1"/>
      <c r="Q1053" s="1"/>
      <c r="R1053" s="1"/>
      <c r="S1053" s="3"/>
      <c r="T1053" s="3"/>
      <c r="U1053" s="3"/>
      <c r="V1053" s="3"/>
      <c r="W1053" s="3"/>
      <c r="X1053" s="3"/>
      <c r="Y1053" s="3"/>
      <c r="Z1053" s="27" t="s">
        <v>247</v>
      </c>
      <c r="AA1053" t="s">
        <v>230</v>
      </c>
    </row>
    <row r="1054" spans="1:27" x14ac:dyDescent="0.25">
      <c r="A1054" s="12">
        <v>124</v>
      </c>
      <c r="B1054">
        <v>40</v>
      </c>
      <c r="C1054">
        <f t="shared" ref="C1054:C1117" si="146">A1054*100+B1054</f>
        <v>12440</v>
      </c>
      <c r="D1054" s="3" t="s">
        <v>86</v>
      </c>
      <c r="E1054" s="11">
        <f t="shared" si="144"/>
        <v>61.25568333333333</v>
      </c>
      <c r="F1054" s="11">
        <f t="shared" si="145"/>
        <v>1.8538750000000002</v>
      </c>
      <c r="G1054" s="12" t="s">
        <v>144</v>
      </c>
      <c r="H1054" s="12" t="s">
        <v>47</v>
      </c>
      <c r="I1054">
        <v>2018</v>
      </c>
      <c r="J1054" s="12" t="s">
        <v>163</v>
      </c>
      <c r="K1054" s="2">
        <v>0</v>
      </c>
      <c r="L1054" s="2"/>
      <c r="M1054" s="33">
        <v>0.520625</v>
      </c>
      <c r="N1054" s="33">
        <v>0.70293333333333297</v>
      </c>
      <c r="O1054" s="8"/>
      <c r="P1054" s="1"/>
      <c r="Q1054" s="1"/>
      <c r="R1054" s="1"/>
      <c r="S1054" s="3"/>
      <c r="T1054" s="3"/>
      <c r="U1054" s="3"/>
      <c r="V1054" s="3"/>
      <c r="W1054" s="3"/>
      <c r="X1054" s="3"/>
      <c r="Y1054" s="3"/>
      <c r="Z1054" s="27" t="s">
        <v>247</v>
      </c>
      <c r="AA1054" t="s">
        <v>230</v>
      </c>
    </row>
    <row r="1055" spans="1:27" x14ac:dyDescent="0.25">
      <c r="A1055" s="12">
        <v>124</v>
      </c>
      <c r="B1055">
        <v>40</v>
      </c>
      <c r="C1055">
        <f t="shared" si="146"/>
        <v>12440</v>
      </c>
      <c r="D1055" s="3" t="s">
        <v>86</v>
      </c>
      <c r="E1055" s="11">
        <f t="shared" si="144"/>
        <v>61.25568333333333</v>
      </c>
      <c r="F1055" s="11">
        <f t="shared" si="145"/>
        <v>1.8538750000000002</v>
      </c>
      <c r="G1055" s="12" t="s">
        <v>144</v>
      </c>
      <c r="H1055" s="12" t="s">
        <v>47</v>
      </c>
      <c r="I1055">
        <v>2019</v>
      </c>
      <c r="J1055" s="12" t="s">
        <v>163</v>
      </c>
      <c r="K1055" s="2">
        <v>0</v>
      </c>
      <c r="L1055" s="2"/>
      <c r="M1055" s="33">
        <v>0.54249999999999998</v>
      </c>
      <c r="N1055" s="33">
        <v>0.71199999999999997</v>
      </c>
      <c r="O1055" s="8"/>
      <c r="P1055" s="1"/>
      <c r="Q1055" s="1"/>
      <c r="R1055" s="1"/>
      <c r="S1055" s="3"/>
      <c r="T1055" s="3"/>
      <c r="U1055" s="3"/>
      <c r="V1055" s="3"/>
      <c r="W1055" s="3"/>
      <c r="X1055" s="3"/>
      <c r="Y1055" s="3"/>
      <c r="Z1055" s="27" t="s">
        <v>247</v>
      </c>
      <c r="AA1055" t="s">
        <v>230</v>
      </c>
    </row>
    <row r="1056" spans="1:27" x14ac:dyDescent="0.25">
      <c r="A1056" s="12">
        <v>124</v>
      </c>
      <c r="B1056">
        <v>40</v>
      </c>
      <c r="C1056">
        <f t="shared" si="146"/>
        <v>12440</v>
      </c>
      <c r="D1056" s="3" t="s">
        <v>86</v>
      </c>
      <c r="E1056" s="11">
        <f t="shared" si="144"/>
        <v>61.25568333333333</v>
      </c>
      <c r="F1056" s="11">
        <f t="shared" si="145"/>
        <v>1.8538750000000002</v>
      </c>
      <c r="G1056" s="12" t="s">
        <v>144</v>
      </c>
      <c r="H1056" s="12" t="s">
        <v>47</v>
      </c>
      <c r="I1056">
        <v>2020</v>
      </c>
      <c r="J1056" s="12" t="s">
        <v>163</v>
      </c>
      <c r="K1056" s="2">
        <v>0</v>
      </c>
      <c r="L1056" s="2"/>
      <c r="M1056" s="33">
        <v>0.51312500000000005</v>
      </c>
      <c r="N1056" s="33">
        <v>0.73531250000000004</v>
      </c>
      <c r="O1056" s="8"/>
      <c r="P1056" s="1"/>
      <c r="Q1056" s="1"/>
      <c r="R1056" s="1"/>
      <c r="S1056" s="3"/>
      <c r="T1056" s="3"/>
      <c r="U1056" s="3"/>
      <c r="V1056" s="3"/>
      <c r="W1056" s="3"/>
      <c r="X1056" s="3"/>
      <c r="Y1056" s="3"/>
      <c r="Z1056" s="27" t="s">
        <v>247</v>
      </c>
      <c r="AA1056" t="s">
        <v>230</v>
      </c>
    </row>
    <row r="1057" spans="1:27" x14ac:dyDescent="0.25">
      <c r="A1057" s="12">
        <v>124</v>
      </c>
      <c r="B1057">
        <v>40</v>
      </c>
      <c r="C1057">
        <f t="shared" si="146"/>
        <v>12440</v>
      </c>
      <c r="D1057" s="3" t="s">
        <v>86</v>
      </c>
      <c r="E1057" s="11">
        <f t="shared" si="144"/>
        <v>61.25568333333333</v>
      </c>
      <c r="F1057" s="11">
        <f t="shared" si="145"/>
        <v>1.8538750000000002</v>
      </c>
      <c r="G1057" s="12" t="s">
        <v>144</v>
      </c>
      <c r="H1057" s="12" t="s">
        <v>47</v>
      </c>
      <c r="I1057">
        <v>2021</v>
      </c>
      <c r="J1057" s="12" t="s">
        <v>163</v>
      </c>
      <c r="K1057" s="2">
        <v>0</v>
      </c>
      <c r="L1057" s="2"/>
      <c r="M1057" s="33">
        <v>0.62162499999999998</v>
      </c>
      <c r="N1057" s="33">
        <v>0.94793749999999999</v>
      </c>
      <c r="O1057" s="8"/>
      <c r="P1057" s="1"/>
      <c r="Q1057" s="1"/>
      <c r="R1057" s="1"/>
      <c r="S1057" s="3"/>
      <c r="T1057" s="3"/>
      <c r="U1057" s="3"/>
      <c r="V1057" s="3"/>
      <c r="W1057" s="3"/>
      <c r="X1057" s="3"/>
      <c r="Y1057" s="3"/>
      <c r="Z1057" s="27" t="s">
        <v>247</v>
      </c>
      <c r="AA1057" t="s">
        <v>230</v>
      </c>
    </row>
    <row r="1058" spans="1:27" x14ac:dyDescent="0.25">
      <c r="A1058" s="12">
        <v>124</v>
      </c>
      <c r="B1058">
        <v>41</v>
      </c>
      <c r="C1058">
        <f t="shared" si="146"/>
        <v>12441</v>
      </c>
      <c r="D1058" s="3" t="s">
        <v>86</v>
      </c>
      <c r="E1058" s="11">
        <f>56+38/60+31.46/3600</f>
        <v>56.642072222222225</v>
      </c>
      <c r="F1058" s="11">
        <f>3+19/60+37.05/3600</f>
        <v>3.3269583333333332</v>
      </c>
      <c r="G1058" s="12" t="s">
        <v>144</v>
      </c>
      <c r="H1058" s="12" t="s">
        <v>47</v>
      </c>
      <c r="I1058">
        <v>2002</v>
      </c>
      <c r="J1058" s="12" t="s">
        <v>163</v>
      </c>
      <c r="K1058" s="2">
        <v>0</v>
      </c>
      <c r="L1058" s="2"/>
      <c r="M1058" s="33">
        <v>1.4</v>
      </c>
      <c r="N1058" s="33"/>
      <c r="O1058" s="8"/>
      <c r="P1058" s="1"/>
      <c r="Q1058" s="1"/>
      <c r="R1058" s="1"/>
      <c r="S1058" s="3"/>
      <c r="T1058" s="3"/>
      <c r="U1058" s="3"/>
      <c r="V1058" s="3"/>
      <c r="W1058" s="3"/>
      <c r="X1058" s="3"/>
      <c r="Y1058" s="3"/>
      <c r="Z1058" s="27" t="s">
        <v>247</v>
      </c>
      <c r="AA1058" t="s">
        <v>221</v>
      </c>
    </row>
    <row r="1059" spans="1:27" x14ac:dyDescent="0.25">
      <c r="A1059" s="12">
        <v>124</v>
      </c>
      <c r="B1059">
        <v>41</v>
      </c>
      <c r="C1059">
        <f t="shared" si="146"/>
        <v>12441</v>
      </c>
      <c r="D1059" s="3" t="s">
        <v>86</v>
      </c>
      <c r="E1059" s="11">
        <f t="shared" ref="E1059:E1071" si="147">56+38/60+31.46/3600</f>
        <v>56.642072222222225</v>
      </c>
      <c r="F1059" s="11">
        <f t="shared" ref="F1059:F1071" si="148">3+19/60+37.05/3600</f>
        <v>3.3269583333333332</v>
      </c>
      <c r="G1059" s="12" t="s">
        <v>144</v>
      </c>
      <c r="H1059" s="12" t="s">
        <v>47</v>
      </c>
      <c r="I1059">
        <v>2003</v>
      </c>
      <c r="J1059" s="12" t="s">
        <v>163</v>
      </c>
      <c r="K1059" s="2">
        <v>0</v>
      </c>
      <c r="L1059" s="2"/>
      <c r="M1059" s="33">
        <v>3.8666666670000001</v>
      </c>
      <c r="N1059" s="33"/>
      <c r="O1059" s="8"/>
      <c r="P1059" s="1"/>
      <c r="Q1059" s="1"/>
      <c r="R1059" s="1"/>
      <c r="S1059" s="3"/>
      <c r="T1059" s="3"/>
      <c r="U1059" s="3"/>
      <c r="V1059" s="3"/>
      <c r="W1059" s="3"/>
      <c r="X1059" s="3"/>
      <c r="Y1059" s="3"/>
      <c r="Z1059" s="27" t="s">
        <v>247</v>
      </c>
      <c r="AA1059" t="s">
        <v>221</v>
      </c>
    </row>
    <row r="1060" spans="1:27" x14ac:dyDescent="0.25">
      <c r="A1060" s="12">
        <v>124</v>
      </c>
      <c r="B1060">
        <v>41</v>
      </c>
      <c r="C1060">
        <f t="shared" si="146"/>
        <v>12441</v>
      </c>
      <c r="D1060" s="3" t="s">
        <v>86</v>
      </c>
      <c r="E1060" s="11">
        <f t="shared" si="147"/>
        <v>56.642072222222225</v>
      </c>
      <c r="F1060" s="11">
        <f t="shared" si="148"/>
        <v>3.3269583333333332</v>
      </c>
      <c r="G1060" s="12" t="s">
        <v>144</v>
      </c>
      <c r="H1060" s="12" t="s">
        <v>47</v>
      </c>
      <c r="I1060">
        <v>2004</v>
      </c>
      <c r="J1060" s="12" t="s">
        <v>163</v>
      </c>
      <c r="K1060" s="2">
        <v>0</v>
      </c>
      <c r="L1060" s="2"/>
      <c r="M1060" s="33">
        <v>6.4</v>
      </c>
      <c r="N1060" s="33"/>
      <c r="O1060" s="8"/>
      <c r="P1060" s="1"/>
      <c r="Q1060" s="1"/>
      <c r="R1060" s="1"/>
      <c r="S1060" s="3"/>
      <c r="T1060" s="3"/>
      <c r="U1060" s="3"/>
      <c r="V1060" s="3"/>
      <c r="W1060" s="3"/>
      <c r="X1060" s="3"/>
      <c r="Y1060" s="3"/>
      <c r="Z1060" s="27" t="s">
        <v>247</v>
      </c>
      <c r="AA1060" t="s">
        <v>221</v>
      </c>
    </row>
    <row r="1061" spans="1:27" x14ac:dyDescent="0.25">
      <c r="A1061" s="12">
        <v>124</v>
      </c>
      <c r="B1061">
        <v>41</v>
      </c>
      <c r="C1061">
        <f t="shared" si="146"/>
        <v>12441</v>
      </c>
      <c r="D1061" s="3" t="s">
        <v>86</v>
      </c>
      <c r="E1061" s="11">
        <f t="shared" si="147"/>
        <v>56.642072222222225</v>
      </c>
      <c r="F1061" s="11">
        <f t="shared" si="148"/>
        <v>3.3269583333333332</v>
      </c>
      <c r="G1061" s="12" t="s">
        <v>144</v>
      </c>
      <c r="H1061" s="12" t="s">
        <v>47</v>
      </c>
      <c r="I1061">
        <v>2005</v>
      </c>
      <c r="J1061" s="12" t="s">
        <v>163</v>
      </c>
      <c r="K1061" s="2">
        <v>0</v>
      </c>
      <c r="L1061" s="2"/>
      <c r="M1061" s="33">
        <v>5.95</v>
      </c>
      <c r="N1061" s="33">
        <v>1.23417</v>
      </c>
      <c r="O1061" s="8"/>
      <c r="P1061" s="1"/>
      <c r="Q1061" s="1"/>
      <c r="R1061" s="1"/>
      <c r="S1061" s="3"/>
      <c r="T1061" s="3"/>
      <c r="U1061" s="3"/>
      <c r="V1061" s="3"/>
      <c r="W1061" s="3"/>
      <c r="X1061" s="3"/>
      <c r="Y1061" s="3"/>
      <c r="Z1061" s="27" t="s">
        <v>247</v>
      </c>
      <c r="AA1061" t="s">
        <v>221</v>
      </c>
    </row>
    <row r="1062" spans="1:27" x14ac:dyDescent="0.25">
      <c r="A1062" s="12">
        <v>124</v>
      </c>
      <c r="B1062">
        <v>41</v>
      </c>
      <c r="C1062">
        <f t="shared" si="146"/>
        <v>12441</v>
      </c>
      <c r="D1062" s="3" t="s">
        <v>86</v>
      </c>
      <c r="E1062" s="11">
        <f t="shared" si="147"/>
        <v>56.642072222222225</v>
      </c>
      <c r="F1062" s="11">
        <f t="shared" si="148"/>
        <v>3.3269583333333332</v>
      </c>
      <c r="G1062" s="12" t="s">
        <v>144</v>
      </c>
      <c r="H1062" s="12" t="s">
        <v>47</v>
      </c>
      <c r="I1062">
        <v>2006</v>
      </c>
      <c r="J1062" s="12" t="s">
        <v>163</v>
      </c>
      <c r="K1062" s="2">
        <v>0</v>
      </c>
      <c r="L1062" s="2"/>
      <c r="M1062" s="33">
        <v>6.85</v>
      </c>
      <c r="N1062" s="33">
        <v>1.45333</v>
      </c>
      <c r="O1062" s="8"/>
      <c r="P1062" s="1"/>
      <c r="Q1062" s="1"/>
      <c r="R1062" s="1"/>
      <c r="S1062" s="3"/>
      <c r="T1062" s="3"/>
      <c r="U1062" s="3"/>
      <c r="V1062" s="3"/>
      <c r="W1062" s="3"/>
      <c r="X1062" s="3"/>
      <c r="Y1062" s="3"/>
      <c r="Z1062" s="27" t="s">
        <v>247</v>
      </c>
      <c r="AA1062" t="s">
        <v>221</v>
      </c>
    </row>
    <row r="1063" spans="1:27" x14ac:dyDescent="0.25">
      <c r="A1063" s="12">
        <v>124</v>
      </c>
      <c r="B1063">
        <v>41</v>
      </c>
      <c r="C1063">
        <f t="shared" si="146"/>
        <v>12441</v>
      </c>
      <c r="D1063" s="3" t="s">
        <v>86</v>
      </c>
      <c r="E1063" s="11">
        <f t="shared" si="147"/>
        <v>56.642072222222225</v>
      </c>
      <c r="F1063" s="11">
        <f t="shared" si="148"/>
        <v>3.3269583333333332</v>
      </c>
      <c r="G1063" s="12" t="s">
        <v>144</v>
      </c>
      <c r="H1063" s="12" t="s">
        <v>47</v>
      </c>
      <c r="I1063">
        <v>2007</v>
      </c>
      <c r="J1063" s="12" t="s">
        <v>163</v>
      </c>
      <c r="K1063" s="2">
        <v>0</v>
      </c>
      <c r="L1063" s="2"/>
      <c r="M1063" s="33">
        <v>6.7750000000000004</v>
      </c>
      <c r="N1063" s="33">
        <v>1.2350000000000001</v>
      </c>
      <c r="O1063" s="8"/>
      <c r="P1063" s="1"/>
      <c r="Q1063" s="1"/>
      <c r="R1063" s="1"/>
      <c r="S1063" s="3"/>
      <c r="T1063" s="3"/>
      <c r="U1063" s="3"/>
      <c r="V1063" s="3"/>
      <c r="W1063" s="3"/>
      <c r="X1063" s="3"/>
      <c r="Y1063" s="3"/>
      <c r="Z1063" s="27" t="s">
        <v>247</v>
      </c>
      <c r="AA1063" t="s">
        <v>221</v>
      </c>
    </row>
    <row r="1064" spans="1:27" x14ac:dyDescent="0.25">
      <c r="A1064" s="12">
        <v>124</v>
      </c>
      <c r="B1064">
        <v>41</v>
      </c>
      <c r="C1064">
        <f t="shared" si="146"/>
        <v>12441</v>
      </c>
      <c r="D1064" s="3" t="s">
        <v>86</v>
      </c>
      <c r="E1064" s="11">
        <f t="shared" si="147"/>
        <v>56.642072222222225</v>
      </c>
      <c r="F1064" s="11">
        <f t="shared" si="148"/>
        <v>3.3269583333333332</v>
      </c>
      <c r="G1064" s="12" t="s">
        <v>144</v>
      </c>
      <c r="H1064" s="12" t="s">
        <v>47</v>
      </c>
      <c r="I1064">
        <v>2008</v>
      </c>
      <c r="J1064" s="12" t="s">
        <v>163</v>
      </c>
      <c r="K1064" s="2">
        <v>0</v>
      </c>
      <c r="L1064" s="2"/>
      <c r="M1064" s="33">
        <v>7.5666700000000002</v>
      </c>
      <c r="N1064" s="33">
        <v>1.76667</v>
      </c>
      <c r="O1064" s="8"/>
      <c r="P1064" s="1"/>
      <c r="Q1064" s="1"/>
      <c r="R1064" s="1"/>
      <c r="S1064" s="3"/>
      <c r="T1064" s="3"/>
      <c r="U1064" s="3"/>
      <c r="V1064" s="3"/>
      <c r="W1064" s="3"/>
      <c r="X1064" s="3"/>
      <c r="Y1064" s="3"/>
      <c r="Z1064" s="27" t="s">
        <v>247</v>
      </c>
      <c r="AA1064" t="s">
        <v>221</v>
      </c>
    </row>
    <row r="1065" spans="1:27" x14ac:dyDescent="0.25">
      <c r="A1065" s="12">
        <v>124</v>
      </c>
      <c r="B1065">
        <v>41</v>
      </c>
      <c r="C1065">
        <f t="shared" si="146"/>
        <v>12441</v>
      </c>
      <c r="D1065" s="3" t="s">
        <v>86</v>
      </c>
      <c r="E1065" s="11">
        <f t="shared" si="147"/>
        <v>56.642072222222225</v>
      </c>
      <c r="F1065" s="11">
        <f t="shared" si="148"/>
        <v>3.3269583333333332</v>
      </c>
      <c r="G1065" s="12" t="s">
        <v>144</v>
      </c>
      <c r="H1065" s="12" t="s">
        <v>47</v>
      </c>
      <c r="I1065">
        <v>2009</v>
      </c>
      <c r="J1065" s="12" t="s">
        <v>163</v>
      </c>
      <c r="K1065" s="2">
        <v>0</v>
      </c>
      <c r="L1065" s="2"/>
      <c r="M1065" s="33">
        <v>11.925000000000001</v>
      </c>
      <c r="N1065" s="33">
        <v>3.13</v>
      </c>
      <c r="O1065" s="8"/>
      <c r="P1065" s="1"/>
      <c r="Q1065" s="1"/>
      <c r="R1065" s="1"/>
      <c r="S1065" s="3"/>
      <c r="T1065" s="3"/>
      <c r="U1065" s="3"/>
      <c r="V1065" s="3"/>
      <c r="W1065" s="3"/>
      <c r="X1065" s="3"/>
      <c r="Y1065" s="3"/>
      <c r="Z1065" s="27" t="s">
        <v>247</v>
      </c>
      <c r="AA1065" t="s">
        <v>221</v>
      </c>
    </row>
    <row r="1066" spans="1:27" x14ac:dyDescent="0.25">
      <c r="A1066" s="12">
        <v>124</v>
      </c>
      <c r="B1066">
        <v>41</v>
      </c>
      <c r="C1066">
        <f t="shared" si="146"/>
        <v>12441</v>
      </c>
      <c r="D1066" s="3" t="s">
        <v>86</v>
      </c>
      <c r="E1066" s="11">
        <f t="shared" si="147"/>
        <v>56.642072222222225</v>
      </c>
      <c r="F1066" s="11">
        <f t="shared" si="148"/>
        <v>3.3269583333333332</v>
      </c>
      <c r="G1066" s="12" t="s">
        <v>144</v>
      </c>
      <c r="H1066" s="12" t="s">
        <v>47</v>
      </c>
      <c r="I1066">
        <v>2010</v>
      </c>
      <c r="J1066" s="12" t="s">
        <v>163</v>
      </c>
      <c r="K1066" s="2">
        <v>0</v>
      </c>
      <c r="L1066" s="2"/>
      <c r="M1066" s="33">
        <v>10.267250000000001</v>
      </c>
      <c r="N1066" s="33">
        <v>1.8449899999999999</v>
      </c>
      <c r="O1066" s="8"/>
      <c r="P1066" s="1"/>
      <c r="Q1066" s="1"/>
      <c r="R1066" s="1"/>
      <c r="S1066" s="3"/>
      <c r="T1066" s="3"/>
      <c r="U1066" s="3"/>
      <c r="V1066" s="3"/>
      <c r="W1066" s="3"/>
      <c r="X1066" s="3"/>
      <c r="Y1066" s="3"/>
      <c r="Z1066" s="27" t="s">
        <v>247</v>
      </c>
      <c r="AA1066" t="s">
        <v>221</v>
      </c>
    </row>
    <row r="1067" spans="1:27" x14ac:dyDescent="0.25">
      <c r="A1067" s="12">
        <v>124</v>
      </c>
      <c r="B1067">
        <v>41</v>
      </c>
      <c r="C1067">
        <f t="shared" si="146"/>
        <v>12441</v>
      </c>
      <c r="D1067" s="3" t="s">
        <v>86</v>
      </c>
      <c r="E1067" s="11">
        <f t="shared" si="147"/>
        <v>56.642072222222225</v>
      </c>
      <c r="F1067" s="11">
        <f t="shared" si="148"/>
        <v>3.3269583333333332</v>
      </c>
      <c r="G1067" s="12" t="s">
        <v>144</v>
      </c>
      <c r="H1067" s="12" t="s">
        <v>47</v>
      </c>
      <c r="I1067">
        <v>2011</v>
      </c>
      <c r="J1067" s="12" t="s">
        <v>163</v>
      </c>
      <c r="K1067" s="2">
        <v>0</v>
      </c>
      <c r="L1067" s="2"/>
      <c r="M1067" s="33">
        <v>7.5062871920000003</v>
      </c>
      <c r="N1067" s="33">
        <v>1.508019859</v>
      </c>
      <c r="O1067" s="8"/>
      <c r="P1067" s="1"/>
      <c r="Q1067" s="1"/>
      <c r="R1067" s="1"/>
      <c r="S1067" s="3"/>
      <c r="T1067" s="3"/>
      <c r="U1067" s="3"/>
      <c r="V1067" s="3"/>
      <c r="W1067" s="3"/>
      <c r="X1067" s="3"/>
      <c r="Y1067" s="3"/>
      <c r="Z1067" s="27" t="s">
        <v>247</v>
      </c>
      <c r="AA1067" t="s">
        <v>221</v>
      </c>
    </row>
    <row r="1068" spans="1:27" x14ac:dyDescent="0.25">
      <c r="A1068" s="12">
        <v>124</v>
      </c>
      <c r="B1068">
        <v>41</v>
      </c>
      <c r="C1068">
        <f t="shared" si="146"/>
        <v>12441</v>
      </c>
      <c r="D1068" s="3" t="s">
        <v>86</v>
      </c>
      <c r="E1068" s="11">
        <f t="shared" si="147"/>
        <v>56.642072222222225</v>
      </c>
      <c r="F1068" s="11">
        <f t="shared" si="148"/>
        <v>3.3269583333333332</v>
      </c>
      <c r="G1068" s="12" t="s">
        <v>144</v>
      </c>
      <c r="H1068" s="12" t="s">
        <v>47</v>
      </c>
      <c r="I1068">
        <v>2012</v>
      </c>
      <c r="J1068" s="12" t="s">
        <v>163</v>
      </c>
      <c r="K1068" s="2">
        <v>0</v>
      </c>
      <c r="L1068" s="2"/>
      <c r="M1068" s="33">
        <v>6.92</v>
      </c>
      <c r="N1068" s="33">
        <v>1.33</v>
      </c>
      <c r="O1068" s="8"/>
      <c r="P1068" s="1"/>
      <c r="Q1068" s="1"/>
      <c r="R1068" s="1"/>
      <c r="S1068" s="3"/>
      <c r="T1068" s="3"/>
      <c r="U1068" s="3"/>
      <c r="V1068" s="3"/>
      <c r="W1068" s="3"/>
      <c r="X1068" s="3"/>
      <c r="Y1068" s="3"/>
      <c r="Z1068" s="27" t="s">
        <v>247</v>
      </c>
      <c r="AA1068" t="s">
        <v>221</v>
      </c>
    </row>
    <row r="1069" spans="1:27" x14ac:dyDescent="0.25">
      <c r="A1069" s="12">
        <v>124</v>
      </c>
      <c r="B1069">
        <v>41</v>
      </c>
      <c r="C1069">
        <f t="shared" si="146"/>
        <v>12441</v>
      </c>
      <c r="D1069" s="3" t="s">
        <v>86</v>
      </c>
      <c r="E1069" s="11">
        <f t="shared" si="147"/>
        <v>56.642072222222225</v>
      </c>
      <c r="F1069" s="11">
        <f t="shared" si="148"/>
        <v>3.3269583333333332</v>
      </c>
      <c r="G1069" s="12" t="s">
        <v>144</v>
      </c>
      <c r="H1069" s="12" t="s">
        <v>47</v>
      </c>
      <c r="I1069">
        <v>2013</v>
      </c>
      <c r="J1069" s="12" t="s">
        <v>163</v>
      </c>
      <c r="K1069" s="2">
        <v>0</v>
      </c>
      <c r="L1069" s="2"/>
      <c r="M1069" s="33">
        <v>7.3324999999999996</v>
      </c>
      <c r="N1069" s="33">
        <v>1.41</v>
      </c>
      <c r="O1069" s="8"/>
      <c r="P1069" s="1"/>
      <c r="Q1069" s="1"/>
      <c r="R1069" s="1"/>
      <c r="S1069" s="3"/>
      <c r="T1069" s="3"/>
      <c r="U1069" s="3"/>
      <c r="V1069" s="3"/>
      <c r="W1069" s="3"/>
      <c r="X1069" s="3"/>
      <c r="Y1069" s="3"/>
      <c r="Z1069" s="27" t="s">
        <v>247</v>
      </c>
      <c r="AA1069" t="s">
        <v>221</v>
      </c>
    </row>
    <row r="1070" spans="1:27" x14ac:dyDescent="0.25">
      <c r="A1070" s="12">
        <v>124</v>
      </c>
      <c r="B1070">
        <v>41</v>
      </c>
      <c r="C1070">
        <f t="shared" si="146"/>
        <v>12441</v>
      </c>
      <c r="D1070" s="3" t="s">
        <v>86</v>
      </c>
      <c r="E1070" s="11">
        <f t="shared" si="147"/>
        <v>56.642072222222225</v>
      </c>
      <c r="F1070" s="11">
        <f t="shared" si="148"/>
        <v>3.3269583333333332</v>
      </c>
      <c r="G1070" s="12" t="s">
        <v>144</v>
      </c>
      <c r="H1070" s="12" t="s">
        <v>47</v>
      </c>
      <c r="I1070">
        <v>2014</v>
      </c>
      <c r="J1070" s="12" t="s">
        <v>163</v>
      </c>
      <c r="K1070" s="2">
        <v>0</v>
      </c>
      <c r="L1070" s="2"/>
      <c r="M1070" s="33">
        <v>6.2</v>
      </c>
      <c r="N1070" s="33">
        <v>1.3833333333325</v>
      </c>
      <c r="O1070" s="8"/>
      <c r="P1070" s="1"/>
      <c r="Q1070" s="1"/>
      <c r="R1070" s="1"/>
      <c r="S1070" s="3"/>
      <c r="T1070" s="3"/>
      <c r="U1070" s="3"/>
      <c r="V1070" s="3"/>
      <c r="W1070" s="3"/>
      <c r="X1070" s="3"/>
      <c r="Y1070" s="3"/>
      <c r="Z1070" s="27" t="s">
        <v>247</v>
      </c>
      <c r="AA1070" t="s">
        <v>221</v>
      </c>
    </row>
    <row r="1071" spans="1:27" x14ac:dyDescent="0.25">
      <c r="A1071" s="12">
        <v>124</v>
      </c>
      <c r="B1071">
        <v>41</v>
      </c>
      <c r="C1071">
        <f t="shared" si="146"/>
        <v>12441</v>
      </c>
      <c r="D1071" s="3" t="s">
        <v>86</v>
      </c>
      <c r="E1071" s="11">
        <f t="shared" si="147"/>
        <v>56.642072222222225</v>
      </c>
      <c r="F1071" s="11">
        <f t="shared" si="148"/>
        <v>3.3269583333333332</v>
      </c>
      <c r="G1071" s="12" t="s">
        <v>144</v>
      </c>
      <c r="H1071" s="12" t="s">
        <v>47</v>
      </c>
      <c r="I1071">
        <v>2015</v>
      </c>
      <c r="J1071" s="12" t="s">
        <v>163</v>
      </c>
      <c r="K1071" s="2">
        <v>0</v>
      </c>
      <c r="L1071" s="2"/>
      <c r="M1071" s="33">
        <v>7.85</v>
      </c>
      <c r="N1071" s="33">
        <v>1.2575000000000001</v>
      </c>
      <c r="O1071" s="8"/>
      <c r="P1071" s="1"/>
      <c r="Q1071" s="1"/>
      <c r="R1071" s="1"/>
      <c r="S1071" s="3"/>
      <c r="T1071" s="3"/>
      <c r="U1071" s="3"/>
      <c r="V1071" s="3"/>
      <c r="W1071" s="3"/>
      <c r="X1071" s="3"/>
      <c r="Y1071" s="3"/>
      <c r="Z1071" s="27" t="s">
        <v>247</v>
      </c>
      <c r="AA1071" t="s">
        <v>221</v>
      </c>
    </row>
    <row r="1072" spans="1:27" x14ac:dyDescent="0.25">
      <c r="A1072" s="12">
        <v>124</v>
      </c>
      <c r="B1072">
        <v>42</v>
      </c>
      <c r="C1072">
        <f t="shared" si="146"/>
        <v>12442</v>
      </c>
      <c r="D1072" s="3" t="s">
        <v>86</v>
      </c>
      <c r="E1072" s="11">
        <f>60+42/60+52.19/3600</f>
        <v>60.714497222222228</v>
      </c>
      <c r="F1072" s="11">
        <f>3+30/60+37.36/3600</f>
        <v>3.5103777777777778</v>
      </c>
      <c r="G1072" s="12" t="s">
        <v>144</v>
      </c>
      <c r="H1072" s="12" t="s">
        <v>47</v>
      </c>
      <c r="I1072">
        <v>2002</v>
      </c>
      <c r="J1072" s="12" t="s">
        <v>163</v>
      </c>
      <c r="K1072" s="2">
        <v>0</v>
      </c>
      <c r="L1072" s="2"/>
      <c r="M1072" s="33">
        <v>9.5</v>
      </c>
      <c r="N1072" s="33"/>
      <c r="O1072" s="8"/>
      <c r="P1072" s="1"/>
      <c r="Q1072" s="1"/>
      <c r="R1072" s="1"/>
      <c r="S1072" s="3"/>
      <c r="T1072" s="3"/>
      <c r="U1072" s="3"/>
      <c r="V1072" s="3"/>
      <c r="W1072" s="3"/>
      <c r="X1072" s="3"/>
      <c r="Y1072" s="3"/>
      <c r="Z1072" s="27" t="s">
        <v>247</v>
      </c>
      <c r="AA1072" t="s">
        <v>222</v>
      </c>
    </row>
    <row r="1073" spans="1:27" x14ac:dyDescent="0.25">
      <c r="A1073" s="12">
        <v>124</v>
      </c>
      <c r="B1073">
        <v>42</v>
      </c>
      <c r="C1073">
        <f t="shared" si="146"/>
        <v>12442</v>
      </c>
      <c r="D1073" s="3" t="s">
        <v>86</v>
      </c>
      <c r="E1073" s="11">
        <f t="shared" ref="E1073:E1091" si="149">60+42/60+52.19/3600</f>
        <v>60.714497222222228</v>
      </c>
      <c r="F1073" s="11">
        <f t="shared" ref="F1073:F1091" si="150">3+30/60+37.36/3600</f>
        <v>3.5103777777777778</v>
      </c>
      <c r="G1073" s="12" t="s">
        <v>144</v>
      </c>
      <c r="H1073" s="12" t="s">
        <v>47</v>
      </c>
      <c r="I1073">
        <v>2003</v>
      </c>
      <c r="J1073" s="12" t="s">
        <v>163</v>
      </c>
      <c r="K1073" s="2">
        <v>0</v>
      </c>
      <c r="L1073" s="2"/>
      <c r="M1073" s="33">
        <v>6.3666666666666698</v>
      </c>
      <c r="N1073" s="33"/>
      <c r="O1073" s="8"/>
      <c r="P1073" s="1"/>
      <c r="Q1073" s="1"/>
      <c r="R1073" s="1"/>
      <c r="S1073" s="3"/>
      <c r="T1073" s="3"/>
      <c r="U1073" s="3"/>
      <c r="V1073" s="3"/>
      <c r="W1073" s="3"/>
      <c r="X1073" s="3"/>
      <c r="Y1073" s="3"/>
      <c r="Z1073" s="27" t="s">
        <v>247</v>
      </c>
      <c r="AA1073" t="s">
        <v>222</v>
      </c>
    </row>
    <row r="1074" spans="1:27" x14ac:dyDescent="0.25">
      <c r="A1074" s="12">
        <v>124</v>
      </c>
      <c r="B1074">
        <v>42</v>
      </c>
      <c r="C1074">
        <f t="shared" si="146"/>
        <v>12442</v>
      </c>
      <c r="D1074" s="3" t="s">
        <v>86</v>
      </c>
      <c r="E1074" s="11">
        <f t="shared" si="149"/>
        <v>60.714497222222228</v>
      </c>
      <c r="F1074" s="11">
        <f t="shared" si="150"/>
        <v>3.5103777777777778</v>
      </c>
      <c r="G1074" s="12" t="s">
        <v>144</v>
      </c>
      <c r="H1074" s="12" t="s">
        <v>47</v>
      </c>
      <c r="I1074">
        <v>2004</v>
      </c>
      <c r="J1074" s="12" t="s">
        <v>163</v>
      </c>
      <c r="K1074" s="2">
        <v>0</v>
      </c>
      <c r="L1074" s="2"/>
      <c r="M1074" s="33">
        <v>6.1233333333333304</v>
      </c>
      <c r="N1074" s="33"/>
      <c r="O1074" s="8"/>
      <c r="P1074" s="1"/>
      <c r="Q1074" s="1"/>
      <c r="R1074" s="1"/>
      <c r="S1074" s="3"/>
      <c r="T1074" s="3"/>
      <c r="U1074" s="3"/>
      <c r="V1074" s="3"/>
      <c r="W1074" s="3"/>
      <c r="X1074" s="3"/>
      <c r="Y1074" s="3"/>
      <c r="Z1074" s="27" t="s">
        <v>247</v>
      </c>
      <c r="AA1074" t="s">
        <v>222</v>
      </c>
    </row>
    <row r="1075" spans="1:27" x14ac:dyDescent="0.25">
      <c r="A1075" s="12">
        <v>124</v>
      </c>
      <c r="B1075">
        <v>42</v>
      </c>
      <c r="C1075">
        <f t="shared" si="146"/>
        <v>12442</v>
      </c>
      <c r="D1075" s="3" t="s">
        <v>86</v>
      </c>
      <c r="E1075" s="11">
        <f t="shared" si="149"/>
        <v>60.714497222222228</v>
      </c>
      <c r="F1075" s="11">
        <f t="shared" si="150"/>
        <v>3.5103777777777778</v>
      </c>
      <c r="G1075" s="12" t="s">
        <v>144</v>
      </c>
      <c r="H1075" s="12" t="s">
        <v>47</v>
      </c>
      <c r="I1075">
        <v>2005</v>
      </c>
      <c r="J1075" s="12" t="s">
        <v>163</v>
      </c>
      <c r="K1075" s="2">
        <v>0</v>
      </c>
      <c r="L1075" s="2"/>
      <c r="M1075" s="33">
        <v>5.8333333333333304</v>
      </c>
      <c r="N1075" s="33">
        <v>1.7000000000000001E-2</v>
      </c>
      <c r="O1075" s="8"/>
      <c r="P1075" s="1"/>
      <c r="Q1075" s="1"/>
      <c r="R1075" s="1"/>
      <c r="S1075" s="3"/>
      <c r="T1075" s="3"/>
      <c r="U1075" s="3"/>
      <c r="V1075" s="3"/>
      <c r="W1075" s="3"/>
      <c r="X1075" s="3"/>
      <c r="Y1075" s="3"/>
      <c r="Z1075" s="27" t="s">
        <v>247</v>
      </c>
      <c r="AA1075" t="s">
        <v>222</v>
      </c>
    </row>
    <row r="1076" spans="1:27" x14ac:dyDescent="0.25">
      <c r="A1076" s="12">
        <v>124</v>
      </c>
      <c r="B1076">
        <v>42</v>
      </c>
      <c r="C1076">
        <f t="shared" si="146"/>
        <v>12442</v>
      </c>
      <c r="D1076" s="3" t="s">
        <v>86</v>
      </c>
      <c r="E1076" s="11">
        <f t="shared" si="149"/>
        <v>60.714497222222228</v>
      </c>
      <c r="F1076" s="11">
        <f t="shared" si="150"/>
        <v>3.5103777777777778</v>
      </c>
      <c r="G1076" s="12" t="s">
        <v>144</v>
      </c>
      <c r="H1076" s="12" t="s">
        <v>47</v>
      </c>
      <c r="I1076">
        <v>2006</v>
      </c>
      <c r="J1076" s="12" t="s">
        <v>163</v>
      </c>
      <c r="K1076" s="2">
        <v>0</v>
      </c>
      <c r="L1076" s="2"/>
      <c r="M1076" s="33">
        <v>6.6555666666666697</v>
      </c>
      <c r="N1076" s="33">
        <v>5.3388999999999998</v>
      </c>
      <c r="O1076" s="8"/>
      <c r="P1076" s="1"/>
      <c r="Q1076" s="1"/>
      <c r="R1076" s="1"/>
      <c r="S1076" s="3"/>
      <c r="T1076" s="3"/>
      <c r="U1076" s="3"/>
      <c r="V1076" s="3"/>
      <c r="W1076" s="3"/>
      <c r="X1076" s="3"/>
      <c r="Y1076" s="3"/>
      <c r="Z1076" s="27" t="s">
        <v>247</v>
      </c>
      <c r="AA1076" t="s">
        <v>222</v>
      </c>
    </row>
    <row r="1077" spans="1:27" x14ac:dyDescent="0.25">
      <c r="A1077" s="12">
        <v>124</v>
      </c>
      <c r="B1077">
        <v>42</v>
      </c>
      <c r="C1077">
        <f t="shared" si="146"/>
        <v>12442</v>
      </c>
      <c r="D1077" s="3" t="s">
        <v>86</v>
      </c>
      <c r="E1077" s="11">
        <f t="shared" si="149"/>
        <v>60.714497222222228</v>
      </c>
      <c r="F1077" s="11">
        <f t="shared" si="150"/>
        <v>3.5103777777777778</v>
      </c>
      <c r="G1077" s="12" t="s">
        <v>144</v>
      </c>
      <c r="H1077" s="12" t="s">
        <v>47</v>
      </c>
      <c r="I1077">
        <v>2007</v>
      </c>
      <c r="J1077" s="12" t="s">
        <v>163</v>
      </c>
      <c r="K1077" s="2">
        <v>0</v>
      </c>
      <c r="L1077" s="2"/>
      <c r="M1077" s="33">
        <v>6.63228666666667</v>
      </c>
      <c r="N1077" s="33">
        <v>5.0450866666666698</v>
      </c>
      <c r="O1077" s="8"/>
      <c r="P1077" s="1"/>
      <c r="Q1077" s="1"/>
      <c r="R1077" s="1"/>
      <c r="S1077" s="3"/>
      <c r="T1077" s="3"/>
      <c r="U1077" s="3"/>
      <c r="V1077" s="3"/>
      <c r="W1077" s="3"/>
      <c r="X1077" s="3"/>
      <c r="Y1077" s="3"/>
      <c r="Z1077" s="27" t="s">
        <v>247</v>
      </c>
      <c r="AA1077" t="s">
        <v>222</v>
      </c>
    </row>
    <row r="1078" spans="1:27" x14ac:dyDescent="0.25">
      <c r="A1078" s="12">
        <v>124</v>
      </c>
      <c r="B1078">
        <v>42</v>
      </c>
      <c r="C1078">
        <f t="shared" si="146"/>
        <v>12442</v>
      </c>
      <c r="D1078" s="3" t="s">
        <v>86</v>
      </c>
      <c r="E1078" s="11">
        <f t="shared" si="149"/>
        <v>60.714497222222228</v>
      </c>
      <c r="F1078" s="11">
        <f t="shared" si="150"/>
        <v>3.5103777777777778</v>
      </c>
      <c r="G1078" s="12" t="s">
        <v>144</v>
      </c>
      <c r="H1078" s="12" t="s">
        <v>47</v>
      </c>
      <c r="I1078">
        <v>2008</v>
      </c>
      <c r="J1078" s="12" t="s">
        <v>163</v>
      </c>
      <c r="K1078" s="2">
        <v>0</v>
      </c>
      <c r="L1078" s="2"/>
      <c r="M1078" s="33">
        <v>6.1992767740000003</v>
      </c>
      <c r="N1078" s="33">
        <v>5.0729190416666698</v>
      </c>
      <c r="O1078" s="8"/>
      <c r="P1078" s="1"/>
      <c r="Q1078" s="1"/>
      <c r="R1078" s="1"/>
      <c r="S1078" s="3"/>
      <c r="T1078" s="3"/>
      <c r="U1078" s="3"/>
      <c r="V1078" s="3"/>
      <c r="W1078" s="3"/>
      <c r="X1078" s="3"/>
      <c r="Y1078" s="3"/>
      <c r="Z1078" s="27" t="s">
        <v>247</v>
      </c>
      <c r="AA1078" t="s">
        <v>222</v>
      </c>
    </row>
    <row r="1079" spans="1:27" x14ac:dyDescent="0.25">
      <c r="A1079" s="12">
        <v>124</v>
      </c>
      <c r="B1079">
        <v>42</v>
      </c>
      <c r="C1079">
        <f t="shared" si="146"/>
        <v>12442</v>
      </c>
      <c r="D1079" s="3" t="s">
        <v>86</v>
      </c>
      <c r="E1079" s="11">
        <f t="shared" si="149"/>
        <v>60.714497222222228</v>
      </c>
      <c r="F1079" s="11">
        <f t="shared" si="150"/>
        <v>3.5103777777777778</v>
      </c>
      <c r="G1079" s="12" t="s">
        <v>144</v>
      </c>
      <c r="H1079" s="12" t="s">
        <v>47</v>
      </c>
      <c r="I1079">
        <v>2009</v>
      </c>
      <c r="J1079" s="12" t="s">
        <v>163</v>
      </c>
      <c r="K1079" s="2">
        <v>0</v>
      </c>
      <c r="L1079" s="2"/>
      <c r="M1079" s="33">
        <v>6.7937080196666697</v>
      </c>
      <c r="N1079" s="33">
        <v>5.3736361746666699</v>
      </c>
      <c r="O1079" s="8"/>
      <c r="P1079" s="1"/>
      <c r="Q1079" s="1"/>
      <c r="R1079" s="1"/>
      <c r="S1079" s="3"/>
      <c r="T1079" s="3"/>
      <c r="U1079" s="3"/>
      <c r="V1079" s="3"/>
      <c r="W1079" s="3"/>
      <c r="X1079" s="3"/>
      <c r="Y1079" s="3"/>
      <c r="Z1079" s="27" t="s">
        <v>247</v>
      </c>
      <c r="AA1079" t="s">
        <v>222</v>
      </c>
    </row>
    <row r="1080" spans="1:27" x14ac:dyDescent="0.25">
      <c r="A1080" s="12">
        <v>124</v>
      </c>
      <c r="B1080">
        <v>42</v>
      </c>
      <c r="C1080">
        <f t="shared" si="146"/>
        <v>12442</v>
      </c>
      <c r="D1080" s="3" t="s">
        <v>86</v>
      </c>
      <c r="E1080" s="11">
        <f t="shared" si="149"/>
        <v>60.714497222222228</v>
      </c>
      <c r="F1080" s="11">
        <f t="shared" si="150"/>
        <v>3.5103777777777778</v>
      </c>
      <c r="G1080" s="12" t="s">
        <v>144</v>
      </c>
      <c r="H1080" s="12" t="s">
        <v>47</v>
      </c>
      <c r="I1080">
        <v>2010</v>
      </c>
      <c r="J1080" s="12" t="s">
        <v>163</v>
      </c>
      <c r="K1080" s="2">
        <v>0</v>
      </c>
      <c r="L1080" s="2"/>
      <c r="M1080" s="33">
        <v>7.0998278613333303</v>
      </c>
      <c r="N1080" s="33">
        <v>5.7097933603333297</v>
      </c>
      <c r="O1080" s="8"/>
      <c r="P1080" s="1"/>
      <c r="Q1080" s="1"/>
      <c r="R1080" s="1"/>
      <c r="S1080" s="3"/>
      <c r="T1080" s="3"/>
      <c r="U1080" s="3"/>
      <c r="V1080" s="3"/>
      <c r="W1080" s="3"/>
      <c r="X1080" s="3"/>
      <c r="Y1080" s="3"/>
      <c r="Z1080" s="27" t="s">
        <v>247</v>
      </c>
      <c r="AA1080" t="s">
        <v>222</v>
      </c>
    </row>
    <row r="1081" spans="1:27" x14ac:dyDescent="0.25">
      <c r="A1081" s="12">
        <v>124</v>
      </c>
      <c r="B1081">
        <v>42</v>
      </c>
      <c r="C1081">
        <f t="shared" si="146"/>
        <v>12442</v>
      </c>
      <c r="D1081" s="3" t="s">
        <v>86</v>
      </c>
      <c r="E1081" s="11">
        <f t="shared" si="149"/>
        <v>60.714497222222228</v>
      </c>
      <c r="F1081" s="11">
        <f t="shared" si="150"/>
        <v>3.5103777777777778</v>
      </c>
      <c r="G1081" s="12" t="s">
        <v>144</v>
      </c>
      <c r="H1081" s="12" t="s">
        <v>47</v>
      </c>
      <c r="I1081">
        <v>2011</v>
      </c>
      <c r="J1081" s="12" t="s">
        <v>163</v>
      </c>
      <c r="K1081" s="2">
        <v>0</v>
      </c>
      <c r="L1081" s="2"/>
      <c r="M1081" s="33">
        <v>7.2757469613333301</v>
      </c>
      <c r="N1081" s="33">
        <v>5.6617526346666702</v>
      </c>
      <c r="O1081" s="8"/>
      <c r="P1081" s="1"/>
      <c r="Q1081" s="1"/>
      <c r="R1081" s="1"/>
      <c r="S1081" s="3"/>
      <c r="T1081" s="3"/>
      <c r="U1081" s="3"/>
      <c r="V1081" s="3"/>
      <c r="W1081" s="3"/>
      <c r="X1081" s="3"/>
      <c r="Y1081" s="3"/>
      <c r="Z1081" s="27" t="s">
        <v>247</v>
      </c>
      <c r="AA1081" t="s">
        <v>222</v>
      </c>
    </row>
    <row r="1082" spans="1:27" x14ac:dyDescent="0.25">
      <c r="A1082" s="12">
        <v>124</v>
      </c>
      <c r="B1082">
        <v>42</v>
      </c>
      <c r="C1082">
        <f t="shared" si="146"/>
        <v>12442</v>
      </c>
      <c r="D1082" s="3" t="s">
        <v>86</v>
      </c>
      <c r="E1082" s="11">
        <f t="shared" si="149"/>
        <v>60.714497222222228</v>
      </c>
      <c r="F1082" s="11">
        <f t="shared" si="150"/>
        <v>3.5103777777777778</v>
      </c>
      <c r="G1082" s="12" t="s">
        <v>144</v>
      </c>
      <c r="H1082" s="12" t="s">
        <v>47</v>
      </c>
      <c r="I1082">
        <v>2012</v>
      </c>
      <c r="J1082" s="12" t="s">
        <v>163</v>
      </c>
      <c r="K1082" s="2">
        <v>0</v>
      </c>
      <c r="L1082" s="2"/>
      <c r="M1082" s="33">
        <v>8.7325332142857093</v>
      </c>
      <c r="N1082" s="33">
        <v>6.1555555555555603</v>
      </c>
      <c r="O1082" s="8"/>
      <c r="P1082" s="1"/>
      <c r="Q1082" s="1"/>
      <c r="R1082" s="1"/>
      <c r="S1082" s="3"/>
      <c r="T1082" s="3"/>
      <c r="U1082" s="3"/>
      <c r="V1082" s="3"/>
      <c r="W1082" s="3"/>
      <c r="X1082" s="3"/>
      <c r="Y1082" s="3"/>
      <c r="Z1082" s="27" t="s">
        <v>247</v>
      </c>
      <c r="AA1082" t="s">
        <v>222</v>
      </c>
    </row>
    <row r="1083" spans="1:27" x14ac:dyDescent="0.25">
      <c r="A1083" s="12">
        <v>124</v>
      </c>
      <c r="B1083">
        <v>42</v>
      </c>
      <c r="C1083">
        <f t="shared" si="146"/>
        <v>12442</v>
      </c>
      <c r="D1083" s="3" t="s">
        <v>86</v>
      </c>
      <c r="E1083" s="11">
        <f t="shared" si="149"/>
        <v>60.714497222222228</v>
      </c>
      <c r="F1083" s="11">
        <f t="shared" si="150"/>
        <v>3.5103777777777778</v>
      </c>
      <c r="G1083" s="12" t="s">
        <v>144</v>
      </c>
      <c r="H1083" s="12" t="s">
        <v>47</v>
      </c>
      <c r="I1083">
        <v>2013</v>
      </c>
      <c r="J1083" s="12" t="s">
        <v>163</v>
      </c>
      <c r="K1083" s="2">
        <v>0</v>
      </c>
      <c r="L1083" s="2"/>
      <c r="M1083" s="33">
        <v>8.6793105764610701</v>
      </c>
      <c r="N1083" s="33">
        <v>6.9431818181818201</v>
      </c>
      <c r="O1083" s="8"/>
      <c r="P1083" s="1"/>
      <c r="Q1083" s="1"/>
      <c r="R1083" s="1"/>
      <c r="S1083" s="3"/>
      <c r="T1083" s="3"/>
      <c r="U1083" s="3"/>
      <c r="V1083" s="3"/>
      <c r="W1083" s="3"/>
      <c r="X1083" s="3"/>
      <c r="Y1083" s="3"/>
      <c r="Z1083" s="27" t="s">
        <v>247</v>
      </c>
      <c r="AA1083" t="s">
        <v>222</v>
      </c>
    </row>
    <row r="1084" spans="1:27" x14ac:dyDescent="0.25">
      <c r="A1084" s="12">
        <v>124</v>
      </c>
      <c r="B1084">
        <v>42</v>
      </c>
      <c r="C1084">
        <f t="shared" si="146"/>
        <v>12442</v>
      </c>
      <c r="D1084" s="3" t="s">
        <v>86</v>
      </c>
      <c r="E1084" s="11">
        <f t="shared" si="149"/>
        <v>60.714497222222228</v>
      </c>
      <c r="F1084" s="11">
        <f t="shared" si="150"/>
        <v>3.5103777777777778</v>
      </c>
      <c r="G1084" s="12" t="s">
        <v>144</v>
      </c>
      <c r="H1084" s="12" t="s">
        <v>47</v>
      </c>
      <c r="I1084">
        <v>2014</v>
      </c>
      <c r="J1084" s="12" t="s">
        <v>163</v>
      </c>
      <c r="K1084" s="2">
        <v>0</v>
      </c>
      <c r="L1084" s="2"/>
      <c r="M1084" s="33">
        <v>8.6047916666666708</v>
      </c>
      <c r="N1084" s="33">
        <v>6.8377272727272702</v>
      </c>
      <c r="O1084" s="8"/>
      <c r="P1084" s="1"/>
      <c r="Q1084" s="1"/>
      <c r="R1084" s="1"/>
      <c r="S1084" s="3"/>
      <c r="T1084" s="3"/>
      <c r="U1084" s="3"/>
      <c r="V1084" s="3"/>
      <c r="W1084" s="3"/>
      <c r="X1084" s="3"/>
      <c r="Y1084" s="3"/>
      <c r="Z1084" s="27" t="s">
        <v>247</v>
      </c>
      <c r="AA1084" t="s">
        <v>222</v>
      </c>
    </row>
    <row r="1085" spans="1:27" x14ac:dyDescent="0.25">
      <c r="A1085" s="12">
        <v>124</v>
      </c>
      <c r="B1085">
        <v>42</v>
      </c>
      <c r="C1085">
        <f t="shared" si="146"/>
        <v>12442</v>
      </c>
      <c r="D1085" s="3" t="s">
        <v>86</v>
      </c>
      <c r="E1085" s="11">
        <f t="shared" si="149"/>
        <v>60.714497222222228</v>
      </c>
      <c r="F1085" s="11">
        <f t="shared" si="150"/>
        <v>3.5103777777777778</v>
      </c>
      <c r="G1085" s="12" t="s">
        <v>144</v>
      </c>
      <c r="H1085" s="12" t="s">
        <v>47</v>
      </c>
      <c r="I1085">
        <v>2015</v>
      </c>
      <c r="J1085" s="12" t="s">
        <v>163</v>
      </c>
      <c r="K1085" s="2">
        <v>0</v>
      </c>
      <c r="L1085" s="2"/>
      <c r="M1085" s="33">
        <v>8.4732608695652196</v>
      </c>
      <c r="N1085" s="33">
        <v>6.8534090909090901</v>
      </c>
      <c r="O1085" s="8"/>
      <c r="P1085" s="1"/>
      <c r="Q1085" s="1"/>
      <c r="R1085" s="1"/>
      <c r="S1085" s="3"/>
      <c r="T1085" s="3"/>
      <c r="U1085" s="3"/>
      <c r="V1085" s="3"/>
      <c r="W1085" s="3"/>
      <c r="X1085" s="3"/>
      <c r="Y1085" s="3"/>
      <c r="Z1085" s="27" t="s">
        <v>247</v>
      </c>
      <c r="AA1085" t="s">
        <v>222</v>
      </c>
    </row>
    <row r="1086" spans="1:27" x14ac:dyDescent="0.25">
      <c r="A1086" s="12">
        <v>124</v>
      </c>
      <c r="B1086">
        <v>42</v>
      </c>
      <c r="C1086">
        <f t="shared" si="146"/>
        <v>12442</v>
      </c>
      <c r="D1086" s="3" t="s">
        <v>86</v>
      </c>
      <c r="E1086" s="11">
        <f t="shared" si="149"/>
        <v>60.714497222222228</v>
      </c>
      <c r="F1086" s="11">
        <f t="shared" si="150"/>
        <v>3.5103777777777778</v>
      </c>
      <c r="G1086" s="12" t="s">
        <v>144</v>
      </c>
      <c r="H1086" s="12" t="s">
        <v>47</v>
      </c>
      <c r="I1086">
        <v>2016</v>
      </c>
      <c r="J1086" s="12" t="s">
        <v>163</v>
      </c>
      <c r="K1086" s="2">
        <v>0</v>
      </c>
      <c r="L1086" s="2"/>
      <c r="M1086" s="33">
        <v>6.3404999999999996</v>
      </c>
      <c r="N1086" s="33">
        <v>6.2273333333333296</v>
      </c>
      <c r="O1086" s="8"/>
      <c r="P1086" s="1"/>
      <c r="Q1086" s="1"/>
      <c r="R1086" s="1"/>
      <c r="S1086" s="3"/>
      <c r="T1086" s="3"/>
      <c r="U1086" s="3"/>
      <c r="V1086" s="3"/>
      <c r="W1086" s="3"/>
      <c r="X1086" s="3"/>
      <c r="Y1086" s="3"/>
      <c r="Z1086" s="27" t="s">
        <v>247</v>
      </c>
      <c r="AA1086" t="s">
        <v>222</v>
      </c>
    </row>
    <row r="1087" spans="1:27" x14ac:dyDescent="0.25">
      <c r="A1087" s="12">
        <v>124</v>
      </c>
      <c r="B1087">
        <v>42</v>
      </c>
      <c r="C1087">
        <f t="shared" si="146"/>
        <v>12442</v>
      </c>
      <c r="D1087" s="3" t="s">
        <v>86</v>
      </c>
      <c r="E1087" s="11">
        <f t="shared" si="149"/>
        <v>60.714497222222228</v>
      </c>
      <c r="F1087" s="11">
        <f t="shared" si="150"/>
        <v>3.5103777777777778</v>
      </c>
      <c r="G1087" s="12" t="s">
        <v>144</v>
      </c>
      <c r="H1087" s="12" t="s">
        <v>47</v>
      </c>
      <c r="I1087">
        <v>2017</v>
      </c>
      <c r="J1087" s="12" t="s">
        <v>163</v>
      </c>
      <c r="K1087" s="2">
        <v>0</v>
      </c>
      <c r="L1087" s="2"/>
      <c r="M1087" s="33">
        <v>6.1896500000000003</v>
      </c>
      <c r="N1087" s="33">
        <v>6.4108999999999998</v>
      </c>
      <c r="O1087" s="8"/>
      <c r="P1087" s="1"/>
      <c r="Q1087" s="1"/>
      <c r="R1087" s="1"/>
      <c r="S1087" s="3"/>
      <c r="T1087" s="3"/>
      <c r="U1087" s="3"/>
      <c r="V1087" s="3"/>
      <c r="W1087" s="3"/>
      <c r="X1087" s="3"/>
      <c r="Y1087" s="3"/>
      <c r="Z1087" s="27" t="s">
        <v>247</v>
      </c>
      <c r="AA1087" t="s">
        <v>222</v>
      </c>
    </row>
    <row r="1088" spans="1:27" x14ac:dyDescent="0.25">
      <c r="A1088" s="12">
        <v>124</v>
      </c>
      <c r="B1088">
        <v>42</v>
      </c>
      <c r="C1088">
        <f t="shared" si="146"/>
        <v>12442</v>
      </c>
      <c r="D1088" s="3" t="s">
        <v>86</v>
      </c>
      <c r="E1088" s="11">
        <f t="shared" si="149"/>
        <v>60.714497222222228</v>
      </c>
      <c r="F1088" s="11">
        <f t="shared" si="150"/>
        <v>3.5103777777777778</v>
      </c>
      <c r="G1088" s="12" t="s">
        <v>144</v>
      </c>
      <c r="H1088" s="12" t="s">
        <v>47</v>
      </c>
      <c r="I1088">
        <v>2018</v>
      </c>
      <c r="J1088" s="12" t="s">
        <v>163</v>
      </c>
      <c r="K1088" s="2">
        <v>0</v>
      </c>
      <c r="L1088" s="2"/>
      <c r="M1088" s="33">
        <v>6.8027777777777798</v>
      </c>
      <c r="N1088" s="33">
        <v>6.0487500000000001</v>
      </c>
      <c r="O1088" s="8"/>
      <c r="P1088" s="1"/>
      <c r="Q1088" s="1"/>
      <c r="R1088" s="1"/>
      <c r="S1088" s="3"/>
      <c r="T1088" s="3"/>
      <c r="U1088" s="3"/>
      <c r="V1088" s="3"/>
      <c r="W1088" s="3"/>
      <c r="X1088" s="3"/>
      <c r="Y1088" s="3"/>
      <c r="Z1088" s="27" t="s">
        <v>247</v>
      </c>
      <c r="AA1088" t="s">
        <v>222</v>
      </c>
    </row>
    <row r="1089" spans="1:27" x14ac:dyDescent="0.25">
      <c r="A1089" s="12">
        <v>124</v>
      </c>
      <c r="B1089">
        <v>42</v>
      </c>
      <c r="C1089">
        <f t="shared" si="146"/>
        <v>12442</v>
      </c>
      <c r="D1089" s="3" t="s">
        <v>86</v>
      </c>
      <c r="E1089" s="11">
        <f t="shared" si="149"/>
        <v>60.714497222222228</v>
      </c>
      <c r="F1089" s="11">
        <f t="shared" si="150"/>
        <v>3.5103777777777778</v>
      </c>
      <c r="G1089" s="12" t="s">
        <v>144</v>
      </c>
      <c r="H1089" s="12" t="s">
        <v>47</v>
      </c>
      <c r="I1089">
        <v>2019</v>
      </c>
      <c r="J1089" s="12" t="s">
        <v>163</v>
      </c>
      <c r="K1089" s="2">
        <v>0</v>
      </c>
      <c r="L1089" s="2"/>
      <c r="M1089" s="33">
        <v>7.1835000000000004</v>
      </c>
      <c r="N1089" s="33">
        <v>6.5955000000000004</v>
      </c>
      <c r="O1089" s="8"/>
      <c r="P1089" s="1"/>
      <c r="Q1089" s="1"/>
      <c r="R1089" s="1"/>
      <c r="S1089" s="3"/>
      <c r="T1089" s="3"/>
      <c r="U1089" s="3"/>
      <c r="V1089" s="3"/>
      <c r="W1089" s="3"/>
      <c r="X1089" s="3"/>
      <c r="Y1089" s="3"/>
      <c r="Z1089" s="27" t="s">
        <v>247</v>
      </c>
      <c r="AA1089" t="s">
        <v>222</v>
      </c>
    </row>
    <row r="1090" spans="1:27" x14ac:dyDescent="0.25">
      <c r="A1090" s="12">
        <v>124</v>
      </c>
      <c r="B1090">
        <v>42</v>
      </c>
      <c r="C1090">
        <f t="shared" si="146"/>
        <v>12442</v>
      </c>
      <c r="D1090" s="3" t="s">
        <v>86</v>
      </c>
      <c r="E1090" s="11">
        <f t="shared" si="149"/>
        <v>60.714497222222228</v>
      </c>
      <c r="F1090" s="11">
        <f t="shared" si="150"/>
        <v>3.5103777777777778</v>
      </c>
      <c r="G1090" s="12" t="s">
        <v>144</v>
      </c>
      <c r="H1090" s="12" t="s">
        <v>47</v>
      </c>
      <c r="I1090">
        <v>2020</v>
      </c>
      <c r="J1090" s="12" t="s">
        <v>163</v>
      </c>
      <c r="K1090" s="2">
        <v>0</v>
      </c>
      <c r="L1090" s="2"/>
      <c r="M1090" s="33">
        <v>6.2314583333333298</v>
      </c>
      <c r="N1090" s="33">
        <v>6.1707272727272704</v>
      </c>
      <c r="O1090" s="8"/>
      <c r="P1090" s="1"/>
      <c r="Q1090" s="1"/>
      <c r="R1090" s="1"/>
      <c r="S1090" s="3"/>
      <c r="T1090" s="3"/>
      <c r="U1090" s="3"/>
      <c r="V1090" s="3"/>
      <c r="W1090" s="3"/>
      <c r="X1090" s="3"/>
      <c r="Y1090" s="3"/>
      <c r="Z1090" s="27" t="s">
        <v>247</v>
      </c>
      <c r="AA1090" t="s">
        <v>222</v>
      </c>
    </row>
    <row r="1091" spans="1:27" x14ac:dyDescent="0.25">
      <c r="A1091" s="12">
        <v>124</v>
      </c>
      <c r="B1091">
        <v>42</v>
      </c>
      <c r="C1091">
        <f t="shared" si="146"/>
        <v>12442</v>
      </c>
      <c r="D1091" s="3" t="s">
        <v>86</v>
      </c>
      <c r="E1091" s="11">
        <f t="shared" si="149"/>
        <v>60.714497222222228</v>
      </c>
      <c r="F1091" s="11">
        <f t="shared" si="150"/>
        <v>3.5103777777777778</v>
      </c>
      <c r="G1091" s="12" t="s">
        <v>144</v>
      </c>
      <c r="H1091" s="12" t="s">
        <v>47</v>
      </c>
      <c r="I1091">
        <v>2021</v>
      </c>
      <c r="J1091" s="12" t="s">
        <v>163</v>
      </c>
      <c r="K1091" s="2">
        <v>0</v>
      </c>
      <c r="L1091" s="2"/>
      <c r="M1091" s="33">
        <v>7.0643181818181802</v>
      </c>
      <c r="N1091" s="33">
        <v>6.02929166666667</v>
      </c>
      <c r="O1091" s="8"/>
      <c r="P1091" s="1"/>
      <c r="Q1091" s="1"/>
      <c r="R1091" s="1"/>
      <c r="S1091" s="3"/>
      <c r="T1091" s="3"/>
      <c r="U1091" s="3"/>
      <c r="V1091" s="3"/>
      <c r="W1091" s="3"/>
      <c r="X1091" s="3"/>
      <c r="Y1091" s="3"/>
      <c r="Z1091" s="27" t="s">
        <v>247</v>
      </c>
      <c r="AA1091" t="s">
        <v>222</v>
      </c>
    </row>
    <row r="1092" spans="1:27" x14ac:dyDescent="0.25">
      <c r="A1092" s="12">
        <v>124</v>
      </c>
      <c r="B1092">
        <v>43</v>
      </c>
      <c r="C1092">
        <f t="shared" si="146"/>
        <v>12443</v>
      </c>
      <c r="D1092" s="3" t="s">
        <v>86</v>
      </c>
      <c r="E1092" s="11">
        <f>57+6/60+39.89/3600</f>
        <v>57.11108055555556</v>
      </c>
      <c r="F1092" s="11">
        <f>2+50/60+45.54/3600</f>
        <v>2.8459833333333333</v>
      </c>
      <c r="G1092" s="12" t="s">
        <v>144</v>
      </c>
      <c r="H1092" s="12" t="s">
        <v>47</v>
      </c>
      <c r="I1092">
        <v>2002</v>
      </c>
      <c r="J1092" s="12" t="s">
        <v>163</v>
      </c>
      <c r="K1092" s="2">
        <v>0</v>
      </c>
      <c r="L1092" s="2"/>
      <c r="M1092" s="33">
        <v>2.2000000000000002</v>
      </c>
      <c r="N1092" s="33"/>
      <c r="O1092" s="8"/>
      <c r="P1092" s="1"/>
      <c r="Q1092" s="1"/>
      <c r="R1092" s="1"/>
      <c r="S1092" s="3"/>
      <c r="T1092" s="3"/>
      <c r="U1092" s="3"/>
      <c r="V1092" s="3"/>
      <c r="W1092" s="3"/>
      <c r="X1092" s="3"/>
      <c r="Y1092" s="3"/>
      <c r="Z1092" s="27" t="s">
        <v>247</v>
      </c>
      <c r="AA1092" t="s">
        <v>223</v>
      </c>
    </row>
    <row r="1093" spans="1:27" x14ac:dyDescent="0.25">
      <c r="A1093" s="12">
        <v>124</v>
      </c>
      <c r="B1093">
        <v>43</v>
      </c>
      <c r="C1093">
        <f t="shared" si="146"/>
        <v>12443</v>
      </c>
      <c r="D1093" s="3" t="s">
        <v>86</v>
      </c>
      <c r="E1093" s="11">
        <f t="shared" ref="E1093:E1111" si="151">57+6/60+39.89/3600</f>
        <v>57.11108055555556</v>
      </c>
      <c r="F1093" s="11">
        <f t="shared" ref="F1093:F1111" si="152">2+50/60+45.54/3600</f>
        <v>2.8459833333333333</v>
      </c>
      <c r="G1093" s="12" t="s">
        <v>144</v>
      </c>
      <c r="H1093" s="12" t="s">
        <v>47</v>
      </c>
      <c r="I1093">
        <v>2003</v>
      </c>
      <c r="J1093" s="12" t="s">
        <v>163</v>
      </c>
      <c r="K1093" s="2">
        <v>0</v>
      </c>
      <c r="L1093" s="2"/>
      <c r="M1093" s="33">
        <v>4.7857142860000002</v>
      </c>
      <c r="N1093" s="33"/>
      <c r="O1093" s="8"/>
      <c r="P1093" s="1"/>
      <c r="Q1093" s="1"/>
      <c r="R1093" s="1"/>
      <c r="S1093" s="3"/>
      <c r="T1093" s="3"/>
      <c r="U1093" s="3"/>
      <c r="V1093" s="3"/>
      <c r="W1093" s="3"/>
      <c r="X1093" s="3"/>
      <c r="Y1093" s="3"/>
      <c r="Z1093" s="27" t="s">
        <v>247</v>
      </c>
      <c r="AA1093" t="s">
        <v>223</v>
      </c>
    </row>
    <row r="1094" spans="1:27" x14ac:dyDescent="0.25">
      <c r="A1094" s="12">
        <v>124</v>
      </c>
      <c r="B1094">
        <v>43</v>
      </c>
      <c r="C1094">
        <f t="shared" si="146"/>
        <v>12443</v>
      </c>
      <c r="D1094" s="3" t="s">
        <v>86</v>
      </c>
      <c r="E1094" s="11">
        <f t="shared" si="151"/>
        <v>57.11108055555556</v>
      </c>
      <c r="F1094" s="11">
        <f t="shared" si="152"/>
        <v>2.8459833333333333</v>
      </c>
      <c r="G1094" s="12" t="s">
        <v>144</v>
      </c>
      <c r="H1094" s="12" t="s">
        <v>47</v>
      </c>
      <c r="I1094">
        <v>2004</v>
      </c>
      <c r="J1094" s="12" t="s">
        <v>163</v>
      </c>
      <c r="K1094" s="2">
        <v>0</v>
      </c>
      <c r="L1094" s="2"/>
      <c r="M1094" s="33">
        <v>11.9</v>
      </c>
      <c r="N1094" s="33"/>
      <c r="O1094" s="8"/>
      <c r="P1094" s="1"/>
      <c r="Q1094" s="1"/>
      <c r="R1094" s="1"/>
      <c r="S1094" s="3"/>
      <c r="T1094" s="3"/>
      <c r="U1094" s="3"/>
      <c r="V1094" s="3"/>
      <c r="W1094" s="3"/>
      <c r="X1094" s="3"/>
      <c r="Y1094" s="3"/>
      <c r="Z1094" s="27" t="s">
        <v>247</v>
      </c>
      <c r="AA1094" t="s">
        <v>223</v>
      </c>
    </row>
    <row r="1095" spans="1:27" x14ac:dyDescent="0.25">
      <c r="A1095" s="12">
        <v>124</v>
      </c>
      <c r="B1095">
        <v>43</v>
      </c>
      <c r="C1095">
        <f t="shared" si="146"/>
        <v>12443</v>
      </c>
      <c r="D1095" s="3" t="s">
        <v>86</v>
      </c>
      <c r="E1095" s="11">
        <f t="shared" si="151"/>
        <v>57.11108055555556</v>
      </c>
      <c r="F1095" s="11">
        <f t="shared" si="152"/>
        <v>2.8459833333333333</v>
      </c>
      <c r="G1095" s="12" t="s">
        <v>144</v>
      </c>
      <c r="H1095" s="12" t="s">
        <v>47</v>
      </c>
      <c r="I1095">
        <v>2005</v>
      </c>
      <c r="J1095" s="12" t="s">
        <v>163</v>
      </c>
      <c r="K1095" s="2">
        <v>0</v>
      </c>
      <c r="L1095" s="2"/>
      <c r="M1095" s="33">
        <v>2.56666667</v>
      </c>
      <c r="N1095" s="33">
        <v>0.72666666700000004</v>
      </c>
      <c r="O1095" s="8"/>
      <c r="P1095" s="1"/>
      <c r="Q1095" s="1"/>
      <c r="R1095" s="1"/>
      <c r="S1095" s="3"/>
      <c r="T1095" s="3"/>
      <c r="U1095" s="3"/>
      <c r="V1095" s="3"/>
      <c r="W1095" s="3"/>
      <c r="X1095" s="3"/>
      <c r="Y1095" s="3"/>
      <c r="Z1095" s="27" t="s">
        <v>247</v>
      </c>
      <c r="AA1095" t="s">
        <v>223</v>
      </c>
    </row>
    <row r="1096" spans="1:27" x14ac:dyDescent="0.25">
      <c r="A1096" s="12">
        <v>124</v>
      </c>
      <c r="B1096">
        <v>43</v>
      </c>
      <c r="C1096">
        <f t="shared" si="146"/>
        <v>12443</v>
      </c>
      <c r="D1096" s="3" t="s">
        <v>86</v>
      </c>
      <c r="E1096" s="11">
        <f t="shared" si="151"/>
        <v>57.11108055555556</v>
      </c>
      <c r="F1096" s="11">
        <f t="shared" si="152"/>
        <v>2.8459833333333333</v>
      </c>
      <c r="G1096" s="12" t="s">
        <v>144</v>
      </c>
      <c r="H1096" s="12" t="s">
        <v>47</v>
      </c>
      <c r="I1096">
        <v>2006</v>
      </c>
      <c r="J1096" s="12" t="s">
        <v>163</v>
      </c>
      <c r="K1096" s="2">
        <v>0</v>
      </c>
      <c r="L1096" s="2"/>
      <c r="M1096" s="33">
        <v>4.3</v>
      </c>
      <c r="N1096" s="33">
        <v>1.60625</v>
      </c>
      <c r="O1096" s="8"/>
      <c r="P1096" s="1"/>
      <c r="Q1096" s="1"/>
      <c r="R1096" s="1"/>
      <c r="S1096" s="3"/>
      <c r="T1096" s="3"/>
      <c r="U1096" s="3"/>
      <c r="V1096" s="3"/>
      <c r="W1096" s="3"/>
      <c r="X1096" s="3"/>
      <c r="Y1096" s="3"/>
      <c r="Z1096" s="27" t="s">
        <v>247</v>
      </c>
      <c r="AA1096" t="s">
        <v>223</v>
      </c>
    </row>
    <row r="1097" spans="1:27" x14ac:dyDescent="0.25">
      <c r="A1097" s="12">
        <v>124</v>
      </c>
      <c r="B1097">
        <v>43</v>
      </c>
      <c r="C1097">
        <f t="shared" si="146"/>
        <v>12443</v>
      </c>
      <c r="D1097" s="3" t="s">
        <v>86</v>
      </c>
      <c r="E1097" s="11">
        <f t="shared" si="151"/>
        <v>57.11108055555556</v>
      </c>
      <c r="F1097" s="11">
        <f t="shared" si="152"/>
        <v>2.8459833333333333</v>
      </c>
      <c r="G1097" s="12" t="s">
        <v>144</v>
      </c>
      <c r="H1097" s="12" t="s">
        <v>47</v>
      </c>
      <c r="I1097">
        <v>2007</v>
      </c>
      <c r="J1097" s="12" t="s">
        <v>163</v>
      </c>
      <c r="K1097" s="2">
        <v>0</v>
      </c>
      <c r="L1097" s="2"/>
      <c r="M1097" s="33">
        <v>5.4833333299999998</v>
      </c>
      <c r="N1097" s="33">
        <v>2.05833333</v>
      </c>
      <c r="O1097" s="8"/>
      <c r="P1097" s="1"/>
      <c r="Q1097" s="1"/>
      <c r="R1097" s="1"/>
      <c r="S1097" s="3"/>
      <c r="T1097" s="3"/>
      <c r="U1097" s="3"/>
      <c r="V1097" s="3"/>
      <c r="W1097" s="3"/>
      <c r="X1097" s="3"/>
      <c r="Y1097" s="3"/>
      <c r="Z1097" s="27" t="s">
        <v>247</v>
      </c>
      <c r="AA1097" t="s">
        <v>223</v>
      </c>
    </row>
    <row r="1098" spans="1:27" x14ac:dyDescent="0.25">
      <c r="A1098" s="12">
        <v>124</v>
      </c>
      <c r="B1098">
        <v>43</v>
      </c>
      <c r="C1098">
        <f t="shared" si="146"/>
        <v>12443</v>
      </c>
      <c r="D1098" s="3" t="s">
        <v>86</v>
      </c>
      <c r="E1098" s="11">
        <f t="shared" si="151"/>
        <v>57.11108055555556</v>
      </c>
      <c r="F1098" s="11">
        <f t="shared" si="152"/>
        <v>2.8459833333333333</v>
      </c>
      <c r="G1098" s="12" t="s">
        <v>144</v>
      </c>
      <c r="H1098" s="12" t="s">
        <v>47</v>
      </c>
      <c r="I1098">
        <v>2008</v>
      </c>
      <c r="J1098" s="12" t="s">
        <v>163</v>
      </c>
      <c r="K1098" s="2">
        <v>0</v>
      </c>
      <c r="L1098" s="2"/>
      <c r="M1098" s="33">
        <v>28.425000000000001</v>
      </c>
      <c r="N1098" s="33">
        <v>5.6</v>
      </c>
      <c r="O1098" s="8"/>
      <c r="P1098" s="1"/>
      <c r="Q1098" s="1"/>
      <c r="R1098" s="1"/>
      <c r="S1098" s="3"/>
      <c r="T1098" s="3"/>
      <c r="U1098" s="3"/>
      <c r="V1098" s="3"/>
      <c r="W1098" s="3"/>
      <c r="X1098" s="3"/>
      <c r="Y1098" s="3"/>
      <c r="Z1098" s="27" t="s">
        <v>247</v>
      </c>
      <c r="AA1098" t="s">
        <v>223</v>
      </c>
    </row>
    <row r="1099" spans="1:27" x14ac:dyDescent="0.25">
      <c r="A1099" s="12">
        <v>124</v>
      </c>
      <c r="B1099">
        <v>43</v>
      </c>
      <c r="C1099">
        <f t="shared" si="146"/>
        <v>12443</v>
      </c>
      <c r="D1099" s="3" t="s">
        <v>86</v>
      </c>
      <c r="E1099" s="11">
        <f t="shared" si="151"/>
        <v>57.11108055555556</v>
      </c>
      <c r="F1099" s="11">
        <f t="shared" si="152"/>
        <v>2.8459833333333333</v>
      </c>
      <c r="G1099" s="12" t="s">
        <v>144</v>
      </c>
      <c r="H1099" s="12" t="s">
        <v>47</v>
      </c>
      <c r="I1099">
        <v>2009</v>
      </c>
      <c r="J1099" s="12" t="s">
        <v>163</v>
      </c>
      <c r="K1099" s="2">
        <v>0</v>
      </c>
      <c r="L1099" s="2"/>
      <c r="M1099" s="33">
        <v>21.766666669999999</v>
      </c>
      <c r="N1099" s="33">
        <v>5.59</v>
      </c>
      <c r="O1099" s="8"/>
      <c r="P1099" s="1"/>
      <c r="Q1099" s="1"/>
      <c r="R1099" s="1"/>
      <c r="S1099" s="3"/>
      <c r="T1099" s="3"/>
      <c r="U1099" s="3"/>
      <c r="V1099" s="3"/>
      <c r="W1099" s="3"/>
      <c r="X1099" s="3"/>
      <c r="Y1099" s="3"/>
      <c r="Z1099" s="27" t="s">
        <v>247</v>
      </c>
      <c r="AA1099" t="s">
        <v>223</v>
      </c>
    </row>
    <row r="1100" spans="1:27" x14ac:dyDescent="0.25">
      <c r="A1100" s="12">
        <v>124</v>
      </c>
      <c r="B1100">
        <v>43</v>
      </c>
      <c r="C1100">
        <f t="shared" si="146"/>
        <v>12443</v>
      </c>
      <c r="D1100" s="3" t="s">
        <v>86</v>
      </c>
      <c r="E1100" s="11">
        <f t="shared" si="151"/>
        <v>57.11108055555556</v>
      </c>
      <c r="F1100" s="11">
        <f t="shared" si="152"/>
        <v>2.8459833333333333</v>
      </c>
      <c r="G1100" s="12" t="s">
        <v>144</v>
      </c>
      <c r="H1100" s="12" t="s">
        <v>47</v>
      </c>
      <c r="I1100">
        <v>2010</v>
      </c>
      <c r="J1100" s="12" t="s">
        <v>163</v>
      </c>
      <c r="K1100" s="2">
        <v>0</v>
      </c>
      <c r="L1100" s="2"/>
      <c r="M1100" s="33">
        <v>12.074999999999999</v>
      </c>
      <c r="N1100" s="33">
        <v>5.2024999999999997</v>
      </c>
      <c r="O1100" s="8"/>
      <c r="P1100" s="1"/>
      <c r="Q1100" s="1"/>
      <c r="R1100" s="1"/>
      <c r="S1100" s="3"/>
      <c r="T1100" s="3"/>
      <c r="U1100" s="3"/>
      <c r="V1100" s="3"/>
      <c r="W1100" s="3"/>
      <c r="X1100" s="3"/>
      <c r="Y1100" s="3"/>
      <c r="Z1100" s="27" t="s">
        <v>247</v>
      </c>
      <c r="AA1100" t="s">
        <v>223</v>
      </c>
    </row>
    <row r="1101" spans="1:27" x14ac:dyDescent="0.25">
      <c r="A1101" s="12">
        <v>124</v>
      </c>
      <c r="B1101">
        <v>43</v>
      </c>
      <c r="C1101">
        <f t="shared" si="146"/>
        <v>12443</v>
      </c>
      <c r="D1101" s="3" t="s">
        <v>86</v>
      </c>
      <c r="E1101" s="11">
        <f t="shared" si="151"/>
        <v>57.11108055555556</v>
      </c>
      <c r="F1101" s="11">
        <f t="shared" si="152"/>
        <v>2.8459833333333333</v>
      </c>
      <c r="G1101" s="12" t="s">
        <v>144</v>
      </c>
      <c r="H1101" s="12" t="s">
        <v>47</v>
      </c>
      <c r="I1101">
        <v>2011</v>
      </c>
      <c r="J1101" s="12" t="s">
        <v>163</v>
      </c>
      <c r="K1101" s="2">
        <v>0</v>
      </c>
      <c r="L1101" s="2"/>
      <c r="M1101" s="33">
        <v>10.55</v>
      </c>
      <c r="N1101" s="33">
        <v>4.6749999999999998</v>
      </c>
      <c r="O1101" s="8"/>
      <c r="P1101" s="1"/>
      <c r="Q1101" s="1"/>
      <c r="R1101" s="1"/>
      <c r="S1101" s="3"/>
      <c r="T1101" s="3"/>
      <c r="U1101" s="3"/>
      <c r="V1101" s="3"/>
      <c r="W1101" s="3"/>
      <c r="X1101" s="3"/>
      <c r="Y1101" s="3"/>
      <c r="Z1101" s="27" t="s">
        <v>247</v>
      </c>
      <c r="AA1101" t="s">
        <v>223</v>
      </c>
    </row>
    <row r="1102" spans="1:27" x14ac:dyDescent="0.25">
      <c r="A1102" s="12">
        <v>124</v>
      </c>
      <c r="B1102">
        <v>43</v>
      </c>
      <c r="C1102">
        <f t="shared" si="146"/>
        <v>12443</v>
      </c>
      <c r="D1102" s="3" t="s">
        <v>86</v>
      </c>
      <c r="E1102" s="11">
        <f t="shared" si="151"/>
        <v>57.11108055555556</v>
      </c>
      <c r="F1102" s="11">
        <f t="shared" si="152"/>
        <v>2.8459833333333333</v>
      </c>
      <c r="G1102" s="12" t="s">
        <v>144</v>
      </c>
      <c r="H1102" s="12" t="s">
        <v>47</v>
      </c>
      <c r="I1102">
        <v>2012</v>
      </c>
      <c r="J1102" s="12" t="s">
        <v>163</v>
      </c>
      <c r="K1102" s="2">
        <v>0</v>
      </c>
      <c r="L1102" s="2"/>
      <c r="M1102" s="33">
        <v>5.1749999999999998</v>
      </c>
      <c r="N1102" s="33">
        <v>2.7374999999999998</v>
      </c>
      <c r="O1102" s="8"/>
      <c r="P1102" s="1"/>
      <c r="Q1102" s="1"/>
      <c r="R1102" s="1"/>
      <c r="S1102" s="3"/>
      <c r="T1102" s="3"/>
      <c r="U1102" s="3"/>
      <c r="V1102" s="3"/>
      <c r="W1102" s="3"/>
      <c r="X1102" s="3"/>
      <c r="Y1102" s="3"/>
      <c r="Z1102" s="27" t="s">
        <v>247</v>
      </c>
      <c r="AA1102" t="s">
        <v>223</v>
      </c>
    </row>
    <row r="1103" spans="1:27" x14ac:dyDescent="0.25">
      <c r="A1103" s="12">
        <v>124</v>
      </c>
      <c r="B1103">
        <v>43</v>
      </c>
      <c r="C1103">
        <f t="shared" si="146"/>
        <v>12443</v>
      </c>
      <c r="D1103" s="3" t="s">
        <v>86</v>
      </c>
      <c r="E1103" s="11">
        <f t="shared" si="151"/>
        <v>57.11108055555556</v>
      </c>
      <c r="F1103" s="11">
        <f t="shared" si="152"/>
        <v>2.8459833333333333</v>
      </c>
      <c r="G1103" s="12" t="s">
        <v>144</v>
      </c>
      <c r="H1103" s="12" t="s">
        <v>47</v>
      </c>
      <c r="I1103">
        <v>2013</v>
      </c>
      <c r="J1103" s="12" t="s">
        <v>163</v>
      </c>
      <c r="K1103" s="2">
        <v>0</v>
      </c>
      <c r="L1103" s="2"/>
      <c r="M1103" s="33">
        <v>7.6566341845999997</v>
      </c>
      <c r="N1103" s="33">
        <v>3.8129837589500002</v>
      </c>
      <c r="O1103" s="8"/>
      <c r="P1103" s="1"/>
      <c r="Q1103" s="1"/>
      <c r="R1103" s="1"/>
      <c r="S1103" s="3"/>
      <c r="T1103" s="3"/>
      <c r="U1103" s="3"/>
      <c r="V1103" s="3"/>
      <c r="W1103" s="3"/>
      <c r="X1103" s="3"/>
      <c r="Y1103" s="3"/>
      <c r="Z1103" s="27" t="s">
        <v>247</v>
      </c>
      <c r="AA1103" t="s">
        <v>223</v>
      </c>
    </row>
    <row r="1104" spans="1:27" x14ac:dyDescent="0.25">
      <c r="A1104" s="12">
        <v>124</v>
      </c>
      <c r="B1104">
        <v>43</v>
      </c>
      <c r="C1104">
        <f t="shared" si="146"/>
        <v>12443</v>
      </c>
      <c r="D1104" s="3" t="s">
        <v>86</v>
      </c>
      <c r="E1104" s="11">
        <f t="shared" si="151"/>
        <v>57.11108055555556</v>
      </c>
      <c r="F1104" s="11">
        <f t="shared" si="152"/>
        <v>2.8459833333333333</v>
      </c>
      <c r="G1104" s="12" t="s">
        <v>144</v>
      </c>
      <c r="H1104" s="12" t="s">
        <v>47</v>
      </c>
      <c r="I1104">
        <v>2014</v>
      </c>
      <c r="J1104" s="12" t="s">
        <v>163</v>
      </c>
      <c r="K1104" s="2">
        <v>0</v>
      </c>
      <c r="L1104" s="2"/>
      <c r="M1104" s="33">
        <v>6.1678585555999996</v>
      </c>
      <c r="N1104" s="33">
        <v>2.8272062945999998</v>
      </c>
      <c r="O1104" s="8"/>
      <c r="P1104" s="1"/>
      <c r="Q1104" s="1"/>
      <c r="R1104" s="1"/>
      <c r="S1104" s="3"/>
      <c r="T1104" s="3"/>
      <c r="U1104" s="3"/>
      <c r="V1104" s="3"/>
      <c r="W1104" s="3"/>
      <c r="X1104" s="3"/>
      <c r="Y1104" s="3"/>
      <c r="Z1104" s="27" t="s">
        <v>247</v>
      </c>
      <c r="AA1104" t="s">
        <v>223</v>
      </c>
    </row>
    <row r="1105" spans="1:27" x14ac:dyDescent="0.25">
      <c r="A1105" s="12">
        <v>124</v>
      </c>
      <c r="B1105">
        <v>43</v>
      </c>
      <c r="C1105">
        <f t="shared" si="146"/>
        <v>12443</v>
      </c>
      <c r="D1105" s="3" t="s">
        <v>86</v>
      </c>
      <c r="E1105" s="11">
        <f t="shared" si="151"/>
        <v>57.11108055555556</v>
      </c>
      <c r="F1105" s="11">
        <f t="shared" si="152"/>
        <v>2.8459833333333333</v>
      </c>
      <c r="G1105" s="12" t="s">
        <v>144</v>
      </c>
      <c r="H1105" s="12" t="s">
        <v>47</v>
      </c>
      <c r="I1105">
        <v>2015</v>
      </c>
      <c r="J1105" s="12" t="s">
        <v>163</v>
      </c>
      <c r="K1105" s="2">
        <v>0</v>
      </c>
      <c r="L1105" s="2"/>
      <c r="M1105" s="33">
        <v>9.0250000000000004</v>
      </c>
      <c r="N1105" s="33">
        <v>4.2350000000000003</v>
      </c>
      <c r="O1105" s="8"/>
      <c r="P1105" s="1"/>
      <c r="Q1105" s="1"/>
      <c r="R1105" s="1"/>
      <c r="S1105" s="3"/>
      <c r="T1105" s="3"/>
      <c r="U1105" s="3"/>
      <c r="V1105" s="3"/>
      <c r="W1105" s="3"/>
      <c r="X1105" s="3"/>
      <c r="Y1105" s="3"/>
      <c r="Z1105" s="27" t="s">
        <v>247</v>
      </c>
      <c r="AA1105" t="s">
        <v>223</v>
      </c>
    </row>
    <row r="1106" spans="1:27" x14ac:dyDescent="0.25">
      <c r="A1106" s="12">
        <v>124</v>
      </c>
      <c r="B1106">
        <v>43</v>
      </c>
      <c r="C1106">
        <f t="shared" si="146"/>
        <v>12443</v>
      </c>
      <c r="D1106" s="3" t="s">
        <v>86</v>
      </c>
      <c r="E1106" s="11">
        <f t="shared" si="151"/>
        <v>57.11108055555556</v>
      </c>
      <c r="F1106" s="11">
        <f t="shared" si="152"/>
        <v>2.8459833333333333</v>
      </c>
      <c r="G1106" s="12" t="s">
        <v>144</v>
      </c>
      <c r="H1106" s="12" t="s">
        <v>47</v>
      </c>
      <c r="I1106">
        <v>2016</v>
      </c>
      <c r="J1106" s="12" t="s">
        <v>163</v>
      </c>
      <c r="K1106" s="2">
        <v>0</v>
      </c>
      <c r="L1106" s="2"/>
      <c r="M1106" s="33">
        <v>11.45</v>
      </c>
      <c r="N1106" s="33">
        <v>5.1666666666666696</v>
      </c>
      <c r="O1106" s="8"/>
      <c r="P1106" s="1"/>
      <c r="Q1106" s="1"/>
      <c r="R1106" s="1"/>
      <c r="S1106" s="3"/>
      <c r="T1106" s="3"/>
      <c r="U1106" s="3"/>
      <c r="V1106" s="3"/>
      <c r="W1106" s="3"/>
      <c r="X1106" s="3"/>
      <c r="Y1106" s="3"/>
      <c r="Z1106" s="27" t="s">
        <v>247</v>
      </c>
      <c r="AA1106" t="s">
        <v>223</v>
      </c>
    </row>
    <row r="1107" spans="1:27" x14ac:dyDescent="0.25">
      <c r="A1107" s="12">
        <v>124</v>
      </c>
      <c r="B1107">
        <v>43</v>
      </c>
      <c r="C1107">
        <f t="shared" si="146"/>
        <v>12443</v>
      </c>
      <c r="D1107" s="3" t="s">
        <v>86</v>
      </c>
      <c r="E1107" s="11">
        <f t="shared" si="151"/>
        <v>57.11108055555556</v>
      </c>
      <c r="F1107" s="11">
        <f t="shared" si="152"/>
        <v>2.8459833333333333</v>
      </c>
      <c r="G1107" s="12" t="s">
        <v>144</v>
      </c>
      <c r="H1107" s="12" t="s">
        <v>47</v>
      </c>
      <c r="I1107">
        <v>2017</v>
      </c>
      <c r="J1107" s="12" t="s">
        <v>163</v>
      </c>
      <c r="K1107" s="2">
        <v>0</v>
      </c>
      <c r="L1107" s="2"/>
      <c r="M1107" s="33">
        <v>12.1246774756556</v>
      </c>
      <c r="N1107" s="33">
        <v>5.1119139654222199</v>
      </c>
      <c r="O1107" s="8"/>
      <c r="P1107" s="1"/>
      <c r="Q1107" s="1"/>
      <c r="R1107" s="1"/>
      <c r="S1107" s="3"/>
      <c r="T1107" s="3"/>
      <c r="U1107" s="3"/>
      <c r="V1107" s="3"/>
      <c r="W1107" s="3"/>
      <c r="X1107" s="3"/>
      <c r="Y1107" s="3"/>
      <c r="Z1107" s="27" t="s">
        <v>247</v>
      </c>
      <c r="AA1107" t="s">
        <v>223</v>
      </c>
    </row>
    <row r="1108" spans="1:27" x14ac:dyDescent="0.25">
      <c r="A1108" s="12">
        <v>124</v>
      </c>
      <c r="B1108">
        <v>43</v>
      </c>
      <c r="C1108">
        <f t="shared" si="146"/>
        <v>12443</v>
      </c>
      <c r="D1108" s="3" t="s">
        <v>86</v>
      </c>
      <c r="E1108" s="11">
        <f t="shared" si="151"/>
        <v>57.11108055555556</v>
      </c>
      <c r="F1108" s="11">
        <f t="shared" si="152"/>
        <v>2.8459833333333333</v>
      </c>
      <c r="G1108" s="12" t="s">
        <v>144</v>
      </c>
      <c r="H1108" s="12" t="s">
        <v>47</v>
      </c>
      <c r="I1108">
        <v>2018</v>
      </c>
      <c r="J1108" s="12" t="s">
        <v>163</v>
      </c>
      <c r="K1108" s="2">
        <v>0</v>
      </c>
      <c r="L1108" s="2"/>
      <c r="M1108" s="33">
        <v>12.511743456925</v>
      </c>
      <c r="N1108" s="33">
        <v>5.8432227480750001</v>
      </c>
      <c r="O1108" s="8"/>
      <c r="P1108" s="1"/>
      <c r="Q1108" s="1"/>
      <c r="R1108" s="1"/>
      <c r="S1108" s="3"/>
      <c r="T1108" s="3"/>
      <c r="U1108" s="3"/>
      <c r="V1108" s="3"/>
      <c r="W1108" s="3"/>
      <c r="X1108" s="3"/>
      <c r="Y1108" s="3"/>
      <c r="Z1108" s="27" t="s">
        <v>247</v>
      </c>
      <c r="AA1108" t="s">
        <v>223</v>
      </c>
    </row>
    <row r="1109" spans="1:27" x14ac:dyDescent="0.25">
      <c r="A1109" s="12">
        <v>124</v>
      </c>
      <c r="B1109">
        <v>43</v>
      </c>
      <c r="C1109">
        <f t="shared" si="146"/>
        <v>12443</v>
      </c>
      <c r="D1109" s="3" t="s">
        <v>86</v>
      </c>
      <c r="E1109" s="11">
        <f t="shared" si="151"/>
        <v>57.11108055555556</v>
      </c>
      <c r="F1109" s="11">
        <f t="shared" si="152"/>
        <v>2.8459833333333333</v>
      </c>
      <c r="G1109" s="12" t="s">
        <v>144</v>
      </c>
      <c r="H1109" s="12" t="s">
        <v>47</v>
      </c>
      <c r="I1109">
        <v>2019</v>
      </c>
      <c r="J1109" s="12" t="s">
        <v>163</v>
      </c>
      <c r="K1109" s="2">
        <v>0</v>
      </c>
      <c r="L1109" s="2"/>
      <c r="M1109" s="33">
        <v>9.7478024322285695</v>
      </c>
      <c r="N1109" s="33">
        <v>4.8731643270857097</v>
      </c>
      <c r="O1109" s="8"/>
      <c r="P1109" s="1"/>
      <c r="Q1109" s="1"/>
      <c r="R1109" s="1"/>
      <c r="S1109" s="3"/>
      <c r="T1109" s="3"/>
      <c r="U1109" s="3"/>
      <c r="V1109" s="3"/>
      <c r="W1109" s="3"/>
      <c r="X1109" s="3"/>
      <c r="Y1109" s="3"/>
      <c r="Z1109" s="27" t="s">
        <v>247</v>
      </c>
      <c r="AA1109" t="s">
        <v>223</v>
      </c>
    </row>
    <row r="1110" spans="1:27" x14ac:dyDescent="0.25">
      <c r="A1110" s="12">
        <v>124</v>
      </c>
      <c r="B1110">
        <v>43</v>
      </c>
      <c r="C1110">
        <f t="shared" si="146"/>
        <v>12443</v>
      </c>
      <c r="D1110" s="3" t="s">
        <v>86</v>
      </c>
      <c r="E1110" s="11">
        <f t="shared" si="151"/>
        <v>57.11108055555556</v>
      </c>
      <c r="F1110" s="11">
        <f t="shared" si="152"/>
        <v>2.8459833333333333</v>
      </c>
      <c r="G1110" s="12" t="s">
        <v>144</v>
      </c>
      <c r="H1110" s="12" t="s">
        <v>47</v>
      </c>
      <c r="I1110">
        <v>2020</v>
      </c>
      <c r="J1110" s="12" t="s">
        <v>163</v>
      </c>
      <c r="K1110" s="2">
        <v>0</v>
      </c>
      <c r="L1110" s="2"/>
      <c r="M1110" s="33">
        <v>9.3348951867000007</v>
      </c>
      <c r="N1110" s="33">
        <v>4.9416545642833301</v>
      </c>
      <c r="O1110" s="8"/>
      <c r="P1110" s="1"/>
      <c r="Q1110" s="1"/>
      <c r="R1110" s="1"/>
      <c r="S1110" s="3"/>
      <c r="T1110" s="3"/>
      <c r="U1110" s="3"/>
      <c r="V1110" s="3"/>
      <c r="W1110" s="3"/>
      <c r="X1110" s="3"/>
      <c r="Y1110" s="3"/>
      <c r="Z1110" s="27" t="s">
        <v>247</v>
      </c>
      <c r="AA1110" t="s">
        <v>223</v>
      </c>
    </row>
    <row r="1111" spans="1:27" x14ac:dyDescent="0.25">
      <c r="A1111" s="12">
        <v>124</v>
      </c>
      <c r="B1111">
        <v>43</v>
      </c>
      <c r="C1111">
        <f t="shared" si="146"/>
        <v>12443</v>
      </c>
      <c r="D1111" s="3" t="s">
        <v>86</v>
      </c>
      <c r="E1111" s="11">
        <f t="shared" si="151"/>
        <v>57.11108055555556</v>
      </c>
      <c r="F1111" s="11">
        <f t="shared" si="152"/>
        <v>2.8459833333333333</v>
      </c>
      <c r="G1111" s="12" t="s">
        <v>144</v>
      </c>
      <c r="H1111" s="12" t="s">
        <v>47</v>
      </c>
      <c r="I1111">
        <v>2021</v>
      </c>
      <c r="J1111" s="12" t="s">
        <v>163</v>
      </c>
      <c r="K1111" s="2">
        <v>0</v>
      </c>
      <c r="L1111" s="2"/>
      <c r="M1111" s="33">
        <v>6.4353059410000002</v>
      </c>
      <c r="N1111" s="33">
        <v>3.83341949215</v>
      </c>
      <c r="O1111" s="8"/>
      <c r="P1111" s="1"/>
      <c r="Q1111" s="1"/>
      <c r="R1111" s="1"/>
      <c r="S1111" s="3"/>
      <c r="T1111" s="3"/>
      <c r="U1111" s="3"/>
      <c r="V1111" s="3"/>
      <c r="W1111" s="3"/>
      <c r="X1111" s="3"/>
      <c r="Y1111" s="3"/>
      <c r="Z1111" s="27" t="s">
        <v>247</v>
      </c>
      <c r="AA1111" t="s">
        <v>223</v>
      </c>
    </row>
    <row r="1112" spans="1:27" x14ac:dyDescent="0.25">
      <c r="A1112" s="12">
        <v>124</v>
      </c>
      <c r="B1112">
        <v>44</v>
      </c>
      <c r="C1112">
        <f t="shared" si="146"/>
        <v>12444</v>
      </c>
      <c r="D1112" s="3" t="s">
        <v>86</v>
      </c>
      <c r="E1112" s="11">
        <f>61+2/60+26.38/3600</f>
        <v>61.040661111111106</v>
      </c>
      <c r="F1112" s="11">
        <f>2+20/60+20.43/3600</f>
        <v>2.3390083333333336</v>
      </c>
      <c r="G1112" s="12" t="s">
        <v>144</v>
      </c>
      <c r="H1112" s="12" t="s">
        <v>47</v>
      </c>
      <c r="I1112">
        <v>2015</v>
      </c>
      <c r="J1112" s="12" t="s">
        <v>163</v>
      </c>
      <c r="K1112" s="2">
        <v>0</v>
      </c>
      <c r="L1112" s="2"/>
      <c r="M1112" s="33">
        <v>5.9766666666666701</v>
      </c>
      <c r="N1112" s="33">
        <v>6.5033333333333303</v>
      </c>
      <c r="O1112" s="8"/>
      <c r="P1112" s="1"/>
      <c r="Q1112" s="1"/>
      <c r="R1112" s="1"/>
      <c r="S1112" s="3"/>
      <c r="T1112" s="3"/>
      <c r="U1112" s="3"/>
      <c r="V1112" s="3"/>
      <c r="W1112" s="3"/>
      <c r="X1112" s="3"/>
      <c r="Y1112" s="3"/>
      <c r="Z1112" s="27" t="s">
        <v>247</v>
      </c>
      <c r="AA1112" t="s">
        <v>240</v>
      </c>
    </row>
    <row r="1113" spans="1:27" x14ac:dyDescent="0.25">
      <c r="A1113" s="12">
        <v>124</v>
      </c>
      <c r="B1113">
        <v>44</v>
      </c>
      <c r="C1113">
        <f t="shared" si="146"/>
        <v>12444</v>
      </c>
      <c r="D1113" s="3" t="s">
        <v>86</v>
      </c>
      <c r="E1113" s="11">
        <f t="shared" ref="E1113:E1118" si="153">61+2/60+26.38/3600</f>
        <v>61.040661111111106</v>
      </c>
      <c r="F1113" s="11">
        <f t="shared" ref="F1113:F1118" si="154">2+20/60+20.43/3600</f>
        <v>2.3390083333333336</v>
      </c>
      <c r="G1113" s="12" t="s">
        <v>144</v>
      </c>
      <c r="H1113" s="12" t="s">
        <v>47</v>
      </c>
      <c r="I1113">
        <v>2016</v>
      </c>
      <c r="J1113" s="12" t="s">
        <v>163</v>
      </c>
      <c r="K1113" s="2">
        <v>0</v>
      </c>
      <c r="L1113" s="2"/>
      <c r="M1113" s="33">
        <v>8.35</v>
      </c>
      <c r="N1113" s="33">
        <v>8.66</v>
      </c>
      <c r="O1113" s="8"/>
      <c r="P1113" s="1"/>
      <c r="Q1113" s="1"/>
      <c r="R1113" s="1"/>
      <c r="S1113" s="3"/>
      <c r="T1113" s="3"/>
      <c r="U1113" s="3"/>
      <c r="V1113" s="3"/>
      <c r="W1113" s="3"/>
      <c r="X1113" s="3"/>
      <c r="Y1113" s="3"/>
      <c r="Z1113" s="27" t="s">
        <v>247</v>
      </c>
      <c r="AA1113" t="s">
        <v>240</v>
      </c>
    </row>
    <row r="1114" spans="1:27" x14ac:dyDescent="0.25">
      <c r="A1114" s="12">
        <v>124</v>
      </c>
      <c r="B1114">
        <v>44</v>
      </c>
      <c r="C1114">
        <f t="shared" si="146"/>
        <v>12444</v>
      </c>
      <c r="D1114" s="3" t="s">
        <v>86</v>
      </c>
      <c r="E1114" s="11">
        <f t="shared" si="153"/>
        <v>61.040661111111106</v>
      </c>
      <c r="F1114" s="11">
        <f t="shared" si="154"/>
        <v>2.3390083333333336</v>
      </c>
      <c r="G1114" s="12" t="s">
        <v>144</v>
      </c>
      <c r="H1114" s="12" t="s">
        <v>47</v>
      </c>
      <c r="I1114">
        <v>2017</v>
      </c>
      <c r="J1114" s="12" t="s">
        <v>163</v>
      </c>
      <c r="K1114" s="2">
        <v>0</v>
      </c>
      <c r="L1114" s="2"/>
      <c r="M1114" s="33">
        <v>9.4700000000000006</v>
      </c>
      <c r="N1114" s="33">
        <v>9.4600000000000009</v>
      </c>
      <c r="O1114" s="8"/>
      <c r="P1114" s="1"/>
      <c r="Q1114" s="1"/>
      <c r="R1114" s="1"/>
      <c r="S1114" s="3"/>
      <c r="T1114" s="3"/>
      <c r="U1114" s="3"/>
      <c r="V1114" s="3"/>
      <c r="W1114" s="3"/>
      <c r="X1114" s="3"/>
      <c r="Y1114" s="3"/>
      <c r="Z1114" s="27" t="s">
        <v>247</v>
      </c>
      <c r="AA1114" t="s">
        <v>240</v>
      </c>
    </row>
    <row r="1115" spans="1:27" x14ac:dyDescent="0.25">
      <c r="A1115" s="12">
        <v>124</v>
      </c>
      <c r="B1115">
        <v>44</v>
      </c>
      <c r="C1115">
        <f t="shared" si="146"/>
        <v>12444</v>
      </c>
      <c r="D1115" s="3" t="s">
        <v>86</v>
      </c>
      <c r="E1115" s="11">
        <f t="shared" si="153"/>
        <v>61.040661111111106</v>
      </c>
      <c r="F1115" s="11">
        <f t="shared" si="154"/>
        <v>2.3390083333333336</v>
      </c>
      <c r="G1115" s="12" t="s">
        <v>144</v>
      </c>
      <c r="H1115" s="12" t="s">
        <v>47</v>
      </c>
      <c r="I1115">
        <v>2018</v>
      </c>
      <c r="J1115" s="12" t="s">
        <v>163</v>
      </c>
      <c r="K1115" s="2">
        <v>0</v>
      </c>
      <c r="L1115" s="2"/>
      <c r="M1115" s="33">
        <v>9.6449999999999996</v>
      </c>
      <c r="N1115" s="33">
        <v>12.315</v>
      </c>
      <c r="O1115" s="8"/>
      <c r="P1115" s="1"/>
      <c r="Q1115" s="1"/>
      <c r="R1115" s="1"/>
      <c r="S1115" s="3"/>
      <c r="T1115" s="3"/>
      <c r="U1115" s="3"/>
      <c r="V1115" s="3"/>
      <c r="W1115" s="3"/>
      <c r="X1115" s="3"/>
      <c r="Y1115" s="3"/>
      <c r="Z1115" s="27" t="s">
        <v>247</v>
      </c>
      <c r="AA1115" t="s">
        <v>240</v>
      </c>
    </row>
    <row r="1116" spans="1:27" x14ac:dyDescent="0.25">
      <c r="A1116" s="12">
        <v>124</v>
      </c>
      <c r="B1116">
        <v>44</v>
      </c>
      <c r="C1116">
        <f t="shared" si="146"/>
        <v>12444</v>
      </c>
      <c r="D1116" s="3" t="s">
        <v>86</v>
      </c>
      <c r="E1116" s="11">
        <f t="shared" si="153"/>
        <v>61.040661111111106</v>
      </c>
      <c r="F1116" s="11">
        <f t="shared" si="154"/>
        <v>2.3390083333333336</v>
      </c>
      <c r="G1116" s="12" t="s">
        <v>144</v>
      </c>
      <c r="H1116" s="12" t="s">
        <v>47</v>
      </c>
      <c r="I1116">
        <v>2019</v>
      </c>
      <c r="J1116" s="12" t="s">
        <v>163</v>
      </c>
      <c r="K1116" s="2">
        <v>0</v>
      </c>
      <c r="L1116" s="2"/>
      <c r="M1116" s="33">
        <v>11.85</v>
      </c>
      <c r="N1116" s="33">
        <v>12.2</v>
      </c>
      <c r="O1116" s="8"/>
      <c r="P1116" s="1"/>
      <c r="Q1116" s="1"/>
      <c r="R1116" s="1"/>
      <c r="S1116" s="3"/>
      <c r="T1116" s="3"/>
      <c r="U1116" s="3"/>
      <c r="V1116" s="3"/>
      <c r="W1116" s="3"/>
      <c r="X1116" s="3"/>
      <c r="Y1116" s="3"/>
      <c r="Z1116" s="27" t="s">
        <v>247</v>
      </c>
      <c r="AA1116" t="s">
        <v>240</v>
      </c>
    </row>
    <row r="1117" spans="1:27" x14ac:dyDescent="0.25">
      <c r="A1117" s="12">
        <v>124</v>
      </c>
      <c r="B1117">
        <v>44</v>
      </c>
      <c r="C1117">
        <f t="shared" si="146"/>
        <v>12444</v>
      </c>
      <c r="D1117" s="3" t="s">
        <v>86</v>
      </c>
      <c r="E1117" s="11">
        <f t="shared" si="153"/>
        <v>61.040661111111106</v>
      </c>
      <c r="F1117" s="11">
        <f t="shared" si="154"/>
        <v>2.3390083333333336</v>
      </c>
      <c r="G1117" s="12" t="s">
        <v>144</v>
      </c>
      <c r="H1117" s="12" t="s">
        <v>47</v>
      </c>
      <c r="I1117">
        <v>2020</v>
      </c>
      <c r="J1117" s="12" t="s">
        <v>163</v>
      </c>
      <c r="K1117" s="2">
        <v>0</v>
      </c>
      <c r="L1117" s="2"/>
      <c r="M1117" s="33">
        <v>10.7983333333333</v>
      </c>
      <c r="N1117" s="33">
        <v>12.6933333333333</v>
      </c>
      <c r="O1117" s="8"/>
      <c r="P1117" s="1"/>
      <c r="Q1117" s="1"/>
      <c r="R1117" s="1"/>
      <c r="S1117" s="3"/>
      <c r="T1117" s="3"/>
      <c r="U1117" s="3"/>
      <c r="V1117" s="3"/>
      <c r="W1117" s="3"/>
      <c r="X1117" s="3"/>
      <c r="Y1117" s="3"/>
      <c r="Z1117" s="27" t="s">
        <v>247</v>
      </c>
      <c r="AA1117" t="s">
        <v>240</v>
      </c>
    </row>
    <row r="1118" spans="1:27" x14ac:dyDescent="0.25">
      <c r="A1118" s="12">
        <v>124</v>
      </c>
      <c r="B1118">
        <v>44</v>
      </c>
      <c r="C1118">
        <f t="shared" ref="C1118:C1181" si="155">A1118*100+B1118</f>
        <v>12444</v>
      </c>
      <c r="D1118" s="3" t="s">
        <v>86</v>
      </c>
      <c r="E1118" s="11">
        <f t="shared" si="153"/>
        <v>61.040661111111106</v>
      </c>
      <c r="F1118" s="11">
        <f t="shared" si="154"/>
        <v>2.3390083333333336</v>
      </c>
      <c r="G1118" s="12" t="s">
        <v>144</v>
      </c>
      <c r="H1118" s="12" t="s">
        <v>47</v>
      </c>
      <c r="I1118">
        <v>2021</v>
      </c>
      <c r="J1118" s="12" t="s">
        <v>163</v>
      </c>
      <c r="K1118" s="2">
        <v>0</v>
      </c>
      <c r="L1118" s="2"/>
      <c r="M1118" s="33">
        <v>11.209250000000001</v>
      </c>
      <c r="N1118" s="33">
        <v>13.25</v>
      </c>
      <c r="O1118" s="8"/>
      <c r="P1118" s="1"/>
      <c r="Q1118" s="1"/>
      <c r="R1118" s="1"/>
      <c r="S1118" s="3"/>
      <c r="T1118" s="3"/>
      <c r="U1118" s="3"/>
      <c r="V1118" s="3"/>
      <c r="W1118" s="3"/>
      <c r="X1118" s="3"/>
      <c r="Y1118" s="3"/>
      <c r="Z1118" s="27" t="s">
        <v>247</v>
      </c>
      <c r="AA1118" t="s">
        <v>240</v>
      </c>
    </row>
    <row r="1119" spans="1:27" x14ac:dyDescent="0.25">
      <c r="A1119" s="12">
        <v>124</v>
      </c>
      <c r="B1119">
        <v>45</v>
      </c>
      <c r="C1119">
        <f t="shared" si="155"/>
        <v>12445</v>
      </c>
      <c r="D1119" s="3" t="s">
        <v>86</v>
      </c>
      <c r="E1119" s="11">
        <f>56+16/60+41.39/3600</f>
        <v>56.278163888888891</v>
      </c>
      <c r="F1119" s="11">
        <f>3+23/60+43.19/3600</f>
        <v>3.3953305555555557</v>
      </c>
      <c r="G1119" s="12" t="s">
        <v>144</v>
      </c>
      <c r="H1119" s="12" t="s">
        <v>47</v>
      </c>
      <c r="I1119">
        <v>2002</v>
      </c>
      <c r="J1119" s="12" t="s">
        <v>163</v>
      </c>
      <c r="K1119" s="2">
        <v>0</v>
      </c>
      <c r="L1119" s="2"/>
      <c r="M1119" s="33">
        <v>5.2</v>
      </c>
      <c r="N1119" s="33"/>
      <c r="O1119" s="8"/>
      <c r="P1119" s="1"/>
      <c r="Q1119" s="1"/>
      <c r="R1119" s="1"/>
      <c r="S1119" s="3"/>
      <c r="T1119" s="3"/>
      <c r="U1119" s="3"/>
      <c r="V1119" s="3"/>
      <c r="W1119" s="3"/>
      <c r="X1119" s="3"/>
      <c r="Y1119" s="3"/>
      <c r="Z1119" s="27" t="s">
        <v>247</v>
      </c>
      <c r="AA1119" t="s">
        <v>224</v>
      </c>
    </row>
    <row r="1120" spans="1:27" x14ac:dyDescent="0.25">
      <c r="A1120" s="12">
        <v>124</v>
      </c>
      <c r="B1120">
        <v>45</v>
      </c>
      <c r="C1120">
        <f t="shared" si="155"/>
        <v>12445</v>
      </c>
      <c r="D1120" s="3" t="s">
        <v>86</v>
      </c>
      <c r="E1120" s="11">
        <f t="shared" ref="E1120:E1138" si="156">56+16/60+41.39/3600</f>
        <v>56.278163888888891</v>
      </c>
      <c r="F1120" s="11">
        <f t="shared" ref="F1120:F1138" si="157">3+23/60+43.19/3600</f>
        <v>3.3953305555555557</v>
      </c>
      <c r="G1120" s="12" t="s">
        <v>144</v>
      </c>
      <c r="H1120" s="12" t="s">
        <v>47</v>
      </c>
      <c r="I1120">
        <v>2003</v>
      </c>
      <c r="J1120" s="12" t="s">
        <v>163</v>
      </c>
      <c r="K1120" s="2">
        <v>0</v>
      </c>
      <c r="L1120" s="2"/>
      <c r="M1120" s="33">
        <v>5.8</v>
      </c>
      <c r="N1120" s="33"/>
      <c r="O1120" s="8"/>
      <c r="P1120" s="1"/>
      <c r="Q1120" s="1"/>
      <c r="R1120" s="1"/>
      <c r="S1120" s="3"/>
      <c r="T1120" s="3"/>
      <c r="U1120" s="3"/>
      <c r="V1120" s="3"/>
      <c r="W1120" s="3"/>
      <c r="X1120" s="3"/>
      <c r="Y1120" s="3"/>
      <c r="Z1120" s="27" t="s">
        <v>247</v>
      </c>
      <c r="AA1120" t="s">
        <v>224</v>
      </c>
    </row>
    <row r="1121" spans="1:27" x14ac:dyDescent="0.25">
      <c r="A1121" s="12">
        <v>124</v>
      </c>
      <c r="B1121">
        <v>45</v>
      </c>
      <c r="C1121">
        <f t="shared" si="155"/>
        <v>12445</v>
      </c>
      <c r="D1121" s="3" t="s">
        <v>86</v>
      </c>
      <c r="E1121" s="11">
        <f t="shared" si="156"/>
        <v>56.278163888888891</v>
      </c>
      <c r="F1121" s="11">
        <f t="shared" si="157"/>
        <v>3.3953305555555557</v>
      </c>
      <c r="G1121" s="12" t="s">
        <v>144</v>
      </c>
      <c r="H1121" s="12" t="s">
        <v>47</v>
      </c>
      <c r="I1121">
        <v>2004</v>
      </c>
      <c r="J1121" s="12" t="s">
        <v>163</v>
      </c>
      <c r="K1121" s="2">
        <v>0</v>
      </c>
      <c r="L1121" s="2"/>
      <c r="M1121" s="33">
        <v>6.1</v>
      </c>
      <c r="N1121" s="33"/>
      <c r="O1121" s="8"/>
      <c r="P1121" s="1"/>
      <c r="Q1121" s="1"/>
      <c r="R1121" s="1"/>
      <c r="S1121" s="3"/>
      <c r="T1121" s="3"/>
      <c r="U1121" s="3"/>
      <c r="V1121" s="3"/>
      <c r="W1121" s="3"/>
      <c r="X1121" s="3"/>
      <c r="Y1121" s="3"/>
      <c r="Z1121" s="27" t="s">
        <v>247</v>
      </c>
      <c r="AA1121" t="s">
        <v>224</v>
      </c>
    </row>
    <row r="1122" spans="1:27" x14ac:dyDescent="0.25">
      <c r="A1122" s="12">
        <v>124</v>
      </c>
      <c r="B1122">
        <v>45</v>
      </c>
      <c r="C1122">
        <f t="shared" si="155"/>
        <v>12445</v>
      </c>
      <c r="D1122" s="3" t="s">
        <v>86</v>
      </c>
      <c r="E1122" s="11">
        <f t="shared" si="156"/>
        <v>56.278163888888891</v>
      </c>
      <c r="F1122" s="11">
        <f t="shared" si="157"/>
        <v>3.3953305555555557</v>
      </c>
      <c r="G1122" s="12" t="s">
        <v>144</v>
      </c>
      <c r="H1122" s="12" t="s">
        <v>47</v>
      </c>
      <c r="I1122">
        <v>2005</v>
      </c>
      <c r="J1122" s="12" t="s">
        <v>163</v>
      </c>
      <c r="K1122" s="2">
        <v>0</v>
      </c>
      <c r="L1122" s="2"/>
      <c r="M1122" s="33">
        <v>5.6666666699999997</v>
      </c>
      <c r="N1122" s="33">
        <v>1.3966666700000001</v>
      </c>
      <c r="O1122" s="8"/>
      <c r="P1122" s="1"/>
      <c r="Q1122" s="1"/>
      <c r="R1122" s="1"/>
      <c r="S1122" s="3"/>
      <c r="T1122" s="3"/>
      <c r="U1122" s="3"/>
      <c r="V1122" s="3"/>
      <c r="W1122" s="3"/>
      <c r="X1122" s="3"/>
      <c r="Y1122" s="3"/>
      <c r="Z1122" s="27" t="s">
        <v>247</v>
      </c>
      <c r="AA1122" t="s">
        <v>224</v>
      </c>
    </row>
    <row r="1123" spans="1:27" x14ac:dyDescent="0.25">
      <c r="A1123" s="12">
        <v>124</v>
      </c>
      <c r="B1123">
        <v>45</v>
      </c>
      <c r="C1123">
        <f t="shared" si="155"/>
        <v>12445</v>
      </c>
      <c r="D1123" s="3" t="s">
        <v>86</v>
      </c>
      <c r="E1123" s="11">
        <f t="shared" si="156"/>
        <v>56.278163888888891</v>
      </c>
      <c r="F1123" s="11">
        <f t="shared" si="157"/>
        <v>3.3953305555555557</v>
      </c>
      <c r="G1123" s="12" t="s">
        <v>144</v>
      </c>
      <c r="H1123" s="12" t="s">
        <v>47</v>
      </c>
      <c r="I1123">
        <v>2006</v>
      </c>
      <c r="J1123" s="12" t="s">
        <v>163</v>
      </c>
      <c r="K1123" s="2">
        <v>0</v>
      </c>
      <c r="L1123" s="2"/>
      <c r="M1123" s="33">
        <v>5.3125</v>
      </c>
      <c r="N1123" s="33">
        <v>1.605</v>
      </c>
      <c r="O1123" s="8"/>
      <c r="P1123" s="1"/>
      <c r="Q1123" s="1"/>
      <c r="R1123" s="1"/>
      <c r="S1123" s="3"/>
      <c r="T1123" s="3"/>
      <c r="U1123" s="3"/>
      <c r="V1123" s="3"/>
      <c r="W1123" s="3"/>
      <c r="X1123" s="3"/>
      <c r="Y1123" s="3"/>
      <c r="Z1123" s="27" t="s">
        <v>247</v>
      </c>
      <c r="AA1123" t="s">
        <v>224</v>
      </c>
    </row>
    <row r="1124" spans="1:27" x14ac:dyDescent="0.25">
      <c r="A1124" s="12">
        <v>124</v>
      </c>
      <c r="B1124">
        <v>45</v>
      </c>
      <c r="C1124">
        <f t="shared" si="155"/>
        <v>12445</v>
      </c>
      <c r="D1124" s="3" t="s">
        <v>86</v>
      </c>
      <c r="E1124" s="11">
        <f t="shared" si="156"/>
        <v>56.278163888888891</v>
      </c>
      <c r="F1124" s="11">
        <f t="shared" si="157"/>
        <v>3.3953305555555557</v>
      </c>
      <c r="G1124" s="12" t="s">
        <v>144</v>
      </c>
      <c r="H1124" s="12" t="s">
        <v>47</v>
      </c>
      <c r="I1124">
        <v>2007</v>
      </c>
      <c r="J1124" s="12" t="s">
        <v>163</v>
      </c>
      <c r="K1124" s="2">
        <v>0</v>
      </c>
      <c r="L1124" s="2"/>
      <c r="M1124" s="33">
        <v>4.8833333300000001</v>
      </c>
      <c r="N1124" s="33">
        <v>1.70166667</v>
      </c>
      <c r="O1124" s="8"/>
      <c r="P1124" s="1"/>
      <c r="Q1124" s="1"/>
      <c r="R1124" s="1"/>
      <c r="S1124" s="3"/>
      <c r="T1124" s="3"/>
      <c r="U1124" s="3"/>
      <c r="V1124" s="3"/>
      <c r="W1124" s="3"/>
      <c r="X1124" s="3"/>
      <c r="Y1124" s="3"/>
      <c r="Z1124" s="27" t="s">
        <v>247</v>
      </c>
      <c r="AA1124" t="s">
        <v>224</v>
      </c>
    </row>
    <row r="1125" spans="1:27" x14ac:dyDescent="0.25">
      <c r="A1125" s="12">
        <v>124</v>
      </c>
      <c r="B1125">
        <v>45</v>
      </c>
      <c r="C1125">
        <f t="shared" si="155"/>
        <v>12445</v>
      </c>
      <c r="D1125" s="3" t="s">
        <v>86</v>
      </c>
      <c r="E1125" s="11">
        <f t="shared" si="156"/>
        <v>56.278163888888891</v>
      </c>
      <c r="F1125" s="11">
        <f t="shared" si="157"/>
        <v>3.3953305555555557</v>
      </c>
      <c r="G1125" s="12" t="s">
        <v>144</v>
      </c>
      <c r="H1125" s="12" t="s">
        <v>47</v>
      </c>
      <c r="I1125">
        <v>2008</v>
      </c>
      <c r="J1125" s="12" t="s">
        <v>163</v>
      </c>
      <c r="K1125" s="2">
        <v>0</v>
      </c>
      <c r="L1125" s="2"/>
      <c r="M1125" s="33">
        <v>4.0999999999999996</v>
      </c>
      <c r="N1125" s="33">
        <v>1.7</v>
      </c>
      <c r="O1125" s="8"/>
      <c r="P1125" s="1"/>
      <c r="Q1125" s="1"/>
      <c r="R1125" s="1"/>
      <c r="S1125" s="3"/>
      <c r="T1125" s="3"/>
      <c r="U1125" s="3"/>
      <c r="V1125" s="3"/>
      <c r="W1125" s="3"/>
      <c r="X1125" s="3"/>
      <c r="Y1125" s="3"/>
      <c r="Z1125" s="27" t="s">
        <v>247</v>
      </c>
      <c r="AA1125" t="s">
        <v>224</v>
      </c>
    </row>
    <row r="1126" spans="1:27" x14ac:dyDescent="0.25">
      <c r="A1126" s="12">
        <v>124</v>
      </c>
      <c r="B1126">
        <v>45</v>
      </c>
      <c r="C1126">
        <f t="shared" si="155"/>
        <v>12445</v>
      </c>
      <c r="D1126" s="3" t="s">
        <v>86</v>
      </c>
      <c r="E1126" s="11">
        <f t="shared" si="156"/>
        <v>56.278163888888891</v>
      </c>
      <c r="F1126" s="11">
        <f t="shared" si="157"/>
        <v>3.3953305555555557</v>
      </c>
      <c r="G1126" s="12" t="s">
        <v>144</v>
      </c>
      <c r="H1126" s="12" t="s">
        <v>47</v>
      </c>
      <c r="I1126">
        <v>2009</v>
      </c>
      <c r="J1126" s="12" t="s">
        <v>163</v>
      </c>
      <c r="K1126" s="2">
        <v>0</v>
      </c>
      <c r="L1126" s="2"/>
      <c r="M1126" s="33">
        <v>4.3250000000000002</v>
      </c>
      <c r="N1126" s="33">
        <v>1.44</v>
      </c>
      <c r="O1126" s="8"/>
      <c r="P1126" s="1"/>
      <c r="Q1126" s="1"/>
      <c r="R1126" s="1"/>
      <c r="S1126" s="3"/>
      <c r="T1126" s="3"/>
      <c r="U1126" s="3"/>
      <c r="V1126" s="3"/>
      <c r="W1126" s="3"/>
      <c r="X1126" s="3"/>
      <c r="Y1126" s="3"/>
      <c r="Z1126" s="27" t="s">
        <v>247</v>
      </c>
      <c r="AA1126" t="s">
        <v>224</v>
      </c>
    </row>
    <row r="1127" spans="1:27" x14ac:dyDescent="0.25">
      <c r="A1127" s="12">
        <v>124</v>
      </c>
      <c r="B1127">
        <v>45</v>
      </c>
      <c r="C1127">
        <f t="shared" si="155"/>
        <v>12445</v>
      </c>
      <c r="D1127" s="3" t="s">
        <v>86</v>
      </c>
      <c r="E1127" s="11">
        <f t="shared" si="156"/>
        <v>56.278163888888891</v>
      </c>
      <c r="F1127" s="11">
        <f t="shared" si="157"/>
        <v>3.3953305555555557</v>
      </c>
      <c r="G1127" s="12" t="s">
        <v>144</v>
      </c>
      <c r="H1127" s="12" t="s">
        <v>47</v>
      </c>
      <c r="I1127">
        <v>2010</v>
      </c>
      <c r="J1127" s="12" t="s">
        <v>163</v>
      </c>
      <c r="K1127" s="2">
        <v>0</v>
      </c>
      <c r="L1127" s="2"/>
      <c r="M1127" s="33">
        <v>5.375</v>
      </c>
      <c r="N1127" s="33">
        <v>1.6924999999999999</v>
      </c>
      <c r="O1127" s="8"/>
      <c r="P1127" s="1"/>
      <c r="Q1127" s="1"/>
      <c r="R1127" s="1"/>
      <c r="S1127" s="3"/>
      <c r="T1127" s="3"/>
      <c r="U1127" s="3"/>
      <c r="V1127" s="3"/>
      <c r="W1127" s="3"/>
      <c r="X1127" s="3"/>
      <c r="Y1127" s="3"/>
      <c r="Z1127" s="27" t="s">
        <v>247</v>
      </c>
      <c r="AA1127" t="s">
        <v>224</v>
      </c>
    </row>
    <row r="1128" spans="1:27" x14ac:dyDescent="0.25">
      <c r="A1128" s="12">
        <v>124</v>
      </c>
      <c r="B1128">
        <v>45</v>
      </c>
      <c r="C1128">
        <f t="shared" si="155"/>
        <v>12445</v>
      </c>
      <c r="D1128" s="3" t="s">
        <v>86</v>
      </c>
      <c r="E1128" s="11">
        <f t="shared" si="156"/>
        <v>56.278163888888891</v>
      </c>
      <c r="F1128" s="11">
        <f t="shared" si="157"/>
        <v>3.3953305555555557</v>
      </c>
      <c r="G1128" s="12" t="s">
        <v>144</v>
      </c>
      <c r="H1128" s="12" t="s">
        <v>47</v>
      </c>
      <c r="I1128">
        <v>2011</v>
      </c>
      <c r="J1128" s="12" t="s">
        <v>163</v>
      </c>
      <c r="K1128" s="2">
        <v>0</v>
      </c>
      <c r="L1128" s="2"/>
      <c r="M1128" s="33">
        <v>2.8</v>
      </c>
      <c r="N1128" s="33">
        <v>1.3866666700000001</v>
      </c>
      <c r="O1128" s="8"/>
      <c r="P1128" s="1"/>
      <c r="Q1128" s="1"/>
      <c r="R1128" s="1"/>
      <c r="S1128" s="3"/>
      <c r="T1128" s="3"/>
      <c r="U1128" s="3"/>
      <c r="V1128" s="3"/>
      <c r="W1128" s="3"/>
      <c r="X1128" s="3"/>
      <c r="Y1128" s="3"/>
      <c r="Z1128" s="27" t="s">
        <v>247</v>
      </c>
      <c r="AA1128" t="s">
        <v>224</v>
      </c>
    </row>
    <row r="1129" spans="1:27" x14ac:dyDescent="0.25">
      <c r="A1129" s="12">
        <v>124</v>
      </c>
      <c r="B1129">
        <v>45</v>
      </c>
      <c r="C1129">
        <f t="shared" si="155"/>
        <v>12445</v>
      </c>
      <c r="D1129" s="3" t="s">
        <v>86</v>
      </c>
      <c r="E1129" s="11">
        <f t="shared" si="156"/>
        <v>56.278163888888891</v>
      </c>
      <c r="F1129" s="11">
        <f t="shared" si="157"/>
        <v>3.3953305555555557</v>
      </c>
      <c r="G1129" s="12" t="s">
        <v>144</v>
      </c>
      <c r="H1129" s="12" t="s">
        <v>47</v>
      </c>
      <c r="I1129">
        <v>2012</v>
      </c>
      <c r="J1129" s="12" t="s">
        <v>163</v>
      </c>
      <c r="K1129" s="2">
        <v>0</v>
      </c>
      <c r="L1129" s="2"/>
      <c r="M1129" s="33">
        <v>2.15</v>
      </c>
      <c r="N1129" s="33">
        <v>1.595</v>
      </c>
      <c r="O1129" s="8"/>
      <c r="P1129" s="1"/>
      <c r="Q1129" s="1"/>
      <c r="R1129" s="1"/>
      <c r="S1129" s="3"/>
      <c r="T1129" s="3"/>
      <c r="U1129" s="3"/>
      <c r="V1129" s="3"/>
      <c r="W1129" s="3"/>
      <c r="X1129" s="3"/>
      <c r="Y1129" s="3"/>
      <c r="Z1129" s="27" t="s">
        <v>247</v>
      </c>
      <c r="AA1129" t="s">
        <v>224</v>
      </c>
    </row>
    <row r="1130" spans="1:27" x14ac:dyDescent="0.25">
      <c r="A1130" s="12">
        <v>124</v>
      </c>
      <c r="B1130">
        <v>45</v>
      </c>
      <c r="C1130">
        <f t="shared" si="155"/>
        <v>12445</v>
      </c>
      <c r="D1130" s="3" t="s">
        <v>86</v>
      </c>
      <c r="E1130" s="11">
        <f t="shared" si="156"/>
        <v>56.278163888888891</v>
      </c>
      <c r="F1130" s="11">
        <f t="shared" si="157"/>
        <v>3.3953305555555557</v>
      </c>
      <c r="G1130" s="12" t="s">
        <v>144</v>
      </c>
      <c r="H1130" s="12" t="s">
        <v>47</v>
      </c>
      <c r="I1130">
        <v>2013</v>
      </c>
      <c r="J1130" s="12" t="s">
        <v>163</v>
      </c>
      <c r="K1130" s="2">
        <v>0</v>
      </c>
      <c r="L1130" s="2"/>
      <c r="M1130" s="33">
        <v>1.6393624161</v>
      </c>
      <c r="N1130" s="33">
        <v>0.89999440715000001</v>
      </c>
      <c r="O1130" s="8"/>
      <c r="P1130" s="1"/>
      <c r="Q1130" s="1"/>
      <c r="R1130" s="1"/>
      <c r="S1130" s="3"/>
      <c r="T1130" s="3"/>
      <c r="U1130" s="3"/>
      <c r="V1130" s="3"/>
      <c r="W1130" s="3"/>
      <c r="X1130" s="3"/>
      <c r="Y1130" s="3"/>
      <c r="Z1130" s="27" t="s">
        <v>247</v>
      </c>
      <c r="AA1130" t="s">
        <v>224</v>
      </c>
    </row>
    <row r="1131" spans="1:27" x14ac:dyDescent="0.25">
      <c r="A1131" s="12">
        <v>124</v>
      </c>
      <c r="B1131">
        <v>45</v>
      </c>
      <c r="C1131">
        <f t="shared" si="155"/>
        <v>12445</v>
      </c>
      <c r="D1131" s="3" t="s">
        <v>86</v>
      </c>
      <c r="E1131" s="11">
        <f t="shared" si="156"/>
        <v>56.278163888888891</v>
      </c>
      <c r="F1131" s="11">
        <f t="shared" si="157"/>
        <v>3.3953305555555557</v>
      </c>
      <c r="G1131" s="12" t="s">
        <v>144</v>
      </c>
      <c r="H1131" s="12" t="s">
        <v>47</v>
      </c>
      <c r="I1131">
        <v>2014</v>
      </c>
      <c r="J1131" s="12" t="s">
        <v>163</v>
      </c>
      <c r="K1131" s="2">
        <v>0</v>
      </c>
      <c r="L1131" s="2"/>
      <c r="M1131" s="33">
        <v>2.5662552434888899</v>
      </c>
      <c r="N1131" s="33">
        <v>1.2754371495222201</v>
      </c>
      <c r="O1131" s="8"/>
      <c r="P1131" s="1"/>
      <c r="Q1131" s="1"/>
      <c r="R1131" s="1"/>
      <c r="S1131" s="3"/>
      <c r="T1131" s="3"/>
      <c r="U1131" s="3"/>
      <c r="V1131" s="3"/>
      <c r="W1131" s="3"/>
      <c r="X1131" s="3"/>
      <c r="Y1131" s="3"/>
      <c r="Z1131" s="27" t="s">
        <v>247</v>
      </c>
      <c r="AA1131" t="s">
        <v>224</v>
      </c>
    </row>
    <row r="1132" spans="1:27" x14ac:dyDescent="0.25">
      <c r="A1132" s="12">
        <v>124</v>
      </c>
      <c r="B1132">
        <v>45</v>
      </c>
      <c r="C1132">
        <f t="shared" si="155"/>
        <v>12445</v>
      </c>
      <c r="D1132" s="3" t="s">
        <v>86</v>
      </c>
      <c r="E1132" s="11">
        <f t="shared" si="156"/>
        <v>56.278163888888891</v>
      </c>
      <c r="F1132" s="11">
        <f t="shared" si="157"/>
        <v>3.3953305555555557</v>
      </c>
      <c r="G1132" s="12" t="s">
        <v>144</v>
      </c>
      <c r="H1132" s="12" t="s">
        <v>47</v>
      </c>
      <c r="I1132">
        <v>2015</v>
      </c>
      <c r="J1132" s="12" t="s">
        <v>163</v>
      </c>
      <c r="K1132" s="2">
        <v>0</v>
      </c>
      <c r="L1132" s="2"/>
      <c r="M1132" s="33">
        <v>1.4750000000000001</v>
      </c>
      <c r="N1132" s="33">
        <v>1.1625000000000001</v>
      </c>
      <c r="O1132" s="8"/>
      <c r="P1132" s="1"/>
      <c r="Q1132" s="1"/>
      <c r="R1132" s="1"/>
      <c r="S1132" s="3"/>
      <c r="T1132" s="3"/>
      <c r="U1132" s="3"/>
      <c r="V1132" s="3"/>
      <c r="W1132" s="3"/>
      <c r="X1132" s="3"/>
      <c r="Y1132" s="3"/>
      <c r="Z1132" s="27" t="s">
        <v>247</v>
      </c>
      <c r="AA1132" t="s">
        <v>224</v>
      </c>
    </row>
    <row r="1133" spans="1:27" x14ac:dyDescent="0.25">
      <c r="A1133" s="12">
        <v>124</v>
      </c>
      <c r="B1133">
        <v>45</v>
      </c>
      <c r="C1133">
        <f t="shared" si="155"/>
        <v>12445</v>
      </c>
      <c r="D1133" s="3" t="s">
        <v>86</v>
      </c>
      <c r="E1133" s="11">
        <f t="shared" si="156"/>
        <v>56.278163888888891</v>
      </c>
      <c r="F1133" s="11">
        <f t="shared" si="157"/>
        <v>3.3953305555555557</v>
      </c>
      <c r="G1133" s="12" t="s">
        <v>144</v>
      </c>
      <c r="H1133" s="12" t="s">
        <v>47</v>
      </c>
      <c r="I1133">
        <v>2016</v>
      </c>
      <c r="J1133" s="12" t="s">
        <v>163</v>
      </c>
      <c r="K1133" s="2">
        <v>0</v>
      </c>
      <c r="L1133" s="2"/>
      <c r="M1133" s="33">
        <v>1.2249921654</v>
      </c>
      <c r="N1133" s="33">
        <v>0.68999655278000005</v>
      </c>
      <c r="O1133" s="8"/>
      <c r="P1133" s="1"/>
      <c r="Q1133" s="1"/>
      <c r="R1133" s="1"/>
      <c r="S1133" s="3"/>
      <c r="T1133" s="3"/>
      <c r="U1133" s="3"/>
      <c r="V1133" s="3"/>
      <c r="W1133" s="3"/>
      <c r="X1133" s="3"/>
      <c r="Y1133" s="3"/>
      <c r="Z1133" s="27" t="s">
        <v>247</v>
      </c>
      <c r="AA1133" t="s">
        <v>224</v>
      </c>
    </row>
    <row r="1134" spans="1:27" x14ac:dyDescent="0.25">
      <c r="A1134" s="12">
        <v>124</v>
      </c>
      <c r="B1134">
        <v>45</v>
      </c>
      <c r="C1134">
        <f t="shared" si="155"/>
        <v>12445</v>
      </c>
      <c r="D1134" s="3" t="s">
        <v>86</v>
      </c>
      <c r="E1134" s="11">
        <f t="shared" si="156"/>
        <v>56.278163888888891</v>
      </c>
      <c r="F1134" s="11">
        <f t="shared" si="157"/>
        <v>3.3953305555555557</v>
      </c>
      <c r="G1134" s="12" t="s">
        <v>144</v>
      </c>
      <c r="H1134" s="12" t="s">
        <v>47</v>
      </c>
      <c r="I1134">
        <v>2017</v>
      </c>
      <c r="J1134" s="12" t="s">
        <v>163</v>
      </c>
      <c r="K1134" s="2">
        <v>0</v>
      </c>
      <c r="L1134" s="2"/>
      <c r="M1134" s="33">
        <v>0.90525783997142895</v>
      </c>
      <c r="N1134" s="33">
        <v>0.58450288622222202</v>
      </c>
      <c r="O1134" s="8"/>
      <c r="P1134" s="1"/>
      <c r="Q1134" s="1"/>
      <c r="R1134" s="1"/>
      <c r="S1134" s="3"/>
      <c r="T1134" s="3"/>
      <c r="U1134" s="3"/>
      <c r="V1134" s="3"/>
      <c r="W1134" s="3"/>
      <c r="X1134" s="3"/>
      <c r="Y1134" s="3"/>
      <c r="Z1134" s="27" t="s">
        <v>247</v>
      </c>
      <c r="AA1134" t="s">
        <v>224</v>
      </c>
    </row>
    <row r="1135" spans="1:27" x14ac:dyDescent="0.25">
      <c r="A1135" s="12">
        <v>124</v>
      </c>
      <c r="B1135">
        <v>45</v>
      </c>
      <c r="C1135">
        <f t="shared" si="155"/>
        <v>12445</v>
      </c>
      <c r="D1135" s="3" t="s">
        <v>86</v>
      </c>
      <c r="E1135" s="11">
        <f t="shared" si="156"/>
        <v>56.278163888888891</v>
      </c>
      <c r="F1135" s="11">
        <f t="shared" si="157"/>
        <v>3.3953305555555557</v>
      </c>
      <c r="G1135" s="12" t="s">
        <v>144</v>
      </c>
      <c r="H1135" s="12" t="s">
        <v>47</v>
      </c>
      <c r="I1135">
        <v>2018</v>
      </c>
      <c r="J1135" s="12" t="s">
        <v>163</v>
      </c>
      <c r="K1135" s="2">
        <v>0</v>
      </c>
      <c r="L1135" s="2"/>
      <c r="M1135" s="33">
        <v>1.0443177044777801</v>
      </c>
      <c r="N1135" s="33">
        <v>0.73937547155555605</v>
      </c>
      <c r="O1135" s="8"/>
      <c r="P1135" s="1"/>
      <c r="Q1135" s="1"/>
      <c r="R1135" s="1"/>
      <c r="S1135" s="3"/>
      <c r="T1135" s="3"/>
      <c r="U1135" s="3"/>
      <c r="V1135" s="3"/>
      <c r="W1135" s="3"/>
      <c r="X1135" s="3"/>
      <c r="Y1135" s="3"/>
      <c r="Z1135" s="27" t="s">
        <v>247</v>
      </c>
      <c r="AA1135" t="s">
        <v>224</v>
      </c>
    </row>
    <row r="1136" spans="1:27" x14ac:dyDescent="0.25">
      <c r="A1136" s="12">
        <v>124</v>
      </c>
      <c r="B1136">
        <v>45</v>
      </c>
      <c r="C1136">
        <f t="shared" si="155"/>
        <v>12445</v>
      </c>
      <c r="D1136" s="3" t="s">
        <v>86</v>
      </c>
      <c r="E1136" s="11">
        <f t="shared" si="156"/>
        <v>56.278163888888891</v>
      </c>
      <c r="F1136" s="11">
        <f t="shared" si="157"/>
        <v>3.3953305555555557</v>
      </c>
      <c r="G1136" s="12" t="s">
        <v>144</v>
      </c>
      <c r="H1136" s="12" t="s">
        <v>47</v>
      </c>
      <c r="I1136">
        <v>2019</v>
      </c>
      <c r="J1136" s="12" t="s">
        <v>163</v>
      </c>
      <c r="K1136" s="2">
        <v>0</v>
      </c>
      <c r="L1136" s="2"/>
      <c r="M1136" s="33">
        <v>1.3529875542000001</v>
      </c>
      <c r="N1136" s="33">
        <v>0.55716706455555598</v>
      </c>
      <c r="O1136" s="8"/>
      <c r="P1136" s="1"/>
      <c r="Q1136" s="1"/>
      <c r="R1136" s="1"/>
      <c r="S1136" s="3"/>
      <c r="T1136" s="3"/>
      <c r="U1136" s="3"/>
      <c r="V1136" s="3"/>
      <c r="W1136" s="3"/>
      <c r="X1136" s="3"/>
      <c r="Y1136" s="3"/>
      <c r="Z1136" s="27" t="s">
        <v>247</v>
      </c>
      <c r="AA1136" t="s">
        <v>224</v>
      </c>
    </row>
    <row r="1137" spans="1:27" x14ac:dyDescent="0.25">
      <c r="A1137" s="12">
        <v>124</v>
      </c>
      <c r="B1137">
        <v>45</v>
      </c>
      <c r="C1137">
        <f t="shared" si="155"/>
        <v>12445</v>
      </c>
      <c r="D1137" s="3" t="s">
        <v>86</v>
      </c>
      <c r="E1137" s="11">
        <f t="shared" si="156"/>
        <v>56.278163888888891</v>
      </c>
      <c r="F1137" s="11">
        <f t="shared" si="157"/>
        <v>3.3953305555555557</v>
      </c>
      <c r="G1137" s="12" t="s">
        <v>144</v>
      </c>
      <c r="H1137" s="12" t="s">
        <v>47</v>
      </c>
      <c r="I1137">
        <v>2020</v>
      </c>
      <c r="J1137" s="12" t="s">
        <v>163</v>
      </c>
      <c r="K1137" s="2">
        <v>0</v>
      </c>
      <c r="L1137" s="2"/>
      <c r="M1137" s="33">
        <v>1.4355409904875001</v>
      </c>
      <c r="N1137" s="33">
        <v>0.67132796054999999</v>
      </c>
      <c r="O1137" s="8"/>
      <c r="P1137" s="1"/>
      <c r="Q1137" s="1"/>
      <c r="R1137" s="1"/>
      <c r="S1137" s="3"/>
      <c r="T1137" s="3"/>
      <c r="U1137" s="3"/>
      <c r="V1137" s="3"/>
      <c r="W1137" s="3"/>
      <c r="X1137" s="3"/>
      <c r="Y1137" s="3"/>
      <c r="Z1137" s="27" t="s">
        <v>247</v>
      </c>
      <c r="AA1137" t="s">
        <v>224</v>
      </c>
    </row>
    <row r="1138" spans="1:27" x14ac:dyDescent="0.25">
      <c r="A1138" s="12">
        <v>124</v>
      </c>
      <c r="B1138">
        <v>45</v>
      </c>
      <c r="C1138">
        <f t="shared" si="155"/>
        <v>12445</v>
      </c>
      <c r="D1138" s="3" t="s">
        <v>86</v>
      </c>
      <c r="E1138" s="11">
        <f t="shared" si="156"/>
        <v>56.278163888888891</v>
      </c>
      <c r="F1138" s="11">
        <f t="shared" si="157"/>
        <v>3.3953305555555557</v>
      </c>
      <c r="G1138" s="12" t="s">
        <v>144</v>
      </c>
      <c r="H1138" s="12" t="s">
        <v>47</v>
      </c>
      <c r="I1138">
        <v>2021</v>
      </c>
      <c r="J1138" s="12" t="s">
        <v>163</v>
      </c>
      <c r="K1138" s="2">
        <v>0</v>
      </c>
      <c r="L1138" s="2"/>
      <c r="M1138" s="33">
        <v>1.28605902765714</v>
      </c>
      <c r="N1138" s="33">
        <v>0.60940333980000005</v>
      </c>
      <c r="O1138" s="8"/>
      <c r="P1138" s="1"/>
      <c r="Q1138" s="1"/>
      <c r="R1138" s="1"/>
      <c r="S1138" s="3"/>
      <c r="T1138" s="3"/>
      <c r="U1138" s="3"/>
      <c r="V1138" s="3"/>
      <c r="W1138" s="3"/>
      <c r="X1138" s="3"/>
      <c r="Y1138" s="3"/>
      <c r="Z1138" s="27" t="s">
        <v>247</v>
      </c>
      <c r="AA1138" t="s">
        <v>224</v>
      </c>
    </row>
    <row r="1139" spans="1:27" x14ac:dyDescent="0.25">
      <c r="A1139" s="12">
        <v>124</v>
      </c>
      <c r="B1139">
        <v>46</v>
      </c>
      <c r="C1139">
        <f t="shared" si="155"/>
        <v>12446</v>
      </c>
      <c r="D1139" s="3" t="s">
        <v>86</v>
      </c>
      <c r="E1139" s="11">
        <f>58+4/60+40.5/3600</f>
        <v>58.077916666666667</v>
      </c>
      <c r="F1139" s="11">
        <f>1+53/60+25.69/3600</f>
        <v>1.8904694444444443</v>
      </c>
      <c r="G1139" s="12" t="s">
        <v>144</v>
      </c>
      <c r="H1139" s="12" t="s">
        <v>47</v>
      </c>
      <c r="I1139">
        <v>2003</v>
      </c>
      <c r="J1139" s="12" t="s">
        <v>163</v>
      </c>
      <c r="K1139" s="2">
        <v>0</v>
      </c>
      <c r="L1139" s="2"/>
      <c r="M1139" s="33">
        <v>5.53</v>
      </c>
      <c r="N1139" s="33"/>
      <c r="O1139" s="8"/>
      <c r="P1139" s="1"/>
      <c r="Q1139" s="1"/>
      <c r="R1139" s="1"/>
      <c r="S1139" s="3"/>
      <c r="T1139" s="3"/>
      <c r="U1139" s="3"/>
      <c r="V1139" s="3"/>
      <c r="W1139" s="3"/>
      <c r="X1139" s="3"/>
      <c r="Y1139" s="3"/>
      <c r="Z1139" s="27" t="s">
        <v>247</v>
      </c>
      <c r="AA1139" t="s">
        <v>231</v>
      </c>
    </row>
    <row r="1140" spans="1:27" x14ac:dyDescent="0.25">
      <c r="A1140" s="12">
        <v>124</v>
      </c>
      <c r="B1140">
        <v>46</v>
      </c>
      <c r="C1140">
        <f t="shared" si="155"/>
        <v>12446</v>
      </c>
      <c r="D1140" s="3" t="s">
        <v>86</v>
      </c>
      <c r="E1140" s="11">
        <f t="shared" ref="E1140:E1152" si="158">58+4/60+40.5/3600</f>
        <v>58.077916666666667</v>
      </c>
      <c r="F1140" s="11">
        <f t="shared" ref="F1140:F1152" si="159">1+53/60+25.69/3600</f>
        <v>1.8904694444444443</v>
      </c>
      <c r="G1140" s="12" t="s">
        <v>144</v>
      </c>
      <c r="H1140" s="12" t="s">
        <v>47</v>
      </c>
      <c r="I1140">
        <v>2004</v>
      </c>
      <c r="J1140" s="12" t="s">
        <v>163</v>
      </c>
      <c r="K1140" s="2">
        <v>0</v>
      </c>
      <c r="L1140" s="2"/>
      <c r="M1140" s="33">
        <v>8.2200000000000006</v>
      </c>
      <c r="N1140" s="33"/>
      <c r="O1140" s="8"/>
      <c r="P1140" s="1"/>
      <c r="Q1140" s="1"/>
      <c r="R1140" s="1"/>
      <c r="S1140" s="3"/>
      <c r="T1140" s="3"/>
      <c r="U1140" s="3"/>
      <c r="V1140" s="3"/>
      <c r="W1140" s="3"/>
      <c r="X1140" s="3"/>
      <c r="Y1140" s="3"/>
      <c r="Z1140" s="27" t="s">
        <v>247</v>
      </c>
      <c r="AA1140" t="s">
        <v>231</v>
      </c>
    </row>
    <row r="1141" spans="1:27" x14ac:dyDescent="0.25">
      <c r="A1141" s="12">
        <v>124</v>
      </c>
      <c r="B1141">
        <v>46</v>
      </c>
      <c r="C1141">
        <f t="shared" si="155"/>
        <v>12446</v>
      </c>
      <c r="D1141" s="3" t="s">
        <v>86</v>
      </c>
      <c r="E1141" s="11">
        <f t="shared" si="158"/>
        <v>58.077916666666667</v>
      </c>
      <c r="F1141" s="11">
        <f t="shared" si="159"/>
        <v>1.8904694444444443</v>
      </c>
      <c r="G1141" s="12" t="s">
        <v>144</v>
      </c>
      <c r="H1141" s="12" t="s">
        <v>47</v>
      </c>
      <c r="I1141">
        <v>2005</v>
      </c>
      <c r="J1141" s="12" t="s">
        <v>163</v>
      </c>
      <c r="K1141" s="2">
        <v>0</v>
      </c>
      <c r="L1141" s="2"/>
      <c r="M1141" s="33">
        <v>14.9</v>
      </c>
      <c r="N1141" s="33">
        <v>9.33</v>
      </c>
      <c r="O1141" s="8"/>
      <c r="P1141" s="1"/>
      <c r="Q1141" s="1"/>
      <c r="R1141" s="1"/>
      <c r="S1141" s="3"/>
      <c r="T1141" s="3"/>
      <c r="U1141" s="3"/>
      <c r="V1141" s="3"/>
      <c r="W1141" s="3"/>
      <c r="X1141" s="3"/>
      <c r="Y1141" s="3"/>
      <c r="Z1141" s="27" t="s">
        <v>247</v>
      </c>
      <c r="AA1141" t="s">
        <v>231</v>
      </c>
    </row>
    <row r="1142" spans="1:27" x14ac:dyDescent="0.25">
      <c r="A1142" s="12">
        <v>124</v>
      </c>
      <c r="B1142">
        <v>46</v>
      </c>
      <c r="C1142">
        <f t="shared" si="155"/>
        <v>12446</v>
      </c>
      <c r="D1142" s="3" t="s">
        <v>86</v>
      </c>
      <c r="E1142" s="11">
        <f t="shared" si="158"/>
        <v>58.077916666666667</v>
      </c>
      <c r="F1142" s="11">
        <f t="shared" si="159"/>
        <v>1.8904694444444443</v>
      </c>
      <c r="G1142" s="12" t="s">
        <v>144</v>
      </c>
      <c r="H1142" s="12" t="s">
        <v>47</v>
      </c>
      <c r="I1142">
        <v>2006</v>
      </c>
      <c r="J1142" s="12" t="s">
        <v>163</v>
      </c>
      <c r="K1142" s="2">
        <v>0</v>
      </c>
      <c r="L1142" s="2"/>
      <c r="M1142" s="33">
        <v>9.283333335</v>
      </c>
      <c r="N1142" s="33">
        <v>6.5833333349999998</v>
      </c>
      <c r="O1142" s="8"/>
      <c r="P1142" s="1"/>
      <c r="Q1142" s="1"/>
      <c r="R1142" s="1"/>
      <c r="S1142" s="3"/>
      <c r="T1142" s="3"/>
      <c r="U1142" s="3"/>
      <c r="V1142" s="3"/>
      <c r="W1142" s="3"/>
      <c r="X1142" s="3"/>
      <c r="Y1142" s="3"/>
      <c r="Z1142" s="27" t="s">
        <v>247</v>
      </c>
      <c r="AA1142" t="s">
        <v>231</v>
      </c>
    </row>
    <row r="1143" spans="1:27" x14ac:dyDescent="0.25">
      <c r="A1143" s="12">
        <v>124</v>
      </c>
      <c r="B1143">
        <v>46</v>
      </c>
      <c r="C1143">
        <f t="shared" si="155"/>
        <v>12446</v>
      </c>
      <c r="D1143" s="3" t="s">
        <v>86</v>
      </c>
      <c r="E1143" s="11">
        <f t="shared" si="158"/>
        <v>58.077916666666667</v>
      </c>
      <c r="F1143" s="11">
        <f t="shared" si="159"/>
        <v>1.8904694444444443</v>
      </c>
      <c r="G1143" s="12" t="s">
        <v>144</v>
      </c>
      <c r="H1143" s="12" t="s">
        <v>47</v>
      </c>
      <c r="I1143">
        <v>2007</v>
      </c>
      <c r="J1143" s="12" t="s">
        <v>163</v>
      </c>
      <c r="K1143" s="2">
        <v>0</v>
      </c>
      <c r="L1143" s="2"/>
      <c r="M1143" s="33">
        <v>4</v>
      </c>
      <c r="N1143" s="33">
        <v>3</v>
      </c>
      <c r="O1143" s="8"/>
      <c r="P1143" s="1"/>
      <c r="Q1143" s="1"/>
      <c r="R1143" s="1"/>
      <c r="S1143" s="3"/>
      <c r="T1143" s="3"/>
      <c r="U1143" s="3"/>
      <c r="V1143" s="3"/>
      <c r="W1143" s="3"/>
      <c r="X1143" s="3"/>
      <c r="Y1143" s="3"/>
      <c r="Z1143" s="27" t="s">
        <v>247</v>
      </c>
      <c r="AA1143" t="s">
        <v>231</v>
      </c>
    </row>
    <row r="1144" spans="1:27" x14ac:dyDescent="0.25">
      <c r="A1144" s="12">
        <v>124</v>
      </c>
      <c r="B1144">
        <v>46</v>
      </c>
      <c r="C1144">
        <f t="shared" si="155"/>
        <v>12446</v>
      </c>
      <c r="D1144" s="3" t="s">
        <v>86</v>
      </c>
      <c r="E1144" s="11">
        <f t="shared" si="158"/>
        <v>58.077916666666667</v>
      </c>
      <c r="F1144" s="11">
        <f t="shared" si="159"/>
        <v>1.8904694444444443</v>
      </c>
      <c r="G1144" s="12" t="s">
        <v>144</v>
      </c>
      <c r="H1144" s="12" t="s">
        <v>47</v>
      </c>
      <c r="I1144">
        <v>2008</v>
      </c>
      <c r="J1144" s="12" t="s">
        <v>163</v>
      </c>
      <c r="K1144" s="2">
        <v>0</v>
      </c>
      <c r="L1144" s="2"/>
      <c r="M1144" s="33">
        <v>4.6333333300000001</v>
      </c>
      <c r="N1144" s="33">
        <v>3.95</v>
      </c>
      <c r="O1144" s="8"/>
      <c r="P1144" s="1"/>
      <c r="Q1144" s="1"/>
      <c r="R1144" s="1"/>
      <c r="S1144" s="3"/>
      <c r="T1144" s="3"/>
      <c r="U1144" s="3"/>
      <c r="V1144" s="3"/>
      <c r="W1144" s="3"/>
      <c r="X1144" s="3"/>
      <c r="Y1144" s="3"/>
      <c r="Z1144" s="27" t="s">
        <v>247</v>
      </c>
      <c r="AA1144" t="s">
        <v>231</v>
      </c>
    </row>
    <row r="1145" spans="1:27" x14ac:dyDescent="0.25">
      <c r="A1145" s="12">
        <v>124</v>
      </c>
      <c r="B1145">
        <v>46</v>
      </c>
      <c r="C1145">
        <f t="shared" si="155"/>
        <v>12446</v>
      </c>
      <c r="D1145" s="3" t="s">
        <v>86</v>
      </c>
      <c r="E1145" s="11">
        <f t="shared" si="158"/>
        <v>58.077916666666667</v>
      </c>
      <c r="F1145" s="11">
        <f t="shared" si="159"/>
        <v>1.8904694444444443</v>
      </c>
      <c r="G1145" s="12" t="s">
        <v>144</v>
      </c>
      <c r="H1145" s="12" t="s">
        <v>47</v>
      </c>
      <c r="I1145">
        <v>2009</v>
      </c>
      <c r="J1145" s="12" t="s">
        <v>163</v>
      </c>
      <c r="K1145" s="2">
        <v>0</v>
      </c>
      <c r="L1145" s="2"/>
      <c r="M1145" s="33">
        <v>8.9</v>
      </c>
      <c r="N1145" s="33">
        <v>5.0766666699999998</v>
      </c>
      <c r="O1145" s="8"/>
      <c r="P1145" s="1"/>
      <c r="Q1145" s="1"/>
      <c r="R1145" s="1"/>
      <c r="S1145" s="3"/>
      <c r="T1145" s="3"/>
      <c r="U1145" s="3"/>
      <c r="V1145" s="3"/>
      <c r="W1145" s="3"/>
      <c r="X1145" s="3"/>
      <c r="Y1145" s="3"/>
      <c r="Z1145" s="27" t="s">
        <v>247</v>
      </c>
      <c r="AA1145" t="s">
        <v>231</v>
      </c>
    </row>
    <row r="1146" spans="1:27" x14ac:dyDescent="0.25">
      <c r="A1146" s="12">
        <v>124</v>
      </c>
      <c r="B1146">
        <v>46</v>
      </c>
      <c r="C1146">
        <f t="shared" si="155"/>
        <v>12446</v>
      </c>
      <c r="D1146" s="3" t="s">
        <v>86</v>
      </c>
      <c r="E1146" s="11">
        <f t="shared" si="158"/>
        <v>58.077916666666667</v>
      </c>
      <c r="F1146" s="11">
        <f t="shared" si="159"/>
        <v>1.8904694444444443</v>
      </c>
      <c r="G1146" s="12" t="s">
        <v>144</v>
      </c>
      <c r="H1146" s="12" t="s">
        <v>47</v>
      </c>
      <c r="I1146">
        <v>2010</v>
      </c>
      <c r="J1146" s="12" t="s">
        <v>163</v>
      </c>
      <c r="K1146" s="2">
        <v>0</v>
      </c>
      <c r="L1146" s="2"/>
      <c r="M1146" s="33">
        <v>9.4749999999999996</v>
      </c>
      <c r="N1146" s="33">
        <v>5.2249999999999996</v>
      </c>
      <c r="O1146" s="8"/>
      <c r="P1146" s="1"/>
      <c r="Q1146" s="1"/>
      <c r="R1146" s="1"/>
      <c r="S1146" s="3"/>
      <c r="T1146" s="3"/>
      <c r="U1146" s="3"/>
      <c r="V1146" s="3"/>
      <c r="W1146" s="3"/>
      <c r="X1146" s="3"/>
      <c r="Y1146" s="3"/>
      <c r="Z1146" s="27" t="s">
        <v>247</v>
      </c>
      <c r="AA1146" t="s">
        <v>231</v>
      </c>
    </row>
    <row r="1147" spans="1:27" x14ac:dyDescent="0.25">
      <c r="A1147" s="12">
        <v>124</v>
      </c>
      <c r="B1147">
        <v>46</v>
      </c>
      <c r="C1147">
        <f t="shared" si="155"/>
        <v>12446</v>
      </c>
      <c r="D1147" s="3" t="s">
        <v>86</v>
      </c>
      <c r="E1147" s="11">
        <f t="shared" si="158"/>
        <v>58.077916666666667</v>
      </c>
      <c r="F1147" s="11">
        <f t="shared" si="159"/>
        <v>1.8904694444444443</v>
      </c>
      <c r="G1147" s="12" t="s">
        <v>144</v>
      </c>
      <c r="H1147" s="12" t="s">
        <v>47</v>
      </c>
      <c r="I1147">
        <v>2011</v>
      </c>
      <c r="J1147" s="12" t="s">
        <v>163</v>
      </c>
      <c r="K1147" s="2">
        <v>0</v>
      </c>
      <c r="L1147" s="2"/>
      <c r="M1147" s="33">
        <v>6.4</v>
      </c>
      <c r="N1147" s="33">
        <v>3.835</v>
      </c>
      <c r="O1147" s="8"/>
      <c r="P1147" s="1"/>
      <c r="Q1147" s="1"/>
      <c r="R1147" s="1"/>
      <c r="S1147" s="3"/>
      <c r="T1147" s="3"/>
      <c r="U1147" s="3"/>
      <c r="V1147" s="3"/>
      <c r="W1147" s="3"/>
      <c r="X1147" s="3"/>
      <c r="Y1147" s="3"/>
      <c r="Z1147" s="27" t="s">
        <v>247</v>
      </c>
      <c r="AA1147" t="s">
        <v>231</v>
      </c>
    </row>
    <row r="1148" spans="1:27" x14ac:dyDescent="0.25">
      <c r="A1148" s="12">
        <v>124</v>
      </c>
      <c r="B1148">
        <v>46</v>
      </c>
      <c r="C1148">
        <f t="shared" si="155"/>
        <v>12446</v>
      </c>
      <c r="D1148" s="3" t="s">
        <v>86</v>
      </c>
      <c r="E1148" s="11">
        <f t="shared" si="158"/>
        <v>58.077916666666667</v>
      </c>
      <c r="F1148" s="11">
        <f t="shared" si="159"/>
        <v>1.8904694444444443</v>
      </c>
      <c r="G1148" s="12" t="s">
        <v>144</v>
      </c>
      <c r="H1148" s="12" t="s">
        <v>47</v>
      </c>
      <c r="I1148">
        <v>2012</v>
      </c>
      <c r="J1148" s="12" t="s">
        <v>163</v>
      </c>
      <c r="K1148" s="2">
        <v>0</v>
      </c>
      <c r="L1148" s="2"/>
      <c r="M1148" s="33">
        <v>3</v>
      </c>
      <c r="N1148" s="33">
        <v>1.7875000000000001</v>
      </c>
      <c r="O1148" s="8"/>
      <c r="P1148" s="1"/>
      <c r="Q1148" s="1"/>
      <c r="R1148" s="1"/>
      <c r="S1148" s="3"/>
      <c r="T1148" s="3"/>
      <c r="U1148" s="3"/>
      <c r="V1148" s="3"/>
      <c r="W1148" s="3"/>
      <c r="X1148" s="3"/>
      <c r="Y1148" s="3"/>
      <c r="Z1148" s="27" t="s">
        <v>247</v>
      </c>
      <c r="AA1148" t="s">
        <v>231</v>
      </c>
    </row>
    <row r="1149" spans="1:27" x14ac:dyDescent="0.25">
      <c r="A1149" s="12">
        <v>124</v>
      </c>
      <c r="B1149">
        <v>46</v>
      </c>
      <c r="C1149">
        <f t="shared" si="155"/>
        <v>12446</v>
      </c>
      <c r="D1149" s="3" t="s">
        <v>86</v>
      </c>
      <c r="E1149" s="11">
        <f t="shared" si="158"/>
        <v>58.077916666666667</v>
      </c>
      <c r="F1149" s="11">
        <f t="shared" si="159"/>
        <v>1.8904694444444443</v>
      </c>
      <c r="G1149" s="12" t="s">
        <v>144</v>
      </c>
      <c r="H1149" s="12" t="s">
        <v>47</v>
      </c>
      <c r="I1149">
        <v>2013</v>
      </c>
      <c r="J1149" s="12" t="s">
        <v>163</v>
      </c>
      <c r="K1149" s="2">
        <v>0</v>
      </c>
      <c r="L1149" s="2"/>
      <c r="M1149" s="33">
        <v>2.7377810761555601</v>
      </c>
      <c r="N1149" s="33">
        <v>1.74992394002222</v>
      </c>
      <c r="O1149" s="8"/>
      <c r="P1149" s="1"/>
      <c r="Q1149" s="1"/>
      <c r="R1149" s="1"/>
      <c r="S1149" s="3"/>
      <c r="T1149" s="3"/>
      <c r="U1149" s="3"/>
      <c r="V1149" s="3"/>
      <c r="W1149" s="3"/>
      <c r="X1149" s="3"/>
      <c r="Y1149" s="3"/>
      <c r="Z1149" s="27" t="s">
        <v>247</v>
      </c>
      <c r="AA1149" t="s">
        <v>231</v>
      </c>
    </row>
    <row r="1150" spans="1:27" x14ac:dyDescent="0.25">
      <c r="A1150" s="12">
        <v>124</v>
      </c>
      <c r="B1150">
        <v>46</v>
      </c>
      <c r="C1150">
        <f t="shared" si="155"/>
        <v>12446</v>
      </c>
      <c r="D1150" s="3" t="s">
        <v>86</v>
      </c>
      <c r="E1150" s="11">
        <f t="shared" si="158"/>
        <v>58.077916666666667</v>
      </c>
      <c r="F1150" s="11">
        <f t="shared" si="159"/>
        <v>1.8904694444444443</v>
      </c>
      <c r="G1150" s="12" t="s">
        <v>144</v>
      </c>
      <c r="H1150" s="12" t="s">
        <v>47</v>
      </c>
      <c r="I1150">
        <v>2014</v>
      </c>
      <c r="J1150" s="12" t="s">
        <v>163</v>
      </c>
      <c r="K1150" s="2">
        <v>0</v>
      </c>
      <c r="L1150" s="2"/>
      <c r="M1150" s="33">
        <v>1.30666666666667</v>
      </c>
      <c r="N1150" s="33">
        <v>1.1200000000000001</v>
      </c>
      <c r="O1150" s="8"/>
      <c r="P1150" s="1"/>
      <c r="Q1150" s="1"/>
      <c r="R1150" s="1"/>
      <c r="S1150" s="3"/>
      <c r="T1150" s="3"/>
      <c r="U1150" s="3"/>
      <c r="V1150" s="3"/>
      <c r="W1150" s="3"/>
      <c r="X1150" s="3"/>
      <c r="Y1150" s="3"/>
      <c r="Z1150" s="27" t="s">
        <v>247</v>
      </c>
      <c r="AA1150" t="s">
        <v>231</v>
      </c>
    </row>
    <row r="1151" spans="1:27" x14ac:dyDescent="0.25">
      <c r="A1151" s="12">
        <v>124</v>
      </c>
      <c r="B1151">
        <v>46</v>
      </c>
      <c r="C1151">
        <f t="shared" si="155"/>
        <v>12446</v>
      </c>
      <c r="D1151" s="3" t="s">
        <v>86</v>
      </c>
      <c r="E1151" s="11">
        <f t="shared" si="158"/>
        <v>58.077916666666667</v>
      </c>
      <c r="F1151" s="11">
        <f t="shared" si="159"/>
        <v>1.8904694444444443</v>
      </c>
      <c r="G1151" s="12" t="s">
        <v>144</v>
      </c>
      <c r="H1151" s="12" t="s">
        <v>47</v>
      </c>
      <c r="I1151">
        <v>2015</v>
      </c>
      <c r="J1151" s="12" t="s">
        <v>163</v>
      </c>
      <c r="K1151" s="2">
        <v>0</v>
      </c>
      <c r="L1151" s="2"/>
      <c r="M1151" s="33">
        <v>1.5375000000000001</v>
      </c>
      <c r="N1151" s="33">
        <v>0.73250000000000004</v>
      </c>
      <c r="O1151" s="8"/>
      <c r="P1151" s="1"/>
      <c r="Q1151" s="1"/>
      <c r="R1151" s="1"/>
      <c r="S1151" s="3"/>
      <c r="T1151" s="3"/>
      <c r="U1151" s="3"/>
      <c r="V1151" s="3"/>
      <c r="W1151" s="3"/>
      <c r="X1151" s="3"/>
      <c r="Y1151" s="3"/>
      <c r="Z1151" s="27" t="s">
        <v>247</v>
      </c>
      <c r="AA1151" t="s">
        <v>231</v>
      </c>
    </row>
    <row r="1152" spans="1:27" x14ac:dyDescent="0.25">
      <c r="A1152" s="12">
        <v>124</v>
      </c>
      <c r="B1152">
        <v>46</v>
      </c>
      <c r="C1152">
        <f t="shared" si="155"/>
        <v>12446</v>
      </c>
      <c r="D1152" s="3" t="s">
        <v>86</v>
      </c>
      <c r="E1152" s="11">
        <f t="shared" si="158"/>
        <v>58.077916666666667</v>
      </c>
      <c r="F1152" s="11">
        <f t="shared" si="159"/>
        <v>1.8904694444444443</v>
      </c>
      <c r="G1152" s="12" t="s">
        <v>144</v>
      </c>
      <c r="H1152" s="12" t="s">
        <v>47</v>
      </c>
      <c r="I1152">
        <v>2016</v>
      </c>
      <c r="J1152" s="12" t="s">
        <v>163</v>
      </c>
      <c r="K1152" s="2">
        <v>0</v>
      </c>
      <c r="L1152" s="2"/>
      <c r="M1152" s="33">
        <v>0.45</v>
      </c>
      <c r="N1152" s="33">
        <v>0.46</v>
      </c>
      <c r="O1152" s="8"/>
      <c r="P1152" s="1"/>
      <c r="Q1152" s="1"/>
      <c r="R1152" s="1"/>
      <c r="S1152" s="3"/>
      <c r="T1152" s="3"/>
      <c r="U1152" s="3"/>
      <c r="V1152" s="3"/>
      <c r="W1152" s="3"/>
      <c r="X1152" s="3"/>
      <c r="Y1152" s="3"/>
      <c r="Z1152" s="27" t="s">
        <v>247</v>
      </c>
      <c r="AA1152" t="s">
        <v>231</v>
      </c>
    </row>
    <row r="1153" spans="1:27" x14ac:dyDescent="0.25">
      <c r="A1153" s="12">
        <v>124</v>
      </c>
      <c r="B1153">
        <v>47</v>
      </c>
      <c r="C1153">
        <f t="shared" si="155"/>
        <v>12447</v>
      </c>
      <c r="D1153" s="3" t="s">
        <v>86</v>
      </c>
      <c r="E1153" s="11">
        <f>60+46/60+57.74/3600</f>
        <v>60.782705555555552</v>
      </c>
      <c r="F1153" s="11">
        <f>2+53/60+52.29/3600</f>
        <v>2.8978583333333332</v>
      </c>
      <c r="G1153" s="12" t="s">
        <v>144</v>
      </c>
      <c r="H1153" s="12" t="s">
        <v>47</v>
      </c>
      <c r="I1153">
        <v>2002</v>
      </c>
      <c r="J1153" s="12" t="s">
        <v>163</v>
      </c>
      <c r="K1153" s="2">
        <v>0</v>
      </c>
      <c r="L1153" s="2"/>
      <c r="M1153" s="33">
        <v>0.5</v>
      </c>
      <c r="N1153" s="33"/>
      <c r="O1153" s="8"/>
      <c r="P1153" s="1"/>
      <c r="Q1153" s="1"/>
      <c r="R1153" s="1"/>
      <c r="S1153" s="3"/>
      <c r="T1153" s="3"/>
      <c r="U1153" s="3"/>
      <c r="V1153" s="3"/>
      <c r="W1153" s="3"/>
      <c r="X1153" s="3"/>
      <c r="Y1153" s="3"/>
      <c r="Z1153" s="27" t="s">
        <v>247</v>
      </c>
      <c r="AA1153" t="s">
        <v>225</v>
      </c>
    </row>
    <row r="1154" spans="1:27" x14ac:dyDescent="0.25">
      <c r="A1154" s="12">
        <v>124</v>
      </c>
      <c r="B1154">
        <v>47</v>
      </c>
      <c r="C1154">
        <f t="shared" si="155"/>
        <v>12447</v>
      </c>
      <c r="D1154" s="3" t="s">
        <v>86</v>
      </c>
      <c r="E1154" s="11">
        <f t="shared" ref="E1154:E1172" si="160">60+46/60+57.74/3600</f>
        <v>60.782705555555552</v>
      </c>
      <c r="F1154" s="11">
        <f t="shared" ref="F1154:F1172" si="161">2+53/60+52.29/3600</f>
        <v>2.8978583333333332</v>
      </c>
      <c r="G1154" s="12" t="s">
        <v>144</v>
      </c>
      <c r="H1154" s="12" t="s">
        <v>47</v>
      </c>
      <c r="I1154">
        <v>2003</v>
      </c>
      <c r="J1154" s="12" t="s">
        <v>163</v>
      </c>
      <c r="K1154" s="2">
        <v>0</v>
      </c>
      <c r="L1154" s="2"/>
      <c r="M1154" s="33">
        <v>0.88700000000000001</v>
      </c>
      <c r="N1154" s="33"/>
      <c r="O1154" s="8"/>
      <c r="P1154" s="1"/>
      <c r="Q1154" s="1"/>
      <c r="R1154" s="1"/>
      <c r="S1154" s="3"/>
      <c r="T1154" s="3"/>
      <c r="U1154" s="3"/>
      <c r="V1154" s="3"/>
      <c r="W1154" s="3"/>
      <c r="X1154" s="3"/>
      <c r="Y1154" s="3"/>
      <c r="Z1154" s="27" t="s">
        <v>247</v>
      </c>
      <c r="AA1154" t="s">
        <v>225</v>
      </c>
    </row>
    <row r="1155" spans="1:27" x14ac:dyDescent="0.25">
      <c r="A1155" s="12">
        <v>124</v>
      </c>
      <c r="B1155">
        <v>47</v>
      </c>
      <c r="C1155">
        <f t="shared" si="155"/>
        <v>12447</v>
      </c>
      <c r="D1155" s="3" t="s">
        <v>86</v>
      </c>
      <c r="E1155" s="11">
        <f t="shared" si="160"/>
        <v>60.782705555555552</v>
      </c>
      <c r="F1155" s="11">
        <f t="shared" si="161"/>
        <v>2.8978583333333332</v>
      </c>
      <c r="G1155" s="12" t="s">
        <v>144</v>
      </c>
      <c r="H1155" s="12" t="s">
        <v>47</v>
      </c>
      <c r="I1155">
        <v>2004</v>
      </c>
      <c r="J1155" s="12" t="s">
        <v>163</v>
      </c>
      <c r="K1155" s="2">
        <v>0</v>
      </c>
      <c r="L1155" s="2"/>
      <c r="M1155" s="33">
        <v>1.7383743060000001</v>
      </c>
      <c r="N1155" s="33"/>
      <c r="O1155" s="8"/>
      <c r="P1155" s="1"/>
      <c r="Q1155" s="1"/>
      <c r="R1155" s="1"/>
      <c r="S1155" s="3"/>
      <c r="T1155" s="3"/>
      <c r="U1155" s="3"/>
      <c r="V1155" s="3"/>
      <c r="W1155" s="3"/>
      <c r="X1155" s="3"/>
      <c r="Y1155" s="3"/>
      <c r="Z1155" s="27" t="s">
        <v>247</v>
      </c>
      <c r="AA1155" t="s">
        <v>225</v>
      </c>
    </row>
    <row r="1156" spans="1:27" x14ac:dyDescent="0.25">
      <c r="A1156" s="12">
        <v>124</v>
      </c>
      <c r="B1156">
        <v>47</v>
      </c>
      <c r="C1156">
        <f t="shared" si="155"/>
        <v>12447</v>
      </c>
      <c r="D1156" s="3" t="s">
        <v>86</v>
      </c>
      <c r="E1156" s="11">
        <f t="shared" si="160"/>
        <v>60.782705555555552</v>
      </c>
      <c r="F1156" s="11">
        <f t="shared" si="161"/>
        <v>2.8978583333333332</v>
      </c>
      <c r="G1156" s="12" t="s">
        <v>144</v>
      </c>
      <c r="H1156" s="12" t="s">
        <v>47</v>
      </c>
      <c r="I1156">
        <v>2005</v>
      </c>
      <c r="J1156" s="12" t="s">
        <v>163</v>
      </c>
      <c r="K1156" s="2">
        <v>0</v>
      </c>
      <c r="L1156" s="2"/>
      <c r="M1156" s="33">
        <v>0.98705251800000005</v>
      </c>
      <c r="N1156" s="33">
        <v>1.519554893</v>
      </c>
      <c r="O1156" s="8"/>
      <c r="P1156" s="1"/>
      <c r="Q1156" s="1"/>
      <c r="R1156" s="1"/>
      <c r="S1156" s="3"/>
      <c r="T1156" s="3"/>
      <c r="U1156" s="3"/>
      <c r="V1156" s="3"/>
      <c r="W1156" s="3"/>
      <c r="X1156" s="3"/>
      <c r="Y1156" s="3"/>
      <c r="Z1156" s="27" t="s">
        <v>247</v>
      </c>
      <c r="AA1156" t="s">
        <v>225</v>
      </c>
    </row>
    <row r="1157" spans="1:27" x14ac:dyDescent="0.25">
      <c r="A1157" s="12">
        <v>124</v>
      </c>
      <c r="B1157">
        <v>47</v>
      </c>
      <c r="C1157">
        <f t="shared" si="155"/>
        <v>12447</v>
      </c>
      <c r="D1157" s="3" t="s">
        <v>86</v>
      </c>
      <c r="E1157" s="11">
        <f t="shared" si="160"/>
        <v>60.782705555555552</v>
      </c>
      <c r="F1157" s="11">
        <f t="shared" si="161"/>
        <v>2.8978583333333332</v>
      </c>
      <c r="G1157" s="12" t="s">
        <v>144</v>
      </c>
      <c r="H1157" s="12" t="s">
        <v>47</v>
      </c>
      <c r="I1157">
        <v>2006</v>
      </c>
      <c r="J1157" s="12" t="s">
        <v>163</v>
      </c>
      <c r="K1157" s="2">
        <v>0</v>
      </c>
      <c r="L1157" s="2"/>
      <c r="M1157" s="33">
        <v>1.060522094</v>
      </c>
      <c r="N1157" s="33">
        <v>1.1056264469999999</v>
      </c>
      <c r="O1157" s="8"/>
      <c r="P1157" s="1"/>
      <c r="Q1157" s="1"/>
      <c r="R1157" s="1"/>
      <c r="S1157" s="3"/>
      <c r="T1157" s="3"/>
      <c r="U1157" s="3"/>
      <c r="V1157" s="3"/>
      <c r="W1157" s="3"/>
      <c r="X1157" s="3"/>
      <c r="Y1157" s="3"/>
      <c r="Z1157" s="27" t="s">
        <v>247</v>
      </c>
      <c r="AA1157" t="s">
        <v>225</v>
      </c>
    </row>
    <row r="1158" spans="1:27" x14ac:dyDescent="0.25">
      <c r="A1158" s="12">
        <v>124</v>
      </c>
      <c r="B1158">
        <v>47</v>
      </c>
      <c r="C1158">
        <f t="shared" si="155"/>
        <v>12447</v>
      </c>
      <c r="D1158" s="3" t="s">
        <v>86</v>
      </c>
      <c r="E1158" s="11">
        <f t="shared" si="160"/>
        <v>60.782705555555552</v>
      </c>
      <c r="F1158" s="11">
        <f t="shared" si="161"/>
        <v>2.8978583333333332</v>
      </c>
      <c r="G1158" s="12" t="s">
        <v>144</v>
      </c>
      <c r="H1158" s="12" t="s">
        <v>47</v>
      </c>
      <c r="I1158">
        <v>2007</v>
      </c>
      <c r="J1158" s="12" t="s">
        <v>163</v>
      </c>
      <c r="K1158" s="2">
        <v>0</v>
      </c>
      <c r="L1158" s="2"/>
      <c r="M1158" s="33">
        <v>1.08666</v>
      </c>
      <c r="N1158" s="33">
        <v>1.1274299999999999</v>
      </c>
      <c r="O1158" s="8"/>
      <c r="P1158" s="1"/>
      <c r="Q1158" s="1"/>
      <c r="R1158" s="1"/>
      <c r="S1158" s="3"/>
      <c r="T1158" s="3"/>
      <c r="U1158" s="3"/>
      <c r="V1158" s="3"/>
      <c r="W1158" s="3"/>
      <c r="X1158" s="3"/>
      <c r="Y1158" s="3"/>
      <c r="Z1158" s="27" t="s">
        <v>247</v>
      </c>
      <c r="AA1158" t="s">
        <v>225</v>
      </c>
    </row>
    <row r="1159" spans="1:27" x14ac:dyDescent="0.25">
      <c r="A1159" s="12">
        <v>124</v>
      </c>
      <c r="B1159">
        <v>47</v>
      </c>
      <c r="C1159">
        <f t="shared" si="155"/>
        <v>12447</v>
      </c>
      <c r="D1159" s="3" t="s">
        <v>86</v>
      </c>
      <c r="E1159" s="11">
        <f t="shared" si="160"/>
        <v>60.782705555555552</v>
      </c>
      <c r="F1159" s="11">
        <f t="shared" si="161"/>
        <v>2.8978583333333332</v>
      </c>
      <c r="G1159" s="12" t="s">
        <v>144</v>
      </c>
      <c r="H1159" s="12" t="s">
        <v>47</v>
      </c>
      <c r="I1159">
        <v>2008</v>
      </c>
      <c r="J1159" s="12" t="s">
        <v>163</v>
      </c>
      <c r="K1159" s="2">
        <v>0</v>
      </c>
      <c r="L1159" s="2"/>
      <c r="M1159" s="33">
        <v>0.56489011200000006</v>
      </c>
      <c r="N1159" s="33">
        <v>1.004151274</v>
      </c>
      <c r="O1159" s="8"/>
      <c r="P1159" s="1"/>
      <c r="Q1159" s="1"/>
      <c r="R1159" s="1"/>
      <c r="S1159" s="3"/>
      <c r="T1159" s="3"/>
      <c r="U1159" s="3"/>
      <c r="V1159" s="3"/>
      <c r="W1159" s="3"/>
      <c r="X1159" s="3"/>
      <c r="Y1159" s="3"/>
      <c r="Z1159" s="27" t="s">
        <v>247</v>
      </c>
      <c r="AA1159" t="s">
        <v>225</v>
      </c>
    </row>
    <row r="1160" spans="1:27" x14ac:dyDescent="0.25">
      <c r="A1160" s="12">
        <v>124</v>
      </c>
      <c r="B1160">
        <v>47</v>
      </c>
      <c r="C1160">
        <f t="shared" si="155"/>
        <v>12447</v>
      </c>
      <c r="D1160" s="3" t="s">
        <v>86</v>
      </c>
      <c r="E1160" s="11">
        <f t="shared" si="160"/>
        <v>60.782705555555552</v>
      </c>
      <c r="F1160" s="11">
        <f t="shared" si="161"/>
        <v>2.8978583333333332</v>
      </c>
      <c r="G1160" s="12" t="s">
        <v>144</v>
      </c>
      <c r="H1160" s="12" t="s">
        <v>47</v>
      </c>
      <c r="I1160">
        <v>2009</v>
      </c>
      <c r="J1160" s="12" t="s">
        <v>163</v>
      </c>
      <c r="K1160" s="2">
        <v>0</v>
      </c>
      <c r="L1160" s="2"/>
      <c r="M1160" s="33">
        <v>0.75423173600000004</v>
      </c>
      <c r="N1160" s="33">
        <v>1.193702518</v>
      </c>
      <c r="O1160" s="8"/>
      <c r="P1160" s="1"/>
      <c r="Q1160" s="1"/>
      <c r="R1160" s="1"/>
      <c r="S1160" s="3"/>
      <c r="T1160" s="3"/>
      <c r="U1160" s="3"/>
      <c r="V1160" s="3"/>
      <c r="W1160" s="3"/>
      <c r="X1160" s="3"/>
      <c r="Y1160" s="3"/>
      <c r="Z1160" s="27" t="s">
        <v>247</v>
      </c>
      <c r="AA1160" t="s">
        <v>225</v>
      </c>
    </row>
    <row r="1161" spans="1:27" x14ac:dyDescent="0.25">
      <c r="A1161" s="12">
        <v>124</v>
      </c>
      <c r="B1161">
        <v>47</v>
      </c>
      <c r="C1161">
        <f t="shared" si="155"/>
        <v>12447</v>
      </c>
      <c r="D1161" s="3" t="s">
        <v>86</v>
      </c>
      <c r="E1161" s="11">
        <f t="shared" si="160"/>
        <v>60.782705555555552</v>
      </c>
      <c r="F1161" s="11">
        <f t="shared" si="161"/>
        <v>2.8978583333333332</v>
      </c>
      <c r="G1161" s="12" t="s">
        <v>144</v>
      </c>
      <c r="H1161" s="12" t="s">
        <v>47</v>
      </c>
      <c r="I1161">
        <v>2010</v>
      </c>
      <c r="J1161" s="12" t="s">
        <v>163</v>
      </c>
      <c r="K1161" s="2">
        <v>0</v>
      </c>
      <c r="L1161" s="2"/>
      <c r="M1161" s="33">
        <v>0.83992770400000005</v>
      </c>
      <c r="N1161" s="33">
        <v>1.1300672190000001</v>
      </c>
      <c r="O1161" s="8"/>
      <c r="P1161" s="1"/>
      <c r="Q1161" s="1"/>
      <c r="R1161" s="1"/>
      <c r="S1161" s="3"/>
      <c r="T1161" s="3"/>
      <c r="U1161" s="3"/>
      <c r="V1161" s="3"/>
      <c r="W1161" s="3"/>
      <c r="X1161" s="3"/>
      <c r="Y1161" s="3"/>
      <c r="Z1161" s="27" t="s">
        <v>247</v>
      </c>
      <c r="AA1161" t="s">
        <v>225</v>
      </c>
    </row>
    <row r="1162" spans="1:27" x14ac:dyDescent="0.25">
      <c r="A1162" s="12">
        <v>124</v>
      </c>
      <c r="B1162">
        <v>47</v>
      </c>
      <c r="C1162">
        <f t="shared" si="155"/>
        <v>12447</v>
      </c>
      <c r="D1162" s="3" t="s">
        <v>86</v>
      </c>
      <c r="E1162" s="11">
        <f t="shared" si="160"/>
        <v>60.782705555555552</v>
      </c>
      <c r="F1162" s="11">
        <f t="shared" si="161"/>
        <v>2.8978583333333332</v>
      </c>
      <c r="G1162" s="12" t="s">
        <v>144</v>
      </c>
      <c r="H1162" s="12" t="s">
        <v>47</v>
      </c>
      <c r="I1162">
        <v>2011</v>
      </c>
      <c r="J1162" s="12" t="s">
        <v>163</v>
      </c>
      <c r="K1162" s="2">
        <v>0</v>
      </c>
      <c r="L1162" s="2"/>
      <c r="M1162" s="33">
        <v>0.58714342100000005</v>
      </c>
      <c r="N1162" s="33">
        <v>0.97319769300000003</v>
      </c>
      <c r="O1162" s="8"/>
      <c r="P1162" s="1"/>
      <c r="Q1162" s="1"/>
      <c r="R1162" s="1"/>
      <c r="S1162" s="3"/>
      <c r="T1162" s="3"/>
      <c r="U1162" s="3"/>
      <c r="V1162" s="3"/>
      <c r="W1162" s="3"/>
      <c r="X1162" s="3"/>
      <c r="Y1162" s="3"/>
      <c r="Z1162" s="27" t="s">
        <v>247</v>
      </c>
      <c r="AA1162" t="s">
        <v>225</v>
      </c>
    </row>
    <row r="1163" spans="1:27" x14ac:dyDescent="0.25">
      <c r="A1163" s="12">
        <v>124</v>
      </c>
      <c r="B1163">
        <v>47</v>
      </c>
      <c r="C1163">
        <f t="shared" si="155"/>
        <v>12447</v>
      </c>
      <c r="D1163" s="3" t="s">
        <v>86</v>
      </c>
      <c r="E1163" s="11">
        <f t="shared" si="160"/>
        <v>60.782705555555552</v>
      </c>
      <c r="F1163" s="11">
        <f t="shared" si="161"/>
        <v>2.8978583333333332</v>
      </c>
      <c r="G1163" s="12" t="s">
        <v>144</v>
      </c>
      <c r="H1163" s="12" t="s">
        <v>47</v>
      </c>
      <c r="I1163">
        <v>2012</v>
      </c>
      <c r="J1163" s="12" t="s">
        <v>163</v>
      </c>
      <c r="K1163" s="2">
        <v>0</v>
      </c>
      <c r="L1163" s="2"/>
      <c r="M1163" s="33">
        <v>0.66469833333333295</v>
      </c>
      <c r="N1163" s="33">
        <v>0.99184499999999998</v>
      </c>
      <c r="O1163" s="8"/>
      <c r="P1163" s="1"/>
      <c r="Q1163" s="1"/>
      <c r="R1163" s="1"/>
      <c r="S1163" s="3"/>
      <c r="T1163" s="3"/>
      <c r="U1163" s="3"/>
      <c r="V1163" s="3"/>
      <c r="W1163" s="3"/>
      <c r="X1163" s="3"/>
      <c r="Y1163" s="3"/>
      <c r="Z1163" s="27" t="s">
        <v>247</v>
      </c>
      <c r="AA1163" t="s">
        <v>225</v>
      </c>
    </row>
    <row r="1164" spans="1:27" x14ac:dyDescent="0.25">
      <c r="A1164" s="12">
        <v>124</v>
      </c>
      <c r="B1164">
        <v>47</v>
      </c>
      <c r="C1164">
        <f t="shared" si="155"/>
        <v>12447</v>
      </c>
      <c r="D1164" s="3" t="s">
        <v>86</v>
      </c>
      <c r="E1164" s="11">
        <f t="shared" si="160"/>
        <v>60.782705555555552</v>
      </c>
      <c r="F1164" s="11">
        <f t="shared" si="161"/>
        <v>2.8978583333333332</v>
      </c>
      <c r="G1164" s="12" t="s">
        <v>144</v>
      </c>
      <c r="H1164" s="12" t="s">
        <v>47</v>
      </c>
      <c r="I1164">
        <v>2013</v>
      </c>
      <c r="J1164" s="12" t="s">
        <v>163</v>
      </c>
      <c r="K1164" s="2">
        <v>0</v>
      </c>
      <c r="L1164" s="2"/>
      <c r="M1164" s="33">
        <v>0.548588928452167</v>
      </c>
      <c r="N1164" s="33">
        <v>1.00924079346058</v>
      </c>
      <c r="O1164" s="8"/>
      <c r="P1164" s="1"/>
      <c r="Q1164" s="1"/>
      <c r="R1164" s="1"/>
      <c r="S1164" s="3"/>
      <c r="T1164" s="3"/>
      <c r="U1164" s="3"/>
      <c r="V1164" s="3"/>
      <c r="W1164" s="3"/>
      <c r="X1164" s="3"/>
      <c r="Y1164" s="3"/>
      <c r="Z1164" s="27" t="s">
        <v>247</v>
      </c>
      <c r="AA1164" t="s">
        <v>225</v>
      </c>
    </row>
    <row r="1165" spans="1:27" x14ac:dyDescent="0.25">
      <c r="A1165" s="12">
        <v>124</v>
      </c>
      <c r="B1165">
        <v>47</v>
      </c>
      <c r="C1165">
        <f t="shared" si="155"/>
        <v>12447</v>
      </c>
      <c r="D1165" s="3" t="s">
        <v>86</v>
      </c>
      <c r="E1165" s="11">
        <f t="shared" si="160"/>
        <v>60.782705555555552</v>
      </c>
      <c r="F1165" s="11">
        <f t="shared" si="161"/>
        <v>2.8978583333333332</v>
      </c>
      <c r="G1165" s="12" t="s">
        <v>144</v>
      </c>
      <c r="H1165" s="12" t="s">
        <v>47</v>
      </c>
      <c r="I1165">
        <v>2014</v>
      </c>
      <c r="J1165" s="12" t="s">
        <v>163</v>
      </c>
      <c r="K1165" s="2">
        <v>0</v>
      </c>
      <c r="L1165" s="2"/>
      <c r="M1165" s="33">
        <v>0.337651706831333</v>
      </c>
      <c r="N1165" s="33">
        <v>0.72583312333450001</v>
      </c>
      <c r="O1165" s="8"/>
      <c r="P1165" s="1"/>
      <c r="Q1165" s="1"/>
      <c r="R1165" s="1"/>
      <c r="S1165" s="3"/>
      <c r="T1165" s="3"/>
      <c r="U1165" s="3"/>
      <c r="V1165" s="3"/>
      <c r="W1165" s="3"/>
      <c r="X1165" s="3"/>
      <c r="Y1165" s="3"/>
      <c r="Z1165" s="27" t="s">
        <v>247</v>
      </c>
      <c r="AA1165" t="s">
        <v>225</v>
      </c>
    </row>
    <row r="1166" spans="1:27" x14ac:dyDescent="0.25">
      <c r="A1166" s="12">
        <v>124</v>
      </c>
      <c r="B1166">
        <v>47</v>
      </c>
      <c r="C1166">
        <f t="shared" si="155"/>
        <v>12447</v>
      </c>
      <c r="D1166" s="3" t="s">
        <v>86</v>
      </c>
      <c r="E1166" s="11">
        <f t="shared" si="160"/>
        <v>60.782705555555552</v>
      </c>
      <c r="F1166" s="11">
        <f t="shared" si="161"/>
        <v>2.8978583333333332</v>
      </c>
      <c r="G1166" s="12" t="s">
        <v>144</v>
      </c>
      <c r="H1166" s="12" t="s">
        <v>47</v>
      </c>
      <c r="I1166">
        <v>2015</v>
      </c>
      <c r="J1166" s="12" t="s">
        <v>163</v>
      </c>
      <c r="K1166" s="2">
        <v>0</v>
      </c>
      <c r="L1166" s="2"/>
      <c r="M1166" s="33">
        <v>0.39608333333333301</v>
      </c>
      <c r="N1166" s="33">
        <v>0.93183333333333296</v>
      </c>
      <c r="O1166" s="8"/>
      <c r="P1166" s="1"/>
      <c r="Q1166" s="1"/>
      <c r="R1166" s="1"/>
      <c r="S1166" s="3"/>
      <c r="T1166" s="3"/>
      <c r="U1166" s="3"/>
      <c r="V1166" s="3"/>
      <c r="W1166" s="3"/>
      <c r="X1166" s="3"/>
      <c r="Y1166" s="3"/>
      <c r="Z1166" s="27" t="s">
        <v>247</v>
      </c>
      <c r="AA1166" t="s">
        <v>225</v>
      </c>
    </row>
    <row r="1167" spans="1:27" x14ac:dyDescent="0.25">
      <c r="A1167" s="12">
        <v>124</v>
      </c>
      <c r="B1167">
        <v>47</v>
      </c>
      <c r="C1167">
        <f t="shared" si="155"/>
        <v>12447</v>
      </c>
      <c r="D1167" s="3" t="s">
        <v>86</v>
      </c>
      <c r="E1167" s="11">
        <f t="shared" si="160"/>
        <v>60.782705555555552</v>
      </c>
      <c r="F1167" s="11">
        <f t="shared" si="161"/>
        <v>2.8978583333333332</v>
      </c>
      <c r="G1167" s="12" t="s">
        <v>144</v>
      </c>
      <c r="H1167" s="12" t="s">
        <v>47</v>
      </c>
      <c r="I1167">
        <v>2016</v>
      </c>
      <c r="J1167" s="12" t="s">
        <v>163</v>
      </c>
      <c r="K1167" s="2">
        <v>0</v>
      </c>
      <c r="L1167" s="2"/>
      <c r="M1167" s="33">
        <v>0.34499999999999997</v>
      </c>
      <c r="N1167" s="33">
        <v>1.00275</v>
      </c>
      <c r="O1167" s="8"/>
      <c r="P1167" s="1"/>
      <c r="Q1167" s="1"/>
      <c r="R1167" s="1"/>
      <c r="S1167" s="3"/>
      <c r="T1167" s="3"/>
      <c r="U1167" s="3"/>
      <c r="V1167" s="3"/>
      <c r="W1167" s="3"/>
      <c r="X1167" s="3"/>
      <c r="Y1167" s="3"/>
      <c r="Z1167" s="27" t="s">
        <v>247</v>
      </c>
      <c r="AA1167" t="s">
        <v>225</v>
      </c>
    </row>
    <row r="1168" spans="1:27" x14ac:dyDescent="0.25">
      <c r="A1168" s="12">
        <v>124</v>
      </c>
      <c r="B1168">
        <v>47</v>
      </c>
      <c r="C1168">
        <f t="shared" si="155"/>
        <v>12447</v>
      </c>
      <c r="D1168" s="3" t="s">
        <v>86</v>
      </c>
      <c r="E1168" s="11">
        <f t="shared" si="160"/>
        <v>60.782705555555552</v>
      </c>
      <c r="F1168" s="11">
        <f t="shared" si="161"/>
        <v>2.8978583333333332</v>
      </c>
      <c r="G1168" s="12" t="s">
        <v>144</v>
      </c>
      <c r="H1168" s="12" t="s">
        <v>47</v>
      </c>
      <c r="I1168">
        <v>2017</v>
      </c>
      <c r="J1168" s="12" t="s">
        <v>163</v>
      </c>
      <c r="K1168" s="2">
        <v>0</v>
      </c>
      <c r="L1168" s="2"/>
      <c r="M1168" s="33">
        <v>0.13250000000000001</v>
      </c>
      <c r="N1168" s="33">
        <v>0.42299999999999999</v>
      </c>
      <c r="O1168" s="8"/>
      <c r="P1168" s="1"/>
      <c r="Q1168" s="1"/>
      <c r="R1168" s="1"/>
      <c r="S1168" s="3"/>
      <c r="T1168" s="3"/>
      <c r="U1168" s="3"/>
      <c r="V1168" s="3"/>
      <c r="W1168" s="3"/>
      <c r="X1168" s="3"/>
      <c r="Y1168" s="3"/>
      <c r="Z1168" s="27" t="s">
        <v>247</v>
      </c>
      <c r="AA1168" t="s">
        <v>225</v>
      </c>
    </row>
    <row r="1169" spans="1:27" x14ac:dyDescent="0.25">
      <c r="A1169" s="12">
        <v>124</v>
      </c>
      <c r="B1169">
        <v>47</v>
      </c>
      <c r="C1169">
        <f t="shared" si="155"/>
        <v>12447</v>
      </c>
      <c r="D1169" s="3" t="s">
        <v>86</v>
      </c>
      <c r="E1169" s="11">
        <f t="shared" si="160"/>
        <v>60.782705555555552</v>
      </c>
      <c r="F1169" s="11">
        <f t="shared" si="161"/>
        <v>2.8978583333333332</v>
      </c>
      <c r="G1169" s="12" t="s">
        <v>144</v>
      </c>
      <c r="H1169" s="12" t="s">
        <v>47</v>
      </c>
      <c r="I1169">
        <v>2018</v>
      </c>
      <c r="J1169" s="12" t="s">
        <v>163</v>
      </c>
      <c r="K1169" s="2">
        <v>0</v>
      </c>
      <c r="L1169" s="2"/>
      <c r="M1169" s="33">
        <v>0.66169999999999995</v>
      </c>
      <c r="N1169" s="33">
        <v>1.3975</v>
      </c>
      <c r="O1169" s="8"/>
      <c r="P1169" s="1"/>
      <c r="Q1169" s="1"/>
      <c r="R1169" s="1"/>
      <c r="S1169" s="3"/>
      <c r="T1169" s="3"/>
      <c r="U1169" s="3"/>
      <c r="V1169" s="3"/>
      <c r="W1169" s="3"/>
      <c r="X1169" s="3"/>
      <c r="Y1169" s="3"/>
      <c r="Z1169" s="27" t="s">
        <v>247</v>
      </c>
      <c r="AA1169" t="s">
        <v>225</v>
      </c>
    </row>
    <row r="1170" spans="1:27" x14ac:dyDescent="0.25">
      <c r="A1170" s="12">
        <v>124</v>
      </c>
      <c r="B1170">
        <v>47</v>
      </c>
      <c r="C1170">
        <f t="shared" si="155"/>
        <v>12447</v>
      </c>
      <c r="D1170" s="3" t="s">
        <v>86</v>
      </c>
      <c r="E1170" s="11">
        <f t="shared" si="160"/>
        <v>60.782705555555552</v>
      </c>
      <c r="F1170" s="11">
        <f t="shared" si="161"/>
        <v>2.8978583333333332</v>
      </c>
      <c r="G1170" s="12" t="s">
        <v>144</v>
      </c>
      <c r="H1170" s="12" t="s">
        <v>47</v>
      </c>
      <c r="I1170">
        <v>2019</v>
      </c>
      <c r="J1170" s="12" t="s">
        <v>163</v>
      </c>
      <c r="K1170" s="2">
        <v>0</v>
      </c>
      <c r="L1170" s="2"/>
      <c r="M1170" s="33">
        <v>0.47199999999999998</v>
      </c>
      <c r="N1170" s="33">
        <v>1.0375000000000001</v>
      </c>
      <c r="O1170" s="8"/>
      <c r="P1170" s="1"/>
      <c r="Q1170" s="1"/>
      <c r="R1170" s="1"/>
      <c r="S1170" s="3"/>
      <c r="T1170" s="3"/>
      <c r="U1170" s="3"/>
      <c r="V1170" s="3"/>
      <c r="W1170" s="3"/>
      <c r="X1170" s="3"/>
      <c r="Y1170" s="3"/>
      <c r="Z1170" s="27" t="s">
        <v>247</v>
      </c>
      <c r="AA1170" t="s">
        <v>225</v>
      </c>
    </row>
    <row r="1171" spans="1:27" x14ac:dyDescent="0.25">
      <c r="A1171" s="12">
        <v>124</v>
      </c>
      <c r="B1171">
        <v>47</v>
      </c>
      <c r="C1171">
        <f t="shared" si="155"/>
        <v>12447</v>
      </c>
      <c r="D1171" s="3" t="s">
        <v>86</v>
      </c>
      <c r="E1171" s="11">
        <f t="shared" si="160"/>
        <v>60.782705555555552</v>
      </c>
      <c r="F1171" s="11">
        <f t="shared" si="161"/>
        <v>2.8978583333333332</v>
      </c>
      <c r="G1171" s="12" t="s">
        <v>144</v>
      </c>
      <c r="H1171" s="12" t="s">
        <v>47</v>
      </c>
      <c r="I1171">
        <v>2020</v>
      </c>
      <c r="J1171" s="12" t="s">
        <v>163</v>
      </c>
      <c r="K1171" s="2">
        <v>0</v>
      </c>
      <c r="L1171" s="2"/>
      <c r="M1171" s="33">
        <v>1.07125</v>
      </c>
      <c r="N1171" s="33">
        <v>2.05925</v>
      </c>
      <c r="O1171" s="8"/>
      <c r="P1171" s="1"/>
      <c r="Q1171" s="1"/>
      <c r="R1171" s="1"/>
      <c r="S1171" s="3"/>
      <c r="T1171" s="3"/>
      <c r="U1171" s="3"/>
      <c r="V1171" s="3"/>
      <c r="W1171" s="3"/>
      <c r="X1171" s="3"/>
      <c r="Y1171" s="3"/>
      <c r="Z1171" s="27" t="s">
        <v>247</v>
      </c>
      <c r="AA1171" t="s">
        <v>225</v>
      </c>
    </row>
    <row r="1172" spans="1:27" x14ac:dyDescent="0.25">
      <c r="A1172" s="12">
        <v>124</v>
      </c>
      <c r="B1172">
        <v>47</v>
      </c>
      <c r="C1172">
        <f t="shared" si="155"/>
        <v>12447</v>
      </c>
      <c r="D1172" s="3" t="s">
        <v>86</v>
      </c>
      <c r="E1172" s="11">
        <f t="shared" si="160"/>
        <v>60.782705555555552</v>
      </c>
      <c r="F1172" s="11">
        <f t="shared" si="161"/>
        <v>2.8978583333333332</v>
      </c>
      <c r="G1172" s="12" t="s">
        <v>144</v>
      </c>
      <c r="H1172" s="12" t="s">
        <v>47</v>
      </c>
      <c r="I1172">
        <v>2021</v>
      </c>
      <c r="J1172" s="12" t="s">
        <v>163</v>
      </c>
      <c r="K1172" s="2">
        <v>0</v>
      </c>
      <c r="L1172" s="2"/>
      <c r="M1172" s="33">
        <v>1.8342499999999999</v>
      </c>
      <c r="N1172" s="33">
        <v>3.1637499999999998</v>
      </c>
      <c r="O1172" s="8"/>
      <c r="P1172" s="1"/>
      <c r="Q1172" s="1"/>
      <c r="R1172" s="1"/>
      <c r="S1172" s="3"/>
      <c r="T1172" s="3"/>
      <c r="U1172" s="3"/>
      <c r="V1172" s="3"/>
      <c r="W1172" s="3"/>
      <c r="X1172" s="3"/>
      <c r="Y1172" s="3"/>
      <c r="Z1172" s="27" t="s">
        <v>247</v>
      </c>
      <c r="AA1172" t="s">
        <v>225</v>
      </c>
    </row>
    <row r="1173" spans="1:27" x14ac:dyDescent="0.25">
      <c r="A1173" s="12">
        <v>124</v>
      </c>
      <c r="B1173">
        <v>48</v>
      </c>
      <c r="C1173">
        <f t="shared" si="155"/>
        <v>12448</v>
      </c>
      <c r="D1173" s="3" t="s">
        <v>86</v>
      </c>
      <c r="E1173" s="11">
        <f>61+22/60+49.55/3600</f>
        <v>61.380430555555556</v>
      </c>
      <c r="F1173" s="11">
        <f>2+6/60+12.21/3600</f>
        <v>2.1033916666666665</v>
      </c>
      <c r="G1173" s="12" t="s">
        <v>144</v>
      </c>
      <c r="H1173" s="12" t="s">
        <v>47</v>
      </c>
      <c r="I1173">
        <v>2003</v>
      </c>
      <c r="J1173" s="12" t="s">
        <v>163</v>
      </c>
      <c r="K1173" s="2">
        <v>0</v>
      </c>
      <c r="L1173" s="2"/>
      <c r="M1173" s="33">
        <v>8.8000000000000007</v>
      </c>
      <c r="N1173" s="33"/>
      <c r="O1173" s="8"/>
      <c r="P1173" s="1"/>
      <c r="Q1173" s="1"/>
      <c r="R1173" s="1"/>
      <c r="S1173" s="3"/>
      <c r="T1173" s="3"/>
      <c r="U1173" s="3"/>
      <c r="V1173" s="3"/>
      <c r="W1173" s="3"/>
      <c r="X1173" s="3"/>
      <c r="Y1173" s="3"/>
      <c r="Z1173" s="27" t="s">
        <v>247</v>
      </c>
      <c r="AA1173" t="s">
        <v>232</v>
      </c>
    </row>
    <row r="1174" spans="1:27" x14ac:dyDescent="0.25">
      <c r="A1174" s="12">
        <v>124</v>
      </c>
      <c r="B1174">
        <v>48</v>
      </c>
      <c r="C1174">
        <f t="shared" si="155"/>
        <v>12448</v>
      </c>
      <c r="D1174" s="3" t="s">
        <v>86</v>
      </c>
      <c r="E1174" s="11">
        <f>61+22/60+49.55/3600</f>
        <v>61.380430555555556</v>
      </c>
      <c r="F1174" s="11">
        <f>2+6/60+12.21/3600</f>
        <v>2.1033916666666665</v>
      </c>
      <c r="G1174" s="12" t="s">
        <v>144</v>
      </c>
      <c r="H1174" s="12" t="s">
        <v>47</v>
      </c>
      <c r="I1174">
        <v>2004</v>
      </c>
      <c r="J1174" s="12" t="s">
        <v>163</v>
      </c>
      <c r="K1174" s="2">
        <v>0</v>
      </c>
      <c r="L1174" s="2"/>
      <c r="M1174" s="33">
        <v>8.8000000000000007</v>
      </c>
      <c r="N1174" s="33"/>
      <c r="O1174" s="8"/>
      <c r="P1174" s="1"/>
      <c r="Q1174" s="1"/>
      <c r="R1174" s="1"/>
      <c r="S1174" s="3"/>
      <c r="T1174" s="3"/>
      <c r="U1174" s="3"/>
      <c r="V1174" s="3"/>
      <c r="W1174" s="3"/>
      <c r="X1174" s="3"/>
      <c r="Y1174" s="3"/>
      <c r="Z1174" s="27" t="s">
        <v>247</v>
      </c>
      <c r="AA1174" t="s">
        <v>232</v>
      </c>
    </row>
    <row r="1175" spans="1:27" x14ac:dyDescent="0.25">
      <c r="A1175" s="12">
        <v>124</v>
      </c>
      <c r="B1175">
        <v>49</v>
      </c>
      <c r="C1175">
        <f t="shared" si="155"/>
        <v>12449</v>
      </c>
      <c r="D1175" s="3" t="s">
        <v>86</v>
      </c>
      <c r="E1175" s="11">
        <f>61+22/60+12.56/3600</f>
        <v>61.370155555555556</v>
      </c>
      <c r="F1175" s="11">
        <f>2+27/60+32.1/3600</f>
        <v>2.4589166666666666</v>
      </c>
      <c r="G1175" s="12" t="s">
        <v>144</v>
      </c>
      <c r="H1175" s="12" t="s">
        <v>47</v>
      </c>
      <c r="I1175">
        <v>2002</v>
      </c>
      <c r="J1175" s="12" t="s">
        <v>163</v>
      </c>
      <c r="K1175" s="2">
        <v>0</v>
      </c>
      <c r="L1175" s="2"/>
      <c r="M1175" s="33">
        <v>7.5</v>
      </c>
      <c r="N1175" s="33"/>
      <c r="O1175" s="8"/>
      <c r="P1175" s="1"/>
      <c r="Q1175" s="1"/>
      <c r="R1175" s="1"/>
      <c r="S1175" s="3"/>
      <c r="T1175" s="3"/>
      <c r="U1175" s="3"/>
      <c r="V1175" s="3"/>
      <c r="W1175" s="3"/>
      <c r="X1175" s="3"/>
      <c r="Y1175" s="3"/>
      <c r="Z1175" s="27" t="s">
        <v>247</v>
      </c>
      <c r="AA1175" t="s">
        <v>226</v>
      </c>
    </row>
    <row r="1176" spans="1:27" x14ac:dyDescent="0.25">
      <c r="A1176" s="12">
        <v>124</v>
      </c>
      <c r="B1176">
        <v>49</v>
      </c>
      <c r="C1176">
        <f t="shared" si="155"/>
        <v>12449</v>
      </c>
      <c r="D1176" s="3" t="s">
        <v>86</v>
      </c>
      <c r="E1176" s="11">
        <f t="shared" ref="E1176:E1194" si="162">61+22/60+12.56/3600</f>
        <v>61.370155555555556</v>
      </c>
      <c r="F1176" s="11">
        <f t="shared" ref="F1176:F1194" si="163">2+27/60+32.1/3600</f>
        <v>2.4589166666666666</v>
      </c>
      <c r="G1176" s="12" t="s">
        <v>144</v>
      </c>
      <c r="H1176" s="12" t="s">
        <v>47</v>
      </c>
      <c r="I1176">
        <v>2003</v>
      </c>
      <c r="J1176" s="12" t="s">
        <v>163</v>
      </c>
      <c r="K1176" s="2">
        <v>0</v>
      </c>
      <c r="L1176" s="2"/>
      <c r="M1176" s="33">
        <v>14</v>
      </c>
      <c r="N1176" s="33"/>
      <c r="O1176" s="8"/>
      <c r="P1176" s="1"/>
      <c r="Q1176" s="1"/>
      <c r="R1176" s="1"/>
      <c r="S1176" s="3"/>
      <c r="T1176" s="3"/>
      <c r="U1176" s="3"/>
      <c r="V1176" s="3"/>
      <c r="W1176" s="3"/>
      <c r="X1176" s="3"/>
      <c r="Y1176" s="3"/>
      <c r="Z1176" s="27" t="s">
        <v>247</v>
      </c>
      <c r="AA1176" t="s">
        <v>226</v>
      </c>
    </row>
    <row r="1177" spans="1:27" x14ac:dyDescent="0.25">
      <c r="A1177" s="12">
        <v>124</v>
      </c>
      <c r="B1177">
        <v>49</v>
      </c>
      <c r="C1177">
        <f t="shared" si="155"/>
        <v>12449</v>
      </c>
      <c r="D1177" s="3" t="s">
        <v>86</v>
      </c>
      <c r="E1177" s="11">
        <f t="shared" si="162"/>
        <v>61.370155555555556</v>
      </c>
      <c r="F1177" s="11">
        <f t="shared" si="163"/>
        <v>2.4589166666666666</v>
      </c>
      <c r="G1177" s="12" t="s">
        <v>144</v>
      </c>
      <c r="H1177" s="12" t="s">
        <v>47</v>
      </c>
      <c r="I1177">
        <v>2004</v>
      </c>
      <c r="J1177" s="12" t="s">
        <v>163</v>
      </c>
      <c r="K1177" s="2">
        <v>0</v>
      </c>
      <c r="L1177" s="2"/>
      <c r="M1177" s="33">
        <v>6.7</v>
      </c>
      <c r="N1177" s="33"/>
      <c r="O1177" s="8"/>
      <c r="P1177" s="1"/>
      <c r="Q1177" s="1"/>
      <c r="R1177" s="1"/>
      <c r="S1177" s="3"/>
      <c r="T1177" s="3"/>
      <c r="U1177" s="3"/>
      <c r="V1177" s="3"/>
      <c r="W1177" s="3"/>
      <c r="X1177" s="3"/>
      <c r="Y1177" s="3"/>
      <c r="Z1177" s="27" t="s">
        <v>247</v>
      </c>
      <c r="AA1177" t="s">
        <v>226</v>
      </c>
    </row>
    <row r="1178" spans="1:27" x14ac:dyDescent="0.25">
      <c r="A1178" s="12">
        <v>124</v>
      </c>
      <c r="B1178">
        <v>49</v>
      </c>
      <c r="C1178">
        <f t="shared" si="155"/>
        <v>12449</v>
      </c>
      <c r="D1178" s="3" t="s">
        <v>86</v>
      </c>
      <c r="E1178" s="11">
        <f t="shared" si="162"/>
        <v>61.370155555555556</v>
      </c>
      <c r="F1178" s="11">
        <f t="shared" si="163"/>
        <v>2.4589166666666666</v>
      </c>
      <c r="G1178" s="12" t="s">
        <v>144</v>
      </c>
      <c r="H1178" s="12" t="s">
        <v>47</v>
      </c>
      <c r="I1178">
        <v>2005</v>
      </c>
      <c r="J1178" s="12" t="s">
        <v>163</v>
      </c>
      <c r="K1178" s="2">
        <v>0</v>
      </c>
      <c r="L1178" s="2"/>
      <c r="M1178" s="33">
        <v>7</v>
      </c>
      <c r="N1178" s="33">
        <v>7.7</v>
      </c>
      <c r="O1178" s="8"/>
      <c r="P1178" s="1"/>
      <c r="Q1178" s="1"/>
      <c r="R1178" s="1"/>
      <c r="S1178" s="3"/>
      <c r="T1178" s="3"/>
      <c r="U1178" s="3"/>
      <c r="V1178" s="3"/>
      <c r="W1178" s="3"/>
      <c r="X1178" s="3"/>
      <c r="Y1178" s="3"/>
      <c r="Z1178" s="27" t="s">
        <v>247</v>
      </c>
      <c r="AA1178" t="s">
        <v>226</v>
      </c>
    </row>
    <row r="1179" spans="1:27" x14ac:dyDescent="0.25">
      <c r="A1179" s="12">
        <v>124</v>
      </c>
      <c r="B1179">
        <v>49</v>
      </c>
      <c r="C1179">
        <f t="shared" si="155"/>
        <v>12449</v>
      </c>
      <c r="D1179" s="3" t="s">
        <v>86</v>
      </c>
      <c r="E1179" s="11">
        <f t="shared" si="162"/>
        <v>61.370155555555556</v>
      </c>
      <c r="F1179" s="11">
        <f t="shared" si="163"/>
        <v>2.4589166666666666</v>
      </c>
      <c r="G1179" s="12" t="s">
        <v>144</v>
      </c>
      <c r="H1179" s="12" t="s">
        <v>47</v>
      </c>
      <c r="I1179">
        <v>2006</v>
      </c>
      <c r="J1179" s="12" t="s">
        <v>163</v>
      </c>
      <c r="K1179" s="2">
        <v>0</v>
      </c>
      <c r="L1179" s="2"/>
      <c r="M1179" s="33">
        <v>6.8016500000000004</v>
      </c>
      <c r="N1179" s="33">
        <v>6.96835</v>
      </c>
      <c r="O1179" s="8"/>
      <c r="P1179" s="1"/>
      <c r="Q1179" s="1"/>
      <c r="R1179" s="1"/>
      <c r="S1179" s="3"/>
      <c r="T1179" s="3"/>
      <c r="U1179" s="3"/>
      <c r="V1179" s="3"/>
      <c r="W1179" s="3"/>
      <c r="X1179" s="3"/>
      <c r="Y1179" s="3"/>
      <c r="Z1179" s="27" t="s">
        <v>247</v>
      </c>
      <c r="AA1179" t="s">
        <v>226</v>
      </c>
    </row>
    <row r="1180" spans="1:27" x14ac:dyDescent="0.25">
      <c r="A1180" s="12">
        <v>124</v>
      </c>
      <c r="B1180">
        <v>49</v>
      </c>
      <c r="C1180">
        <f t="shared" si="155"/>
        <v>12449</v>
      </c>
      <c r="D1180" s="3" t="s">
        <v>86</v>
      </c>
      <c r="E1180" s="11">
        <f t="shared" si="162"/>
        <v>61.370155555555556</v>
      </c>
      <c r="F1180" s="11">
        <f t="shared" si="163"/>
        <v>2.4589166666666666</v>
      </c>
      <c r="G1180" s="12" t="s">
        <v>144</v>
      </c>
      <c r="H1180" s="12" t="s">
        <v>47</v>
      </c>
      <c r="I1180">
        <v>2007</v>
      </c>
      <c r="J1180" s="12" t="s">
        <v>163</v>
      </c>
      <c r="K1180" s="2">
        <v>0</v>
      </c>
      <c r="L1180" s="2"/>
      <c r="M1180" s="33">
        <v>8.4573</v>
      </c>
      <c r="N1180" s="33">
        <v>7.7011599999999998</v>
      </c>
      <c r="O1180" s="8"/>
      <c r="P1180" s="1"/>
      <c r="Q1180" s="1"/>
      <c r="R1180" s="1"/>
      <c r="S1180" s="3"/>
      <c r="T1180" s="3"/>
      <c r="U1180" s="3"/>
      <c r="V1180" s="3"/>
      <c r="W1180" s="3"/>
      <c r="X1180" s="3"/>
      <c r="Y1180" s="3"/>
      <c r="Z1180" s="27" t="s">
        <v>247</v>
      </c>
      <c r="AA1180" t="s">
        <v>226</v>
      </c>
    </row>
    <row r="1181" spans="1:27" x14ac:dyDescent="0.25">
      <c r="A1181" s="12">
        <v>124</v>
      </c>
      <c r="B1181">
        <v>49</v>
      </c>
      <c r="C1181">
        <f t="shared" si="155"/>
        <v>12449</v>
      </c>
      <c r="D1181" s="3" t="s">
        <v>86</v>
      </c>
      <c r="E1181" s="11">
        <f t="shared" si="162"/>
        <v>61.370155555555556</v>
      </c>
      <c r="F1181" s="11">
        <f t="shared" si="163"/>
        <v>2.4589166666666666</v>
      </c>
      <c r="G1181" s="12" t="s">
        <v>144</v>
      </c>
      <c r="H1181" s="12" t="s">
        <v>47</v>
      </c>
      <c r="I1181">
        <v>2008</v>
      </c>
      <c r="J1181" s="12" t="s">
        <v>163</v>
      </c>
      <c r="K1181" s="2">
        <v>0</v>
      </c>
      <c r="L1181" s="2"/>
      <c r="M1181" s="33">
        <v>8.6</v>
      </c>
      <c r="N1181" s="33">
        <v>8.6</v>
      </c>
      <c r="O1181" s="8"/>
      <c r="P1181" s="1"/>
      <c r="Q1181" s="1"/>
      <c r="R1181" s="1"/>
      <c r="S1181" s="3"/>
      <c r="T1181" s="3"/>
      <c r="U1181" s="3"/>
      <c r="V1181" s="3"/>
      <c r="W1181" s="3"/>
      <c r="X1181" s="3"/>
      <c r="Y1181" s="3"/>
      <c r="Z1181" s="27" t="s">
        <v>247</v>
      </c>
      <c r="AA1181" t="s">
        <v>226</v>
      </c>
    </row>
    <row r="1182" spans="1:27" x14ac:dyDescent="0.25">
      <c r="A1182" s="12">
        <v>124</v>
      </c>
      <c r="B1182">
        <v>49</v>
      </c>
      <c r="C1182">
        <f t="shared" ref="C1182:C1202" si="164">A1182*100+B1182</f>
        <v>12449</v>
      </c>
      <c r="D1182" s="3" t="s">
        <v>86</v>
      </c>
      <c r="E1182" s="11">
        <f t="shared" si="162"/>
        <v>61.370155555555556</v>
      </c>
      <c r="F1182" s="11">
        <f t="shared" si="163"/>
        <v>2.4589166666666666</v>
      </c>
      <c r="G1182" s="12" t="s">
        <v>144</v>
      </c>
      <c r="H1182" s="12" t="s">
        <v>47</v>
      </c>
      <c r="I1182">
        <v>2009</v>
      </c>
      <c r="J1182" s="12" t="s">
        <v>163</v>
      </c>
      <c r="K1182" s="2">
        <v>0</v>
      </c>
      <c r="L1182" s="2"/>
      <c r="M1182" s="33">
        <v>6.8103889850000003</v>
      </c>
      <c r="N1182" s="33">
        <v>7.8133312699999999</v>
      </c>
      <c r="O1182" s="8"/>
      <c r="P1182" s="1"/>
      <c r="Q1182" s="1"/>
      <c r="R1182" s="1"/>
      <c r="S1182" s="3"/>
      <c r="T1182" s="3"/>
      <c r="U1182" s="3"/>
      <c r="V1182" s="3"/>
      <c r="W1182" s="3"/>
      <c r="X1182" s="3"/>
      <c r="Y1182" s="3"/>
      <c r="Z1182" s="27" t="s">
        <v>247</v>
      </c>
      <c r="AA1182" t="s">
        <v>226</v>
      </c>
    </row>
    <row r="1183" spans="1:27" x14ac:dyDescent="0.25">
      <c r="A1183" s="12">
        <v>124</v>
      </c>
      <c r="B1183">
        <v>49</v>
      </c>
      <c r="C1183">
        <f t="shared" si="164"/>
        <v>12449</v>
      </c>
      <c r="D1183" s="3" t="s">
        <v>86</v>
      </c>
      <c r="E1183" s="11">
        <f t="shared" si="162"/>
        <v>61.370155555555556</v>
      </c>
      <c r="F1183" s="11">
        <f t="shared" si="163"/>
        <v>2.4589166666666666</v>
      </c>
      <c r="G1183" s="12" t="s">
        <v>144</v>
      </c>
      <c r="H1183" s="12" t="s">
        <v>47</v>
      </c>
      <c r="I1183">
        <v>2010</v>
      </c>
      <c r="J1183" s="12" t="s">
        <v>163</v>
      </c>
      <c r="K1183" s="2">
        <v>0</v>
      </c>
      <c r="L1183" s="2"/>
      <c r="M1183" s="33">
        <v>3.1482716750000002</v>
      </c>
      <c r="N1183" s="33">
        <v>2.8698816119999999</v>
      </c>
      <c r="O1183" s="8"/>
      <c r="P1183" s="1"/>
      <c r="Q1183" s="1"/>
      <c r="R1183" s="1"/>
      <c r="S1183" s="3"/>
      <c r="T1183" s="3"/>
      <c r="U1183" s="3"/>
      <c r="V1183" s="3"/>
      <c r="W1183" s="3"/>
      <c r="X1183" s="3"/>
      <c r="Y1183" s="3"/>
      <c r="Z1183" s="27" t="s">
        <v>247</v>
      </c>
      <c r="AA1183" t="s">
        <v>226</v>
      </c>
    </row>
    <row r="1184" spans="1:27" x14ac:dyDescent="0.25">
      <c r="A1184" s="12">
        <v>124</v>
      </c>
      <c r="B1184">
        <v>49</v>
      </c>
      <c r="C1184">
        <f t="shared" si="164"/>
        <v>12449</v>
      </c>
      <c r="D1184" s="3" t="s">
        <v>86</v>
      </c>
      <c r="E1184" s="11">
        <f t="shared" si="162"/>
        <v>61.370155555555556</v>
      </c>
      <c r="F1184" s="11">
        <f t="shared" si="163"/>
        <v>2.4589166666666666</v>
      </c>
      <c r="G1184" s="12" t="s">
        <v>144</v>
      </c>
      <c r="H1184" s="12" t="s">
        <v>47</v>
      </c>
      <c r="I1184">
        <v>2011</v>
      </c>
      <c r="J1184" s="12" t="s">
        <v>163</v>
      </c>
      <c r="K1184" s="2">
        <v>0</v>
      </c>
      <c r="L1184" s="2"/>
      <c r="M1184" s="33">
        <v>7.791292952</v>
      </c>
      <c r="N1184" s="33">
        <v>8.3977076519999994</v>
      </c>
      <c r="O1184" s="8"/>
      <c r="P1184" s="1"/>
      <c r="Q1184" s="1"/>
      <c r="R1184" s="1"/>
      <c r="S1184" s="3"/>
      <c r="T1184" s="3"/>
      <c r="U1184" s="3"/>
      <c r="V1184" s="3"/>
      <c r="W1184" s="3"/>
      <c r="X1184" s="3"/>
      <c r="Y1184" s="3"/>
      <c r="Z1184" s="27" t="s">
        <v>247</v>
      </c>
      <c r="AA1184" t="s">
        <v>226</v>
      </c>
    </row>
    <row r="1185" spans="1:27" x14ac:dyDescent="0.25">
      <c r="A1185" s="12">
        <v>124</v>
      </c>
      <c r="B1185">
        <v>49</v>
      </c>
      <c r="C1185">
        <f t="shared" si="164"/>
        <v>12449</v>
      </c>
      <c r="D1185" s="3" t="s">
        <v>86</v>
      </c>
      <c r="E1185" s="11">
        <f t="shared" si="162"/>
        <v>61.370155555555556</v>
      </c>
      <c r="F1185" s="11">
        <f t="shared" si="163"/>
        <v>2.4589166666666666</v>
      </c>
      <c r="G1185" s="12" t="s">
        <v>144</v>
      </c>
      <c r="H1185" s="12" t="s">
        <v>47</v>
      </c>
      <c r="I1185">
        <v>2012</v>
      </c>
      <c r="J1185" s="12" t="s">
        <v>163</v>
      </c>
      <c r="K1185" s="2">
        <v>0</v>
      </c>
      <c r="L1185" s="2"/>
      <c r="M1185" s="33">
        <v>6.4376910000000001</v>
      </c>
      <c r="N1185" s="33">
        <v>6.85</v>
      </c>
      <c r="O1185" s="8"/>
      <c r="P1185" s="1"/>
      <c r="Q1185" s="1"/>
      <c r="R1185" s="1"/>
      <c r="S1185" s="3"/>
      <c r="T1185" s="3"/>
      <c r="U1185" s="3"/>
      <c r="V1185" s="3"/>
      <c r="W1185" s="3"/>
      <c r="X1185" s="3"/>
      <c r="Y1185" s="3"/>
      <c r="Z1185" s="27" t="s">
        <v>247</v>
      </c>
      <c r="AA1185" t="s">
        <v>226</v>
      </c>
    </row>
    <row r="1186" spans="1:27" x14ac:dyDescent="0.25">
      <c r="A1186" s="12">
        <v>124</v>
      </c>
      <c r="B1186">
        <v>49</v>
      </c>
      <c r="C1186">
        <f t="shared" si="164"/>
        <v>12449</v>
      </c>
      <c r="D1186" s="3" t="s">
        <v>86</v>
      </c>
      <c r="E1186" s="11">
        <f t="shared" si="162"/>
        <v>61.370155555555556</v>
      </c>
      <c r="F1186" s="11">
        <f t="shared" si="163"/>
        <v>2.4589166666666666</v>
      </c>
      <c r="G1186" s="12" t="s">
        <v>144</v>
      </c>
      <c r="H1186" s="12" t="s">
        <v>47</v>
      </c>
      <c r="I1186">
        <v>2013</v>
      </c>
      <c r="J1186" s="12" t="s">
        <v>163</v>
      </c>
      <c r="K1186" s="2">
        <v>0</v>
      </c>
      <c r="L1186" s="2"/>
      <c r="M1186" s="33">
        <v>6.4701769725290896</v>
      </c>
      <c r="N1186" s="33">
        <v>7.4139999999999997</v>
      </c>
      <c r="O1186" s="8"/>
      <c r="P1186" s="1"/>
      <c r="Q1186" s="1"/>
      <c r="R1186" s="1"/>
      <c r="S1186" s="3"/>
      <c r="T1186" s="3"/>
      <c r="U1186" s="3"/>
      <c r="V1186" s="3"/>
      <c r="W1186" s="3"/>
      <c r="X1186" s="3"/>
      <c r="Y1186" s="3"/>
      <c r="Z1186" s="27" t="s">
        <v>247</v>
      </c>
      <c r="AA1186" t="s">
        <v>226</v>
      </c>
    </row>
    <row r="1187" spans="1:27" x14ac:dyDescent="0.25">
      <c r="A1187" s="12">
        <v>124</v>
      </c>
      <c r="B1187">
        <v>49</v>
      </c>
      <c r="C1187">
        <f t="shared" si="164"/>
        <v>12449</v>
      </c>
      <c r="D1187" s="3" t="s">
        <v>86</v>
      </c>
      <c r="E1187" s="11">
        <f t="shared" si="162"/>
        <v>61.370155555555556</v>
      </c>
      <c r="F1187" s="11">
        <f t="shared" si="163"/>
        <v>2.4589166666666666</v>
      </c>
      <c r="G1187" s="12" t="s">
        <v>144</v>
      </c>
      <c r="H1187" s="12" t="s">
        <v>47</v>
      </c>
      <c r="I1187">
        <v>2014</v>
      </c>
      <c r="J1187" s="12" t="s">
        <v>163</v>
      </c>
      <c r="K1187" s="2">
        <v>0</v>
      </c>
      <c r="L1187" s="2"/>
      <c r="M1187" s="33">
        <v>4.3425000000000002</v>
      </c>
      <c r="N1187" s="33">
        <v>3.67</v>
      </c>
      <c r="O1187" s="8"/>
      <c r="P1187" s="1"/>
      <c r="Q1187" s="1"/>
      <c r="R1187" s="1"/>
      <c r="S1187" s="3"/>
      <c r="T1187" s="3"/>
      <c r="U1187" s="3"/>
      <c r="V1187" s="3"/>
      <c r="W1187" s="3"/>
      <c r="X1187" s="3"/>
      <c r="Y1187" s="3"/>
      <c r="Z1187" s="27" t="s">
        <v>247</v>
      </c>
      <c r="AA1187" t="s">
        <v>226</v>
      </c>
    </row>
    <row r="1188" spans="1:27" x14ac:dyDescent="0.25">
      <c r="A1188" s="12">
        <v>124</v>
      </c>
      <c r="B1188">
        <v>49</v>
      </c>
      <c r="C1188">
        <f t="shared" si="164"/>
        <v>12449</v>
      </c>
      <c r="D1188" s="3" t="s">
        <v>86</v>
      </c>
      <c r="E1188" s="11">
        <f t="shared" si="162"/>
        <v>61.370155555555556</v>
      </c>
      <c r="F1188" s="11">
        <f t="shared" si="163"/>
        <v>2.4589166666666666</v>
      </c>
      <c r="G1188" s="12" t="s">
        <v>144</v>
      </c>
      <c r="H1188" s="12" t="s">
        <v>47</v>
      </c>
      <c r="I1188">
        <v>2015</v>
      </c>
      <c r="J1188" s="12" t="s">
        <v>163</v>
      </c>
      <c r="K1188" s="2">
        <v>0</v>
      </c>
      <c r="L1188" s="2"/>
      <c r="M1188" s="33">
        <v>4.9024999999999999</v>
      </c>
      <c r="N1188" s="33">
        <v>4.5</v>
      </c>
      <c r="O1188" s="8"/>
      <c r="P1188" s="1"/>
      <c r="Q1188" s="1"/>
      <c r="R1188" s="1"/>
      <c r="S1188" s="3"/>
      <c r="T1188" s="3"/>
      <c r="U1188" s="3"/>
      <c r="V1188" s="3"/>
      <c r="W1188" s="3"/>
      <c r="X1188" s="3"/>
      <c r="Y1188" s="3"/>
      <c r="Z1188" s="27" t="s">
        <v>247</v>
      </c>
      <c r="AA1188" t="s">
        <v>226</v>
      </c>
    </row>
    <row r="1189" spans="1:27" x14ac:dyDescent="0.25">
      <c r="A1189" s="12">
        <v>124</v>
      </c>
      <c r="B1189">
        <v>49</v>
      </c>
      <c r="C1189">
        <f t="shared" si="164"/>
        <v>12449</v>
      </c>
      <c r="D1189" s="3" t="s">
        <v>86</v>
      </c>
      <c r="E1189" s="11">
        <f t="shared" si="162"/>
        <v>61.370155555555556</v>
      </c>
      <c r="F1189" s="11">
        <f t="shared" si="163"/>
        <v>2.4589166666666666</v>
      </c>
      <c r="G1189" s="12" t="s">
        <v>144</v>
      </c>
      <c r="H1189" s="12" t="s">
        <v>47</v>
      </c>
      <c r="I1189">
        <v>2016</v>
      </c>
      <c r="J1189" s="12" t="s">
        <v>163</v>
      </c>
      <c r="K1189" s="2">
        <v>0</v>
      </c>
      <c r="L1189" s="2"/>
      <c r="M1189" s="33">
        <v>5.99</v>
      </c>
      <c r="N1189" s="33">
        <v>5.0750000000000002</v>
      </c>
      <c r="O1189" s="8"/>
      <c r="P1189" s="1"/>
      <c r="Q1189" s="1"/>
      <c r="R1189" s="1"/>
      <c r="S1189" s="3"/>
      <c r="T1189" s="3"/>
      <c r="U1189" s="3"/>
      <c r="V1189" s="3"/>
      <c r="W1189" s="3"/>
      <c r="X1189" s="3"/>
      <c r="Y1189" s="3"/>
      <c r="Z1189" s="27" t="s">
        <v>247</v>
      </c>
      <c r="AA1189" t="s">
        <v>226</v>
      </c>
    </row>
    <row r="1190" spans="1:27" x14ac:dyDescent="0.25">
      <c r="A1190" s="12">
        <v>124</v>
      </c>
      <c r="B1190">
        <v>49</v>
      </c>
      <c r="C1190">
        <f t="shared" si="164"/>
        <v>12449</v>
      </c>
      <c r="D1190" s="3" t="s">
        <v>86</v>
      </c>
      <c r="E1190" s="11">
        <f t="shared" si="162"/>
        <v>61.370155555555556</v>
      </c>
      <c r="F1190" s="11">
        <f t="shared" si="163"/>
        <v>2.4589166666666666</v>
      </c>
      <c r="G1190" s="12" t="s">
        <v>144</v>
      </c>
      <c r="H1190" s="12" t="s">
        <v>47</v>
      </c>
      <c r="I1190">
        <v>2017</v>
      </c>
      <c r="J1190" s="12" t="s">
        <v>163</v>
      </c>
      <c r="K1190" s="2">
        <v>0</v>
      </c>
      <c r="L1190" s="2"/>
      <c r="M1190" s="33">
        <v>7.8449999999999998</v>
      </c>
      <c r="N1190" s="33">
        <v>6.875</v>
      </c>
      <c r="O1190" s="8"/>
      <c r="P1190" s="1"/>
      <c r="Q1190" s="1"/>
      <c r="R1190" s="1"/>
      <c r="S1190" s="3"/>
      <c r="T1190" s="3"/>
      <c r="U1190" s="3"/>
      <c r="V1190" s="3"/>
      <c r="W1190" s="3"/>
      <c r="X1190" s="3"/>
      <c r="Y1190" s="3"/>
      <c r="Z1190" s="27" t="s">
        <v>247</v>
      </c>
      <c r="AA1190" t="s">
        <v>226</v>
      </c>
    </row>
    <row r="1191" spans="1:27" x14ac:dyDescent="0.25">
      <c r="A1191" s="12">
        <v>124</v>
      </c>
      <c r="B1191">
        <v>49</v>
      </c>
      <c r="C1191">
        <f t="shared" si="164"/>
        <v>12449</v>
      </c>
      <c r="D1191" s="3" t="s">
        <v>86</v>
      </c>
      <c r="E1191" s="11">
        <f t="shared" si="162"/>
        <v>61.370155555555556</v>
      </c>
      <c r="F1191" s="11">
        <f t="shared" si="163"/>
        <v>2.4589166666666666</v>
      </c>
      <c r="G1191" s="12" t="s">
        <v>144</v>
      </c>
      <c r="H1191" s="12" t="s">
        <v>47</v>
      </c>
      <c r="I1191">
        <v>2018</v>
      </c>
      <c r="J1191" s="12" t="s">
        <v>163</v>
      </c>
      <c r="K1191" s="2">
        <v>0</v>
      </c>
      <c r="L1191" s="2"/>
      <c r="M1191" s="33">
        <v>5.6224999999999996</v>
      </c>
      <c r="N1191" s="33">
        <v>5.48</v>
      </c>
      <c r="O1191" s="8"/>
      <c r="P1191" s="1"/>
      <c r="Q1191" s="1"/>
      <c r="R1191" s="1"/>
      <c r="S1191" s="3"/>
      <c r="T1191" s="3"/>
      <c r="U1191" s="3"/>
      <c r="V1191" s="3"/>
      <c r="W1191" s="3"/>
      <c r="X1191" s="3"/>
      <c r="Y1191" s="3"/>
      <c r="Z1191" s="27" t="s">
        <v>247</v>
      </c>
      <c r="AA1191" t="s">
        <v>226</v>
      </c>
    </row>
    <row r="1192" spans="1:27" x14ac:dyDescent="0.25">
      <c r="A1192" s="12">
        <v>124</v>
      </c>
      <c r="B1192">
        <v>49</v>
      </c>
      <c r="C1192">
        <f t="shared" si="164"/>
        <v>12449</v>
      </c>
      <c r="D1192" s="3" t="s">
        <v>86</v>
      </c>
      <c r="E1192" s="11">
        <f t="shared" si="162"/>
        <v>61.370155555555556</v>
      </c>
      <c r="F1192" s="11">
        <f t="shared" si="163"/>
        <v>2.4589166666666666</v>
      </c>
      <c r="G1192" s="12" t="s">
        <v>144</v>
      </c>
      <c r="H1192" s="12" t="s">
        <v>47</v>
      </c>
      <c r="I1192">
        <v>2019</v>
      </c>
      <c r="J1192" s="12" t="s">
        <v>163</v>
      </c>
      <c r="K1192" s="2">
        <v>0</v>
      </c>
      <c r="L1192" s="2"/>
      <c r="M1192" s="33">
        <v>6.2474999999999996</v>
      </c>
      <c r="N1192" s="33">
        <v>6</v>
      </c>
      <c r="O1192" s="8"/>
      <c r="P1192" s="1"/>
      <c r="Q1192" s="1"/>
      <c r="R1192" s="1"/>
      <c r="S1192" s="3"/>
      <c r="T1192" s="3"/>
      <c r="U1192" s="3"/>
      <c r="V1192" s="3"/>
      <c r="W1192" s="3"/>
      <c r="X1192" s="3"/>
      <c r="Y1192" s="3"/>
      <c r="Z1192" s="27" t="s">
        <v>247</v>
      </c>
      <c r="AA1192" t="s">
        <v>226</v>
      </c>
    </row>
    <row r="1193" spans="1:27" x14ac:dyDescent="0.25">
      <c r="A1193" s="12">
        <v>124</v>
      </c>
      <c r="B1193">
        <v>49</v>
      </c>
      <c r="C1193">
        <f t="shared" si="164"/>
        <v>12449</v>
      </c>
      <c r="D1193" s="3" t="s">
        <v>86</v>
      </c>
      <c r="E1193" s="11">
        <f t="shared" si="162"/>
        <v>61.370155555555556</v>
      </c>
      <c r="F1193" s="11">
        <f t="shared" si="163"/>
        <v>2.4589166666666666</v>
      </c>
      <c r="G1193" s="12" t="s">
        <v>144</v>
      </c>
      <c r="H1193" s="12" t="s">
        <v>47</v>
      </c>
      <c r="I1193">
        <v>2020</v>
      </c>
      <c r="J1193" s="12" t="s">
        <v>163</v>
      </c>
      <c r="K1193" s="2">
        <v>0</v>
      </c>
      <c r="L1193" s="2"/>
      <c r="M1193" s="33">
        <v>7.7457500000000001</v>
      </c>
      <c r="N1193" s="33">
        <v>7.3192500000000003</v>
      </c>
      <c r="O1193" s="8"/>
      <c r="P1193" s="1"/>
      <c r="Q1193" s="1"/>
      <c r="R1193" s="1"/>
      <c r="S1193" s="3"/>
      <c r="T1193" s="3"/>
      <c r="U1193" s="3"/>
      <c r="V1193" s="3"/>
      <c r="W1193" s="3"/>
      <c r="X1193" s="3"/>
      <c r="Y1193" s="3"/>
      <c r="Z1193" s="27" t="s">
        <v>247</v>
      </c>
      <c r="AA1193" t="s">
        <v>226</v>
      </c>
    </row>
    <row r="1194" spans="1:27" x14ac:dyDescent="0.25">
      <c r="A1194" s="12">
        <v>124</v>
      </c>
      <c r="B1194">
        <v>49</v>
      </c>
      <c r="C1194">
        <f t="shared" si="164"/>
        <v>12449</v>
      </c>
      <c r="D1194" s="3" t="s">
        <v>86</v>
      </c>
      <c r="E1194" s="11">
        <f t="shared" si="162"/>
        <v>61.370155555555556</v>
      </c>
      <c r="F1194" s="11">
        <f t="shared" si="163"/>
        <v>2.4589166666666666</v>
      </c>
      <c r="G1194" s="12" t="s">
        <v>144</v>
      </c>
      <c r="H1194" s="12" t="s">
        <v>47</v>
      </c>
      <c r="I1194">
        <v>2021</v>
      </c>
      <c r="J1194" s="12" t="s">
        <v>163</v>
      </c>
      <c r="K1194" s="2">
        <v>0</v>
      </c>
      <c r="L1194" s="2"/>
      <c r="M1194" s="33">
        <v>9.3542500000000004</v>
      </c>
      <c r="N1194" s="33">
        <v>8.57</v>
      </c>
      <c r="O1194" s="8"/>
      <c r="P1194" s="1"/>
      <c r="Q1194" s="1"/>
      <c r="R1194" s="1"/>
      <c r="S1194" s="3"/>
      <c r="T1194" s="3"/>
      <c r="U1194" s="3"/>
      <c r="V1194" s="3"/>
      <c r="W1194" s="3"/>
      <c r="X1194" s="3"/>
      <c r="Y1194" s="3"/>
      <c r="Z1194" s="27" t="s">
        <v>247</v>
      </c>
      <c r="AA1194" t="s">
        <v>226</v>
      </c>
    </row>
    <row r="1195" spans="1:27" x14ac:dyDescent="0.25">
      <c r="A1195" s="12">
        <v>124</v>
      </c>
      <c r="B1195">
        <v>50</v>
      </c>
      <c r="C1195">
        <f t="shared" si="164"/>
        <v>12450</v>
      </c>
      <c r="D1195" s="3" t="s">
        <v>86</v>
      </c>
      <c r="E1195" s="11">
        <v>62</v>
      </c>
      <c r="F1195" s="11">
        <v>2.46</v>
      </c>
      <c r="G1195" s="12" t="s">
        <v>144</v>
      </c>
      <c r="H1195" s="12" t="s">
        <v>47</v>
      </c>
      <c r="I1195">
        <v>2009</v>
      </c>
      <c r="J1195" s="12" t="s">
        <v>163</v>
      </c>
      <c r="K1195" s="2">
        <v>0</v>
      </c>
      <c r="L1195" s="2"/>
      <c r="M1195" s="33">
        <v>0.80821898800000003</v>
      </c>
      <c r="N1195" s="33">
        <v>0.69790870900000002</v>
      </c>
      <c r="O1195" s="8"/>
      <c r="P1195" s="1"/>
      <c r="Q1195" s="1"/>
      <c r="R1195" s="1"/>
      <c r="S1195" s="3"/>
      <c r="T1195" s="3"/>
      <c r="U1195" s="3"/>
      <c r="V1195" s="3"/>
      <c r="W1195" s="3"/>
      <c r="X1195" s="3"/>
      <c r="Y1195" s="3"/>
      <c r="Z1195" s="27" t="s">
        <v>247</v>
      </c>
      <c r="AA1195" t="s">
        <v>235</v>
      </c>
    </row>
    <row r="1196" spans="1:27" x14ac:dyDescent="0.25">
      <c r="A1196" s="12">
        <v>124</v>
      </c>
      <c r="B1196">
        <v>50</v>
      </c>
      <c r="C1196">
        <f t="shared" si="164"/>
        <v>12450</v>
      </c>
      <c r="D1196" s="3" t="s">
        <v>86</v>
      </c>
      <c r="E1196" s="11">
        <v>62</v>
      </c>
      <c r="F1196" s="11">
        <v>2.46</v>
      </c>
      <c r="G1196" s="12" t="s">
        <v>144</v>
      </c>
      <c r="H1196" s="12" t="s">
        <v>47</v>
      </c>
      <c r="I1196">
        <v>2010</v>
      </c>
      <c r="J1196" s="12" t="s">
        <v>163</v>
      </c>
      <c r="K1196" s="2">
        <v>0</v>
      </c>
      <c r="L1196" s="2"/>
      <c r="M1196" s="33">
        <v>1.856774449</v>
      </c>
      <c r="N1196" s="33">
        <v>1.9481037940000001</v>
      </c>
      <c r="O1196" s="8"/>
      <c r="P1196" s="1"/>
      <c r="Q1196" s="1"/>
      <c r="R1196" s="1"/>
      <c r="S1196" s="3"/>
      <c r="T1196" s="3"/>
      <c r="U1196" s="3"/>
      <c r="V1196" s="3"/>
      <c r="W1196" s="3"/>
      <c r="X1196" s="3"/>
      <c r="Y1196" s="3"/>
      <c r="Z1196" s="27" t="s">
        <v>247</v>
      </c>
      <c r="AA1196" t="s">
        <v>235</v>
      </c>
    </row>
    <row r="1197" spans="1:27" x14ac:dyDescent="0.25">
      <c r="A1197" s="12">
        <v>124</v>
      </c>
      <c r="B1197">
        <v>50</v>
      </c>
      <c r="C1197">
        <f t="shared" si="164"/>
        <v>12450</v>
      </c>
      <c r="D1197" s="3" t="s">
        <v>86</v>
      </c>
      <c r="E1197" s="11">
        <v>62</v>
      </c>
      <c r="F1197" s="11">
        <v>2.46</v>
      </c>
      <c r="G1197" s="12" t="s">
        <v>144</v>
      </c>
      <c r="H1197" s="12" t="s">
        <v>47</v>
      </c>
      <c r="I1197">
        <v>2011</v>
      </c>
      <c r="J1197" s="12" t="s">
        <v>163</v>
      </c>
      <c r="K1197" s="2">
        <v>0</v>
      </c>
      <c r="L1197" s="2"/>
      <c r="M1197" s="33">
        <v>2.3217350065</v>
      </c>
      <c r="N1197" s="33">
        <v>2.6086196875000001</v>
      </c>
      <c r="O1197" s="8"/>
      <c r="P1197" s="1"/>
      <c r="Q1197" s="1"/>
      <c r="R1197" s="1"/>
      <c r="S1197" s="3"/>
      <c r="T1197" s="3"/>
      <c r="U1197" s="3"/>
      <c r="V1197" s="3"/>
      <c r="W1197" s="3"/>
      <c r="X1197" s="3"/>
      <c r="Y1197" s="3"/>
      <c r="Z1197" s="27" t="s">
        <v>247</v>
      </c>
      <c r="AA1197" t="s">
        <v>235</v>
      </c>
    </row>
    <row r="1198" spans="1:27" x14ac:dyDescent="0.25">
      <c r="A1198" s="12">
        <v>124</v>
      </c>
      <c r="B1198">
        <v>50</v>
      </c>
      <c r="C1198">
        <f t="shared" si="164"/>
        <v>12450</v>
      </c>
      <c r="D1198" s="3" t="s">
        <v>86</v>
      </c>
      <c r="E1198" s="11">
        <v>62</v>
      </c>
      <c r="F1198" s="11">
        <v>2.46</v>
      </c>
      <c r="G1198" s="12" t="s">
        <v>144</v>
      </c>
      <c r="H1198" s="12" t="s">
        <v>47</v>
      </c>
      <c r="I1198">
        <v>2012</v>
      </c>
      <c r="J1198" s="12" t="s">
        <v>163</v>
      </c>
      <c r="K1198" s="2">
        <v>0</v>
      </c>
      <c r="L1198" s="2"/>
      <c r="M1198" s="33">
        <v>2.9444444444444402</v>
      </c>
      <c r="N1198" s="33">
        <v>3.5755555555555598</v>
      </c>
      <c r="O1198" s="8"/>
      <c r="P1198" s="1"/>
      <c r="Q1198" s="1"/>
      <c r="R1198" s="1"/>
      <c r="S1198" s="3"/>
      <c r="T1198" s="3"/>
      <c r="U1198" s="3"/>
      <c r="V1198" s="3"/>
      <c r="W1198" s="3"/>
      <c r="X1198" s="3"/>
      <c r="Y1198" s="3"/>
      <c r="Z1198" s="27" t="s">
        <v>247</v>
      </c>
      <c r="AA1198" t="s">
        <v>235</v>
      </c>
    </row>
    <row r="1199" spans="1:27" x14ac:dyDescent="0.25">
      <c r="A1199" s="12">
        <v>124</v>
      </c>
      <c r="B1199">
        <v>50</v>
      </c>
      <c r="C1199">
        <f t="shared" si="164"/>
        <v>12450</v>
      </c>
      <c r="D1199" s="3" t="s">
        <v>86</v>
      </c>
      <c r="E1199" s="11">
        <v>62</v>
      </c>
      <c r="F1199" s="11">
        <v>2.46</v>
      </c>
      <c r="G1199" s="12" t="s">
        <v>144</v>
      </c>
      <c r="H1199" s="12" t="s">
        <v>47</v>
      </c>
      <c r="I1199">
        <v>2013</v>
      </c>
      <c r="J1199" s="12" t="s">
        <v>163</v>
      </c>
      <c r="K1199" s="2">
        <v>0</v>
      </c>
      <c r="L1199" s="2"/>
      <c r="M1199" s="33">
        <v>2.1788888888888902</v>
      </c>
      <c r="N1199" s="33">
        <v>2.778</v>
      </c>
      <c r="O1199" s="8"/>
      <c r="P1199" s="1"/>
      <c r="Q1199" s="1"/>
      <c r="R1199" s="1"/>
      <c r="S1199" s="3"/>
      <c r="T1199" s="3"/>
      <c r="U1199" s="3"/>
      <c r="V1199" s="3"/>
      <c r="W1199" s="3"/>
      <c r="X1199" s="3"/>
      <c r="Y1199" s="3"/>
      <c r="Z1199" s="27" t="s">
        <v>247</v>
      </c>
      <c r="AA1199" t="s">
        <v>235</v>
      </c>
    </row>
    <row r="1200" spans="1:27" x14ac:dyDescent="0.25">
      <c r="A1200" s="12">
        <v>124</v>
      </c>
      <c r="B1200">
        <v>50</v>
      </c>
      <c r="C1200">
        <f t="shared" si="164"/>
        <v>12450</v>
      </c>
      <c r="D1200" s="3" t="s">
        <v>86</v>
      </c>
      <c r="E1200" s="11">
        <v>62</v>
      </c>
      <c r="F1200" s="11">
        <v>2.46</v>
      </c>
      <c r="G1200" s="12" t="s">
        <v>144</v>
      </c>
      <c r="H1200" s="12" t="s">
        <v>47</v>
      </c>
      <c r="I1200">
        <v>2014</v>
      </c>
      <c r="J1200" s="12" t="s">
        <v>163</v>
      </c>
      <c r="K1200" s="2">
        <v>0</v>
      </c>
      <c r="L1200" s="2"/>
      <c r="M1200" s="33">
        <v>2.23</v>
      </c>
      <c r="N1200" s="33">
        <v>2.87</v>
      </c>
      <c r="O1200" s="8"/>
      <c r="P1200" s="1"/>
      <c r="Q1200" s="1"/>
      <c r="R1200" s="1"/>
      <c r="S1200" s="3"/>
      <c r="T1200" s="3"/>
      <c r="U1200" s="3"/>
      <c r="V1200" s="3"/>
      <c r="W1200" s="3"/>
      <c r="X1200" s="3"/>
      <c r="Y1200" s="3"/>
      <c r="Z1200" s="27" t="s">
        <v>247</v>
      </c>
      <c r="AA1200" t="s">
        <v>235</v>
      </c>
    </row>
    <row r="1201" spans="1:27" x14ac:dyDescent="0.25">
      <c r="A1201" s="12">
        <v>124</v>
      </c>
      <c r="B1201">
        <v>50</v>
      </c>
      <c r="C1201">
        <f t="shared" si="164"/>
        <v>12450</v>
      </c>
      <c r="D1201" s="3" t="s">
        <v>86</v>
      </c>
      <c r="E1201" s="11">
        <v>62</v>
      </c>
      <c r="F1201" s="11">
        <v>2.46</v>
      </c>
      <c r="G1201" s="12" t="s">
        <v>144</v>
      </c>
      <c r="H1201" s="12" t="s">
        <v>47</v>
      </c>
      <c r="I1201">
        <v>2015</v>
      </c>
      <c r="J1201" s="12" t="s">
        <v>163</v>
      </c>
      <c r="K1201" s="2">
        <v>0</v>
      </c>
      <c r="L1201" s="2"/>
      <c r="M1201" s="33">
        <v>1.974</v>
      </c>
      <c r="N1201" s="33">
        <v>3</v>
      </c>
      <c r="O1201" s="8"/>
      <c r="P1201" s="1"/>
      <c r="Q1201" s="1"/>
      <c r="R1201" s="1"/>
      <c r="S1201" s="3"/>
      <c r="T1201" s="3"/>
      <c r="U1201" s="3"/>
      <c r="V1201" s="3"/>
      <c r="W1201" s="3"/>
      <c r="X1201" s="3"/>
      <c r="Y1201" s="3"/>
      <c r="Z1201" s="27" t="s">
        <v>247</v>
      </c>
      <c r="AA1201" t="s">
        <v>235</v>
      </c>
    </row>
    <row r="1202" spans="1:27" x14ac:dyDescent="0.25">
      <c r="A1202" s="12">
        <v>124</v>
      </c>
      <c r="B1202">
        <v>50</v>
      </c>
      <c r="C1202">
        <f t="shared" si="164"/>
        <v>12450</v>
      </c>
      <c r="D1202" s="3" t="s">
        <v>86</v>
      </c>
      <c r="E1202" s="11">
        <v>62</v>
      </c>
      <c r="F1202" s="11">
        <v>2.46</v>
      </c>
      <c r="G1202" s="12" t="s">
        <v>144</v>
      </c>
      <c r="H1202" s="12" t="s">
        <v>47</v>
      </c>
      <c r="I1202">
        <v>2016</v>
      </c>
      <c r="J1202" s="12" t="s">
        <v>163</v>
      </c>
      <c r="K1202" s="2">
        <v>0</v>
      </c>
      <c r="L1202" s="2"/>
      <c r="M1202" s="33">
        <v>2.2200000000000002</v>
      </c>
      <c r="N1202" s="33">
        <v>3.3457142857142901</v>
      </c>
      <c r="O1202" s="8"/>
      <c r="P1202" s="1"/>
      <c r="Q1202" s="1"/>
      <c r="R1202" s="1"/>
      <c r="S1202" s="3"/>
      <c r="T1202" s="3"/>
      <c r="U1202" s="3"/>
      <c r="V1202" s="3"/>
      <c r="W1202" s="3"/>
      <c r="X1202" s="3"/>
      <c r="Y1202" s="3"/>
      <c r="Z1202" s="27" t="s">
        <v>247</v>
      </c>
      <c r="AA1202" t="s">
        <v>235</v>
      </c>
    </row>
    <row r="1203" spans="1:27" x14ac:dyDescent="0.25">
      <c r="A1203" s="12">
        <v>128</v>
      </c>
      <c r="B1203">
        <v>1</v>
      </c>
      <c r="C1203">
        <f t="shared" ref="C1203:C1234" si="165">A1203*100+B1203</f>
        <v>12801</v>
      </c>
      <c r="D1203" s="3" t="s">
        <v>86</v>
      </c>
      <c r="E1203">
        <v>27.3910256272315</v>
      </c>
      <c r="F1203">
        <v>-94.714856883729297</v>
      </c>
      <c r="G1203" t="s">
        <v>15</v>
      </c>
      <c r="H1203" s="12" t="s">
        <v>17</v>
      </c>
      <c r="I1203">
        <v>1993</v>
      </c>
      <c r="J1203" t="s">
        <v>163</v>
      </c>
      <c r="K1203" s="2">
        <v>0</v>
      </c>
      <c r="L1203" s="2"/>
      <c r="M1203" s="20">
        <f>1494.33*0.037</f>
        <v>55.290209999999995</v>
      </c>
      <c r="N1203" s="20">
        <v>13.171999999999999</v>
      </c>
      <c r="O1203" s="20">
        <v>0.46360999999999997</v>
      </c>
      <c r="P1203" s="1"/>
      <c r="Q1203" s="1"/>
      <c r="R1203" s="1"/>
      <c r="S1203" s="3"/>
      <c r="T1203" s="3"/>
      <c r="U1203" s="3"/>
      <c r="V1203" s="3"/>
      <c r="W1203" s="3"/>
      <c r="X1203" s="3"/>
      <c r="Y1203" s="3"/>
      <c r="Z1203" t="s">
        <v>360</v>
      </c>
      <c r="AA1203" t="s">
        <v>361</v>
      </c>
    </row>
    <row r="1204" spans="1:27" x14ac:dyDescent="0.25">
      <c r="A1204" s="12">
        <v>128</v>
      </c>
      <c r="B1204">
        <v>2</v>
      </c>
      <c r="C1204">
        <f t="shared" si="165"/>
        <v>12802</v>
      </c>
      <c r="D1204" s="3" t="s">
        <v>86</v>
      </c>
      <c r="E1204">
        <v>27.7612178987143</v>
      </c>
      <c r="F1204">
        <v>-92.3074286720543</v>
      </c>
      <c r="G1204" t="s">
        <v>15</v>
      </c>
      <c r="H1204" s="12" t="s">
        <v>17</v>
      </c>
      <c r="I1204">
        <v>1993</v>
      </c>
      <c r="J1204" t="s">
        <v>163</v>
      </c>
      <c r="K1204" s="2">
        <v>0</v>
      </c>
      <c r="L1204" s="2"/>
      <c r="M1204" s="20">
        <f>362.33*0.037</f>
        <v>13.406209999999998</v>
      </c>
      <c r="N1204" s="20">
        <v>6.0679999999999996</v>
      </c>
      <c r="O1204" s="20">
        <v>0.20719999999999997</v>
      </c>
      <c r="P1204" s="1"/>
      <c r="Q1204" s="1"/>
      <c r="R1204" s="1"/>
      <c r="S1204" s="3"/>
      <c r="T1204" s="3"/>
      <c r="U1204" s="3"/>
      <c r="V1204" s="3"/>
      <c r="W1204" s="3"/>
      <c r="X1204" s="3"/>
      <c r="Y1204" s="3"/>
      <c r="Z1204" t="s">
        <v>360</v>
      </c>
      <c r="AA1204" t="s">
        <v>361</v>
      </c>
    </row>
    <row r="1205" spans="1:27" x14ac:dyDescent="0.25">
      <c r="A1205" s="12">
        <v>128</v>
      </c>
      <c r="B1205">
        <v>3</v>
      </c>
      <c r="C1205">
        <f t="shared" si="165"/>
        <v>12803</v>
      </c>
      <c r="D1205" s="3" t="s">
        <v>86</v>
      </c>
      <c r="E1205">
        <v>28.995192405975299</v>
      </c>
      <c r="F1205">
        <v>-92.213142964345494</v>
      </c>
      <c r="G1205" t="s">
        <v>15</v>
      </c>
      <c r="H1205" s="12" t="s">
        <v>17</v>
      </c>
      <c r="I1205">
        <v>1993</v>
      </c>
      <c r="J1205" t="s">
        <v>163</v>
      </c>
      <c r="K1205" s="2">
        <v>0</v>
      </c>
      <c r="L1205" s="2"/>
      <c r="M1205" s="20">
        <f>91.17*0.037</f>
        <v>3.3732899999999999</v>
      </c>
      <c r="N1205" s="20">
        <v>8.8307899999999986</v>
      </c>
      <c r="O1205" s="20">
        <v>0.45398999999999995</v>
      </c>
      <c r="P1205" s="1"/>
      <c r="Q1205" s="1"/>
      <c r="R1205" s="1"/>
      <c r="S1205" s="3"/>
      <c r="T1205" s="3"/>
      <c r="U1205" s="3"/>
      <c r="V1205" s="3"/>
      <c r="W1205" s="3"/>
      <c r="X1205" s="3"/>
      <c r="Y1205" s="3"/>
      <c r="Z1205" t="s">
        <v>360</v>
      </c>
      <c r="AA1205" t="s">
        <v>361</v>
      </c>
    </row>
    <row r="1206" spans="1:27" x14ac:dyDescent="0.25">
      <c r="A1206" s="12">
        <v>128</v>
      </c>
      <c r="B1206">
        <v>4</v>
      </c>
      <c r="C1206">
        <f t="shared" si="165"/>
        <v>12804</v>
      </c>
      <c r="D1206" s="3" t="s">
        <v>86</v>
      </c>
      <c r="E1206">
        <v>28.231303681466098</v>
      </c>
      <c r="F1206">
        <v>-92.565142747967101</v>
      </c>
      <c r="G1206" t="s">
        <v>15</v>
      </c>
      <c r="H1206" s="12" t="s">
        <v>17</v>
      </c>
      <c r="I1206">
        <v>1993</v>
      </c>
      <c r="J1206" t="s">
        <v>163</v>
      </c>
      <c r="K1206" s="2">
        <v>0</v>
      </c>
      <c r="L1206" s="2"/>
      <c r="M1206" s="20">
        <f>300.33*0.037</f>
        <v>11.112209999999999</v>
      </c>
      <c r="N1206" s="20">
        <v>8.4237899999999986</v>
      </c>
      <c r="O1206" s="20">
        <v>0.28489999999999999</v>
      </c>
      <c r="P1206" s="1"/>
      <c r="Q1206" s="1"/>
      <c r="R1206" s="1"/>
      <c r="S1206" s="3"/>
      <c r="T1206" s="3"/>
      <c r="U1206" s="3"/>
      <c r="V1206" s="3"/>
      <c r="W1206" s="3"/>
      <c r="X1206" s="3"/>
      <c r="Y1206" s="3"/>
      <c r="Z1206" t="s">
        <v>360</v>
      </c>
      <c r="AA1206" t="s">
        <v>361</v>
      </c>
    </row>
    <row r="1207" spans="1:27" x14ac:dyDescent="0.25">
      <c r="A1207" s="12">
        <v>128</v>
      </c>
      <c r="B1207">
        <v>5</v>
      </c>
      <c r="C1207">
        <f t="shared" si="165"/>
        <v>12805</v>
      </c>
      <c r="D1207" s="3" t="s">
        <v>86</v>
      </c>
      <c r="E1207">
        <v>27.743589695310298</v>
      </c>
      <c r="F1207">
        <v>-91.986857265844193</v>
      </c>
      <c r="G1207" t="s">
        <v>15</v>
      </c>
      <c r="H1207" s="12" t="s">
        <v>17</v>
      </c>
      <c r="I1207">
        <v>1993</v>
      </c>
      <c r="J1207" t="s">
        <v>163</v>
      </c>
      <c r="K1207" s="2">
        <v>0</v>
      </c>
      <c r="L1207" s="2"/>
      <c r="M1207" s="20">
        <f>270.33*0.037</f>
        <v>10.002209999999998</v>
      </c>
      <c r="N1207" s="20">
        <v>14.368209999999999</v>
      </c>
      <c r="O1207" s="20">
        <v>0.51171</v>
      </c>
      <c r="P1207" s="1"/>
      <c r="Q1207" s="1"/>
      <c r="R1207" s="1"/>
      <c r="S1207" s="3"/>
      <c r="T1207" s="3"/>
      <c r="U1207" s="3"/>
      <c r="V1207" s="3"/>
      <c r="W1207" s="3"/>
      <c r="X1207" s="3"/>
      <c r="Y1207" s="3"/>
      <c r="Z1207" t="s">
        <v>360</v>
      </c>
      <c r="AA1207" t="s">
        <v>361</v>
      </c>
    </row>
    <row r="1208" spans="1:27" x14ac:dyDescent="0.25">
      <c r="A1208" s="12">
        <v>128</v>
      </c>
      <c r="B1208">
        <v>6</v>
      </c>
      <c r="C1208">
        <f t="shared" si="165"/>
        <v>12806</v>
      </c>
      <c r="D1208" s="3" t="s">
        <v>86</v>
      </c>
      <c r="E1208">
        <v>27.66720117254</v>
      </c>
      <c r="F1208">
        <v>-94.331428722696103</v>
      </c>
      <c r="G1208" t="s">
        <v>15</v>
      </c>
      <c r="H1208" s="12" t="s">
        <v>17</v>
      </c>
      <c r="I1208">
        <v>1993</v>
      </c>
      <c r="J1208" t="s">
        <v>163</v>
      </c>
      <c r="K1208" s="2">
        <v>0</v>
      </c>
      <c r="L1208" s="2"/>
      <c r="M1208" s="20">
        <f>112.33*0.037</f>
        <v>4.1562099999999997</v>
      </c>
      <c r="N1208" s="20">
        <v>5.9817899999999993</v>
      </c>
      <c r="O1208" s="20">
        <v>0.19128999999999999</v>
      </c>
      <c r="P1208" s="1"/>
      <c r="Q1208" s="1"/>
      <c r="R1208" s="1"/>
      <c r="S1208" s="3"/>
      <c r="T1208" s="3"/>
      <c r="U1208" s="3"/>
      <c r="V1208" s="3"/>
      <c r="W1208" s="3"/>
      <c r="X1208" s="3"/>
      <c r="Y1208" s="3"/>
      <c r="Z1208" t="s">
        <v>360</v>
      </c>
      <c r="AA1208" t="s">
        <v>361</v>
      </c>
    </row>
    <row r="1209" spans="1:27" x14ac:dyDescent="0.25">
      <c r="A1209" s="12">
        <v>128</v>
      </c>
      <c r="B1209">
        <v>7</v>
      </c>
      <c r="C1209">
        <f t="shared" si="165"/>
        <v>12807</v>
      </c>
      <c r="D1209" s="3" t="s">
        <v>86</v>
      </c>
      <c r="E1209">
        <v>27.432158281164</v>
      </c>
      <c r="F1209">
        <v>-94.488571185227997</v>
      </c>
      <c r="G1209" t="s">
        <v>15</v>
      </c>
      <c r="H1209" s="12" t="s">
        <v>17</v>
      </c>
      <c r="I1209">
        <v>1993</v>
      </c>
      <c r="J1209" t="s">
        <v>163</v>
      </c>
      <c r="K1209" s="2">
        <v>0</v>
      </c>
      <c r="L1209" s="2"/>
      <c r="M1209" s="20">
        <f>255*0.037</f>
        <v>9.4349999999999987</v>
      </c>
      <c r="N1209" s="20">
        <v>22.187789999999996</v>
      </c>
      <c r="O1209" s="20">
        <v>0.61679000000000006</v>
      </c>
      <c r="P1209" s="1"/>
      <c r="Q1209" s="1"/>
      <c r="R1209" s="1"/>
      <c r="S1209" s="3"/>
      <c r="T1209" s="3"/>
      <c r="U1209" s="3"/>
      <c r="V1209" s="3"/>
      <c r="W1209" s="3"/>
      <c r="X1209" s="3"/>
      <c r="Y1209" s="3"/>
      <c r="Z1209" t="s">
        <v>360</v>
      </c>
      <c r="AA1209" t="s">
        <v>361</v>
      </c>
    </row>
    <row r="1210" spans="1:27" x14ac:dyDescent="0.25">
      <c r="A1210" s="12">
        <v>128</v>
      </c>
      <c r="B1210">
        <v>8</v>
      </c>
      <c r="C1210">
        <f t="shared" si="165"/>
        <v>12808</v>
      </c>
      <c r="D1210" s="3" t="s">
        <v>86</v>
      </c>
      <c r="E1210">
        <v>27.990384811950602</v>
      </c>
      <c r="F1210">
        <v>-95.758285574198794</v>
      </c>
      <c r="G1210" t="s">
        <v>15</v>
      </c>
      <c r="H1210" s="12" t="s">
        <v>17</v>
      </c>
      <c r="I1210">
        <v>1993</v>
      </c>
      <c r="J1210" t="s">
        <v>18</v>
      </c>
      <c r="K1210" s="2">
        <v>0</v>
      </c>
      <c r="L1210" s="2"/>
      <c r="M1210" s="20">
        <f>0.07*0.037</f>
        <v>2.5900000000000003E-3</v>
      </c>
      <c r="N1210" s="20">
        <v>2.5899999999999996E-2</v>
      </c>
      <c r="O1210" s="20">
        <v>8.5100000000000002E-3</v>
      </c>
      <c r="P1210" s="1"/>
      <c r="Q1210" s="1"/>
      <c r="R1210" s="1"/>
      <c r="S1210" s="3"/>
      <c r="T1210" s="3"/>
      <c r="U1210" s="3"/>
      <c r="V1210" s="3"/>
      <c r="W1210" s="3"/>
      <c r="X1210" s="3"/>
      <c r="Y1210" s="3"/>
      <c r="Z1210" t="s">
        <v>360</v>
      </c>
      <c r="AA1210" t="s">
        <v>361</v>
      </c>
    </row>
    <row r="1211" spans="1:27" x14ac:dyDescent="0.25">
      <c r="A1211" s="12">
        <v>128</v>
      </c>
      <c r="B1211">
        <v>9</v>
      </c>
      <c r="C1211">
        <f t="shared" si="165"/>
        <v>12809</v>
      </c>
      <c r="D1211" s="3" t="s">
        <v>86</v>
      </c>
      <c r="E1211">
        <v>27.579060155520299</v>
      </c>
      <c r="F1211">
        <v>-96.059999838867199</v>
      </c>
      <c r="G1211" t="s">
        <v>15</v>
      </c>
      <c r="H1211" s="12" t="s">
        <v>17</v>
      </c>
      <c r="I1211">
        <v>1993</v>
      </c>
      <c r="J1211" t="s">
        <v>18</v>
      </c>
      <c r="K1211" s="2">
        <v>0</v>
      </c>
      <c r="L1211" s="2"/>
      <c r="M1211" s="20">
        <f>0.13*0.037</f>
        <v>4.81E-3</v>
      </c>
      <c r="N1211" s="20">
        <v>3.4410000000000003E-2</v>
      </c>
      <c r="O1211" s="20">
        <v>1.1099999999999999E-2</v>
      </c>
      <c r="P1211" s="1"/>
      <c r="Q1211" s="1"/>
      <c r="R1211" s="1"/>
      <c r="S1211" s="3"/>
      <c r="T1211" s="3"/>
      <c r="U1211" s="3"/>
      <c r="V1211" s="3"/>
      <c r="W1211" s="3"/>
      <c r="X1211" s="3"/>
      <c r="Y1211" s="3"/>
      <c r="Z1211" t="s">
        <v>360</v>
      </c>
      <c r="AA1211" t="s">
        <v>361</v>
      </c>
    </row>
    <row r="1212" spans="1:27" x14ac:dyDescent="0.25">
      <c r="A1212" s="12">
        <v>128</v>
      </c>
      <c r="B1212">
        <v>10</v>
      </c>
      <c r="C1212">
        <f t="shared" si="165"/>
        <v>12810</v>
      </c>
      <c r="D1212" s="3" t="s">
        <v>86</v>
      </c>
      <c r="E1212">
        <v>27.432158281164</v>
      </c>
      <c r="F1212">
        <v>-92.326285813596101</v>
      </c>
      <c r="G1212" t="s">
        <v>15</v>
      </c>
      <c r="H1212" s="12" t="s">
        <v>17</v>
      </c>
      <c r="I1212">
        <v>1993</v>
      </c>
      <c r="J1212" t="s">
        <v>18</v>
      </c>
      <c r="K1212" s="2">
        <v>0</v>
      </c>
      <c r="L1212" s="2"/>
      <c r="M1212" s="20">
        <f>0.13*0.037</f>
        <v>4.81E-3</v>
      </c>
      <c r="N1212" s="20">
        <v>2.2199999999999998E-2</v>
      </c>
      <c r="O1212" s="20">
        <v>1.1099999999999999E-3</v>
      </c>
      <c r="P1212" s="1"/>
      <c r="Q1212" s="1"/>
      <c r="R1212" s="1"/>
      <c r="S1212" s="3"/>
      <c r="T1212" s="3"/>
      <c r="U1212" s="3"/>
      <c r="V1212" s="3"/>
      <c r="W1212" s="3"/>
      <c r="X1212" s="3"/>
      <c r="Y1212" s="3"/>
      <c r="Z1212" t="s">
        <v>360</v>
      </c>
      <c r="AA1212" t="s">
        <v>361</v>
      </c>
    </row>
    <row r="1213" spans="1:27" x14ac:dyDescent="0.25">
      <c r="A1213" s="12">
        <v>128</v>
      </c>
      <c r="B1213">
        <v>11</v>
      </c>
      <c r="C1213">
        <f t="shared" si="165"/>
        <v>12811</v>
      </c>
      <c r="D1213" s="3" t="s">
        <v>86</v>
      </c>
      <c r="E1213">
        <v>28.219551456201799</v>
      </c>
      <c r="F1213">
        <v>-93.916571608777005</v>
      </c>
      <c r="G1213" t="s">
        <v>15</v>
      </c>
      <c r="H1213" s="12" t="s">
        <v>17</v>
      </c>
      <c r="I1213">
        <v>1993</v>
      </c>
      <c r="J1213" t="s">
        <v>18</v>
      </c>
      <c r="K1213" s="2">
        <v>0</v>
      </c>
      <c r="L1213" s="2"/>
      <c r="M1213" s="20">
        <f>0.3*0.037</f>
        <v>1.1099999999999999E-2</v>
      </c>
      <c r="N1213" s="20">
        <v>5.5499999999999994E-3</v>
      </c>
      <c r="O1213" s="20">
        <v>1.3689999999999999E-2</v>
      </c>
      <c r="P1213" s="1"/>
      <c r="Q1213" s="1"/>
      <c r="R1213" s="1"/>
      <c r="S1213" s="3"/>
      <c r="T1213" s="3"/>
      <c r="U1213" s="3"/>
      <c r="V1213" s="3"/>
      <c r="W1213" s="3"/>
      <c r="X1213" s="3"/>
      <c r="Y1213" s="3"/>
      <c r="Z1213" t="s">
        <v>360</v>
      </c>
      <c r="AA1213" t="s">
        <v>361</v>
      </c>
    </row>
    <row r="1214" spans="1:27" x14ac:dyDescent="0.25">
      <c r="A1214" s="12">
        <v>128</v>
      </c>
      <c r="B1214">
        <v>3</v>
      </c>
      <c r="C1214">
        <f t="shared" si="165"/>
        <v>12803</v>
      </c>
      <c r="D1214" s="3" t="s">
        <v>86</v>
      </c>
      <c r="E1214">
        <v>28.995192405975299</v>
      </c>
      <c r="F1214">
        <v>-92.213142964345494</v>
      </c>
      <c r="G1214" t="s">
        <v>15</v>
      </c>
      <c r="H1214" s="12" t="s">
        <v>17</v>
      </c>
      <c r="I1214">
        <v>1993</v>
      </c>
      <c r="J1214" t="s">
        <v>163</v>
      </c>
      <c r="K1214" s="2">
        <v>0</v>
      </c>
      <c r="L1214" s="2"/>
      <c r="M1214" s="20">
        <v>3.3732899999999999</v>
      </c>
      <c r="N1214" s="20">
        <v>8.8307899999999986</v>
      </c>
      <c r="O1214" s="31">
        <v>0.45398999999999995</v>
      </c>
      <c r="P1214" s="1"/>
      <c r="Q1214" s="1"/>
      <c r="R1214" s="1"/>
      <c r="S1214" s="3"/>
      <c r="T1214" s="3"/>
      <c r="U1214" s="3"/>
      <c r="V1214" s="3"/>
      <c r="W1214" s="3"/>
      <c r="X1214" s="3"/>
      <c r="Y1214" s="3"/>
      <c r="Z1214" t="s">
        <v>360</v>
      </c>
      <c r="AA1214" t="s">
        <v>362</v>
      </c>
    </row>
    <row r="1215" spans="1:27" x14ac:dyDescent="0.25">
      <c r="A1215" s="12">
        <v>128</v>
      </c>
      <c r="B1215">
        <v>3</v>
      </c>
      <c r="C1215">
        <f t="shared" si="165"/>
        <v>12803</v>
      </c>
      <c r="D1215" s="3" t="s">
        <v>86</v>
      </c>
      <c r="E1215">
        <v>28.995192405975299</v>
      </c>
      <c r="F1215">
        <v>-92.213142964345494</v>
      </c>
      <c r="G1215" t="s">
        <v>15</v>
      </c>
      <c r="H1215" s="12" t="s">
        <v>17</v>
      </c>
      <c r="I1215">
        <v>1993</v>
      </c>
      <c r="J1215" t="s">
        <v>18</v>
      </c>
      <c r="K1215" s="2">
        <v>5</v>
      </c>
      <c r="L1215" s="2"/>
      <c r="M1215" s="20">
        <v>1.4800000000000001E-2</v>
      </c>
      <c r="N1215" s="20">
        <v>3.0709999999999998E-2</v>
      </c>
      <c r="O1215" s="31">
        <v>6.2900000000000005E-3</v>
      </c>
      <c r="P1215" s="1"/>
      <c r="Q1215" s="1"/>
      <c r="R1215" s="1"/>
      <c r="S1215" s="3"/>
      <c r="T1215" s="3"/>
      <c r="U1215" s="3"/>
      <c r="V1215" s="3"/>
      <c r="W1215" s="3"/>
      <c r="X1215" s="3"/>
      <c r="Y1215" s="3"/>
      <c r="Z1215" t="s">
        <v>360</v>
      </c>
      <c r="AA1215" t="s">
        <v>362</v>
      </c>
    </row>
    <row r="1216" spans="1:27" x14ac:dyDescent="0.25">
      <c r="A1216" s="12">
        <v>128</v>
      </c>
      <c r="B1216">
        <v>3</v>
      </c>
      <c r="C1216">
        <f t="shared" si="165"/>
        <v>12803</v>
      </c>
      <c r="D1216" s="3" t="s">
        <v>86</v>
      </c>
      <c r="E1216">
        <v>28.995192405975299</v>
      </c>
      <c r="F1216">
        <v>-92.213142964345494</v>
      </c>
      <c r="G1216" t="s">
        <v>15</v>
      </c>
      <c r="H1216" s="12" t="s">
        <v>17</v>
      </c>
      <c r="I1216">
        <v>1993</v>
      </c>
      <c r="J1216" t="s">
        <v>18</v>
      </c>
      <c r="K1216" s="2">
        <v>10</v>
      </c>
      <c r="L1216" s="2"/>
      <c r="M1216" s="20">
        <v>1.1099999999999999E-2</v>
      </c>
      <c r="N1216" s="20">
        <v>2.2199999999999998E-2</v>
      </c>
      <c r="O1216" s="31">
        <v>6.2900000000000005E-3</v>
      </c>
      <c r="P1216" s="1"/>
      <c r="Q1216" s="1"/>
      <c r="R1216" s="1"/>
      <c r="S1216" s="3"/>
      <c r="T1216" s="3"/>
      <c r="U1216" s="3"/>
      <c r="V1216" s="3"/>
      <c r="W1216" s="3"/>
      <c r="X1216" s="3"/>
      <c r="Y1216" s="3"/>
      <c r="Z1216" t="s">
        <v>360</v>
      </c>
      <c r="AA1216" t="s">
        <v>362</v>
      </c>
    </row>
    <row r="1217" spans="1:27" x14ac:dyDescent="0.25">
      <c r="A1217" s="12">
        <v>128</v>
      </c>
      <c r="B1217">
        <v>3</v>
      </c>
      <c r="C1217">
        <f t="shared" si="165"/>
        <v>12803</v>
      </c>
      <c r="D1217" s="3" t="s">
        <v>86</v>
      </c>
      <c r="E1217">
        <v>28.995192405975299</v>
      </c>
      <c r="F1217">
        <v>-92.213142964345494</v>
      </c>
      <c r="G1217" t="s">
        <v>15</v>
      </c>
      <c r="H1217" s="12" t="s">
        <v>17</v>
      </c>
      <c r="I1217">
        <v>1993</v>
      </c>
      <c r="J1217" t="s">
        <v>18</v>
      </c>
      <c r="K1217" s="2">
        <v>30</v>
      </c>
      <c r="L1217" s="2"/>
      <c r="M1217" s="20">
        <v>1.9609999999999999E-2</v>
      </c>
      <c r="N1217" s="20">
        <v>3.959E-2</v>
      </c>
      <c r="O1217" s="31">
        <v>1.1099999999999999E-3</v>
      </c>
      <c r="P1217" s="1"/>
      <c r="Q1217" s="1"/>
      <c r="R1217" s="1"/>
      <c r="S1217" s="3"/>
      <c r="T1217" s="3"/>
      <c r="U1217" s="3"/>
      <c r="V1217" s="3"/>
      <c r="W1217" s="3"/>
      <c r="X1217" s="3"/>
      <c r="Y1217" s="3"/>
      <c r="Z1217" t="s">
        <v>360</v>
      </c>
      <c r="AA1217" t="s">
        <v>362</v>
      </c>
    </row>
    <row r="1218" spans="1:27" x14ac:dyDescent="0.25">
      <c r="A1218" s="12">
        <v>128</v>
      </c>
      <c r="B1218">
        <v>3</v>
      </c>
      <c r="C1218">
        <f t="shared" si="165"/>
        <v>12803</v>
      </c>
      <c r="D1218" s="3" t="s">
        <v>86</v>
      </c>
      <c r="E1218">
        <v>28.995192405975299</v>
      </c>
      <c r="F1218">
        <v>-92.213142964345494</v>
      </c>
      <c r="G1218" t="s">
        <v>15</v>
      </c>
      <c r="H1218" s="12" t="s">
        <v>17</v>
      </c>
      <c r="I1218">
        <v>1993</v>
      </c>
      <c r="J1218" t="s">
        <v>18</v>
      </c>
      <c r="K1218" s="2">
        <v>50</v>
      </c>
      <c r="L1218" s="2"/>
      <c r="M1218" s="20">
        <v>1.8499999999999999E-2</v>
      </c>
      <c r="N1218" s="20">
        <v>0.13319999999999999</v>
      </c>
      <c r="O1218" s="31">
        <v>4.81E-3</v>
      </c>
      <c r="P1218" s="1"/>
      <c r="Q1218" s="1"/>
      <c r="R1218" s="1"/>
      <c r="S1218" s="3"/>
      <c r="T1218" s="3"/>
      <c r="U1218" s="3"/>
      <c r="V1218" s="3"/>
      <c r="W1218" s="3"/>
      <c r="X1218" s="3"/>
      <c r="Y1218" s="3"/>
      <c r="Z1218" t="s">
        <v>360</v>
      </c>
      <c r="AA1218" t="s">
        <v>362</v>
      </c>
    </row>
    <row r="1219" spans="1:27" x14ac:dyDescent="0.25">
      <c r="A1219" s="12">
        <v>128</v>
      </c>
      <c r="B1219">
        <v>3</v>
      </c>
      <c r="C1219">
        <f t="shared" si="165"/>
        <v>12803</v>
      </c>
      <c r="D1219" s="3" t="s">
        <v>86</v>
      </c>
      <c r="E1219">
        <v>28.995192405975299</v>
      </c>
      <c r="F1219">
        <v>-92.213142964345494</v>
      </c>
      <c r="G1219" t="s">
        <v>15</v>
      </c>
      <c r="H1219" s="12" t="s">
        <v>17</v>
      </c>
      <c r="I1219">
        <v>1993</v>
      </c>
      <c r="J1219" t="s">
        <v>18</v>
      </c>
      <c r="K1219" s="2">
        <v>100</v>
      </c>
      <c r="L1219" s="2"/>
      <c r="M1219" s="20">
        <v>2.1089999999999998E-2</v>
      </c>
      <c r="N1219" s="20">
        <v>0.14318999999999998</v>
      </c>
      <c r="O1219" s="31">
        <v>1.8500000000000001E-3</v>
      </c>
      <c r="P1219" s="1"/>
      <c r="Q1219" s="1"/>
      <c r="R1219" s="1"/>
      <c r="S1219" s="3"/>
      <c r="T1219" s="3"/>
      <c r="U1219" s="3"/>
      <c r="V1219" s="3"/>
      <c r="W1219" s="3"/>
      <c r="X1219" s="3"/>
      <c r="Y1219" s="3"/>
      <c r="Z1219" t="s">
        <v>360</v>
      </c>
      <c r="AA1219" t="s">
        <v>362</v>
      </c>
    </row>
    <row r="1220" spans="1:27" x14ac:dyDescent="0.25">
      <c r="A1220" s="12">
        <v>128</v>
      </c>
      <c r="B1220">
        <v>3</v>
      </c>
      <c r="C1220">
        <f t="shared" si="165"/>
        <v>12803</v>
      </c>
      <c r="D1220" s="3" t="s">
        <v>86</v>
      </c>
      <c r="E1220">
        <v>28.995192405975299</v>
      </c>
      <c r="F1220">
        <v>-92.213142964345494</v>
      </c>
      <c r="G1220" t="s">
        <v>15</v>
      </c>
      <c r="H1220" s="12" t="s">
        <v>17</v>
      </c>
      <c r="I1220">
        <v>1993</v>
      </c>
      <c r="J1220" t="s">
        <v>18</v>
      </c>
      <c r="K1220" s="2">
        <v>2000</v>
      </c>
      <c r="L1220" s="2"/>
      <c r="M1220" s="20">
        <v>6.1666666666666658E-3</v>
      </c>
      <c r="N1220" s="20">
        <v>6.0433333333333339E-2</v>
      </c>
      <c r="O1220" s="31">
        <v>9.3733333333333342E-3</v>
      </c>
      <c r="P1220" s="1"/>
      <c r="Q1220" s="1"/>
      <c r="R1220" s="1"/>
      <c r="S1220" s="3"/>
      <c r="T1220" s="3"/>
      <c r="U1220" s="3"/>
      <c r="V1220" s="3"/>
      <c r="W1220" s="3"/>
      <c r="X1220" s="3"/>
      <c r="Y1220" s="3"/>
      <c r="Z1220" t="s">
        <v>360</v>
      </c>
      <c r="AA1220" t="s">
        <v>362</v>
      </c>
    </row>
    <row r="1221" spans="1:27" x14ac:dyDescent="0.25">
      <c r="A1221" s="12">
        <v>128</v>
      </c>
      <c r="B1221">
        <v>3</v>
      </c>
      <c r="C1221">
        <f t="shared" si="165"/>
        <v>12803</v>
      </c>
      <c r="D1221" s="3" t="s">
        <v>86</v>
      </c>
      <c r="E1221">
        <v>28.995192405975299</v>
      </c>
      <c r="F1221">
        <v>-92.213142964345494</v>
      </c>
      <c r="G1221" t="s">
        <v>15</v>
      </c>
      <c r="H1221" s="12" t="s">
        <v>17</v>
      </c>
      <c r="I1221">
        <v>1993</v>
      </c>
      <c r="J1221" t="s">
        <v>18</v>
      </c>
      <c r="K1221" s="2">
        <v>0</v>
      </c>
      <c r="L1221" s="2"/>
      <c r="M1221" s="20">
        <v>1.1099999999999999E-2</v>
      </c>
      <c r="N1221" s="20">
        <v>5.5499999999999994E-3</v>
      </c>
      <c r="O1221" s="31">
        <v>1.3689999999999999E-2</v>
      </c>
      <c r="P1221" s="1"/>
      <c r="Q1221" s="1"/>
      <c r="R1221" s="1"/>
      <c r="S1221" s="3"/>
      <c r="T1221" s="3"/>
      <c r="U1221" s="3"/>
      <c r="V1221" s="3"/>
      <c r="W1221" s="3"/>
      <c r="X1221" s="3"/>
      <c r="Y1221" s="3"/>
      <c r="Z1221" t="s">
        <v>360</v>
      </c>
      <c r="AA1221" t="s">
        <v>362</v>
      </c>
    </row>
    <row r="1222" spans="1:27" x14ac:dyDescent="0.25">
      <c r="A1222" s="12">
        <v>128</v>
      </c>
      <c r="B1222">
        <v>4</v>
      </c>
      <c r="C1222">
        <f t="shared" si="165"/>
        <v>12804</v>
      </c>
      <c r="D1222" s="3" t="s">
        <v>86</v>
      </c>
      <c r="E1222">
        <v>28.231303681466098</v>
      </c>
      <c r="F1222">
        <v>-92.565142747967101</v>
      </c>
      <c r="G1222" t="s">
        <v>15</v>
      </c>
      <c r="H1222" s="12" t="s">
        <v>17</v>
      </c>
      <c r="I1222">
        <v>1993</v>
      </c>
      <c r="J1222" t="s">
        <v>163</v>
      </c>
      <c r="K1222" s="2">
        <v>0</v>
      </c>
      <c r="L1222" s="2"/>
      <c r="M1222" s="20">
        <v>11.112209999999999</v>
      </c>
      <c r="N1222" s="20">
        <v>8.4237899999999986</v>
      </c>
      <c r="O1222" s="31">
        <v>0.28489999999999999</v>
      </c>
      <c r="P1222" s="1"/>
      <c r="Q1222" s="1"/>
      <c r="R1222" s="1"/>
      <c r="S1222" s="3"/>
      <c r="T1222" s="3"/>
      <c r="U1222" s="3"/>
      <c r="V1222" s="3"/>
      <c r="W1222" s="3"/>
      <c r="X1222" s="3"/>
      <c r="Y1222" s="3"/>
      <c r="Z1222" t="s">
        <v>360</v>
      </c>
      <c r="AA1222" t="s">
        <v>362</v>
      </c>
    </row>
    <row r="1223" spans="1:27" x14ac:dyDescent="0.25">
      <c r="A1223" s="12">
        <v>128</v>
      </c>
      <c r="B1223">
        <v>4</v>
      </c>
      <c r="C1223">
        <f t="shared" si="165"/>
        <v>12804</v>
      </c>
      <c r="D1223" s="3" t="s">
        <v>86</v>
      </c>
      <c r="E1223">
        <v>28.231303681466098</v>
      </c>
      <c r="F1223">
        <v>-92.565142747967101</v>
      </c>
      <c r="G1223" t="s">
        <v>15</v>
      </c>
      <c r="H1223" s="12" t="s">
        <v>17</v>
      </c>
      <c r="I1223">
        <v>1993</v>
      </c>
      <c r="J1223" t="s">
        <v>18</v>
      </c>
      <c r="K1223" s="2">
        <v>5</v>
      </c>
      <c r="L1223" s="2"/>
      <c r="M1223" s="20">
        <v>6.6599999999999993E-3</v>
      </c>
      <c r="N1223" s="20">
        <v>1.1099999999999999E-2</v>
      </c>
      <c r="O1223" s="31">
        <v>3.7000000000000002E-3</v>
      </c>
      <c r="P1223" s="1"/>
      <c r="Q1223" s="1"/>
      <c r="R1223" s="1"/>
      <c r="S1223" s="3"/>
      <c r="T1223" s="3"/>
      <c r="U1223" s="3"/>
      <c r="V1223" s="3"/>
      <c r="W1223" s="3"/>
      <c r="X1223" s="3"/>
      <c r="Y1223" s="3"/>
      <c r="Z1223" t="s">
        <v>360</v>
      </c>
      <c r="AA1223" t="s">
        <v>362</v>
      </c>
    </row>
    <row r="1224" spans="1:27" x14ac:dyDescent="0.25">
      <c r="A1224" s="12">
        <v>128</v>
      </c>
      <c r="B1224">
        <v>4</v>
      </c>
      <c r="C1224">
        <f t="shared" si="165"/>
        <v>12804</v>
      </c>
      <c r="D1224" s="3" t="s">
        <v>86</v>
      </c>
      <c r="E1224">
        <v>28.231303681466098</v>
      </c>
      <c r="F1224">
        <v>-92.565142747967101</v>
      </c>
      <c r="G1224" t="s">
        <v>15</v>
      </c>
      <c r="H1224" s="12" t="s">
        <v>17</v>
      </c>
      <c r="I1224">
        <v>1993</v>
      </c>
      <c r="J1224" t="s">
        <v>18</v>
      </c>
      <c r="K1224" s="2">
        <v>10</v>
      </c>
      <c r="L1224" s="2"/>
      <c r="M1224" s="20">
        <v>2.5899999999999996E-2</v>
      </c>
      <c r="N1224" s="20">
        <v>6.9190000000000002E-2</v>
      </c>
      <c r="O1224" s="31">
        <v>8.5100000000000002E-3</v>
      </c>
      <c r="P1224" s="1"/>
      <c r="Q1224" s="1"/>
      <c r="R1224" s="1"/>
      <c r="S1224" s="3"/>
      <c r="T1224" s="3"/>
      <c r="U1224" s="3"/>
      <c r="V1224" s="3"/>
      <c r="W1224" s="3"/>
      <c r="X1224" s="3"/>
      <c r="Y1224" s="3"/>
      <c r="Z1224" t="s">
        <v>360</v>
      </c>
      <c r="AA1224" t="s">
        <v>362</v>
      </c>
    </row>
    <row r="1225" spans="1:27" x14ac:dyDescent="0.25">
      <c r="A1225" s="12">
        <v>128</v>
      </c>
      <c r="B1225">
        <v>4</v>
      </c>
      <c r="C1225">
        <f t="shared" si="165"/>
        <v>12804</v>
      </c>
      <c r="D1225" s="3" t="s">
        <v>86</v>
      </c>
      <c r="E1225">
        <v>28.231303681466098</v>
      </c>
      <c r="F1225">
        <v>-92.565142747967101</v>
      </c>
      <c r="G1225" t="s">
        <v>15</v>
      </c>
      <c r="H1225" s="12" t="s">
        <v>17</v>
      </c>
      <c r="I1225">
        <v>1993</v>
      </c>
      <c r="J1225" t="s">
        <v>18</v>
      </c>
      <c r="K1225" s="2">
        <v>30</v>
      </c>
      <c r="L1225" s="2"/>
      <c r="M1225" s="20">
        <v>1.6649999999999998E-2</v>
      </c>
      <c r="N1225" s="20">
        <v>3.4410000000000003E-2</v>
      </c>
      <c r="O1225" s="31">
        <v>3.7000000000000002E-3</v>
      </c>
      <c r="P1225" s="1"/>
      <c r="Q1225" s="1"/>
      <c r="R1225" s="1"/>
      <c r="S1225" s="3"/>
      <c r="T1225" s="3"/>
      <c r="U1225" s="3"/>
      <c r="V1225" s="3"/>
      <c r="W1225" s="3"/>
      <c r="X1225" s="3"/>
      <c r="Y1225" s="3"/>
      <c r="Z1225" t="s">
        <v>360</v>
      </c>
      <c r="AA1225" t="s">
        <v>362</v>
      </c>
    </row>
    <row r="1226" spans="1:27" x14ac:dyDescent="0.25">
      <c r="A1226" s="12">
        <v>128</v>
      </c>
      <c r="B1226">
        <v>4</v>
      </c>
      <c r="C1226">
        <f t="shared" si="165"/>
        <v>12804</v>
      </c>
      <c r="D1226" s="3" t="s">
        <v>86</v>
      </c>
      <c r="E1226">
        <v>28.231303681466098</v>
      </c>
      <c r="F1226">
        <v>-92.565142747967101</v>
      </c>
      <c r="G1226" t="s">
        <v>15</v>
      </c>
      <c r="H1226" s="12" t="s">
        <v>17</v>
      </c>
      <c r="I1226">
        <v>1993</v>
      </c>
      <c r="J1226" t="s">
        <v>18</v>
      </c>
      <c r="K1226" s="2">
        <v>50</v>
      </c>
      <c r="L1226" s="2"/>
      <c r="M1226" s="20">
        <v>1.221E-2</v>
      </c>
      <c r="N1226" s="20">
        <v>1.8499999999999999E-2</v>
      </c>
      <c r="O1226" s="31">
        <v>1.221E-2</v>
      </c>
      <c r="P1226" s="1"/>
      <c r="Q1226" s="1"/>
      <c r="R1226" s="1"/>
      <c r="S1226" s="3"/>
      <c r="T1226" s="3"/>
      <c r="U1226" s="3"/>
      <c r="V1226" s="3"/>
      <c r="W1226" s="3"/>
      <c r="X1226" s="3"/>
      <c r="Y1226" s="3"/>
      <c r="Z1226" t="s">
        <v>360</v>
      </c>
      <c r="AA1226" t="s">
        <v>362</v>
      </c>
    </row>
    <row r="1227" spans="1:27" x14ac:dyDescent="0.25">
      <c r="A1227" s="12">
        <v>128</v>
      </c>
      <c r="B1227">
        <v>4</v>
      </c>
      <c r="C1227">
        <f t="shared" si="165"/>
        <v>12804</v>
      </c>
      <c r="D1227" s="3" t="s">
        <v>86</v>
      </c>
      <c r="E1227">
        <v>28.231303681466098</v>
      </c>
      <c r="F1227">
        <v>-92.565142747967101</v>
      </c>
      <c r="G1227" t="s">
        <v>15</v>
      </c>
      <c r="H1227" s="12" t="s">
        <v>17</v>
      </c>
      <c r="I1227">
        <v>1993</v>
      </c>
      <c r="J1227" t="s">
        <v>18</v>
      </c>
      <c r="K1227" s="2">
        <v>100</v>
      </c>
      <c r="L1227" s="2"/>
      <c r="M1227" s="20">
        <v>1.221E-2</v>
      </c>
      <c r="N1227" s="20">
        <v>5.9200000000000003E-2</v>
      </c>
      <c r="O1227" s="31">
        <v>2.9600000000000001E-2</v>
      </c>
      <c r="P1227" s="1"/>
      <c r="Q1227" s="1"/>
      <c r="R1227" s="1"/>
      <c r="S1227" s="3"/>
      <c r="T1227" s="3"/>
      <c r="U1227" s="3"/>
      <c r="V1227" s="3"/>
      <c r="W1227" s="3"/>
      <c r="X1227" s="3"/>
      <c r="Y1227" s="3"/>
      <c r="Z1227" t="s">
        <v>360</v>
      </c>
      <c r="AA1227" t="s">
        <v>362</v>
      </c>
    </row>
    <row r="1228" spans="1:27" x14ac:dyDescent="0.25">
      <c r="A1228" s="12">
        <v>128</v>
      </c>
      <c r="B1228">
        <v>4</v>
      </c>
      <c r="C1228">
        <f t="shared" si="165"/>
        <v>12804</v>
      </c>
      <c r="D1228" s="3" t="s">
        <v>86</v>
      </c>
      <c r="E1228">
        <v>28.231303681466098</v>
      </c>
      <c r="F1228">
        <v>-92.565142747967101</v>
      </c>
      <c r="G1228" t="s">
        <v>15</v>
      </c>
      <c r="H1228" s="12" t="s">
        <v>17</v>
      </c>
      <c r="I1228">
        <v>1993</v>
      </c>
      <c r="J1228" t="s">
        <v>18</v>
      </c>
      <c r="K1228" s="2">
        <v>2000</v>
      </c>
      <c r="L1228" s="2"/>
      <c r="M1228" s="20">
        <v>2.96E-3</v>
      </c>
      <c r="N1228" s="20">
        <v>2.3803333333333333E-2</v>
      </c>
      <c r="O1228" s="31">
        <v>1.4306666666666667E-2</v>
      </c>
      <c r="P1228" s="1"/>
      <c r="Q1228" s="1"/>
      <c r="R1228" s="1"/>
      <c r="S1228" s="3"/>
      <c r="T1228" s="3"/>
      <c r="U1228" s="3"/>
      <c r="V1228" s="3"/>
      <c r="W1228" s="3"/>
      <c r="X1228" s="3"/>
      <c r="Y1228" s="3"/>
      <c r="Z1228" t="s">
        <v>360</v>
      </c>
      <c r="AA1228" t="s">
        <v>362</v>
      </c>
    </row>
    <row r="1229" spans="1:27" x14ac:dyDescent="0.25">
      <c r="A1229" s="12">
        <v>128</v>
      </c>
      <c r="B1229">
        <v>4</v>
      </c>
      <c r="C1229">
        <f t="shared" si="165"/>
        <v>12804</v>
      </c>
      <c r="D1229" s="3" t="s">
        <v>86</v>
      </c>
      <c r="E1229">
        <v>28.231303681466098</v>
      </c>
      <c r="F1229">
        <v>-92.565142747967101</v>
      </c>
      <c r="G1229" t="s">
        <v>15</v>
      </c>
      <c r="H1229" s="12" t="s">
        <v>17</v>
      </c>
      <c r="I1229">
        <v>1993</v>
      </c>
      <c r="J1229" t="s">
        <v>18</v>
      </c>
      <c r="K1229" s="2">
        <v>0</v>
      </c>
      <c r="L1229" s="2"/>
      <c r="M1229" s="20">
        <v>4.81E-3</v>
      </c>
      <c r="N1229" s="20">
        <v>2.2199999999999998E-2</v>
      </c>
      <c r="O1229" s="31">
        <v>1.1099999999999999E-3</v>
      </c>
      <c r="P1229" s="1"/>
      <c r="Q1229" s="1"/>
      <c r="R1229" s="1"/>
      <c r="S1229" s="3"/>
      <c r="T1229" s="3"/>
      <c r="U1229" s="3"/>
      <c r="V1229" s="3"/>
      <c r="W1229" s="3"/>
      <c r="X1229" s="3"/>
      <c r="Y1229" s="3"/>
      <c r="Z1229" t="s">
        <v>360</v>
      </c>
      <c r="AA1229" t="s">
        <v>362</v>
      </c>
    </row>
    <row r="1230" spans="1:27" x14ac:dyDescent="0.25">
      <c r="A1230" s="12">
        <v>128</v>
      </c>
      <c r="B1230">
        <v>2</v>
      </c>
      <c r="C1230">
        <f t="shared" si="165"/>
        <v>12802</v>
      </c>
      <c r="D1230" s="3" t="s">
        <v>86</v>
      </c>
      <c r="E1230">
        <v>27.7612178987143</v>
      </c>
      <c r="F1230">
        <v>-92.3074286720543</v>
      </c>
      <c r="G1230" t="s">
        <v>15</v>
      </c>
      <c r="H1230" s="12" t="s">
        <v>17</v>
      </c>
      <c r="I1230">
        <v>1993</v>
      </c>
      <c r="J1230" t="s">
        <v>163</v>
      </c>
      <c r="K1230" s="2">
        <v>0</v>
      </c>
      <c r="L1230" s="2"/>
      <c r="M1230" s="20">
        <v>13.406209999999998</v>
      </c>
      <c r="N1230" s="20">
        <v>6.0679999999999996</v>
      </c>
      <c r="O1230" s="31">
        <v>0.20719999999999997</v>
      </c>
      <c r="P1230" s="1"/>
      <c r="Q1230" s="1"/>
      <c r="R1230" s="1"/>
      <c r="S1230" s="3"/>
      <c r="T1230" s="3"/>
      <c r="U1230" s="3"/>
      <c r="V1230" s="3"/>
      <c r="W1230" s="3"/>
      <c r="X1230" s="3"/>
      <c r="Y1230" s="3"/>
      <c r="Z1230" t="s">
        <v>360</v>
      </c>
      <c r="AA1230" t="s">
        <v>362</v>
      </c>
    </row>
    <row r="1231" spans="1:27" x14ac:dyDescent="0.25">
      <c r="A1231" s="12">
        <v>128</v>
      </c>
      <c r="B1231">
        <v>2</v>
      </c>
      <c r="C1231">
        <f t="shared" si="165"/>
        <v>12802</v>
      </c>
      <c r="D1231" s="3" t="s">
        <v>86</v>
      </c>
      <c r="E1231">
        <v>27.7612178987143</v>
      </c>
      <c r="F1231">
        <v>-92.3074286720543</v>
      </c>
      <c r="G1231" t="s">
        <v>15</v>
      </c>
      <c r="H1231" s="12" t="s">
        <v>17</v>
      </c>
      <c r="I1231">
        <v>1993</v>
      </c>
      <c r="J1231" t="s">
        <v>18</v>
      </c>
      <c r="K1231" s="2">
        <v>5</v>
      </c>
      <c r="L1231" s="2"/>
      <c r="M1231" s="20">
        <v>1.9609999999999999E-2</v>
      </c>
      <c r="N1231" s="20">
        <v>2.3309999999999997E-2</v>
      </c>
      <c r="O1231" s="31">
        <v>2.5900000000000003E-3</v>
      </c>
      <c r="P1231" s="1"/>
      <c r="Q1231" s="1"/>
      <c r="R1231" s="1"/>
      <c r="S1231" s="3"/>
      <c r="T1231" s="3"/>
      <c r="U1231" s="3"/>
      <c r="V1231" s="3"/>
      <c r="W1231" s="3"/>
      <c r="X1231" s="3"/>
      <c r="Y1231" s="3"/>
      <c r="Z1231" t="s">
        <v>360</v>
      </c>
      <c r="AA1231" t="s">
        <v>362</v>
      </c>
    </row>
    <row r="1232" spans="1:27" x14ac:dyDescent="0.25">
      <c r="A1232" s="12">
        <v>128</v>
      </c>
      <c r="B1232">
        <v>2</v>
      </c>
      <c r="C1232">
        <f t="shared" si="165"/>
        <v>12802</v>
      </c>
      <c r="D1232" s="3" t="s">
        <v>86</v>
      </c>
      <c r="E1232">
        <v>27.7612178987143</v>
      </c>
      <c r="F1232">
        <v>-92.3074286720543</v>
      </c>
      <c r="G1232" t="s">
        <v>15</v>
      </c>
      <c r="H1232" s="12" t="s">
        <v>17</v>
      </c>
      <c r="I1232">
        <v>1993</v>
      </c>
      <c r="J1232" t="s">
        <v>18</v>
      </c>
      <c r="K1232" s="2">
        <v>10</v>
      </c>
      <c r="L1232" s="2"/>
      <c r="M1232" s="20">
        <v>3.5889999999999998E-2</v>
      </c>
      <c r="N1232" s="20">
        <v>3.3299999999999996E-2</v>
      </c>
      <c r="O1232" s="31">
        <v>4.81E-3</v>
      </c>
      <c r="P1232" s="1"/>
      <c r="Q1232" s="1"/>
      <c r="R1232" s="1"/>
      <c r="S1232" s="3"/>
      <c r="T1232" s="3"/>
      <c r="U1232" s="3"/>
      <c r="V1232" s="3"/>
      <c r="W1232" s="3"/>
      <c r="X1232" s="3"/>
      <c r="Y1232" s="3"/>
      <c r="Z1232" t="s">
        <v>360</v>
      </c>
      <c r="AA1232" t="s">
        <v>362</v>
      </c>
    </row>
    <row r="1233" spans="1:27" x14ac:dyDescent="0.25">
      <c r="A1233" s="12">
        <v>128</v>
      </c>
      <c r="B1233">
        <v>2</v>
      </c>
      <c r="C1233">
        <f t="shared" si="165"/>
        <v>12802</v>
      </c>
      <c r="D1233" s="3" t="s">
        <v>86</v>
      </c>
      <c r="E1233">
        <v>27.7612178987143</v>
      </c>
      <c r="F1233">
        <v>-92.3074286720543</v>
      </c>
      <c r="G1233" t="s">
        <v>15</v>
      </c>
      <c r="H1233" s="12" t="s">
        <v>17</v>
      </c>
      <c r="I1233">
        <v>1993</v>
      </c>
      <c r="J1233" t="s">
        <v>18</v>
      </c>
      <c r="K1233" s="2">
        <v>30</v>
      </c>
      <c r="L1233" s="2"/>
      <c r="M1233" s="20">
        <v>2.1089999999999998E-2</v>
      </c>
      <c r="N1233" s="20">
        <v>1.221E-2</v>
      </c>
      <c r="O1233" s="31">
        <v>2.5900000000000003E-3</v>
      </c>
      <c r="P1233" s="1"/>
      <c r="Q1233" s="1"/>
      <c r="R1233" s="1"/>
      <c r="S1233" s="3"/>
      <c r="T1233" s="3"/>
      <c r="U1233" s="3"/>
      <c r="V1233" s="3"/>
      <c r="W1233" s="3"/>
      <c r="X1233" s="3"/>
      <c r="Y1233" s="3"/>
      <c r="Z1233" t="s">
        <v>360</v>
      </c>
      <c r="AA1233" t="s">
        <v>362</v>
      </c>
    </row>
    <row r="1234" spans="1:27" x14ac:dyDescent="0.25">
      <c r="A1234" s="12">
        <v>128</v>
      </c>
      <c r="B1234">
        <v>2</v>
      </c>
      <c r="C1234">
        <f t="shared" si="165"/>
        <v>12802</v>
      </c>
      <c r="D1234" s="3" t="s">
        <v>86</v>
      </c>
      <c r="E1234">
        <v>27.7612178987143</v>
      </c>
      <c r="F1234">
        <v>-92.3074286720543</v>
      </c>
      <c r="G1234" t="s">
        <v>15</v>
      </c>
      <c r="H1234" s="12" t="s">
        <v>17</v>
      </c>
      <c r="I1234">
        <v>1993</v>
      </c>
      <c r="J1234" t="s">
        <v>18</v>
      </c>
      <c r="K1234" s="2">
        <v>50</v>
      </c>
      <c r="L1234" s="2"/>
      <c r="M1234" s="20">
        <v>3.3299999999999996E-2</v>
      </c>
      <c r="N1234" s="20">
        <v>4.8099999999999997E-2</v>
      </c>
      <c r="O1234" s="31">
        <v>1.1099999999999999E-3</v>
      </c>
      <c r="P1234" s="1"/>
      <c r="Q1234" s="1"/>
      <c r="R1234" s="1"/>
      <c r="S1234" s="3"/>
      <c r="T1234" s="3"/>
      <c r="U1234" s="3"/>
      <c r="V1234" s="3"/>
      <c r="W1234" s="3"/>
      <c r="X1234" s="3"/>
      <c r="Y1234" s="3"/>
      <c r="Z1234" t="s">
        <v>360</v>
      </c>
      <c r="AA1234" t="s">
        <v>362</v>
      </c>
    </row>
    <row r="1235" spans="1:27" x14ac:dyDescent="0.25">
      <c r="A1235" s="12">
        <v>128</v>
      </c>
      <c r="B1235">
        <v>2</v>
      </c>
      <c r="C1235">
        <f t="shared" ref="C1235:C1254" si="166">A1235*100+B1235</f>
        <v>12802</v>
      </c>
      <c r="D1235" s="3" t="s">
        <v>86</v>
      </c>
      <c r="E1235">
        <v>27.7612178987143</v>
      </c>
      <c r="F1235">
        <v>-92.3074286720543</v>
      </c>
      <c r="G1235" t="s">
        <v>15</v>
      </c>
      <c r="H1235" s="12" t="s">
        <v>17</v>
      </c>
      <c r="I1235">
        <v>1993</v>
      </c>
      <c r="J1235" t="s">
        <v>18</v>
      </c>
      <c r="K1235" s="2">
        <v>100</v>
      </c>
      <c r="L1235" s="2"/>
      <c r="M1235" s="20">
        <v>2.5900000000000003E-3</v>
      </c>
      <c r="N1235" s="20">
        <v>4.5509999999999995E-2</v>
      </c>
      <c r="O1235" s="31">
        <v>4.81E-3</v>
      </c>
      <c r="P1235" s="1"/>
      <c r="Q1235" s="1"/>
      <c r="R1235" s="1"/>
      <c r="S1235" s="3"/>
      <c r="T1235" s="3"/>
      <c r="U1235" s="3"/>
      <c r="V1235" s="3"/>
      <c r="W1235" s="3"/>
      <c r="X1235" s="3"/>
      <c r="Y1235" s="3"/>
      <c r="Z1235" t="s">
        <v>360</v>
      </c>
      <c r="AA1235" t="s">
        <v>362</v>
      </c>
    </row>
    <row r="1236" spans="1:27" x14ac:dyDescent="0.25">
      <c r="A1236" s="12">
        <v>128</v>
      </c>
      <c r="B1236">
        <v>2</v>
      </c>
      <c r="C1236">
        <f t="shared" si="166"/>
        <v>12802</v>
      </c>
      <c r="D1236" s="3" t="s">
        <v>86</v>
      </c>
      <c r="E1236">
        <v>27.7612178987143</v>
      </c>
      <c r="F1236">
        <v>-92.3074286720543</v>
      </c>
      <c r="G1236" t="s">
        <v>15</v>
      </c>
      <c r="H1236" s="12" t="s">
        <v>17</v>
      </c>
      <c r="I1236">
        <v>1993</v>
      </c>
      <c r="J1236" t="s">
        <v>18</v>
      </c>
      <c r="K1236" s="2">
        <v>2000</v>
      </c>
      <c r="L1236" s="2"/>
      <c r="M1236" s="20">
        <v>3.3299999999999996E-3</v>
      </c>
      <c r="N1236" s="20">
        <v>3.7863333333333325E-2</v>
      </c>
      <c r="O1236" s="31">
        <v>2.836666666666667E-3</v>
      </c>
      <c r="P1236" s="1"/>
      <c r="Q1236" s="1"/>
      <c r="R1236" s="1"/>
      <c r="S1236" s="3"/>
      <c r="T1236" s="3"/>
      <c r="U1236" s="3"/>
      <c r="V1236" s="3"/>
      <c r="W1236" s="3"/>
      <c r="X1236" s="3"/>
      <c r="Y1236" s="3"/>
      <c r="Z1236" t="s">
        <v>360</v>
      </c>
      <c r="AA1236" t="s">
        <v>362</v>
      </c>
    </row>
    <row r="1237" spans="1:27" x14ac:dyDescent="0.25">
      <c r="A1237" s="12">
        <v>128</v>
      </c>
      <c r="B1237">
        <v>2</v>
      </c>
      <c r="C1237">
        <f t="shared" si="166"/>
        <v>12802</v>
      </c>
      <c r="D1237" s="3" t="s">
        <v>86</v>
      </c>
      <c r="E1237">
        <v>27.7612178987143</v>
      </c>
      <c r="F1237">
        <v>-92.3074286720543</v>
      </c>
      <c r="G1237" t="s">
        <v>15</v>
      </c>
      <c r="H1237" s="12" t="s">
        <v>17</v>
      </c>
      <c r="I1237">
        <v>1993</v>
      </c>
      <c r="J1237" t="s">
        <v>18</v>
      </c>
      <c r="K1237" s="2">
        <v>0</v>
      </c>
      <c r="L1237" s="2"/>
      <c r="M1237" s="20">
        <v>4.81E-3</v>
      </c>
      <c r="N1237" s="20">
        <v>3.4410000000000003E-2</v>
      </c>
      <c r="O1237" s="31">
        <v>1.1099999999999999E-2</v>
      </c>
      <c r="P1237" s="1"/>
      <c r="Q1237" s="1"/>
      <c r="R1237" s="1"/>
      <c r="S1237" s="3"/>
      <c r="T1237" s="3"/>
      <c r="U1237" s="3"/>
      <c r="V1237" s="3"/>
      <c r="W1237" s="3"/>
      <c r="X1237" s="3"/>
      <c r="Y1237" s="3"/>
      <c r="Z1237" t="s">
        <v>360</v>
      </c>
      <c r="AA1237" t="s">
        <v>362</v>
      </c>
    </row>
    <row r="1238" spans="1:27" x14ac:dyDescent="0.25">
      <c r="A1238" s="12">
        <v>128</v>
      </c>
      <c r="B1238">
        <v>1</v>
      </c>
      <c r="C1238">
        <f t="shared" si="166"/>
        <v>12801</v>
      </c>
      <c r="D1238" s="3" t="s">
        <v>86</v>
      </c>
      <c r="E1238">
        <v>27.3910256272315</v>
      </c>
      <c r="F1238">
        <v>-94.714856883729297</v>
      </c>
      <c r="G1238" t="s">
        <v>15</v>
      </c>
      <c r="H1238" s="12" t="s">
        <v>17</v>
      </c>
      <c r="I1238">
        <v>1993</v>
      </c>
      <c r="J1238" t="s">
        <v>163</v>
      </c>
      <c r="K1238" s="2">
        <v>0</v>
      </c>
      <c r="L1238" s="2"/>
      <c r="M1238" s="20">
        <v>55.277999999999999</v>
      </c>
      <c r="N1238" s="20">
        <v>13.171999999999999</v>
      </c>
      <c r="O1238" s="31">
        <v>0.46249999999999997</v>
      </c>
      <c r="P1238" s="1"/>
      <c r="Q1238" s="1"/>
      <c r="R1238" s="1"/>
      <c r="S1238" s="3"/>
      <c r="T1238" s="3"/>
      <c r="U1238" s="3"/>
      <c r="V1238" s="3"/>
      <c r="W1238" s="3"/>
      <c r="X1238" s="3"/>
      <c r="Y1238" s="3"/>
      <c r="Z1238" t="s">
        <v>360</v>
      </c>
      <c r="AA1238" t="s">
        <v>362</v>
      </c>
    </row>
    <row r="1239" spans="1:27" x14ac:dyDescent="0.25">
      <c r="A1239" s="12">
        <v>128</v>
      </c>
      <c r="B1239">
        <v>1</v>
      </c>
      <c r="C1239">
        <f t="shared" si="166"/>
        <v>12801</v>
      </c>
      <c r="D1239" s="3" t="s">
        <v>86</v>
      </c>
      <c r="E1239">
        <v>27.3910256272315</v>
      </c>
      <c r="F1239">
        <v>-94.714856883729297</v>
      </c>
      <c r="G1239" t="s">
        <v>15</v>
      </c>
      <c r="H1239" s="12" t="s">
        <v>17</v>
      </c>
      <c r="I1239">
        <v>1993</v>
      </c>
      <c r="J1239" t="s">
        <v>18</v>
      </c>
      <c r="K1239" s="2">
        <v>5</v>
      </c>
      <c r="L1239" s="2"/>
      <c r="M1239" s="20">
        <v>3.4410000000000003E-2</v>
      </c>
      <c r="N1239" s="20">
        <v>8.14E-2</v>
      </c>
      <c r="O1239" s="31">
        <v>1.9609999999999999E-2</v>
      </c>
      <c r="P1239" s="1"/>
      <c r="Q1239" s="1"/>
      <c r="R1239" s="1"/>
      <c r="S1239" s="3"/>
      <c r="T1239" s="3"/>
      <c r="U1239" s="3"/>
      <c r="V1239" s="3"/>
      <c r="W1239" s="3"/>
      <c r="X1239" s="3"/>
      <c r="Y1239" s="3"/>
      <c r="Z1239" t="s">
        <v>360</v>
      </c>
      <c r="AA1239" t="s">
        <v>362</v>
      </c>
    </row>
    <row r="1240" spans="1:27" x14ac:dyDescent="0.25">
      <c r="A1240" s="12">
        <v>128</v>
      </c>
      <c r="B1240">
        <v>1</v>
      </c>
      <c r="C1240">
        <f t="shared" si="166"/>
        <v>12801</v>
      </c>
      <c r="D1240" s="3" t="s">
        <v>86</v>
      </c>
      <c r="E1240">
        <v>27.3910256272315</v>
      </c>
      <c r="F1240">
        <v>-94.714856883729297</v>
      </c>
      <c r="G1240" t="s">
        <v>15</v>
      </c>
      <c r="H1240" s="12" t="s">
        <v>17</v>
      </c>
      <c r="I1240">
        <v>1993</v>
      </c>
      <c r="J1240" t="s">
        <v>18</v>
      </c>
      <c r="K1240" s="2">
        <v>10</v>
      </c>
      <c r="L1240" s="2"/>
      <c r="M1240" s="20">
        <v>3.2189999999999996E-2</v>
      </c>
      <c r="N1240" s="20">
        <v>7.1409999999999987E-2</v>
      </c>
      <c r="O1240" s="31">
        <v>2.9600000000000001E-2</v>
      </c>
      <c r="P1240" s="1"/>
      <c r="Q1240" s="1"/>
      <c r="R1240" s="1"/>
      <c r="S1240" s="3"/>
      <c r="T1240" s="3"/>
      <c r="U1240" s="3"/>
      <c r="V1240" s="3"/>
      <c r="W1240" s="3"/>
      <c r="X1240" s="3"/>
      <c r="Y1240" s="3"/>
      <c r="Z1240" t="s">
        <v>360</v>
      </c>
      <c r="AA1240" t="s">
        <v>362</v>
      </c>
    </row>
    <row r="1241" spans="1:27" x14ac:dyDescent="0.25">
      <c r="A1241" s="12">
        <v>128</v>
      </c>
      <c r="B1241">
        <v>1</v>
      </c>
      <c r="C1241">
        <f t="shared" si="166"/>
        <v>12801</v>
      </c>
      <c r="D1241" s="3" t="s">
        <v>86</v>
      </c>
      <c r="E1241">
        <v>27.3910256272315</v>
      </c>
      <c r="F1241">
        <v>-94.714856883729297</v>
      </c>
      <c r="G1241" t="s">
        <v>15</v>
      </c>
      <c r="H1241" s="12" t="s">
        <v>17</v>
      </c>
      <c r="I1241">
        <v>1993</v>
      </c>
      <c r="J1241" t="s">
        <v>18</v>
      </c>
      <c r="K1241" s="2">
        <v>30</v>
      </c>
      <c r="L1241" s="2"/>
      <c r="M1241" s="20">
        <v>1.7389999999999999E-2</v>
      </c>
      <c r="N1241" s="20">
        <v>7.5109999999999982E-2</v>
      </c>
      <c r="O1241" s="31">
        <v>2.5899999999999996E-2</v>
      </c>
      <c r="P1241" s="1"/>
      <c r="Q1241" s="1"/>
      <c r="R1241" s="1"/>
      <c r="S1241" s="3"/>
      <c r="T1241" s="3"/>
      <c r="U1241" s="3"/>
      <c r="V1241" s="3"/>
      <c r="W1241" s="3"/>
      <c r="X1241" s="3"/>
      <c r="Y1241" s="3"/>
      <c r="Z1241" t="s">
        <v>360</v>
      </c>
      <c r="AA1241" t="s">
        <v>362</v>
      </c>
    </row>
    <row r="1242" spans="1:27" x14ac:dyDescent="0.25">
      <c r="A1242" s="12">
        <v>128</v>
      </c>
      <c r="B1242">
        <v>1</v>
      </c>
      <c r="C1242">
        <f t="shared" si="166"/>
        <v>12801</v>
      </c>
      <c r="D1242" s="3" t="s">
        <v>86</v>
      </c>
      <c r="E1242">
        <v>27.3910256272315</v>
      </c>
      <c r="F1242">
        <v>-94.714856883729297</v>
      </c>
      <c r="G1242" t="s">
        <v>15</v>
      </c>
      <c r="H1242" s="12" t="s">
        <v>17</v>
      </c>
      <c r="I1242">
        <v>1993</v>
      </c>
      <c r="J1242" t="s">
        <v>18</v>
      </c>
      <c r="K1242" s="2">
        <v>50</v>
      </c>
      <c r="L1242" s="2"/>
      <c r="M1242" s="20">
        <v>1.6649999999999998E-2</v>
      </c>
      <c r="N1242" s="20">
        <v>7.1409999999999987E-2</v>
      </c>
      <c r="O1242" s="31">
        <v>1.9609999999999999E-2</v>
      </c>
      <c r="P1242" s="1"/>
      <c r="Q1242" s="1"/>
      <c r="R1242" s="1"/>
      <c r="S1242" s="3"/>
      <c r="T1242" s="3"/>
      <c r="U1242" s="3"/>
      <c r="V1242" s="3"/>
      <c r="W1242" s="3"/>
      <c r="X1242" s="3"/>
      <c r="Y1242" s="3"/>
      <c r="Z1242" t="s">
        <v>360</v>
      </c>
      <c r="AA1242" t="s">
        <v>362</v>
      </c>
    </row>
    <row r="1243" spans="1:27" x14ac:dyDescent="0.25">
      <c r="A1243" s="12">
        <v>128</v>
      </c>
      <c r="B1243">
        <v>1</v>
      </c>
      <c r="C1243">
        <f t="shared" si="166"/>
        <v>12801</v>
      </c>
      <c r="D1243" s="3" t="s">
        <v>86</v>
      </c>
      <c r="E1243">
        <v>27.3910256272315</v>
      </c>
      <c r="F1243">
        <v>-94.714856883729297</v>
      </c>
      <c r="G1243" t="s">
        <v>15</v>
      </c>
      <c r="H1243" s="12" t="s">
        <v>17</v>
      </c>
      <c r="I1243">
        <v>1993</v>
      </c>
      <c r="J1243" t="s">
        <v>18</v>
      </c>
      <c r="K1243" s="2">
        <v>100</v>
      </c>
      <c r="L1243" s="2"/>
      <c r="M1243" s="20">
        <v>8.5100000000000002E-3</v>
      </c>
      <c r="N1243" s="20">
        <v>3.959E-2</v>
      </c>
      <c r="O1243" s="31">
        <v>6.2900000000000005E-3</v>
      </c>
      <c r="P1243" s="1"/>
      <c r="Q1243" s="1"/>
      <c r="R1243" s="1"/>
      <c r="S1243" s="3"/>
      <c r="T1243" s="3"/>
      <c r="U1243" s="3"/>
      <c r="V1243" s="3"/>
      <c r="W1243" s="3"/>
      <c r="X1243" s="3"/>
      <c r="Y1243" s="3"/>
      <c r="Z1243" t="s">
        <v>360</v>
      </c>
      <c r="AA1243" t="s">
        <v>362</v>
      </c>
    </row>
    <row r="1244" spans="1:27" x14ac:dyDescent="0.25">
      <c r="A1244" s="12">
        <v>128</v>
      </c>
      <c r="B1244">
        <v>1</v>
      </c>
      <c r="C1244">
        <f t="shared" si="166"/>
        <v>12801</v>
      </c>
      <c r="D1244" s="3" t="s">
        <v>86</v>
      </c>
      <c r="E1244">
        <v>27.3910256272315</v>
      </c>
      <c r="F1244">
        <v>-94.714856883729297</v>
      </c>
      <c r="G1244" t="s">
        <v>15</v>
      </c>
      <c r="H1244" s="12" t="s">
        <v>17</v>
      </c>
      <c r="I1244">
        <v>1993</v>
      </c>
      <c r="J1244" t="s">
        <v>18</v>
      </c>
      <c r="K1244" s="2">
        <v>2000</v>
      </c>
      <c r="L1244" s="2"/>
      <c r="M1244" s="20">
        <v>1.1099999999999999E-3</v>
      </c>
      <c r="N1244" s="20">
        <v>2.9106666666666666E-2</v>
      </c>
      <c r="O1244" s="31">
        <v>3.7000000000000002E-3</v>
      </c>
      <c r="P1244" s="1"/>
      <c r="Q1244" s="1"/>
      <c r="R1244" s="1"/>
      <c r="S1244" s="3"/>
      <c r="T1244" s="3"/>
      <c r="U1244" s="3"/>
      <c r="V1244" s="3"/>
      <c r="W1244" s="3"/>
      <c r="X1244" s="3"/>
      <c r="Y1244" s="3"/>
      <c r="Z1244" t="s">
        <v>360</v>
      </c>
      <c r="AA1244" t="s">
        <v>362</v>
      </c>
    </row>
    <row r="1245" spans="1:27" x14ac:dyDescent="0.25">
      <c r="A1245" s="12">
        <v>128</v>
      </c>
      <c r="B1245">
        <v>1</v>
      </c>
      <c r="C1245">
        <f t="shared" si="166"/>
        <v>12801</v>
      </c>
      <c r="D1245" s="3" t="s">
        <v>86</v>
      </c>
      <c r="E1245">
        <v>27.3910256272315</v>
      </c>
      <c r="F1245">
        <v>-94.714856883729297</v>
      </c>
      <c r="G1245" t="s">
        <v>15</v>
      </c>
      <c r="H1245" s="12" t="s">
        <v>17</v>
      </c>
      <c r="I1245">
        <v>1993</v>
      </c>
      <c r="J1245" t="s">
        <v>18</v>
      </c>
      <c r="K1245" s="2">
        <v>0</v>
      </c>
      <c r="L1245" s="2"/>
      <c r="M1245" s="20">
        <v>2.5900000000000003E-3</v>
      </c>
      <c r="N1245" s="20">
        <v>2.5899999999999996E-2</v>
      </c>
      <c r="O1245" s="31">
        <v>8.5100000000000002E-3</v>
      </c>
      <c r="P1245" s="1"/>
      <c r="Q1245" s="1"/>
      <c r="R1245" s="1"/>
      <c r="S1245" s="3"/>
      <c r="T1245" s="3"/>
      <c r="U1245" s="3"/>
      <c r="V1245" s="3"/>
      <c r="W1245" s="3"/>
      <c r="X1245" s="3"/>
      <c r="Y1245" s="3"/>
      <c r="Z1245" t="s">
        <v>360</v>
      </c>
      <c r="AA1245" t="s">
        <v>362</v>
      </c>
    </row>
    <row r="1246" spans="1:27" x14ac:dyDescent="0.25">
      <c r="A1246" s="12">
        <v>128</v>
      </c>
      <c r="B1246">
        <v>7</v>
      </c>
      <c r="C1246">
        <f t="shared" si="166"/>
        <v>12807</v>
      </c>
      <c r="D1246" s="3" t="s">
        <v>86</v>
      </c>
      <c r="E1246">
        <v>27.432158281164</v>
      </c>
      <c r="F1246">
        <v>-94.488571185227997</v>
      </c>
      <c r="G1246" t="s">
        <v>15</v>
      </c>
      <c r="H1246" s="12" t="s">
        <v>17</v>
      </c>
      <c r="I1246">
        <v>1993</v>
      </c>
      <c r="J1246" t="s">
        <v>24</v>
      </c>
      <c r="K1246" s="2">
        <v>0</v>
      </c>
      <c r="L1246" s="2"/>
      <c r="M1246" s="20">
        <f>0.365*37*1000</f>
        <v>13504.999999999998</v>
      </c>
      <c r="N1246" s="20">
        <f>0.006*37*1000</f>
        <v>222</v>
      </c>
      <c r="O1246" s="8">
        <f>0.211*37*1000</f>
        <v>7806.9999999999991</v>
      </c>
      <c r="P1246" s="1"/>
      <c r="Q1246" s="1"/>
      <c r="R1246" s="1"/>
      <c r="S1246" s="3"/>
      <c r="T1246" s="3"/>
      <c r="U1246" s="3"/>
      <c r="V1246" s="3"/>
      <c r="W1246" s="3"/>
      <c r="X1246" s="3"/>
      <c r="Y1246" s="3"/>
      <c r="Z1246" t="s">
        <v>360</v>
      </c>
      <c r="AA1246" t="s">
        <v>366</v>
      </c>
    </row>
    <row r="1247" spans="1:27" x14ac:dyDescent="0.25">
      <c r="A1247" s="12">
        <v>128</v>
      </c>
      <c r="B1247">
        <v>5</v>
      </c>
      <c r="C1247">
        <f t="shared" si="166"/>
        <v>12805</v>
      </c>
      <c r="D1247" s="3" t="s">
        <v>86</v>
      </c>
      <c r="E1247">
        <v>27.743589695310298</v>
      </c>
      <c r="F1247">
        <v>-91.986857265844193</v>
      </c>
      <c r="G1247" t="s">
        <v>15</v>
      </c>
      <c r="H1247" s="12" t="s">
        <v>17</v>
      </c>
      <c r="I1247">
        <v>1993</v>
      </c>
      <c r="J1247" t="s">
        <v>24</v>
      </c>
      <c r="K1247" s="2">
        <v>0</v>
      </c>
      <c r="L1247" s="2"/>
      <c r="M1247" s="20">
        <f>0.167*37*1000</f>
        <v>6179</v>
      </c>
      <c r="N1247" s="20">
        <f>0.0015*37*1000</f>
        <v>55.5</v>
      </c>
      <c r="O1247" s="8">
        <f>0.308*37*1000</f>
        <v>11395.999999999998</v>
      </c>
      <c r="P1247" s="1"/>
      <c r="Q1247" s="1"/>
      <c r="R1247" s="1"/>
      <c r="S1247" s="3"/>
      <c r="T1247" s="3"/>
      <c r="U1247" s="3"/>
      <c r="V1247" s="3"/>
      <c r="W1247" s="3"/>
      <c r="X1247" s="3"/>
      <c r="Y1247" s="3"/>
      <c r="Z1247" t="s">
        <v>360</v>
      </c>
      <c r="AA1247" t="s">
        <v>366</v>
      </c>
    </row>
    <row r="1248" spans="1:27" x14ac:dyDescent="0.25">
      <c r="A1248" s="12">
        <v>128</v>
      </c>
      <c r="B1248">
        <v>7</v>
      </c>
      <c r="C1248">
        <f t="shared" si="166"/>
        <v>12807</v>
      </c>
      <c r="D1248" s="3" t="s">
        <v>86</v>
      </c>
      <c r="E1248">
        <v>27.432158281164</v>
      </c>
      <c r="F1248">
        <v>-94.488571185227997</v>
      </c>
      <c r="G1248" t="s">
        <v>15</v>
      </c>
      <c r="H1248" s="12" t="s">
        <v>17</v>
      </c>
      <c r="I1248">
        <v>1993</v>
      </c>
      <c r="J1248" t="s">
        <v>24</v>
      </c>
      <c r="K1248" s="2">
        <v>0</v>
      </c>
      <c r="L1248" s="2"/>
      <c r="M1248" s="20">
        <f>0.175*37*1000</f>
        <v>6475</v>
      </c>
      <c r="N1248" s="20">
        <f>0.081*37*1000</f>
        <v>2997</v>
      </c>
      <c r="O1248" s="8">
        <f>0.454*37*1000</f>
        <v>16798</v>
      </c>
      <c r="P1248" s="1"/>
      <c r="Q1248" s="1"/>
      <c r="R1248" s="1"/>
      <c r="S1248" s="3"/>
      <c r="T1248" s="3"/>
      <c r="U1248" s="3"/>
      <c r="V1248" s="3"/>
      <c r="W1248" s="3"/>
      <c r="X1248" s="3"/>
      <c r="Y1248" s="3"/>
      <c r="Z1248" t="s">
        <v>360</v>
      </c>
      <c r="AA1248" t="s">
        <v>366</v>
      </c>
    </row>
    <row r="1249" spans="1:27" x14ac:dyDescent="0.25">
      <c r="A1249" s="12">
        <v>128</v>
      </c>
      <c r="B1249">
        <v>1</v>
      </c>
      <c r="C1249">
        <f t="shared" si="166"/>
        <v>12801</v>
      </c>
      <c r="D1249" s="3" t="s">
        <v>86</v>
      </c>
      <c r="E1249">
        <v>27.3910256272315</v>
      </c>
      <c r="F1249">
        <v>-94.714856883729297</v>
      </c>
      <c r="G1249" t="s">
        <v>15</v>
      </c>
      <c r="H1249" s="12" t="s">
        <v>17</v>
      </c>
      <c r="I1249">
        <v>1993</v>
      </c>
      <c r="J1249" t="s">
        <v>24</v>
      </c>
      <c r="K1249" s="2">
        <v>0</v>
      </c>
      <c r="L1249" s="2"/>
      <c r="M1249" s="20">
        <f>0.118*37*1000</f>
        <v>4366</v>
      </c>
      <c r="N1249" s="20">
        <f>0.061*37*1000</f>
        <v>2257</v>
      </c>
      <c r="O1249" s="8">
        <f>0.416*37*1000</f>
        <v>15392</v>
      </c>
      <c r="P1249" s="1"/>
      <c r="Q1249" s="1"/>
      <c r="R1249" s="1"/>
      <c r="S1249" s="3"/>
      <c r="T1249" s="3"/>
      <c r="U1249" s="3"/>
      <c r="V1249" s="3"/>
      <c r="W1249" s="3"/>
      <c r="X1249" s="3"/>
      <c r="Y1249" s="3"/>
      <c r="Z1249" t="s">
        <v>360</v>
      </c>
      <c r="AA1249" t="s">
        <v>366</v>
      </c>
    </row>
    <row r="1250" spans="1:27" x14ac:dyDescent="0.25">
      <c r="A1250" s="12">
        <v>128</v>
      </c>
      <c r="B1250">
        <v>6</v>
      </c>
      <c r="C1250">
        <f t="shared" si="166"/>
        <v>12806</v>
      </c>
      <c r="D1250" s="3" t="s">
        <v>86</v>
      </c>
      <c r="E1250">
        <v>27.66720117254</v>
      </c>
      <c r="F1250">
        <v>-94.331428722696103</v>
      </c>
      <c r="G1250" t="s">
        <v>15</v>
      </c>
      <c r="H1250" s="12" t="s">
        <v>17</v>
      </c>
      <c r="I1250">
        <v>1993</v>
      </c>
      <c r="J1250" t="s">
        <v>24</v>
      </c>
      <c r="K1250" s="2">
        <v>0</v>
      </c>
      <c r="L1250" s="2"/>
      <c r="M1250" s="20">
        <f>0.076*37*1000</f>
        <v>2812</v>
      </c>
      <c r="N1250" s="20">
        <f>0.066*37*1000</f>
        <v>2442</v>
      </c>
      <c r="O1250" s="8">
        <f>0.188*37*1000</f>
        <v>6956</v>
      </c>
      <c r="P1250" s="1"/>
      <c r="Q1250" s="1"/>
      <c r="R1250" s="1"/>
      <c r="S1250" s="3"/>
      <c r="T1250" s="3"/>
      <c r="U1250" s="3"/>
      <c r="V1250" s="3"/>
      <c r="W1250" s="3"/>
      <c r="X1250" s="3"/>
      <c r="Y1250" s="3"/>
      <c r="Z1250" t="s">
        <v>360</v>
      </c>
      <c r="AA1250" t="s">
        <v>366</v>
      </c>
    </row>
    <row r="1251" spans="1:27" x14ac:dyDescent="0.25">
      <c r="A1251" s="12">
        <v>128</v>
      </c>
      <c r="B1251">
        <v>2</v>
      </c>
      <c r="C1251">
        <f t="shared" si="166"/>
        <v>12802</v>
      </c>
      <c r="D1251" s="3" t="s">
        <v>86</v>
      </c>
      <c r="E1251">
        <v>27.7612178987143</v>
      </c>
      <c r="F1251">
        <v>-92.3074286720543</v>
      </c>
      <c r="G1251" t="s">
        <v>15</v>
      </c>
      <c r="H1251" s="12" t="s">
        <v>17</v>
      </c>
      <c r="I1251">
        <v>1993</v>
      </c>
      <c r="J1251" t="s">
        <v>24</v>
      </c>
      <c r="K1251" s="2">
        <v>0</v>
      </c>
      <c r="L1251" s="2"/>
      <c r="M1251" s="20">
        <f>0.048*37*1000</f>
        <v>1776</v>
      </c>
      <c r="N1251" s="20">
        <f>0.0045*37*1000</f>
        <v>166.49999999999997</v>
      </c>
      <c r="O1251" s="8">
        <f>0.281*37*1000</f>
        <v>10397</v>
      </c>
      <c r="P1251" s="1"/>
      <c r="Q1251" s="1"/>
      <c r="R1251" s="1"/>
      <c r="S1251" s="3"/>
      <c r="T1251" s="3"/>
      <c r="U1251" s="3"/>
      <c r="V1251" s="3"/>
      <c r="W1251" s="3"/>
      <c r="X1251" s="3"/>
      <c r="Y1251" s="3"/>
      <c r="Z1251" t="s">
        <v>360</v>
      </c>
      <c r="AA1251" t="s">
        <v>366</v>
      </c>
    </row>
    <row r="1252" spans="1:27" x14ac:dyDescent="0.25">
      <c r="A1252" s="12">
        <v>128</v>
      </c>
      <c r="B1252">
        <v>4</v>
      </c>
      <c r="C1252">
        <f t="shared" si="166"/>
        <v>12804</v>
      </c>
      <c r="D1252" s="3" t="s">
        <v>86</v>
      </c>
      <c r="E1252">
        <v>28.231303681466098</v>
      </c>
      <c r="F1252">
        <v>-92.565142747967101</v>
      </c>
      <c r="G1252" t="s">
        <v>15</v>
      </c>
      <c r="H1252" s="12" t="s">
        <v>17</v>
      </c>
      <c r="I1252">
        <v>1993</v>
      </c>
      <c r="J1252" t="s">
        <v>24</v>
      </c>
      <c r="K1252" s="2">
        <v>0</v>
      </c>
      <c r="L1252" s="2"/>
      <c r="M1252" s="20">
        <f>0.033*37*1000</f>
        <v>1221</v>
      </c>
      <c r="N1252" s="20">
        <f>0.007*37*1000</f>
        <v>259</v>
      </c>
      <c r="O1252" s="8">
        <f>0.275*37*1000</f>
        <v>10175</v>
      </c>
      <c r="P1252" s="1"/>
      <c r="Q1252" s="1"/>
      <c r="R1252" s="1"/>
      <c r="S1252" s="3"/>
      <c r="T1252" s="3"/>
      <c r="U1252" s="3"/>
      <c r="V1252" s="3"/>
      <c r="W1252" s="3"/>
      <c r="X1252" s="3"/>
      <c r="Y1252" s="3"/>
      <c r="Z1252" t="s">
        <v>360</v>
      </c>
      <c r="AA1252" t="s">
        <v>366</v>
      </c>
    </row>
    <row r="1253" spans="1:27" x14ac:dyDescent="0.25">
      <c r="A1253" s="12">
        <v>128</v>
      </c>
      <c r="B1253">
        <v>3</v>
      </c>
      <c r="C1253">
        <f t="shared" si="166"/>
        <v>12803</v>
      </c>
      <c r="D1253" s="3" t="s">
        <v>86</v>
      </c>
      <c r="E1253">
        <v>28.7951924059753</v>
      </c>
      <c r="F1253">
        <v>-92.213142964345494</v>
      </c>
      <c r="G1253" t="s">
        <v>15</v>
      </c>
      <c r="H1253" s="12" t="s">
        <v>17</v>
      </c>
      <c r="I1253">
        <v>1993</v>
      </c>
      <c r="J1253" t="s">
        <v>24</v>
      </c>
      <c r="K1253" s="2">
        <v>0</v>
      </c>
      <c r="L1253" s="2"/>
      <c r="M1253" s="20">
        <f>0.013*37*1000</f>
        <v>481</v>
      </c>
      <c r="N1253" s="20">
        <f>0.047*37*1000</f>
        <v>1739</v>
      </c>
      <c r="O1253" s="8">
        <f>0.035*37*1000</f>
        <v>1295.0000000000002</v>
      </c>
      <c r="P1253" s="1"/>
      <c r="Q1253" s="1"/>
      <c r="R1253" s="1"/>
      <c r="S1253" s="3"/>
      <c r="T1253" s="3"/>
      <c r="U1253" s="3"/>
      <c r="V1253" s="3"/>
      <c r="W1253" s="3"/>
      <c r="X1253" s="3"/>
      <c r="Y1253" s="3"/>
      <c r="Z1253" t="s">
        <v>360</v>
      </c>
      <c r="AA1253" t="s">
        <v>366</v>
      </c>
    </row>
    <row r="1254" spans="1:27" x14ac:dyDescent="0.25">
      <c r="A1254" s="12">
        <v>128</v>
      </c>
      <c r="B1254">
        <v>3</v>
      </c>
      <c r="C1254">
        <f t="shared" si="166"/>
        <v>12803</v>
      </c>
      <c r="D1254" s="3" t="s">
        <v>86</v>
      </c>
      <c r="E1254">
        <v>28.995192405975299</v>
      </c>
      <c r="F1254">
        <v>-92.213142964345494</v>
      </c>
      <c r="G1254" t="s">
        <v>15</v>
      </c>
      <c r="H1254" s="12" t="s">
        <v>17</v>
      </c>
      <c r="I1254">
        <v>1993</v>
      </c>
      <c r="J1254" t="s">
        <v>24</v>
      </c>
      <c r="K1254" s="2">
        <v>0</v>
      </c>
      <c r="L1254" s="2"/>
      <c r="M1254" s="20">
        <f>0.002*37*1000</f>
        <v>74</v>
      </c>
      <c r="N1254" s="20">
        <f>0.0055*37*1000</f>
        <v>203.5</v>
      </c>
      <c r="O1254" s="8">
        <f>0.024*37*1000</f>
        <v>888</v>
      </c>
      <c r="P1254" s="1"/>
      <c r="Q1254" s="1"/>
      <c r="R1254" s="1"/>
      <c r="S1254" s="3"/>
      <c r="T1254" s="3"/>
      <c r="U1254" s="3"/>
      <c r="V1254" s="3"/>
      <c r="W1254" s="3"/>
      <c r="X1254" s="3"/>
      <c r="Y1254" s="3"/>
      <c r="Z1254" t="s">
        <v>360</v>
      </c>
      <c r="AA1254" t="s">
        <v>366</v>
      </c>
    </row>
    <row r="1267" spans="12:12" x14ac:dyDescent="0.25">
      <c r="L1267" t="s">
        <v>312</v>
      </c>
    </row>
  </sheetData>
  <autoFilter ref="Z1:Z1267" xr:uid="{4414E20E-B0A0-4BC0-856B-06698960E8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69D6-1AD9-4DA1-959C-35C4C9936286}">
  <dimension ref="A1:AA1267"/>
  <sheetViews>
    <sheetView workbookViewId="0">
      <pane xSplit="11" ySplit="2" topLeftCell="L192" activePane="bottomRight" state="frozen"/>
      <selection activeCell="N1264" sqref="N1264"/>
      <selection pane="topRight" activeCell="N1264" sqref="N1264"/>
      <selection pane="bottomLeft" activeCell="N1264" sqref="N1264"/>
      <selection pane="bottomRight" activeCell="M214" sqref="M214"/>
    </sheetView>
  </sheetViews>
  <sheetFormatPr defaultColWidth="8.875" defaultRowHeight="15.75" x14ac:dyDescent="0.25"/>
  <cols>
    <col min="8" max="8" width="11.5" customWidth="1"/>
    <col min="9" max="9" width="10.375" customWidth="1"/>
    <col min="10" max="10" width="14.5" customWidth="1"/>
    <col min="13" max="25" width="12.375" customWidth="1"/>
    <col min="26" max="26" width="23" customWidth="1"/>
  </cols>
  <sheetData>
    <row r="1" spans="1:27" x14ac:dyDescent="0.25">
      <c r="A1" s="16" t="s">
        <v>9</v>
      </c>
      <c r="B1" s="16" t="s">
        <v>7</v>
      </c>
      <c r="C1" s="16" t="s">
        <v>8</v>
      </c>
      <c r="D1" s="10" t="s">
        <v>84</v>
      </c>
      <c r="E1" s="17" t="s">
        <v>6</v>
      </c>
      <c r="F1" s="17" t="s">
        <v>5</v>
      </c>
      <c r="G1" s="16" t="s">
        <v>16</v>
      </c>
      <c r="H1" s="18" t="s">
        <v>12</v>
      </c>
      <c r="I1" s="16" t="s">
        <v>4</v>
      </c>
      <c r="J1" s="16" t="s">
        <v>3</v>
      </c>
      <c r="K1" s="19" t="s">
        <v>21</v>
      </c>
      <c r="L1" s="19" t="s">
        <v>307</v>
      </c>
      <c r="M1" s="7" t="s">
        <v>174</v>
      </c>
      <c r="N1" s="7" t="s">
        <v>175</v>
      </c>
      <c r="O1" s="7" t="s">
        <v>176</v>
      </c>
      <c r="P1" s="6" t="s">
        <v>177</v>
      </c>
      <c r="Q1" s="6" t="s">
        <v>178</v>
      </c>
      <c r="R1" s="6" t="s">
        <v>179</v>
      </c>
      <c r="S1" s="6" t="s">
        <v>180</v>
      </c>
      <c r="T1" s="6" t="s">
        <v>269</v>
      </c>
      <c r="U1" s="6" t="s">
        <v>181</v>
      </c>
      <c r="V1" s="6" t="s">
        <v>182</v>
      </c>
      <c r="W1" s="6" t="s">
        <v>183</v>
      </c>
      <c r="X1" s="6" t="s">
        <v>184</v>
      </c>
      <c r="Y1" s="6" t="s">
        <v>195</v>
      </c>
      <c r="Z1" s="16" t="s">
        <v>10</v>
      </c>
      <c r="AA1" s="16" t="s">
        <v>27</v>
      </c>
    </row>
    <row r="2" spans="1:27" x14ac:dyDescent="0.25">
      <c r="D2" s="3"/>
      <c r="E2" s="11"/>
      <c r="F2" s="11"/>
      <c r="H2" s="12"/>
      <c r="K2" s="2" t="s">
        <v>22</v>
      </c>
      <c r="L2" s="2"/>
      <c r="M2" s="5" t="s">
        <v>2</v>
      </c>
      <c r="N2" s="5" t="s">
        <v>2</v>
      </c>
      <c r="O2" s="5" t="s">
        <v>2</v>
      </c>
      <c r="P2" s="1" t="s">
        <v>2</v>
      </c>
      <c r="Q2" s="1" t="s">
        <v>2</v>
      </c>
      <c r="R2" s="1" t="s">
        <v>2</v>
      </c>
      <c r="S2" s="1" t="s">
        <v>2</v>
      </c>
      <c r="T2" s="1" t="s">
        <v>2</v>
      </c>
      <c r="U2" s="1" t="s">
        <v>2</v>
      </c>
      <c r="V2" s="1" t="s">
        <v>2</v>
      </c>
      <c r="W2" s="1" t="s">
        <v>2</v>
      </c>
      <c r="X2" s="1" t="s">
        <v>2</v>
      </c>
      <c r="Y2" s="1" t="s">
        <v>2</v>
      </c>
    </row>
    <row r="3" spans="1:27" x14ac:dyDescent="0.25">
      <c r="A3">
        <v>109</v>
      </c>
      <c r="B3">
        <v>1</v>
      </c>
      <c r="C3">
        <f>A3*100+B3</f>
        <v>10901</v>
      </c>
      <c r="D3" s="3" t="s">
        <v>86</v>
      </c>
      <c r="E3" s="11">
        <f>28+7/60+53/3600</f>
        <v>28.131388888888889</v>
      </c>
      <c r="F3" s="11">
        <f>33+14/60+55/3600</f>
        <v>33.24861111111111</v>
      </c>
      <c r="G3" s="12" t="s">
        <v>137</v>
      </c>
      <c r="H3" s="12" t="s">
        <v>138</v>
      </c>
      <c r="I3" s="4">
        <v>43831</v>
      </c>
      <c r="J3" t="s">
        <v>125</v>
      </c>
      <c r="K3" s="2">
        <v>0</v>
      </c>
      <c r="L3" s="2"/>
      <c r="M3" s="5">
        <v>21000</v>
      </c>
      <c r="N3" s="5">
        <v>980</v>
      </c>
      <c r="O3" s="8"/>
      <c r="P3" s="1"/>
      <c r="Q3" s="1"/>
      <c r="R3" s="1">
        <v>1420</v>
      </c>
      <c r="S3" s="3"/>
      <c r="T3" s="3"/>
      <c r="U3" s="3"/>
      <c r="V3" s="3"/>
      <c r="W3" s="3"/>
      <c r="X3" s="3"/>
      <c r="Y3" s="3"/>
      <c r="Z3" s="28" t="s">
        <v>192</v>
      </c>
      <c r="AA3" t="s">
        <v>139</v>
      </c>
    </row>
    <row r="4" spans="1:27" x14ac:dyDescent="0.25">
      <c r="A4" s="12">
        <v>122</v>
      </c>
      <c r="B4" s="12">
        <v>1</v>
      </c>
      <c r="C4">
        <f t="shared" ref="C4:C67" si="0">A4*100+B4</f>
        <v>12201</v>
      </c>
      <c r="D4" s="3" t="s">
        <v>87</v>
      </c>
      <c r="E4" s="11">
        <v>28.128</v>
      </c>
      <c r="F4" s="11">
        <v>33.295000000000002</v>
      </c>
      <c r="G4" s="12" t="s">
        <v>137</v>
      </c>
      <c r="H4" s="12" t="s">
        <v>138</v>
      </c>
      <c r="I4" s="4">
        <v>43101</v>
      </c>
      <c r="J4" s="12" t="s">
        <v>125</v>
      </c>
      <c r="K4" s="2">
        <v>0</v>
      </c>
      <c r="L4" s="2"/>
      <c r="M4" s="20">
        <v>35100</v>
      </c>
      <c r="N4" s="20">
        <v>9500</v>
      </c>
      <c r="O4" s="8"/>
      <c r="P4" s="1"/>
      <c r="Q4" s="1"/>
      <c r="R4" s="1"/>
      <c r="S4" s="3"/>
      <c r="T4" s="3"/>
      <c r="U4" s="3"/>
      <c r="V4" s="3"/>
      <c r="W4" s="3"/>
      <c r="X4" s="3"/>
      <c r="Y4" s="3"/>
      <c r="Z4" s="27" t="s">
        <v>194</v>
      </c>
      <c r="AA4" t="s">
        <v>193</v>
      </c>
    </row>
    <row r="5" spans="1:27" x14ac:dyDescent="0.25">
      <c r="A5" s="12">
        <v>125</v>
      </c>
      <c r="B5">
        <v>1</v>
      </c>
      <c r="C5">
        <f t="shared" si="0"/>
        <v>12501</v>
      </c>
      <c r="D5" t="s">
        <v>86</v>
      </c>
      <c r="E5">
        <v>29.593824228028499</v>
      </c>
      <c r="F5">
        <v>48.344418052256501</v>
      </c>
      <c r="G5" t="s">
        <v>259</v>
      </c>
      <c r="H5" t="s">
        <v>258</v>
      </c>
      <c r="I5">
        <v>2017</v>
      </c>
      <c r="J5" s="12" t="s">
        <v>268</v>
      </c>
      <c r="K5" s="2">
        <v>0</v>
      </c>
      <c r="L5" s="2"/>
      <c r="O5">
        <v>8.8000000000000003E-4</v>
      </c>
      <c r="Q5">
        <v>18.7</v>
      </c>
      <c r="S5">
        <v>5.5E-2</v>
      </c>
      <c r="T5">
        <v>1.8600000000000001E-3</v>
      </c>
      <c r="U5">
        <v>4.8000000000000001E-2</v>
      </c>
      <c r="V5">
        <v>5.1000000000000004E-4</v>
      </c>
      <c r="Z5" t="s">
        <v>397</v>
      </c>
      <c r="AA5" t="s">
        <v>260</v>
      </c>
    </row>
    <row r="6" spans="1:27" x14ac:dyDescent="0.25">
      <c r="A6" s="12">
        <v>125</v>
      </c>
      <c r="B6">
        <v>2</v>
      </c>
      <c r="C6">
        <f t="shared" si="0"/>
        <v>12502</v>
      </c>
      <c r="D6" t="s">
        <v>86</v>
      </c>
      <c r="E6">
        <v>29.5083135391924</v>
      </c>
      <c r="F6">
        <v>47.998812351543897</v>
      </c>
      <c r="G6" t="s">
        <v>259</v>
      </c>
      <c r="H6" t="s">
        <v>258</v>
      </c>
      <c r="I6">
        <v>2017</v>
      </c>
      <c r="J6" s="12" t="s">
        <v>268</v>
      </c>
      <c r="K6" s="2">
        <v>0</v>
      </c>
      <c r="L6" s="2"/>
      <c r="O6">
        <v>9.2000000000000003E-4</v>
      </c>
      <c r="Q6">
        <v>18.899999999999999</v>
      </c>
      <c r="S6">
        <v>5.6000000000000001E-2</v>
      </c>
      <c r="T6">
        <v>1.89E-3</v>
      </c>
      <c r="U6">
        <v>4.9000000000000002E-2</v>
      </c>
      <c r="V6">
        <v>5.8E-4</v>
      </c>
      <c r="Z6" t="s">
        <v>397</v>
      </c>
      <c r="AA6" t="s">
        <v>261</v>
      </c>
    </row>
    <row r="7" spans="1:27" x14ac:dyDescent="0.25">
      <c r="A7" s="12">
        <v>125</v>
      </c>
      <c r="B7">
        <v>3</v>
      </c>
      <c r="C7">
        <f t="shared" si="0"/>
        <v>12503</v>
      </c>
      <c r="D7" t="s">
        <v>86</v>
      </c>
      <c r="E7">
        <v>29.4014251781472</v>
      </c>
      <c r="F7">
        <v>47.806413301662701</v>
      </c>
      <c r="G7" t="s">
        <v>259</v>
      </c>
      <c r="H7" t="s">
        <v>258</v>
      </c>
      <c r="I7">
        <v>2017</v>
      </c>
      <c r="J7" s="12" t="s">
        <v>268</v>
      </c>
      <c r="K7" s="2">
        <v>0</v>
      </c>
      <c r="L7" s="2"/>
      <c r="O7">
        <v>8.4999999999999995E-4</v>
      </c>
      <c r="Q7">
        <v>19</v>
      </c>
      <c r="S7">
        <v>5.6000000000000001E-2</v>
      </c>
      <c r="T7">
        <v>1.8799999999999999E-3</v>
      </c>
      <c r="U7">
        <v>4.9000000000000002E-2</v>
      </c>
      <c r="V7">
        <v>5.6999999999999998E-4</v>
      </c>
      <c r="Z7" t="s">
        <v>397</v>
      </c>
      <c r="AA7" t="s">
        <v>262</v>
      </c>
    </row>
    <row r="8" spans="1:27" x14ac:dyDescent="0.25">
      <c r="A8" s="12">
        <v>125</v>
      </c>
      <c r="B8">
        <v>4</v>
      </c>
      <c r="C8">
        <f t="shared" si="0"/>
        <v>12504</v>
      </c>
      <c r="D8" t="s">
        <v>86</v>
      </c>
      <c r="E8">
        <v>29.422802850356199</v>
      </c>
      <c r="F8">
        <v>48.041567695961902</v>
      </c>
      <c r="G8" t="s">
        <v>259</v>
      </c>
      <c r="H8" t="s">
        <v>258</v>
      </c>
      <c r="I8">
        <v>2017</v>
      </c>
      <c r="J8" s="12" t="s">
        <v>268</v>
      </c>
      <c r="K8" s="2">
        <v>0</v>
      </c>
      <c r="L8" s="2"/>
      <c r="O8">
        <v>8.9000000000000006E-4</v>
      </c>
      <c r="Q8">
        <v>18.899999999999999</v>
      </c>
      <c r="S8">
        <v>5.6000000000000001E-2</v>
      </c>
      <c r="T8">
        <v>1.9199999999999998E-3</v>
      </c>
      <c r="U8">
        <v>4.9000000000000002E-2</v>
      </c>
      <c r="V8">
        <v>5.9999999999999995E-4</v>
      </c>
      <c r="Z8" t="s">
        <v>397</v>
      </c>
      <c r="AA8" t="s">
        <v>263</v>
      </c>
    </row>
    <row r="9" spans="1:27" x14ac:dyDescent="0.25">
      <c r="A9" s="12">
        <v>125</v>
      </c>
      <c r="B9">
        <v>5</v>
      </c>
      <c r="C9">
        <f t="shared" si="0"/>
        <v>12505</v>
      </c>
      <c r="D9" t="s">
        <v>86</v>
      </c>
      <c r="E9">
        <v>29.476247030878799</v>
      </c>
      <c r="F9">
        <v>48.551068883610398</v>
      </c>
      <c r="G9" t="s">
        <v>259</v>
      </c>
      <c r="H9" t="s">
        <v>258</v>
      </c>
      <c r="I9">
        <v>2017</v>
      </c>
      <c r="J9" s="12" t="s">
        <v>268</v>
      </c>
      <c r="K9" s="2">
        <v>0</v>
      </c>
      <c r="L9" s="2"/>
      <c r="O9">
        <v>9.1E-4</v>
      </c>
      <c r="Q9">
        <v>18.8</v>
      </c>
      <c r="S9">
        <v>5.5E-2</v>
      </c>
      <c r="T9">
        <v>1.9E-3</v>
      </c>
      <c r="U9">
        <v>4.8000000000000001E-2</v>
      </c>
      <c r="V9">
        <v>6.2E-4</v>
      </c>
      <c r="Z9" t="s">
        <v>397</v>
      </c>
      <c r="AA9" t="s">
        <v>264</v>
      </c>
    </row>
    <row r="10" spans="1:27" x14ac:dyDescent="0.25">
      <c r="A10" s="12">
        <v>125</v>
      </c>
      <c r="B10">
        <v>6</v>
      </c>
      <c r="C10">
        <f t="shared" si="0"/>
        <v>12506</v>
      </c>
      <c r="D10" t="s">
        <v>86</v>
      </c>
      <c r="E10">
        <v>29.333729216152001</v>
      </c>
      <c r="F10">
        <v>48.501187648456003</v>
      </c>
      <c r="G10" t="s">
        <v>259</v>
      </c>
      <c r="H10" t="s">
        <v>258</v>
      </c>
      <c r="I10">
        <v>2017</v>
      </c>
      <c r="J10" s="12" t="s">
        <v>268</v>
      </c>
      <c r="K10" s="2">
        <v>0</v>
      </c>
      <c r="L10" s="2"/>
      <c r="O10">
        <v>8.9999999999999998E-4</v>
      </c>
      <c r="Q10">
        <v>19</v>
      </c>
      <c r="S10">
        <v>5.6000000000000001E-2</v>
      </c>
      <c r="T10">
        <v>1.9599999999999999E-3</v>
      </c>
      <c r="U10">
        <v>4.9000000000000002E-2</v>
      </c>
      <c r="V10">
        <v>5.8E-4</v>
      </c>
      <c r="Z10" t="s">
        <v>397</v>
      </c>
      <c r="AA10" t="s">
        <v>265</v>
      </c>
    </row>
    <row r="11" spans="1:27" x14ac:dyDescent="0.25">
      <c r="A11" s="12">
        <v>125</v>
      </c>
      <c r="B11">
        <v>7</v>
      </c>
      <c r="C11">
        <f t="shared" si="0"/>
        <v>12507</v>
      </c>
      <c r="D11" t="s">
        <v>86</v>
      </c>
      <c r="E11">
        <v>29.714964370546301</v>
      </c>
      <c r="F11">
        <v>48.112826603325402</v>
      </c>
      <c r="G11" t="s">
        <v>259</v>
      </c>
      <c r="H11" t="s">
        <v>258</v>
      </c>
      <c r="I11">
        <v>2017</v>
      </c>
      <c r="J11" s="12" t="s">
        <v>268</v>
      </c>
      <c r="K11" s="2">
        <v>0</v>
      </c>
      <c r="L11" s="2"/>
      <c r="O11">
        <v>8.7000000000000001E-4</v>
      </c>
      <c r="Q11">
        <v>18.600000000000001</v>
      </c>
      <c r="S11">
        <v>5.3999999999999999E-2</v>
      </c>
      <c r="T11">
        <v>1.8700000000000001E-3</v>
      </c>
      <c r="U11">
        <v>4.7E-2</v>
      </c>
      <c r="V11">
        <v>5.2999999999999998E-4</v>
      </c>
      <c r="Z11" t="s">
        <v>397</v>
      </c>
      <c r="AA11" t="s">
        <v>266</v>
      </c>
    </row>
    <row r="12" spans="1:27" x14ac:dyDescent="0.25">
      <c r="A12" s="12">
        <v>125</v>
      </c>
      <c r="B12">
        <v>8</v>
      </c>
      <c r="C12">
        <f t="shared" si="0"/>
        <v>12508</v>
      </c>
      <c r="D12" t="s">
        <v>86</v>
      </c>
      <c r="E12">
        <v>28.931116389548599</v>
      </c>
      <c r="F12">
        <v>48.330166270783799</v>
      </c>
      <c r="G12" t="s">
        <v>259</v>
      </c>
      <c r="H12" t="s">
        <v>258</v>
      </c>
      <c r="I12">
        <v>2017</v>
      </c>
      <c r="J12" s="12" t="s">
        <v>268</v>
      </c>
      <c r="K12" s="2">
        <v>0</v>
      </c>
      <c r="L12" s="2"/>
      <c r="O12">
        <v>8.8000000000000003E-4</v>
      </c>
      <c r="Q12">
        <v>19.100000000000001</v>
      </c>
      <c r="S12">
        <v>5.7000000000000002E-2</v>
      </c>
      <c r="T12">
        <v>1.98E-3</v>
      </c>
      <c r="U12">
        <v>0.05</v>
      </c>
      <c r="V12">
        <v>5.6999999999999998E-4</v>
      </c>
      <c r="Z12" t="s">
        <v>397</v>
      </c>
      <c r="AA12" t="s">
        <v>267</v>
      </c>
    </row>
    <row r="13" spans="1:27" x14ac:dyDescent="0.25">
      <c r="A13" s="12">
        <v>126</v>
      </c>
      <c r="B13">
        <v>1</v>
      </c>
      <c r="C13">
        <f t="shared" si="0"/>
        <v>12601</v>
      </c>
      <c r="D13" t="s">
        <v>86</v>
      </c>
      <c r="E13">
        <v>29.593824228028499</v>
      </c>
      <c r="F13">
        <v>48.344418052256501</v>
      </c>
      <c r="G13" t="s">
        <v>259</v>
      </c>
      <c r="H13" t="s">
        <v>258</v>
      </c>
      <c r="I13" s="4">
        <v>40308</v>
      </c>
      <c r="J13" s="12" t="s">
        <v>268</v>
      </c>
      <c r="K13" s="2">
        <v>0</v>
      </c>
      <c r="L13" s="2"/>
      <c r="M13" s="20"/>
      <c r="N13" s="20"/>
      <c r="O13" s="8"/>
      <c r="P13" s="1"/>
      <c r="Q13" s="1"/>
      <c r="R13" s="1"/>
      <c r="S13" s="3"/>
      <c r="T13" s="3"/>
      <c r="U13" s="3"/>
      <c r="V13" s="3">
        <v>5.0000000000000001E-4</v>
      </c>
      <c r="W13" s="3"/>
      <c r="X13" s="3"/>
      <c r="Y13" s="3"/>
      <c r="Z13" t="s">
        <v>376</v>
      </c>
      <c r="AA13" t="s">
        <v>250</v>
      </c>
    </row>
    <row r="14" spans="1:27" x14ac:dyDescent="0.25">
      <c r="A14" s="12">
        <v>126</v>
      </c>
      <c r="B14">
        <v>2</v>
      </c>
      <c r="C14">
        <f t="shared" si="0"/>
        <v>12602</v>
      </c>
      <c r="D14" t="s">
        <v>86</v>
      </c>
      <c r="E14">
        <v>29.5083135391924</v>
      </c>
      <c r="F14">
        <v>47.998812351543897</v>
      </c>
      <c r="G14" t="s">
        <v>259</v>
      </c>
      <c r="H14" t="s">
        <v>258</v>
      </c>
      <c r="I14" s="4">
        <v>40308</v>
      </c>
      <c r="J14" s="12" t="s">
        <v>268</v>
      </c>
      <c r="K14" s="2">
        <v>0</v>
      </c>
      <c r="L14" s="2"/>
      <c r="M14" s="20"/>
      <c r="N14" s="20"/>
      <c r="O14" s="8"/>
      <c r="P14" s="1"/>
      <c r="Q14" s="1"/>
      <c r="R14" s="1"/>
      <c r="S14" s="3"/>
      <c r="T14" s="3"/>
      <c r="U14" s="3"/>
      <c r="V14" s="3">
        <v>6.8000000000000005E-4</v>
      </c>
      <c r="W14" s="3"/>
      <c r="X14" s="3"/>
      <c r="Y14" s="3"/>
      <c r="Z14" t="s">
        <v>376</v>
      </c>
      <c r="AA14" t="s">
        <v>251</v>
      </c>
    </row>
    <row r="15" spans="1:27" x14ac:dyDescent="0.25">
      <c r="A15" s="12">
        <v>126</v>
      </c>
      <c r="B15">
        <v>3</v>
      </c>
      <c r="C15">
        <f t="shared" si="0"/>
        <v>12603</v>
      </c>
      <c r="D15" t="s">
        <v>86</v>
      </c>
      <c r="E15">
        <v>29.4014251781472</v>
      </c>
      <c r="F15">
        <v>47.806413301662701</v>
      </c>
      <c r="G15" t="s">
        <v>259</v>
      </c>
      <c r="H15" t="s">
        <v>258</v>
      </c>
      <c r="I15" s="4">
        <v>40308</v>
      </c>
      <c r="J15" s="12" t="s">
        <v>268</v>
      </c>
      <c r="K15" s="2">
        <v>0</v>
      </c>
      <c r="L15" s="2"/>
      <c r="M15" s="20"/>
      <c r="N15" s="20"/>
      <c r="O15" s="8"/>
      <c r="P15" s="1"/>
      <c r="Q15" s="1"/>
      <c r="R15" s="1"/>
      <c r="S15" s="3"/>
      <c r="T15" s="3"/>
      <c r="U15" s="3"/>
      <c r="V15" s="3">
        <v>5.4000000000000001E-4</v>
      </c>
      <c r="W15" s="3"/>
      <c r="X15" s="3"/>
      <c r="Y15" s="3"/>
      <c r="Z15" t="s">
        <v>376</v>
      </c>
      <c r="AA15" t="s">
        <v>252</v>
      </c>
    </row>
    <row r="16" spans="1:27" x14ac:dyDescent="0.25">
      <c r="A16" s="12">
        <v>126</v>
      </c>
      <c r="B16">
        <v>4</v>
      </c>
      <c r="C16">
        <f t="shared" si="0"/>
        <v>12604</v>
      </c>
      <c r="D16" t="s">
        <v>86</v>
      </c>
      <c r="E16">
        <v>29.422802850356199</v>
      </c>
      <c r="F16">
        <v>48.041567695961902</v>
      </c>
      <c r="G16" t="s">
        <v>259</v>
      </c>
      <c r="H16" t="s">
        <v>258</v>
      </c>
      <c r="I16" s="4">
        <v>40308</v>
      </c>
      <c r="J16" s="12" t="s">
        <v>268</v>
      </c>
      <c r="K16" s="2">
        <v>0</v>
      </c>
      <c r="L16" s="2"/>
      <c r="M16" s="20"/>
      <c r="N16" s="20"/>
      <c r="O16" s="8"/>
      <c r="P16" s="1"/>
      <c r="Q16" s="1"/>
      <c r="R16" s="1"/>
      <c r="S16" s="3"/>
      <c r="T16" s="3"/>
      <c r="U16" s="3"/>
      <c r="V16" s="3">
        <v>6.3000000000000003E-4</v>
      </c>
      <c r="W16" s="3"/>
      <c r="X16" s="3"/>
      <c r="Y16" s="3"/>
      <c r="Z16" t="s">
        <v>376</v>
      </c>
      <c r="AA16" t="s">
        <v>253</v>
      </c>
    </row>
    <row r="17" spans="1:27" x14ac:dyDescent="0.25">
      <c r="A17" s="12">
        <v>126</v>
      </c>
      <c r="B17">
        <v>5</v>
      </c>
      <c r="C17">
        <f t="shared" si="0"/>
        <v>12605</v>
      </c>
      <c r="D17" t="s">
        <v>86</v>
      </c>
      <c r="E17">
        <v>29.476247030878799</v>
      </c>
      <c r="F17">
        <v>48.551068883610398</v>
      </c>
      <c r="G17" t="s">
        <v>259</v>
      </c>
      <c r="H17" t="s">
        <v>258</v>
      </c>
      <c r="I17" s="4">
        <v>40308</v>
      </c>
      <c r="J17" s="12" t="s">
        <v>268</v>
      </c>
      <c r="K17" s="2">
        <v>0</v>
      </c>
      <c r="L17" s="2"/>
      <c r="M17" s="20"/>
      <c r="N17" s="20"/>
      <c r="O17" s="8"/>
      <c r="P17" s="1"/>
      <c r="Q17" s="1"/>
      <c r="R17" s="1"/>
      <c r="S17" s="3"/>
      <c r="T17" s="3"/>
      <c r="U17" s="3"/>
      <c r="V17" s="3">
        <v>6.8000000000000005E-4</v>
      </c>
      <c r="W17" s="3"/>
      <c r="X17" s="3"/>
      <c r="Y17" s="3"/>
      <c r="Z17" t="s">
        <v>376</v>
      </c>
      <c r="AA17" t="s">
        <v>254</v>
      </c>
    </row>
    <row r="18" spans="1:27" x14ac:dyDescent="0.25">
      <c r="A18" s="12">
        <v>126</v>
      </c>
      <c r="B18">
        <v>6</v>
      </c>
      <c r="C18">
        <f t="shared" si="0"/>
        <v>12606</v>
      </c>
      <c r="D18" t="s">
        <v>86</v>
      </c>
      <c r="E18">
        <v>29.333729216152001</v>
      </c>
      <c r="F18">
        <v>48.501187648456003</v>
      </c>
      <c r="G18" t="s">
        <v>259</v>
      </c>
      <c r="H18" t="s">
        <v>258</v>
      </c>
      <c r="I18" s="4">
        <v>40308</v>
      </c>
      <c r="J18" s="12" t="s">
        <v>268</v>
      </c>
      <c r="K18" s="2">
        <v>0</v>
      </c>
      <c r="L18" s="2"/>
      <c r="M18" s="20"/>
      <c r="N18" s="20"/>
      <c r="O18" s="8"/>
      <c r="P18" s="1"/>
      <c r="Q18" s="1"/>
      <c r="R18" s="1"/>
      <c r="S18" s="3"/>
      <c r="T18" s="3"/>
      <c r="U18" s="3"/>
      <c r="V18" s="3">
        <v>6.4000000000000005E-4</v>
      </c>
      <c r="W18" s="3"/>
      <c r="X18" s="3"/>
      <c r="Y18" s="3"/>
      <c r="Z18" t="s">
        <v>376</v>
      </c>
      <c r="AA18" t="s">
        <v>255</v>
      </c>
    </row>
    <row r="19" spans="1:27" x14ac:dyDescent="0.25">
      <c r="A19" s="12">
        <v>126</v>
      </c>
      <c r="B19">
        <v>7</v>
      </c>
      <c r="C19">
        <f t="shared" si="0"/>
        <v>12607</v>
      </c>
      <c r="D19" t="s">
        <v>86</v>
      </c>
      <c r="E19">
        <v>29.714964370546301</v>
      </c>
      <c r="F19">
        <v>48.112826603325402</v>
      </c>
      <c r="G19" t="s">
        <v>259</v>
      </c>
      <c r="H19" t="s">
        <v>258</v>
      </c>
      <c r="I19" s="4">
        <v>40308</v>
      </c>
      <c r="J19" s="12" t="s">
        <v>268</v>
      </c>
      <c r="K19" s="2">
        <v>0</v>
      </c>
      <c r="L19" s="2"/>
      <c r="M19" s="20"/>
      <c r="N19" s="20"/>
      <c r="O19" s="8"/>
      <c r="P19" s="1"/>
      <c r="Q19" s="1"/>
      <c r="R19" s="1"/>
      <c r="S19" s="3"/>
      <c r="T19" s="3"/>
      <c r="U19" s="3"/>
      <c r="V19" s="3">
        <v>4.7999999999999996E-4</v>
      </c>
      <c r="W19" s="3"/>
      <c r="X19" s="3"/>
      <c r="Y19" s="3"/>
      <c r="Z19" t="s">
        <v>376</v>
      </c>
      <c r="AA19" t="s">
        <v>256</v>
      </c>
    </row>
    <row r="20" spans="1:27" x14ac:dyDescent="0.25">
      <c r="A20" s="12">
        <v>126</v>
      </c>
      <c r="B20">
        <v>8</v>
      </c>
      <c r="C20">
        <f t="shared" si="0"/>
        <v>12608</v>
      </c>
      <c r="D20" t="s">
        <v>86</v>
      </c>
      <c r="E20">
        <v>28.931116389548599</v>
      </c>
      <c r="F20">
        <v>48.330166270783799</v>
      </c>
      <c r="G20" t="s">
        <v>259</v>
      </c>
      <c r="H20" t="s">
        <v>258</v>
      </c>
      <c r="I20" s="4">
        <v>40308</v>
      </c>
      <c r="J20" s="12" t="s">
        <v>268</v>
      </c>
      <c r="K20" s="2">
        <v>0</v>
      </c>
      <c r="L20" s="2"/>
      <c r="M20" s="20"/>
      <c r="N20" s="20"/>
      <c r="O20" s="8"/>
      <c r="P20" s="1"/>
      <c r="Q20" s="1"/>
      <c r="R20" s="1"/>
      <c r="S20" s="3"/>
      <c r="T20" s="3"/>
      <c r="U20" s="3"/>
      <c r="V20" s="3">
        <v>4.8999999999999998E-4</v>
      </c>
      <c r="W20" s="3"/>
      <c r="X20" s="3"/>
      <c r="Y20" s="3"/>
      <c r="Z20" t="s">
        <v>376</v>
      </c>
      <c r="AA20" t="s">
        <v>257</v>
      </c>
    </row>
    <row r="21" spans="1:27" x14ac:dyDescent="0.25">
      <c r="A21" s="12">
        <v>127</v>
      </c>
      <c r="B21">
        <v>1</v>
      </c>
      <c r="C21">
        <f t="shared" si="0"/>
        <v>12701</v>
      </c>
      <c r="D21" t="s">
        <v>86</v>
      </c>
      <c r="E21">
        <v>29.627467105263101</v>
      </c>
      <c r="F21">
        <v>48.403654485049799</v>
      </c>
      <c r="G21" t="s">
        <v>259</v>
      </c>
      <c r="H21" t="s">
        <v>258</v>
      </c>
      <c r="I21">
        <v>2013</v>
      </c>
      <c r="J21" s="12" t="s">
        <v>268</v>
      </c>
      <c r="K21" s="2">
        <v>0</v>
      </c>
      <c r="L21" s="2"/>
      <c r="M21" s="20"/>
      <c r="N21" s="20"/>
      <c r="O21" s="34">
        <v>7.7999999999999999E-4</v>
      </c>
      <c r="P21" s="1"/>
      <c r="Q21" s="1"/>
      <c r="R21" s="1"/>
      <c r="S21" s="3"/>
      <c r="T21" s="3"/>
      <c r="U21" s="3"/>
      <c r="V21" s="3">
        <v>4.8999999999999998E-4</v>
      </c>
      <c r="W21" s="3"/>
      <c r="X21" s="3"/>
      <c r="Y21" s="3"/>
      <c r="Z21" t="s">
        <v>356</v>
      </c>
      <c r="AA21" t="s">
        <v>274</v>
      </c>
    </row>
    <row r="22" spans="1:27" x14ac:dyDescent="0.25">
      <c r="A22" s="12">
        <v>127</v>
      </c>
      <c r="B22">
        <v>2</v>
      </c>
      <c r="C22">
        <f t="shared" si="0"/>
        <v>12702</v>
      </c>
      <c r="D22" t="s">
        <v>86</v>
      </c>
      <c r="E22">
        <v>29.533717105263101</v>
      </c>
      <c r="F22">
        <v>48.027408637873698</v>
      </c>
      <c r="G22" t="s">
        <v>259</v>
      </c>
      <c r="H22" t="s">
        <v>258</v>
      </c>
      <c r="I22">
        <v>2013</v>
      </c>
      <c r="J22" s="12" t="s">
        <v>268</v>
      </c>
      <c r="K22" s="2">
        <v>0</v>
      </c>
      <c r="L22" s="2"/>
      <c r="M22" s="20"/>
      <c r="N22" s="20"/>
      <c r="O22" s="34">
        <v>8.9000000000000006E-4</v>
      </c>
      <c r="P22" s="1"/>
      <c r="Q22" s="1"/>
      <c r="R22" s="1"/>
      <c r="S22" s="3"/>
      <c r="T22" s="3"/>
      <c r="U22" s="3"/>
      <c r="V22" s="3">
        <v>6.8000000000000005E-4</v>
      </c>
      <c r="W22" s="3"/>
      <c r="X22" s="3"/>
      <c r="Y22" s="3"/>
      <c r="Z22" t="s">
        <v>356</v>
      </c>
      <c r="AA22" t="s">
        <v>275</v>
      </c>
    </row>
    <row r="23" spans="1:27" x14ac:dyDescent="0.25">
      <c r="A23" s="12">
        <v>127</v>
      </c>
      <c r="B23">
        <v>3</v>
      </c>
      <c r="C23">
        <f t="shared" si="0"/>
        <v>12703</v>
      </c>
      <c r="D23" t="s">
        <v>86</v>
      </c>
      <c r="E23">
        <v>29.415296052631501</v>
      </c>
      <c r="F23">
        <v>47.800664451827203</v>
      </c>
      <c r="G23" t="s">
        <v>259</v>
      </c>
      <c r="H23" t="s">
        <v>258</v>
      </c>
      <c r="I23">
        <v>2013</v>
      </c>
      <c r="J23" s="12" t="s">
        <v>268</v>
      </c>
      <c r="K23" s="2">
        <v>0</v>
      </c>
      <c r="L23" s="2"/>
      <c r="M23" s="20"/>
      <c r="N23" s="20"/>
      <c r="O23" s="34">
        <v>8.3000000000000001E-4</v>
      </c>
      <c r="P23" s="1"/>
      <c r="Q23" s="1"/>
      <c r="R23" s="1"/>
      <c r="S23" s="3"/>
      <c r="T23" s="3"/>
      <c r="U23" s="3"/>
      <c r="V23" s="3">
        <v>5.4000000000000001E-4</v>
      </c>
      <c r="W23" s="3"/>
      <c r="X23" s="3"/>
      <c r="Y23" s="3"/>
      <c r="Z23" t="s">
        <v>356</v>
      </c>
      <c r="AA23" t="s">
        <v>276</v>
      </c>
    </row>
    <row r="24" spans="1:27" x14ac:dyDescent="0.25">
      <c r="A24" s="12">
        <v>127</v>
      </c>
      <c r="B24">
        <v>4</v>
      </c>
      <c r="C24">
        <f t="shared" si="0"/>
        <v>12704</v>
      </c>
      <c r="D24" t="s">
        <v>86</v>
      </c>
      <c r="E24">
        <v>29.361019736842099</v>
      </c>
      <c r="F24">
        <v>48.057308970099598</v>
      </c>
      <c r="G24" t="s">
        <v>259</v>
      </c>
      <c r="H24" t="s">
        <v>258</v>
      </c>
      <c r="I24">
        <v>2013</v>
      </c>
      <c r="J24" s="12" t="s">
        <v>268</v>
      </c>
      <c r="K24" s="2">
        <v>0</v>
      </c>
      <c r="L24" s="2"/>
      <c r="M24" s="20"/>
      <c r="N24" s="20"/>
      <c r="O24" s="34">
        <v>8.5999999999999998E-4</v>
      </c>
      <c r="P24" s="1"/>
      <c r="Q24" s="1"/>
      <c r="R24" s="1"/>
      <c r="S24" s="3"/>
      <c r="T24" s="3"/>
      <c r="U24" s="3"/>
      <c r="V24" s="3">
        <v>6.3000000000000003E-4</v>
      </c>
      <c r="W24" s="3"/>
      <c r="X24" s="3"/>
      <c r="Y24" s="3"/>
      <c r="Z24" t="s">
        <v>356</v>
      </c>
      <c r="AA24" t="s">
        <v>277</v>
      </c>
    </row>
    <row r="25" spans="1:27" x14ac:dyDescent="0.25">
      <c r="A25" s="12">
        <v>127</v>
      </c>
      <c r="B25">
        <v>5</v>
      </c>
      <c r="C25">
        <f t="shared" si="0"/>
        <v>12705</v>
      </c>
      <c r="D25" t="s">
        <v>86</v>
      </c>
      <c r="E25">
        <v>29.422697368421002</v>
      </c>
      <c r="F25">
        <v>48.622923588039797</v>
      </c>
      <c r="G25" t="s">
        <v>259</v>
      </c>
      <c r="H25" t="s">
        <v>258</v>
      </c>
      <c r="I25">
        <v>2013</v>
      </c>
      <c r="J25" s="12" t="s">
        <v>268</v>
      </c>
      <c r="K25" s="2">
        <v>0</v>
      </c>
      <c r="L25" s="2"/>
      <c r="M25" s="20"/>
      <c r="N25" s="20"/>
      <c r="O25" s="34">
        <v>8.9000000000000006E-4</v>
      </c>
      <c r="P25" s="1"/>
      <c r="Q25" s="1"/>
      <c r="R25" s="1"/>
      <c r="S25" s="3"/>
      <c r="T25" s="3"/>
      <c r="U25" s="3"/>
      <c r="V25" s="3">
        <v>6.8000000000000005E-4</v>
      </c>
      <c r="W25" s="3"/>
      <c r="X25" s="3"/>
      <c r="Y25" s="3"/>
      <c r="Z25" t="s">
        <v>356</v>
      </c>
      <c r="AA25" t="s">
        <v>278</v>
      </c>
    </row>
    <row r="26" spans="1:27" x14ac:dyDescent="0.25">
      <c r="A26" s="12">
        <v>127</v>
      </c>
      <c r="B26">
        <v>6</v>
      </c>
      <c r="C26">
        <f t="shared" si="0"/>
        <v>12706</v>
      </c>
      <c r="D26" t="s">
        <v>86</v>
      </c>
      <c r="E26">
        <v>29.277138157894701</v>
      </c>
      <c r="F26">
        <v>48.612956810631204</v>
      </c>
      <c r="G26" t="s">
        <v>259</v>
      </c>
      <c r="H26" t="s">
        <v>258</v>
      </c>
      <c r="I26">
        <v>2013</v>
      </c>
      <c r="J26" s="12" t="s">
        <v>268</v>
      </c>
      <c r="K26" s="2">
        <v>0</v>
      </c>
      <c r="L26" s="2"/>
      <c r="M26" s="20"/>
      <c r="N26" s="20"/>
      <c r="O26" s="34">
        <v>8.7000000000000001E-4</v>
      </c>
      <c r="P26" s="1"/>
      <c r="Q26" s="1"/>
      <c r="R26" s="1"/>
      <c r="S26" s="3"/>
      <c r="T26" s="3"/>
      <c r="U26" s="3"/>
      <c r="V26" s="3">
        <v>6.4000000000000005E-4</v>
      </c>
      <c r="W26" s="3"/>
      <c r="X26" s="3"/>
      <c r="Y26" s="3"/>
      <c r="Z26" t="s">
        <v>356</v>
      </c>
      <c r="AA26" t="s">
        <v>279</v>
      </c>
    </row>
    <row r="27" spans="1:27" x14ac:dyDescent="0.25">
      <c r="A27" s="12">
        <v>127</v>
      </c>
      <c r="B27">
        <v>7</v>
      </c>
      <c r="C27">
        <f t="shared" si="0"/>
        <v>12707</v>
      </c>
      <c r="D27" t="s">
        <v>86</v>
      </c>
      <c r="E27">
        <v>29.326480263157801</v>
      </c>
      <c r="F27">
        <v>47.833056478405297</v>
      </c>
      <c r="G27" t="s">
        <v>259</v>
      </c>
      <c r="H27" t="s">
        <v>258</v>
      </c>
      <c r="I27">
        <v>2013</v>
      </c>
      <c r="J27" s="12" t="s">
        <v>268</v>
      </c>
      <c r="K27" s="2">
        <v>0</v>
      </c>
      <c r="L27" s="2"/>
      <c r="M27" s="20"/>
      <c r="N27" s="20"/>
      <c r="O27" s="34"/>
      <c r="P27" s="1"/>
      <c r="Q27" s="1"/>
      <c r="R27" s="1"/>
      <c r="S27" s="3"/>
      <c r="T27" s="3"/>
      <c r="U27" s="3"/>
      <c r="V27" s="3"/>
      <c r="W27" s="3"/>
      <c r="X27" s="3"/>
      <c r="Y27" s="3"/>
      <c r="Z27" t="s">
        <v>356</v>
      </c>
      <c r="AA27" t="s">
        <v>280</v>
      </c>
    </row>
    <row r="28" spans="1:27" x14ac:dyDescent="0.25">
      <c r="A28" s="12">
        <v>127</v>
      </c>
      <c r="B28">
        <v>8</v>
      </c>
      <c r="C28">
        <f t="shared" si="0"/>
        <v>12708</v>
      </c>
      <c r="D28" t="s">
        <v>86</v>
      </c>
      <c r="E28">
        <v>29.634868421052602</v>
      </c>
      <c r="F28">
        <v>48.149501661129499</v>
      </c>
      <c r="G28" t="s">
        <v>259</v>
      </c>
      <c r="H28" t="s">
        <v>258</v>
      </c>
      <c r="I28">
        <v>2013</v>
      </c>
      <c r="J28" s="12" t="s">
        <v>268</v>
      </c>
      <c r="K28" s="2">
        <v>0</v>
      </c>
      <c r="L28" s="2"/>
      <c r="M28" s="20"/>
      <c r="N28" s="20"/>
      <c r="O28" s="34">
        <v>7.5000000000000002E-4</v>
      </c>
      <c r="P28" s="1"/>
      <c r="Q28" s="1"/>
      <c r="R28" s="1"/>
      <c r="S28" s="3"/>
      <c r="T28" s="3"/>
      <c r="U28" s="3"/>
      <c r="V28" s="3">
        <v>4.7999999999999996E-4</v>
      </c>
      <c r="W28" s="3"/>
      <c r="X28" s="3"/>
      <c r="Y28" s="3"/>
      <c r="Z28" t="s">
        <v>356</v>
      </c>
      <c r="AA28" t="s">
        <v>281</v>
      </c>
    </row>
    <row r="29" spans="1:27" x14ac:dyDescent="0.25">
      <c r="A29" s="12">
        <v>127</v>
      </c>
      <c r="B29">
        <v>9</v>
      </c>
      <c r="C29">
        <f t="shared" si="0"/>
        <v>12709</v>
      </c>
      <c r="D29" t="s">
        <v>86</v>
      </c>
      <c r="E29">
        <v>28.717105263157801</v>
      </c>
      <c r="F29">
        <v>48.438538205980002</v>
      </c>
      <c r="G29" t="s">
        <v>259</v>
      </c>
      <c r="H29" t="s">
        <v>258</v>
      </c>
      <c r="I29">
        <v>2013</v>
      </c>
      <c r="J29" s="12" t="s">
        <v>268</v>
      </c>
      <c r="K29" s="2">
        <v>0</v>
      </c>
      <c r="L29" s="2"/>
      <c r="M29" s="20"/>
      <c r="N29" s="20"/>
      <c r="O29" s="34">
        <v>7.7000000000000007E-4</v>
      </c>
      <c r="P29" s="1"/>
      <c r="Q29" s="1"/>
      <c r="R29" s="1"/>
      <c r="S29" s="3"/>
      <c r="T29" s="3"/>
      <c r="U29" s="3"/>
      <c r="V29" s="3">
        <v>4.8999999999999998E-4</v>
      </c>
      <c r="W29" s="3"/>
      <c r="X29" s="3"/>
      <c r="Y29" s="3"/>
      <c r="Z29" t="s">
        <v>356</v>
      </c>
      <c r="AA29" t="s">
        <v>282</v>
      </c>
    </row>
    <row r="30" spans="1:27" x14ac:dyDescent="0.25">
      <c r="A30" s="12">
        <v>127</v>
      </c>
      <c r="B30">
        <v>1</v>
      </c>
      <c r="C30">
        <f t="shared" si="0"/>
        <v>12701</v>
      </c>
      <c r="D30" t="s">
        <v>86</v>
      </c>
      <c r="E30">
        <v>29.627467105263101</v>
      </c>
      <c r="F30">
        <v>48.403654485049799</v>
      </c>
      <c r="G30" t="s">
        <v>259</v>
      </c>
      <c r="H30" t="s">
        <v>258</v>
      </c>
      <c r="I30">
        <v>2010</v>
      </c>
      <c r="J30" s="12" t="s">
        <v>268</v>
      </c>
      <c r="K30" s="2">
        <v>0</v>
      </c>
      <c r="L30" s="2"/>
      <c r="M30" s="20"/>
      <c r="N30" s="20"/>
      <c r="O30" s="8"/>
      <c r="P30" s="1"/>
      <c r="Q30" s="1">
        <v>9</v>
      </c>
      <c r="R30" s="1"/>
      <c r="S30" s="3"/>
      <c r="T30" s="3"/>
      <c r="U30" s="3"/>
      <c r="V30" s="3"/>
      <c r="W30" s="3"/>
      <c r="X30" s="3"/>
      <c r="Y30" s="3"/>
      <c r="Z30" t="s">
        <v>356</v>
      </c>
      <c r="AA30" t="s">
        <v>274</v>
      </c>
    </row>
    <row r="31" spans="1:27" x14ac:dyDescent="0.25">
      <c r="A31" s="12">
        <v>127</v>
      </c>
      <c r="B31">
        <v>2</v>
      </c>
      <c r="C31">
        <f t="shared" si="0"/>
        <v>12702</v>
      </c>
      <c r="D31" t="s">
        <v>86</v>
      </c>
      <c r="E31">
        <v>29.533717105263101</v>
      </c>
      <c r="F31">
        <v>48.027408637873698</v>
      </c>
      <c r="G31" t="s">
        <v>259</v>
      </c>
      <c r="H31" t="s">
        <v>258</v>
      </c>
      <c r="I31">
        <v>2010</v>
      </c>
      <c r="J31" s="12" t="s">
        <v>268</v>
      </c>
      <c r="K31" s="2">
        <v>0</v>
      </c>
      <c r="L31" s="2"/>
      <c r="M31" s="20"/>
      <c r="N31" s="20"/>
      <c r="O31" s="8"/>
      <c r="P31" s="1"/>
      <c r="Q31" s="1">
        <v>8.9</v>
      </c>
      <c r="R31" s="1"/>
      <c r="S31" s="3"/>
      <c r="T31" s="3"/>
      <c r="U31" s="3"/>
      <c r="V31" s="3"/>
      <c r="W31" s="3"/>
      <c r="X31" s="3"/>
      <c r="Y31" s="3"/>
      <c r="Z31" t="s">
        <v>356</v>
      </c>
      <c r="AA31" t="s">
        <v>275</v>
      </c>
    </row>
    <row r="32" spans="1:27" x14ac:dyDescent="0.25">
      <c r="A32" s="12">
        <v>127</v>
      </c>
      <c r="B32">
        <v>3</v>
      </c>
      <c r="C32">
        <f t="shared" si="0"/>
        <v>12703</v>
      </c>
      <c r="D32" t="s">
        <v>86</v>
      </c>
      <c r="E32">
        <v>29.415296052631501</v>
      </c>
      <c r="F32">
        <v>47.800664451827203</v>
      </c>
      <c r="G32" t="s">
        <v>259</v>
      </c>
      <c r="H32" t="s">
        <v>258</v>
      </c>
      <c r="I32">
        <v>2010</v>
      </c>
      <c r="J32" s="12" t="s">
        <v>268</v>
      </c>
      <c r="K32" s="2">
        <v>0</v>
      </c>
      <c r="L32" s="2"/>
      <c r="M32" s="20"/>
      <c r="N32" s="20"/>
      <c r="O32" s="8"/>
      <c r="P32" s="1"/>
      <c r="Q32" s="1">
        <v>9.1999999999999993</v>
      </c>
      <c r="R32" s="1"/>
      <c r="S32" s="3"/>
      <c r="T32" s="3"/>
      <c r="U32" s="3"/>
      <c r="V32" s="3"/>
      <c r="W32" s="3"/>
      <c r="X32" s="3"/>
      <c r="Y32" s="3"/>
      <c r="Z32" t="s">
        <v>356</v>
      </c>
      <c r="AA32" t="s">
        <v>276</v>
      </c>
    </row>
    <row r="33" spans="1:27" x14ac:dyDescent="0.25">
      <c r="A33" s="12">
        <v>127</v>
      </c>
      <c r="B33">
        <v>4</v>
      </c>
      <c r="C33">
        <f t="shared" si="0"/>
        <v>12704</v>
      </c>
      <c r="D33" t="s">
        <v>86</v>
      </c>
      <c r="E33">
        <v>29.361019736842099</v>
      </c>
      <c r="F33">
        <v>48.057308970099598</v>
      </c>
      <c r="G33" t="s">
        <v>259</v>
      </c>
      <c r="H33" t="s">
        <v>258</v>
      </c>
      <c r="I33">
        <v>2010</v>
      </c>
      <c r="J33" s="12" t="s">
        <v>268</v>
      </c>
      <c r="K33" s="2">
        <v>0</v>
      </c>
      <c r="L33" s="2"/>
      <c r="M33" s="20"/>
      <c r="N33" s="20"/>
      <c r="O33" s="8"/>
      <c r="P33" s="1"/>
      <c r="Q33" s="1">
        <v>9.1</v>
      </c>
      <c r="R33" s="1"/>
      <c r="S33" s="3"/>
      <c r="T33" s="3"/>
      <c r="U33" s="3"/>
      <c r="V33" s="3"/>
      <c r="W33" s="3"/>
      <c r="X33" s="3"/>
      <c r="Y33" s="3"/>
      <c r="Z33" t="s">
        <v>356</v>
      </c>
      <c r="AA33" t="s">
        <v>277</v>
      </c>
    </row>
    <row r="34" spans="1:27" x14ac:dyDescent="0.25">
      <c r="A34" s="12">
        <v>127</v>
      </c>
      <c r="B34">
        <v>5</v>
      </c>
      <c r="C34">
        <f t="shared" si="0"/>
        <v>12705</v>
      </c>
      <c r="D34" t="s">
        <v>86</v>
      </c>
      <c r="E34">
        <v>29.422697368421002</v>
      </c>
      <c r="F34">
        <v>48.622923588039797</v>
      </c>
      <c r="G34" t="s">
        <v>259</v>
      </c>
      <c r="H34" t="s">
        <v>258</v>
      </c>
      <c r="I34">
        <v>2010</v>
      </c>
      <c r="J34" s="12" t="s">
        <v>268</v>
      </c>
      <c r="K34" s="2">
        <v>0</v>
      </c>
      <c r="L34" s="2"/>
      <c r="M34" s="20"/>
      <c r="N34" s="20"/>
      <c r="O34" s="8"/>
      <c r="P34" s="1"/>
      <c r="Q34" s="1">
        <v>9.3000000000000007</v>
      </c>
      <c r="R34" s="1"/>
      <c r="S34" s="3"/>
      <c r="T34" s="3"/>
      <c r="U34" s="3"/>
      <c r="V34" s="3"/>
      <c r="W34" s="3"/>
      <c r="X34" s="3"/>
      <c r="Y34" s="3"/>
      <c r="Z34" t="s">
        <v>356</v>
      </c>
      <c r="AA34" t="s">
        <v>278</v>
      </c>
    </row>
    <row r="35" spans="1:27" x14ac:dyDescent="0.25">
      <c r="A35" s="12">
        <v>127</v>
      </c>
      <c r="B35">
        <v>6</v>
      </c>
      <c r="C35">
        <f t="shared" si="0"/>
        <v>12706</v>
      </c>
      <c r="D35" t="s">
        <v>86</v>
      </c>
      <c r="E35">
        <v>29.277138157894701</v>
      </c>
      <c r="F35">
        <v>48.612956810631204</v>
      </c>
      <c r="G35" t="s">
        <v>259</v>
      </c>
      <c r="H35" t="s">
        <v>258</v>
      </c>
      <c r="I35">
        <v>2010</v>
      </c>
      <c r="J35" s="12" t="s">
        <v>268</v>
      </c>
      <c r="K35" s="2">
        <v>0</v>
      </c>
      <c r="L35" s="2"/>
      <c r="M35" s="20"/>
      <c r="N35" s="20"/>
      <c r="O35" s="8"/>
      <c r="P35" s="1"/>
      <c r="Q35" s="1">
        <v>9.1</v>
      </c>
      <c r="R35" s="1"/>
      <c r="S35" s="3"/>
      <c r="T35" s="3"/>
      <c r="U35" s="3"/>
      <c r="V35" s="3"/>
      <c r="W35" s="3"/>
      <c r="X35" s="3"/>
      <c r="Y35" s="3"/>
      <c r="Z35" t="s">
        <v>356</v>
      </c>
      <c r="AA35" t="s">
        <v>279</v>
      </c>
    </row>
    <row r="36" spans="1:27" x14ac:dyDescent="0.25">
      <c r="A36" s="12">
        <v>127</v>
      </c>
      <c r="B36">
        <v>7</v>
      </c>
      <c r="C36">
        <f t="shared" si="0"/>
        <v>12707</v>
      </c>
      <c r="D36" t="s">
        <v>86</v>
      </c>
      <c r="E36">
        <v>29.326480263157801</v>
      </c>
      <c r="F36">
        <v>47.833056478405297</v>
      </c>
      <c r="G36" t="s">
        <v>259</v>
      </c>
      <c r="H36" t="s">
        <v>258</v>
      </c>
      <c r="I36">
        <v>2010</v>
      </c>
      <c r="J36" s="12" t="s">
        <v>268</v>
      </c>
      <c r="K36" s="2">
        <v>0</v>
      </c>
      <c r="L36" s="2"/>
      <c r="M36" s="20"/>
      <c r="N36" s="20"/>
      <c r="O36" s="8"/>
      <c r="P36" s="1"/>
      <c r="Q36" s="1"/>
      <c r="R36" s="1"/>
      <c r="S36" s="3">
        <v>5.3999999999999998E-5</v>
      </c>
      <c r="T36" s="3"/>
      <c r="U36" s="3">
        <v>4.0000000000000003E-5</v>
      </c>
      <c r="V36" s="3"/>
      <c r="W36" s="3"/>
      <c r="X36" s="3"/>
      <c r="Y36" s="3"/>
      <c r="Z36" t="s">
        <v>356</v>
      </c>
      <c r="AA36" t="s">
        <v>280</v>
      </c>
    </row>
    <row r="37" spans="1:27" x14ac:dyDescent="0.25">
      <c r="A37" s="12">
        <v>127</v>
      </c>
      <c r="B37">
        <v>1</v>
      </c>
      <c r="C37">
        <f t="shared" si="0"/>
        <v>12701</v>
      </c>
      <c r="D37" t="s">
        <v>86</v>
      </c>
      <c r="E37">
        <v>29.627467105263101</v>
      </c>
      <c r="F37">
        <v>48.403654485049799</v>
      </c>
      <c r="G37" t="s">
        <v>259</v>
      </c>
      <c r="H37" t="s">
        <v>258</v>
      </c>
      <c r="J37" s="12" t="s">
        <v>344</v>
      </c>
      <c r="K37" s="2">
        <v>0</v>
      </c>
      <c r="L37" s="2"/>
      <c r="M37" s="20">
        <v>17.5</v>
      </c>
      <c r="N37" s="20">
        <v>15.8</v>
      </c>
      <c r="O37" s="8">
        <v>44.3</v>
      </c>
      <c r="P37" s="1"/>
      <c r="Q37" s="1">
        <v>353</v>
      </c>
      <c r="R37" s="1"/>
      <c r="S37" s="3"/>
      <c r="T37" s="3"/>
      <c r="U37" s="3"/>
      <c r="V37" s="3"/>
      <c r="W37" s="3"/>
      <c r="X37" s="3"/>
      <c r="Y37" s="3"/>
      <c r="Z37" t="s">
        <v>356</v>
      </c>
      <c r="AA37" t="s">
        <v>350</v>
      </c>
    </row>
    <row r="38" spans="1:27" x14ac:dyDescent="0.25">
      <c r="A38" s="12">
        <v>127</v>
      </c>
      <c r="B38">
        <v>2</v>
      </c>
      <c r="C38">
        <f t="shared" si="0"/>
        <v>12702</v>
      </c>
      <c r="D38" t="s">
        <v>86</v>
      </c>
      <c r="E38">
        <v>29.533717105263101</v>
      </c>
      <c r="F38">
        <v>48.027408637873698</v>
      </c>
      <c r="G38" t="s">
        <v>259</v>
      </c>
      <c r="H38" t="s">
        <v>258</v>
      </c>
      <c r="J38" s="12" t="s">
        <v>344</v>
      </c>
      <c r="K38" s="2">
        <v>0</v>
      </c>
      <c r="L38" s="2"/>
      <c r="M38" s="20">
        <v>17.3</v>
      </c>
      <c r="N38" s="20">
        <v>15.2</v>
      </c>
      <c r="O38" s="8">
        <v>33.700000000000003</v>
      </c>
      <c r="P38" s="1"/>
      <c r="Q38" s="1">
        <v>405</v>
      </c>
      <c r="R38" s="1"/>
      <c r="S38" s="3"/>
      <c r="T38" s="3"/>
      <c r="U38" s="3"/>
      <c r="V38" s="3"/>
      <c r="W38" s="3"/>
      <c r="X38" s="3"/>
      <c r="Y38" s="3"/>
      <c r="Z38" t="s">
        <v>356</v>
      </c>
      <c r="AA38" t="s">
        <v>351</v>
      </c>
    </row>
    <row r="39" spans="1:27" x14ac:dyDescent="0.25">
      <c r="A39" s="12">
        <v>127</v>
      </c>
      <c r="B39">
        <v>3</v>
      </c>
      <c r="C39">
        <f t="shared" si="0"/>
        <v>12703</v>
      </c>
      <c r="D39" t="s">
        <v>86</v>
      </c>
      <c r="E39">
        <v>29.415296052631501</v>
      </c>
      <c r="F39">
        <v>47.800664451827203</v>
      </c>
      <c r="G39" t="s">
        <v>259</v>
      </c>
      <c r="H39" t="s">
        <v>258</v>
      </c>
      <c r="J39" s="12" t="s">
        <v>344</v>
      </c>
      <c r="K39" s="2">
        <v>0</v>
      </c>
      <c r="L39" s="2"/>
      <c r="M39" s="20">
        <v>17.8</v>
      </c>
      <c r="N39" s="20">
        <v>15.8</v>
      </c>
      <c r="O39" s="8">
        <v>23.6</v>
      </c>
      <c r="P39" s="1"/>
      <c r="Q39" s="1">
        <v>445</v>
      </c>
      <c r="R39" s="1"/>
      <c r="S39" s="3">
        <v>30</v>
      </c>
      <c r="T39" s="3">
        <v>1.26</v>
      </c>
      <c r="U39" s="3">
        <v>31.4</v>
      </c>
      <c r="V39" s="3"/>
      <c r="W39" s="3"/>
      <c r="X39" s="3"/>
      <c r="Y39" s="3"/>
      <c r="Z39" t="s">
        <v>356</v>
      </c>
      <c r="AA39" t="s">
        <v>352</v>
      </c>
    </row>
    <row r="40" spans="1:27" x14ac:dyDescent="0.25">
      <c r="A40" s="12">
        <v>127</v>
      </c>
      <c r="B40">
        <v>4</v>
      </c>
      <c r="C40">
        <f t="shared" si="0"/>
        <v>12704</v>
      </c>
      <c r="D40" t="s">
        <v>86</v>
      </c>
      <c r="E40">
        <v>29.361019736842099</v>
      </c>
      <c r="F40">
        <v>48.057308970099598</v>
      </c>
      <c r="G40" t="s">
        <v>259</v>
      </c>
      <c r="H40" t="s">
        <v>258</v>
      </c>
      <c r="J40" s="12" t="s">
        <v>344</v>
      </c>
      <c r="K40" s="2">
        <v>0</v>
      </c>
      <c r="L40" s="2"/>
      <c r="M40" s="20">
        <v>20.5</v>
      </c>
      <c r="N40" s="20">
        <v>15</v>
      </c>
      <c r="O40" s="8">
        <v>36.5</v>
      </c>
      <c r="P40" s="1"/>
      <c r="Q40" s="1">
        <v>402</v>
      </c>
      <c r="R40" s="1"/>
      <c r="S40" s="3"/>
      <c r="T40" s="3"/>
      <c r="U40" s="3"/>
      <c r="V40" s="3"/>
      <c r="W40" s="3"/>
      <c r="X40" s="3"/>
      <c r="Y40" s="3"/>
      <c r="Z40" t="s">
        <v>356</v>
      </c>
      <c r="AA40" t="s">
        <v>353</v>
      </c>
    </row>
    <row r="41" spans="1:27" x14ac:dyDescent="0.25">
      <c r="A41" s="12">
        <v>127</v>
      </c>
      <c r="B41">
        <v>5</v>
      </c>
      <c r="C41">
        <f t="shared" si="0"/>
        <v>12705</v>
      </c>
      <c r="D41" t="s">
        <v>86</v>
      </c>
      <c r="E41">
        <v>29.422697368421002</v>
      </c>
      <c r="F41">
        <v>48.622923588039797</v>
      </c>
      <c r="G41" t="s">
        <v>259</v>
      </c>
      <c r="H41" t="s">
        <v>258</v>
      </c>
      <c r="J41" s="12" t="s">
        <v>344</v>
      </c>
      <c r="K41" s="2">
        <v>0</v>
      </c>
      <c r="L41" s="2"/>
      <c r="M41" s="20">
        <v>20.100000000000001</v>
      </c>
      <c r="N41" s="20">
        <v>16.399999999999999</v>
      </c>
      <c r="O41" s="8">
        <v>39.5</v>
      </c>
      <c r="P41" s="1"/>
      <c r="Q41" s="1">
        <v>350</v>
      </c>
      <c r="R41" s="1"/>
      <c r="S41" s="3">
        <v>29.7</v>
      </c>
      <c r="T41" s="3">
        <v>1.3</v>
      </c>
      <c r="U41" s="3">
        <v>28.7</v>
      </c>
      <c r="V41" s="3"/>
      <c r="W41" s="3"/>
      <c r="X41" s="3"/>
      <c r="Y41" s="3"/>
      <c r="Z41" t="s">
        <v>356</v>
      </c>
      <c r="AA41" t="s">
        <v>354</v>
      </c>
    </row>
    <row r="42" spans="1:27" x14ac:dyDescent="0.25">
      <c r="A42" s="12">
        <v>127</v>
      </c>
      <c r="B42">
        <v>6</v>
      </c>
      <c r="C42">
        <f t="shared" si="0"/>
        <v>12706</v>
      </c>
      <c r="D42" t="s">
        <v>86</v>
      </c>
      <c r="E42">
        <v>29.277138157894701</v>
      </c>
      <c r="F42">
        <v>48.612956810631204</v>
      </c>
      <c r="G42" t="s">
        <v>259</v>
      </c>
      <c r="H42" t="s">
        <v>258</v>
      </c>
      <c r="J42" s="12" t="s">
        <v>344</v>
      </c>
      <c r="K42" s="2">
        <v>0</v>
      </c>
      <c r="L42" s="2"/>
      <c r="M42" s="20">
        <v>19.600000000000001</v>
      </c>
      <c r="N42" s="20">
        <v>16.100000000000001</v>
      </c>
      <c r="O42" s="8">
        <v>28</v>
      </c>
      <c r="P42" s="1"/>
      <c r="Q42" s="1">
        <v>363</v>
      </c>
      <c r="R42" s="1"/>
      <c r="S42" s="3"/>
      <c r="T42" s="3"/>
      <c r="U42" s="3"/>
      <c r="V42" s="3"/>
      <c r="W42" s="3"/>
      <c r="X42" s="3"/>
      <c r="Y42" s="3"/>
      <c r="Z42" t="s">
        <v>356</v>
      </c>
      <c r="AA42" t="s">
        <v>355</v>
      </c>
    </row>
    <row r="43" spans="1:27" x14ac:dyDescent="0.25">
      <c r="A43" s="12">
        <v>127</v>
      </c>
      <c r="B43">
        <v>10</v>
      </c>
      <c r="C43">
        <f t="shared" si="0"/>
        <v>12710</v>
      </c>
      <c r="D43" s="3" t="s">
        <v>87</v>
      </c>
      <c r="E43" s="11">
        <v>29.042351973684166</v>
      </c>
      <c r="F43" s="11">
        <v>48.18147840531558</v>
      </c>
      <c r="G43" t="s">
        <v>259</v>
      </c>
      <c r="H43" t="s">
        <v>258</v>
      </c>
      <c r="I43" t="s">
        <v>273</v>
      </c>
      <c r="J43" s="12" t="s">
        <v>270</v>
      </c>
      <c r="K43" s="2">
        <v>0</v>
      </c>
      <c r="L43" s="2"/>
      <c r="M43" s="20">
        <v>7.3</v>
      </c>
      <c r="N43" s="20">
        <v>15.8</v>
      </c>
      <c r="O43" s="8"/>
      <c r="P43" s="1"/>
      <c r="Q43" s="1">
        <v>335</v>
      </c>
      <c r="R43" s="1">
        <v>6.6</v>
      </c>
      <c r="S43" s="3"/>
      <c r="T43" s="3"/>
      <c r="U43" s="3"/>
      <c r="V43" s="3">
        <v>3.2</v>
      </c>
      <c r="W43" s="3"/>
      <c r="X43" s="3"/>
      <c r="Y43" s="3"/>
      <c r="Z43" t="s">
        <v>356</v>
      </c>
      <c r="AA43" t="s">
        <v>283</v>
      </c>
    </row>
    <row r="44" spans="1:27" x14ac:dyDescent="0.25">
      <c r="A44" s="12">
        <v>127</v>
      </c>
      <c r="B44">
        <v>10</v>
      </c>
      <c r="C44">
        <f t="shared" si="0"/>
        <v>12710</v>
      </c>
      <c r="D44" s="3" t="s">
        <v>87</v>
      </c>
      <c r="E44" s="11">
        <v>29.042351973684166</v>
      </c>
      <c r="F44" s="11">
        <v>48.18147840531558</v>
      </c>
      <c r="G44" t="s">
        <v>259</v>
      </c>
      <c r="H44" t="s">
        <v>258</v>
      </c>
      <c r="I44" t="s">
        <v>273</v>
      </c>
      <c r="J44" t="s">
        <v>284</v>
      </c>
      <c r="K44" s="2">
        <v>0</v>
      </c>
      <c r="L44" s="2"/>
      <c r="M44" s="20">
        <v>1.3</v>
      </c>
      <c r="N44" s="20">
        <v>1.7</v>
      </c>
      <c r="O44" s="8"/>
      <c r="P44" s="1"/>
      <c r="Q44" s="1">
        <v>279</v>
      </c>
      <c r="R44" s="1">
        <v>0.8</v>
      </c>
      <c r="S44" s="3"/>
      <c r="T44" s="3"/>
      <c r="U44" s="3"/>
      <c r="V44" s="3">
        <v>1.94</v>
      </c>
      <c r="W44" s="3"/>
      <c r="X44" s="3"/>
      <c r="Y44" s="3"/>
      <c r="Z44" t="s">
        <v>356</v>
      </c>
      <c r="AA44" t="s">
        <v>283</v>
      </c>
    </row>
    <row r="45" spans="1:27" x14ac:dyDescent="0.25">
      <c r="A45" s="12">
        <v>127</v>
      </c>
      <c r="B45">
        <v>10</v>
      </c>
      <c r="C45">
        <f t="shared" si="0"/>
        <v>12710</v>
      </c>
      <c r="D45" s="3" t="s">
        <v>87</v>
      </c>
      <c r="E45" s="11">
        <v>29.042351973684166</v>
      </c>
      <c r="F45" s="11">
        <v>48.18147840531558</v>
      </c>
      <c r="G45" t="s">
        <v>259</v>
      </c>
      <c r="H45" t="s">
        <v>258</v>
      </c>
      <c r="I45" t="s">
        <v>273</v>
      </c>
      <c r="J45" t="s">
        <v>285</v>
      </c>
      <c r="K45" s="2">
        <v>0</v>
      </c>
      <c r="L45" s="2"/>
      <c r="M45" s="20">
        <v>5</v>
      </c>
      <c r="N45" s="20">
        <v>9.9</v>
      </c>
      <c r="O45" s="8"/>
      <c r="P45" s="1"/>
      <c r="Q45" s="1">
        <v>383</v>
      </c>
      <c r="R45" s="1">
        <v>2.2599999999999998</v>
      </c>
      <c r="S45" s="3"/>
      <c r="T45" s="3"/>
      <c r="U45" s="3"/>
      <c r="V45" s="3">
        <v>3.08</v>
      </c>
      <c r="W45" s="3"/>
      <c r="X45" s="3"/>
      <c r="Y45" s="3"/>
      <c r="Z45" t="s">
        <v>356</v>
      </c>
      <c r="AA45" t="s">
        <v>283</v>
      </c>
    </row>
    <row r="46" spans="1:27" x14ac:dyDescent="0.25">
      <c r="A46" s="12">
        <v>127</v>
      </c>
      <c r="B46">
        <v>10</v>
      </c>
      <c r="C46">
        <f t="shared" si="0"/>
        <v>12710</v>
      </c>
      <c r="D46" s="3" t="s">
        <v>87</v>
      </c>
      <c r="E46" s="11">
        <v>29.042351973684166</v>
      </c>
      <c r="F46" s="11">
        <v>48.18147840531558</v>
      </c>
      <c r="G46" t="s">
        <v>259</v>
      </c>
      <c r="H46" t="s">
        <v>258</v>
      </c>
      <c r="I46" t="s">
        <v>273</v>
      </c>
      <c r="J46" t="s">
        <v>286</v>
      </c>
      <c r="K46" s="2">
        <v>0</v>
      </c>
      <c r="L46" s="2"/>
      <c r="M46" s="20">
        <v>1.1499999999999999</v>
      </c>
      <c r="N46" s="20" t="s">
        <v>14</v>
      </c>
      <c r="O46" s="8"/>
      <c r="P46" s="1"/>
      <c r="Q46" s="1">
        <v>412</v>
      </c>
      <c r="R46" s="1" t="s">
        <v>14</v>
      </c>
      <c r="S46" s="3"/>
      <c r="T46" s="3"/>
      <c r="U46" s="3"/>
      <c r="V46" s="3">
        <v>0.88</v>
      </c>
      <c r="W46" s="3"/>
      <c r="X46" s="3"/>
      <c r="Y46" s="3"/>
      <c r="Z46" t="s">
        <v>356</v>
      </c>
      <c r="AA46" t="s">
        <v>283</v>
      </c>
    </row>
    <row r="47" spans="1:27" x14ac:dyDescent="0.25">
      <c r="A47" s="12">
        <v>127</v>
      </c>
      <c r="B47">
        <v>10</v>
      </c>
      <c r="C47">
        <f t="shared" si="0"/>
        <v>12710</v>
      </c>
      <c r="D47" s="3" t="s">
        <v>87</v>
      </c>
      <c r="E47" s="11">
        <v>29.042351973684166</v>
      </c>
      <c r="F47" s="11">
        <v>48.18147840531558</v>
      </c>
      <c r="G47" t="s">
        <v>259</v>
      </c>
      <c r="H47" t="s">
        <v>258</v>
      </c>
      <c r="I47" t="s">
        <v>273</v>
      </c>
      <c r="J47" t="s">
        <v>287</v>
      </c>
      <c r="K47" s="2">
        <v>0</v>
      </c>
      <c r="L47" s="2"/>
      <c r="M47" s="20">
        <v>0.7</v>
      </c>
      <c r="N47" s="20">
        <v>1.2</v>
      </c>
      <c r="O47" s="8"/>
      <c r="P47" s="1"/>
      <c r="Q47" s="1">
        <v>477</v>
      </c>
      <c r="R47" s="1">
        <v>0.5</v>
      </c>
      <c r="S47" s="3"/>
      <c r="T47" s="3"/>
      <c r="U47" s="3"/>
      <c r="V47" s="3">
        <v>1.44</v>
      </c>
      <c r="W47" s="3"/>
      <c r="X47" s="3"/>
      <c r="Y47" s="3"/>
      <c r="Z47" t="s">
        <v>356</v>
      </c>
      <c r="AA47" t="s">
        <v>283</v>
      </c>
    </row>
    <row r="48" spans="1:27" x14ac:dyDescent="0.25">
      <c r="A48" s="12">
        <v>127</v>
      </c>
      <c r="B48">
        <v>10</v>
      </c>
      <c r="C48">
        <f t="shared" si="0"/>
        <v>12710</v>
      </c>
      <c r="D48" s="3" t="s">
        <v>87</v>
      </c>
      <c r="E48" s="11">
        <v>29.042351973684166</v>
      </c>
      <c r="F48" s="11">
        <v>48.18147840531558</v>
      </c>
      <c r="G48" t="s">
        <v>259</v>
      </c>
      <c r="H48" t="s">
        <v>258</v>
      </c>
      <c r="I48" t="s">
        <v>273</v>
      </c>
      <c r="J48" t="s">
        <v>288</v>
      </c>
      <c r="K48" s="2">
        <v>0</v>
      </c>
      <c r="L48" s="2"/>
      <c r="M48" s="20">
        <v>1.1000000000000001</v>
      </c>
      <c r="N48" s="20">
        <v>2.4</v>
      </c>
      <c r="O48" s="8"/>
      <c r="P48" s="1"/>
      <c r="Q48" s="1">
        <v>230</v>
      </c>
      <c r="R48" s="1">
        <v>1.46</v>
      </c>
      <c r="S48" s="3"/>
      <c r="T48" s="3"/>
      <c r="U48" s="3"/>
      <c r="V48" s="3">
        <v>4.26</v>
      </c>
      <c r="W48" s="3"/>
      <c r="X48" s="3"/>
      <c r="Y48" s="3"/>
      <c r="Z48" t="s">
        <v>356</v>
      </c>
      <c r="AA48" t="s">
        <v>283</v>
      </c>
    </row>
    <row r="49" spans="1:27" x14ac:dyDescent="0.25">
      <c r="A49" s="12">
        <v>127</v>
      </c>
      <c r="B49">
        <v>10</v>
      </c>
      <c r="C49">
        <f t="shared" si="0"/>
        <v>12710</v>
      </c>
      <c r="D49" s="3" t="s">
        <v>87</v>
      </c>
      <c r="E49" s="11">
        <v>29.042351973684166</v>
      </c>
      <c r="F49" s="11">
        <v>48.18147840531558</v>
      </c>
      <c r="G49" t="s">
        <v>259</v>
      </c>
      <c r="H49" t="s">
        <v>258</v>
      </c>
      <c r="I49" t="s">
        <v>273</v>
      </c>
      <c r="J49" t="s">
        <v>288</v>
      </c>
      <c r="K49" s="2">
        <v>0</v>
      </c>
      <c r="L49" s="2"/>
      <c r="M49" s="20"/>
      <c r="N49" s="20"/>
      <c r="O49" s="8"/>
      <c r="P49" s="1"/>
      <c r="Q49" s="1"/>
      <c r="R49" s="1"/>
      <c r="S49" s="3"/>
      <c r="T49" s="3"/>
      <c r="U49" s="3"/>
      <c r="V49" s="3">
        <v>3.3</v>
      </c>
      <c r="W49" s="3"/>
      <c r="X49" s="3"/>
      <c r="Y49" s="3"/>
      <c r="Z49" t="s">
        <v>356</v>
      </c>
      <c r="AA49" t="s">
        <v>294</v>
      </c>
    </row>
    <row r="50" spans="1:27" x14ac:dyDescent="0.25">
      <c r="A50" s="12">
        <v>127</v>
      </c>
      <c r="B50">
        <v>10</v>
      </c>
      <c r="C50">
        <f t="shared" si="0"/>
        <v>12710</v>
      </c>
      <c r="D50" s="3" t="s">
        <v>87</v>
      </c>
      <c r="E50" s="11">
        <v>29.042351973684166</v>
      </c>
      <c r="F50" s="11">
        <v>48.18147840531558</v>
      </c>
      <c r="G50" t="s">
        <v>259</v>
      </c>
      <c r="H50" t="s">
        <v>258</v>
      </c>
      <c r="I50" t="s">
        <v>273</v>
      </c>
      <c r="J50" t="s">
        <v>285</v>
      </c>
      <c r="K50" s="2">
        <v>0</v>
      </c>
      <c r="L50" s="2"/>
      <c r="M50" s="20"/>
      <c r="N50" s="20"/>
      <c r="O50" s="8"/>
      <c r="P50" s="1"/>
      <c r="Q50" s="1"/>
      <c r="R50" s="1"/>
      <c r="S50" s="3"/>
      <c r="T50" s="3"/>
      <c r="U50" s="3"/>
      <c r="V50" s="3">
        <v>2.4</v>
      </c>
      <c r="W50" s="3"/>
      <c r="X50" s="3"/>
      <c r="Y50" s="3"/>
      <c r="Z50" t="s">
        <v>356</v>
      </c>
      <c r="AA50" t="s">
        <v>294</v>
      </c>
    </row>
    <row r="51" spans="1:27" x14ac:dyDescent="0.25">
      <c r="A51" s="12">
        <v>127</v>
      </c>
      <c r="B51">
        <v>10</v>
      </c>
      <c r="C51">
        <f t="shared" si="0"/>
        <v>12710</v>
      </c>
      <c r="D51" s="3" t="s">
        <v>87</v>
      </c>
      <c r="E51" s="11">
        <v>29.042351973684166</v>
      </c>
      <c r="F51" s="11">
        <v>48.18147840531558</v>
      </c>
      <c r="G51" t="s">
        <v>259</v>
      </c>
      <c r="H51" t="s">
        <v>258</v>
      </c>
      <c r="I51" t="s">
        <v>273</v>
      </c>
      <c r="J51" t="s">
        <v>290</v>
      </c>
      <c r="K51" s="2">
        <v>0</v>
      </c>
      <c r="L51" s="2"/>
      <c r="M51" s="20"/>
      <c r="N51" s="20"/>
      <c r="O51" s="8"/>
      <c r="P51" s="1"/>
      <c r="Q51" s="1"/>
      <c r="R51" s="1"/>
      <c r="S51" s="3"/>
      <c r="T51" s="3"/>
      <c r="U51" s="3"/>
      <c r="V51" s="3">
        <v>8.8999999999999996E-2</v>
      </c>
      <c r="W51" s="3"/>
      <c r="X51" s="3"/>
      <c r="Y51" s="3"/>
      <c r="Z51" t="s">
        <v>356</v>
      </c>
      <c r="AA51" t="s">
        <v>294</v>
      </c>
    </row>
    <row r="52" spans="1:27" x14ac:dyDescent="0.25">
      <c r="A52" s="12">
        <v>127</v>
      </c>
      <c r="B52">
        <v>10</v>
      </c>
      <c r="C52">
        <f t="shared" si="0"/>
        <v>12710</v>
      </c>
      <c r="D52" s="3" t="s">
        <v>87</v>
      </c>
      <c r="E52" s="11">
        <v>29.042351973684166</v>
      </c>
      <c r="F52" s="11">
        <v>48.18147840531558</v>
      </c>
      <c r="G52" t="s">
        <v>259</v>
      </c>
      <c r="H52" t="s">
        <v>258</v>
      </c>
      <c r="I52" t="s">
        <v>273</v>
      </c>
      <c r="J52" t="s">
        <v>291</v>
      </c>
      <c r="K52" s="2">
        <v>0</v>
      </c>
      <c r="L52" s="2"/>
      <c r="M52" s="20"/>
      <c r="N52" s="20"/>
      <c r="O52" s="8"/>
      <c r="P52" s="1"/>
      <c r="Q52" s="1"/>
      <c r="R52" s="1"/>
      <c r="S52" s="3"/>
      <c r="T52" s="3"/>
      <c r="U52" s="3"/>
      <c r="V52" s="3">
        <v>1.6040000000000001</v>
      </c>
      <c r="W52" s="3"/>
      <c r="X52" s="3"/>
      <c r="Y52" s="3"/>
      <c r="Z52" t="s">
        <v>356</v>
      </c>
      <c r="AA52" t="s">
        <v>294</v>
      </c>
    </row>
    <row r="53" spans="1:27" x14ac:dyDescent="0.25">
      <c r="A53" s="12">
        <v>127</v>
      </c>
      <c r="B53">
        <v>10</v>
      </c>
      <c r="C53">
        <f t="shared" si="0"/>
        <v>12710</v>
      </c>
      <c r="D53" s="3" t="s">
        <v>87</v>
      </c>
      <c r="E53" s="11">
        <v>29.042351973684166</v>
      </c>
      <c r="F53" s="11">
        <v>48.18147840531558</v>
      </c>
      <c r="G53" t="s">
        <v>259</v>
      </c>
      <c r="H53" t="s">
        <v>258</v>
      </c>
      <c r="I53" t="s">
        <v>273</v>
      </c>
      <c r="J53" t="s">
        <v>270</v>
      </c>
      <c r="K53" s="2">
        <v>0</v>
      </c>
      <c r="L53" s="2"/>
      <c r="M53" s="20"/>
      <c r="N53" s="20"/>
      <c r="O53" s="8"/>
      <c r="P53" s="1"/>
      <c r="Q53" s="1"/>
      <c r="R53" s="1"/>
      <c r="S53" s="3"/>
      <c r="T53" s="3"/>
      <c r="U53" s="3"/>
      <c r="V53" s="3">
        <v>2.29</v>
      </c>
      <c r="W53" s="3"/>
      <c r="X53" s="3"/>
      <c r="Y53" s="3"/>
      <c r="Z53" t="s">
        <v>356</v>
      </c>
      <c r="AA53" t="s">
        <v>294</v>
      </c>
    </row>
    <row r="54" spans="1:27" x14ac:dyDescent="0.25">
      <c r="A54" s="12">
        <v>127</v>
      </c>
      <c r="B54">
        <v>10</v>
      </c>
      <c r="C54">
        <f t="shared" si="0"/>
        <v>12710</v>
      </c>
      <c r="D54" s="3" t="s">
        <v>87</v>
      </c>
      <c r="E54" s="11">
        <v>29.042351973684166</v>
      </c>
      <c r="F54" s="11">
        <v>48.18147840531558</v>
      </c>
      <c r="G54" t="s">
        <v>259</v>
      </c>
      <c r="H54" t="s">
        <v>258</v>
      </c>
      <c r="I54" t="s">
        <v>273</v>
      </c>
      <c r="J54" t="s">
        <v>292</v>
      </c>
      <c r="K54" s="2">
        <v>0</v>
      </c>
      <c r="L54" s="2"/>
      <c r="M54" s="20"/>
      <c r="N54" s="20"/>
      <c r="O54" s="8"/>
      <c r="P54" s="1"/>
      <c r="Q54" s="1"/>
      <c r="R54" s="1"/>
      <c r="S54" s="3"/>
      <c r="T54" s="3"/>
      <c r="U54" s="3"/>
      <c r="V54" s="3">
        <v>0.373</v>
      </c>
      <c r="W54" s="3"/>
      <c r="X54" s="3"/>
      <c r="Y54" s="3"/>
      <c r="Z54" t="s">
        <v>356</v>
      </c>
      <c r="AA54" t="s">
        <v>294</v>
      </c>
    </row>
    <row r="55" spans="1:27" x14ac:dyDescent="0.25">
      <c r="A55" s="12">
        <v>127</v>
      </c>
      <c r="B55">
        <v>10</v>
      </c>
      <c r="C55">
        <f t="shared" si="0"/>
        <v>12710</v>
      </c>
      <c r="D55" s="3" t="s">
        <v>87</v>
      </c>
      <c r="E55" s="11">
        <v>29.042351973684166</v>
      </c>
      <c r="F55" s="11">
        <v>48.18147840531558</v>
      </c>
      <c r="G55" t="s">
        <v>259</v>
      </c>
      <c r="H55" t="s">
        <v>258</v>
      </c>
      <c r="I55" t="s">
        <v>273</v>
      </c>
      <c r="J55" t="s">
        <v>287</v>
      </c>
      <c r="K55" s="2">
        <v>0</v>
      </c>
      <c r="L55" s="2"/>
      <c r="M55" s="20"/>
      <c r="N55" s="20"/>
      <c r="O55" s="8"/>
      <c r="P55" s="1"/>
      <c r="Q55" s="1"/>
      <c r="R55" s="1"/>
      <c r="S55" s="3"/>
      <c r="T55" s="3"/>
      <c r="U55" s="3"/>
      <c r="V55" s="3">
        <v>0.66600000000000004</v>
      </c>
      <c r="W55" s="3"/>
      <c r="X55" s="3"/>
      <c r="Y55" s="3"/>
      <c r="Z55" t="s">
        <v>356</v>
      </c>
      <c r="AA55" t="s">
        <v>294</v>
      </c>
    </row>
    <row r="56" spans="1:27" x14ac:dyDescent="0.25">
      <c r="A56" s="12">
        <v>127</v>
      </c>
      <c r="B56">
        <v>10</v>
      </c>
      <c r="C56">
        <f t="shared" si="0"/>
        <v>12710</v>
      </c>
      <c r="D56" s="3" t="s">
        <v>87</v>
      </c>
      <c r="E56" s="11">
        <v>29.042351973684166</v>
      </c>
      <c r="F56" s="11">
        <v>48.18147840531558</v>
      </c>
      <c r="G56" t="s">
        <v>259</v>
      </c>
      <c r="H56" t="s">
        <v>258</v>
      </c>
      <c r="I56" t="s">
        <v>273</v>
      </c>
      <c r="J56" t="s">
        <v>284</v>
      </c>
      <c r="K56" s="2">
        <v>0</v>
      </c>
      <c r="L56" s="2"/>
      <c r="M56" s="20"/>
      <c r="N56" s="20"/>
      <c r="O56" s="8"/>
      <c r="P56" s="1"/>
      <c r="Q56" s="1"/>
      <c r="R56" s="1"/>
      <c r="S56" s="3"/>
      <c r="T56" s="3"/>
      <c r="U56" s="3"/>
      <c r="V56" s="3">
        <v>1.46</v>
      </c>
      <c r="W56" s="3"/>
      <c r="X56" s="3"/>
      <c r="Y56" s="3"/>
      <c r="Z56" t="s">
        <v>356</v>
      </c>
      <c r="AA56" t="s">
        <v>294</v>
      </c>
    </row>
    <row r="57" spans="1:27" x14ac:dyDescent="0.25">
      <c r="A57" s="12">
        <v>127</v>
      </c>
      <c r="B57">
        <v>10</v>
      </c>
      <c r="C57">
        <f t="shared" si="0"/>
        <v>12710</v>
      </c>
      <c r="D57" s="3" t="s">
        <v>87</v>
      </c>
      <c r="E57" s="11">
        <v>29.042351973684166</v>
      </c>
      <c r="F57" s="11">
        <v>48.18147840531558</v>
      </c>
      <c r="G57" t="s">
        <v>259</v>
      </c>
      <c r="H57" t="s">
        <v>258</v>
      </c>
      <c r="I57" t="s">
        <v>273</v>
      </c>
      <c r="J57" t="s">
        <v>286</v>
      </c>
      <c r="K57" s="2">
        <v>0</v>
      </c>
      <c r="L57" s="2"/>
      <c r="M57" s="20"/>
      <c r="N57" s="20"/>
      <c r="O57" s="8"/>
      <c r="P57" s="1"/>
      <c r="Q57" s="1"/>
      <c r="R57" s="1"/>
      <c r="S57" s="3"/>
      <c r="T57" s="3"/>
      <c r="U57" s="3"/>
      <c r="V57" s="3">
        <v>0.69</v>
      </c>
      <c r="W57" s="3"/>
      <c r="X57" s="3"/>
      <c r="Y57" s="3"/>
      <c r="Z57" t="s">
        <v>356</v>
      </c>
      <c r="AA57" t="s">
        <v>294</v>
      </c>
    </row>
    <row r="58" spans="1:27" x14ac:dyDescent="0.25">
      <c r="A58" s="12">
        <v>127</v>
      </c>
      <c r="B58">
        <v>10</v>
      </c>
      <c r="C58">
        <f t="shared" si="0"/>
        <v>12710</v>
      </c>
      <c r="D58" s="3" t="s">
        <v>87</v>
      </c>
      <c r="E58" s="11">
        <v>29.042351973684166</v>
      </c>
      <c r="F58" s="11">
        <v>48.18147840531558</v>
      </c>
      <c r="G58" t="s">
        <v>259</v>
      </c>
      <c r="H58" t="s">
        <v>258</v>
      </c>
      <c r="I58" t="s">
        <v>273</v>
      </c>
      <c r="J58" t="s">
        <v>293</v>
      </c>
      <c r="K58" s="2">
        <v>0</v>
      </c>
      <c r="L58" s="2"/>
      <c r="M58" s="20"/>
      <c r="N58" s="20"/>
      <c r="O58" s="8"/>
      <c r="P58" s="1"/>
      <c r="Q58" s="1"/>
      <c r="R58" s="1"/>
      <c r="S58" s="3"/>
      <c r="T58" s="3"/>
      <c r="U58" s="3"/>
      <c r="V58" s="3">
        <v>2.544</v>
      </c>
      <c r="W58" s="3"/>
      <c r="X58" s="3"/>
      <c r="Y58" s="3"/>
      <c r="Z58" t="s">
        <v>356</v>
      </c>
      <c r="AA58" t="s">
        <v>294</v>
      </c>
    </row>
    <row r="59" spans="1:27" x14ac:dyDescent="0.25">
      <c r="A59" s="12">
        <v>127</v>
      </c>
      <c r="B59">
        <v>10</v>
      </c>
      <c r="C59">
        <f t="shared" si="0"/>
        <v>12710</v>
      </c>
      <c r="D59" s="3" t="s">
        <v>87</v>
      </c>
      <c r="E59" s="11">
        <v>29.042351973684166</v>
      </c>
      <c r="F59" s="11">
        <v>48.18147840531558</v>
      </c>
      <c r="G59" t="s">
        <v>259</v>
      </c>
      <c r="H59" t="s">
        <v>258</v>
      </c>
      <c r="I59" t="s">
        <v>273</v>
      </c>
      <c r="J59" t="s">
        <v>289</v>
      </c>
      <c r="K59" s="2">
        <v>0</v>
      </c>
      <c r="L59" s="2" t="s">
        <v>308</v>
      </c>
      <c r="M59" s="20"/>
      <c r="N59" s="20"/>
      <c r="O59" s="8"/>
      <c r="P59" s="1"/>
      <c r="Q59" s="1"/>
      <c r="R59" s="1"/>
      <c r="S59" s="3"/>
      <c r="T59" s="3"/>
      <c r="U59" s="3"/>
      <c r="V59" s="3">
        <v>6.5000000000000002E-2</v>
      </c>
      <c r="W59" s="3"/>
      <c r="X59" s="3"/>
      <c r="Y59" s="3"/>
      <c r="Z59" t="s">
        <v>356</v>
      </c>
      <c r="AA59" t="s">
        <v>318</v>
      </c>
    </row>
    <row r="60" spans="1:27" x14ac:dyDescent="0.25">
      <c r="A60" s="12">
        <v>127</v>
      </c>
      <c r="B60">
        <v>10</v>
      </c>
      <c r="C60">
        <f t="shared" si="0"/>
        <v>12710</v>
      </c>
      <c r="D60" s="3" t="s">
        <v>87</v>
      </c>
      <c r="E60" s="11">
        <v>29.042351973684166</v>
      </c>
      <c r="F60" s="11">
        <v>48.18147840531558</v>
      </c>
      <c r="G60" t="s">
        <v>259</v>
      </c>
      <c r="H60" t="s">
        <v>258</v>
      </c>
      <c r="I60" t="s">
        <v>273</v>
      </c>
      <c r="J60" t="s">
        <v>289</v>
      </c>
      <c r="K60" s="2">
        <v>0</v>
      </c>
      <c r="L60" s="2" t="s">
        <v>309</v>
      </c>
      <c r="M60" s="20"/>
      <c r="N60" s="20"/>
      <c r="O60" s="8"/>
      <c r="P60" s="1"/>
      <c r="Q60" s="1"/>
      <c r="R60" s="1"/>
      <c r="S60" s="3"/>
      <c r="T60" s="3"/>
      <c r="U60" s="3"/>
      <c r="V60" s="3">
        <v>2.395</v>
      </c>
      <c r="W60" s="3"/>
      <c r="X60" s="3"/>
      <c r="Y60" s="3"/>
      <c r="Z60" t="s">
        <v>356</v>
      </c>
      <c r="AA60" t="s">
        <v>318</v>
      </c>
    </row>
    <row r="61" spans="1:27" x14ac:dyDescent="0.25">
      <c r="A61" s="12">
        <v>127</v>
      </c>
      <c r="B61">
        <v>10</v>
      </c>
      <c r="C61">
        <f t="shared" si="0"/>
        <v>12710</v>
      </c>
      <c r="D61" s="3" t="s">
        <v>87</v>
      </c>
      <c r="E61" s="11">
        <v>29.042351973684166</v>
      </c>
      <c r="F61" s="11">
        <v>48.18147840531558</v>
      </c>
      <c r="G61" t="s">
        <v>259</v>
      </c>
      <c r="H61" t="s">
        <v>258</v>
      </c>
      <c r="I61" t="s">
        <v>273</v>
      </c>
      <c r="J61" t="s">
        <v>289</v>
      </c>
      <c r="K61" s="2">
        <v>0</v>
      </c>
      <c r="L61" s="2" t="s">
        <v>310</v>
      </c>
      <c r="M61" s="20"/>
      <c r="N61" s="20"/>
      <c r="O61" s="8"/>
      <c r="P61" s="1"/>
      <c r="Q61" s="1"/>
      <c r="R61" s="1"/>
      <c r="S61" s="3"/>
      <c r="T61" s="3"/>
      <c r="U61" s="3"/>
      <c r="V61" s="3">
        <v>3.73</v>
      </c>
      <c r="W61" s="3"/>
      <c r="X61" s="3"/>
      <c r="Y61" s="3"/>
      <c r="Z61" t="s">
        <v>356</v>
      </c>
      <c r="AA61" t="s">
        <v>318</v>
      </c>
    </row>
    <row r="62" spans="1:27" x14ac:dyDescent="0.25">
      <c r="A62" s="12">
        <v>127</v>
      </c>
      <c r="B62">
        <v>10</v>
      </c>
      <c r="C62">
        <f t="shared" si="0"/>
        <v>12710</v>
      </c>
      <c r="D62" s="3" t="s">
        <v>87</v>
      </c>
      <c r="E62" s="11">
        <v>29.042351973684166</v>
      </c>
      <c r="F62" s="11">
        <v>48.18147840531558</v>
      </c>
      <c r="G62" t="s">
        <v>259</v>
      </c>
      <c r="H62" t="s">
        <v>258</v>
      </c>
      <c r="I62" t="s">
        <v>273</v>
      </c>
      <c r="J62" t="s">
        <v>289</v>
      </c>
      <c r="K62" s="2">
        <v>0</v>
      </c>
      <c r="L62" s="2" t="s">
        <v>311</v>
      </c>
      <c r="M62" s="20"/>
      <c r="N62" s="20"/>
      <c r="O62" s="8"/>
      <c r="P62" s="1"/>
      <c r="Q62" s="1"/>
      <c r="R62" s="1"/>
      <c r="S62" s="3"/>
      <c r="T62" s="3"/>
      <c r="U62" s="3"/>
      <c r="V62" s="3">
        <v>2.375</v>
      </c>
      <c r="W62" s="3"/>
      <c r="X62" s="3"/>
      <c r="Y62" s="3"/>
      <c r="Z62" t="s">
        <v>356</v>
      </c>
      <c r="AA62" t="s">
        <v>318</v>
      </c>
    </row>
    <row r="63" spans="1:27" x14ac:dyDescent="0.25">
      <c r="A63" s="12">
        <v>127</v>
      </c>
      <c r="B63">
        <v>10</v>
      </c>
      <c r="C63">
        <f t="shared" si="0"/>
        <v>12710</v>
      </c>
      <c r="D63" s="3" t="s">
        <v>87</v>
      </c>
      <c r="E63" s="11">
        <v>29.042351973684166</v>
      </c>
      <c r="F63" s="11">
        <v>48.18147840531558</v>
      </c>
      <c r="G63" t="s">
        <v>259</v>
      </c>
      <c r="H63" t="s">
        <v>258</v>
      </c>
      <c r="I63" t="s">
        <v>273</v>
      </c>
      <c r="J63" t="s">
        <v>272</v>
      </c>
      <c r="K63" s="2">
        <v>0</v>
      </c>
      <c r="L63" s="2" t="s">
        <v>308</v>
      </c>
      <c r="M63" s="20"/>
      <c r="N63" s="20"/>
      <c r="O63" s="8"/>
      <c r="P63" s="1"/>
      <c r="Q63" s="1"/>
      <c r="R63" s="1"/>
      <c r="S63" s="3"/>
      <c r="T63" s="3"/>
      <c r="U63" s="3"/>
      <c r="V63" s="3">
        <v>0.20500000000000002</v>
      </c>
      <c r="W63" s="3"/>
      <c r="X63" s="3"/>
      <c r="Y63" s="3"/>
      <c r="Z63" t="s">
        <v>356</v>
      </c>
      <c r="AA63" t="s">
        <v>318</v>
      </c>
    </row>
    <row r="64" spans="1:27" x14ac:dyDescent="0.25">
      <c r="A64" s="12">
        <v>127</v>
      </c>
      <c r="B64">
        <v>10</v>
      </c>
      <c r="C64">
        <f t="shared" si="0"/>
        <v>12710</v>
      </c>
      <c r="D64" s="3" t="s">
        <v>87</v>
      </c>
      <c r="E64" s="11">
        <v>29.042351973684166</v>
      </c>
      <c r="F64" s="11">
        <v>48.18147840531558</v>
      </c>
      <c r="G64" t="s">
        <v>259</v>
      </c>
      <c r="H64" t="s">
        <v>258</v>
      </c>
      <c r="I64" t="s">
        <v>273</v>
      </c>
      <c r="J64" t="s">
        <v>272</v>
      </c>
      <c r="K64" s="2">
        <v>0</v>
      </c>
      <c r="L64" s="2" t="s">
        <v>309</v>
      </c>
      <c r="M64" s="20"/>
      <c r="N64" s="20"/>
      <c r="O64" s="8"/>
      <c r="P64" s="1"/>
      <c r="Q64" s="1"/>
      <c r="R64" s="1"/>
      <c r="S64" s="3"/>
      <c r="T64" s="3"/>
      <c r="U64" s="3"/>
      <c r="V64" s="3">
        <v>3.58</v>
      </c>
      <c r="W64" s="3"/>
      <c r="X64" s="3"/>
      <c r="Y64" s="3"/>
      <c r="Z64" t="s">
        <v>356</v>
      </c>
      <c r="AA64" t="s">
        <v>318</v>
      </c>
    </row>
    <row r="65" spans="1:27" x14ac:dyDescent="0.25">
      <c r="A65" s="12">
        <v>127</v>
      </c>
      <c r="B65">
        <v>10</v>
      </c>
      <c r="C65">
        <f t="shared" si="0"/>
        <v>12710</v>
      </c>
      <c r="D65" s="3" t="s">
        <v>87</v>
      </c>
      <c r="E65" s="11">
        <v>29.042351973684166</v>
      </c>
      <c r="F65" s="11">
        <v>48.18147840531558</v>
      </c>
      <c r="G65" t="s">
        <v>259</v>
      </c>
      <c r="H65" t="s">
        <v>258</v>
      </c>
      <c r="I65" t="s">
        <v>273</v>
      </c>
      <c r="J65" t="s">
        <v>272</v>
      </c>
      <c r="K65" s="2">
        <v>0</v>
      </c>
      <c r="L65" s="2" t="s">
        <v>310</v>
      </c>
      <c r="M65" s="20"/>
      <c r="N65" s="20"/>
      <c r="O65" s="8"/>
      <c r="P65" s="1"/>
      <c r="Q65" s="1"/>
      <c r="R65" s="1"/>
      <c r="S65" s="3"/>
      <c r="T65" s="3"/>
      <c r="U65" s="3"/>
      <c r="V65" s="3">
        <v>4.91</v>
      </c>
      <c r="W65" s="3"/>
      <c r="X65" s="3"/>
      <c r="Y65" s="3"/>
      <c r="Z65" t="s">
        <v>356</v>
      </c>
      <c r="AA65" t="s">
        <v>318</v>
      </c>
    </row>
    <row r="66" spans="1:27" x14ac:dyDescent="0.25">
      <c r="A66" s="12">
        <v>127</v>
      </c>
      <c r="B66">
        <v>10</v>
      </c>
      <c r="C66">
        <f t="shared" si="0"/>
        <v>12710</v>
      </c>
      <c r="D66" s="3" t="s">
        <v>87</v>
      </c>
      <c r="E66" s="11">
        <v>29.042351973684166</v>
      </c>
      <c r="F66" s="11">
        <v>48.18147840531558</v>
      </c>
      <c r="G66" t="s">
        <v>259</v>
      </c>
      <c r="H66" t="s">
        <v>258</v>
      </c>
      <c r="I66" t="s">
        <v>273</v>
      </c>
      <c r="J66" t="s">
        <v>272</v>
      </c>
      <c r="K66" s="2">
        <v>0</v>
      </c>
      <c r="L66" s="2" t="s">
        <v>311</v>
      </c>
      <c r="M66" s="20"/>
      <c r="N66" s="20"/>
      <c r="O66" s="8"/>
      <c r="P66" s="1"/>
      <c r="Q66" s="1"/>
      <c r="R66" s="1"/>
      <c r="S66" s="3"/>
      <c r="T66" s="3"/>
      <c r="U66" s="3"/>
      <c r="V66" s="3">
        <v>19.945</v>
      </c>
      <c r="W66" s="3"/>
      <c r="X66" s="3"/>
      <c r="Y66" s="3"/>
      <c r="Z66" t="s">
        <v>356</v>
      </c>
      <c r="AA66" t="s">
        <v>318</v>
      </c>
    </row>
    <row r="67" spans="1:27" x14ac:dyDescent="0.25">
      <c r="A67" s="12">
        <v>127</v>
      </c>
      <c r="B67">
        <v>10</v>
      </c>
      <c r="C67">
        <f t="shared" si="0"/>
        <v>12710</v>
      </c>
      <c r="D67" s="3" t="s">
        <v>87</v>
      </c>
      <c r="E67" s="11">
        <v>29.042351973684166</v>
      </c>
      <c r="F67" s="11">
        <v>48.18147840531558</v>
      </c>
      <c r="G67" t="s">
        <v>259</v>
      </c>
      <c r="H67" t="s">
        <v>258</v>
      </c>
      <c r="I67" t="s">
        <v>273</v>
      </c>
      <c r="J67" t="s">
        <v>271</v>
      </c>
      <c r="K67" s="2">
        <v>0</v>
      </c>
      <c r="L67" s="2" t="s">
        <v>308</v>
      </c>
      <c r="M67" s="20"/>
      <c r="N67" s="20"/>
      <c r="O67" s="8"/>
      <c r="P67" s="1"/>
      <c r="Q67" s="1"/>
      <c r="R67" s="1"/>
      <c r="S67" s="3"/>
      <c r="T67" s="3"/>
      <c r="U67" s="3"/>
      <c r="V67" s="3">
        <v>0.14000000000000001</v>
      </c>
      <c r="W67" s="3"/>
      <c r="X67" s="3"/>
      <c r="Y67" s="3"/>
      <c r="Z67" t="s">
        <v>356</v>
      </c>
      <c r="AA67" t="s">
        <v>318</v>
      </c>
    </row>
    <row r="68" spans="1:27" x14ac:dyDescent="0.25">
      <c r="A68" s="12">
        <v>127</v>
      </c>
      <c r="B68">
        <v>10</v>
      </c>
      <c r="C68">
        <f t="shared" ref="C68:C131" si="1">A68*100+B68</f>
        <v>12710</v>
      </c>
      <c r="D68" s="3" t="s">
        <v>87</v>
      </c>
      <c r="E68" s="11">
        <v>29.042351973684166</v>
      </c>
      <c r="F68" s="11">
        <v>48.18147840531558</v>
      </c>
      <c r="G68" t="s">
        <v>259</v>
      </c>
      <c r="H68" t="s">
        <v>258</v>
      </c>
      <c r="I68" t="s">
        <v>273</v>
      </c>
      <c r="J68" t="s">
        <v>271</v>
      </c>
      <c r="K68" s="2">
        <v>0</v>
      </c>
      <c r="L68" s="2" t="s">
        <v>309</v>
      </c>
      <c r="M68" s="20"/>
      <c r="N68" s="20"/>
      <c r="O68" s="8"/>
      <c r="P68" s="1"/>
      <c r="Q68" s="1"/>
      <c r="R68" s="1"/>
      <c r="S68" s="3"/>
      <c r="T68" s="3"/>
      <c r="U68" s="3"/>
      <c r="V68" s="3">
        <v>3.21</v>
      </c>
      <c r="W68" s="3"/>
      <c r="X68" s="3"/>
      <c r="Y68" s="3"/>
      <c r="Z68" t="s">
        <v>356</v>
      </c>
      <c r="AA68" t="s">
        <v>318</v>
      </c>
    </row>
    <row r="69" spans="1:27" x14ac:dyDescent="0.25">
      <c r="A69" s="12">
        <v>127</v>
      </c>
      <c r="B69">
        <v>10</v>
      </c>
      <c r="C69">
        <f t="shared" si="1"/>
        <v>12710</v>
      </c>
      <c r="D69" s="3" t="s">
        <v>87</v>
      </c>
      <c r="E69" s="11">
        <v>29.042351973684166</v>
      </c>
      <c r="F69" s="11">
        <v>48.18147840531558</v>
      </c>
      <c r="G69" t="s">
        <v>259</v>
      </c>
      <c r="H69" t="s">
        <v>258</v>
      </c>
      <c r="I69" t="s">
        <v>273</v>
      </c>
      <c r="J69" t="s">
        <v>271</v>
      </c>
      <c r="K69" s="2">
        <v>0</v>
      </c>
      <c r="L69" s="2" t="s">
        <v>310</v>
      </c>
      <c r="M69" s="20"/>
      <c r="N69" s="20"/>
      <c r="O69" s="8"/>
      <c r="P69" s="1"/>
      <c r="Q69" s="1"/>
      <c r="R69" s="1"/>
      <c r="S69" s="3"/>
      <c r="T69" s="3"/>
      <c r="U69" s="3"/>
      <c r="V69" s="3">
        <v>7.375</v>
      </c>
      <c r="W69" s="3"/>
      <c r="X69" s="3"/>
      <c r="Y69" s="3"/>
      <c r="Z69" t="s">
        <v>356</v>
      </c>
      <c r="AA69" t="s">
        <v>318</v>
      </c>
    </row>
    <row r="70" spans="1:27" x14ac:dyDescent="0.25">
      <c r="A70" s="12">
        <v>127</v>
      </c>
      <c r="B70">
        <v>10</v>
      </c>
      <c r="C70">
        <f t="shared" si="1"/>
        <v>12710</v>
      </c>
      <c r="D70" s="3" t="s">
        <v>87</v>
      </c>
      <c r="E70" s="11">
        <v>29.042351973684166</v>
      </c>
      <c r="F70" s="11">
        <v>48.18147840531558</v>
      </c>
      <c r="G70" t="s">
        <v>259</v>
      </c>
      <c r="H70" t="s">
        <v>258</v>
      </c>
      <c r="I70" t="s">
        <v>273</v>
      </c>
      <c r="J70" t="s">
        <v>271</v>
      </c>
      <c r="K70" s="2">
        <v>0</v>
      </c>
      <c r="L70" s="2" t="s">
        <v>313</v>
      </c>
      <c r="M70" s="20"/>
      <c r="N70" s="20"/>
      <c r="O70" s="8"/>
      <c r="P70" s="1"/>
      <c r="Q70" s="1"/>
      <c r="R70" s="1"/>
      <c r="S70" s="3"/>
      <c r="T70" s="3"/>
      <c r="U70" s="3"/>
      <c r="V70" s="3">
        <v>32.630000000000003</v>
      </c>
      <c r="W70" s="3"/>
      <c r="X70" s="3"/>
      <c r="Y70" s="3"/>
      <c r="Z70" t="s">
        <v>356</v>
      </c>
      <c r="AA70" t="s">
        <v>318</v>
      </c>
    </row>
    <row r="71" spans="1:27" x14ac:dyDescent="0.25">
      <c r="A71" s="12">
        <v>127</v>
      </c>
      <c r="B71">
        <v>10</v>
      </c>
      <c r="C71">
        <f t="shared" si="1"/>
        <v>12710</v>
      </c>
      <c r="D71" s="3" t="s">
        <v>87</v>
      </c>
      <c r="E71" s="11">
        <v>29.042351973684166</v>
      </c>
      <c r="F71" s="11">
        <v>48.18147840531558</v>
      </c>
      <c r="G71" t="s">
        <v>259</v>
      </c>
      <c r="H71" t="s">
        <v>258</v>
      </c>
      <c r="I71" t="s">
        <v>273</v>
      </c>
      <c r="J71" t="s">
        <v>295</v>
      </c>
      <c r="K71" s="2">
        <v>0</v>
      </c>
      <c r="L71" s="2" t="s">
        <v>308</v>
      </c>
      <c r="M71" s="20"/>
      <c r="N71" s="20"/>
      <c r="O71" s="8"/>
      <c r="P71" s="1"/>
      <c r="Q71" s="1"/>
      <c r="R71" s="1"/>
      <c r="S71" s="3"/>
      <c r="T71" s="3"/>
      <c r="U71" s="3"/>
      <c r="V71" s="3">
        <v>0.43</v>
      </c>
      <c r="W71" s="3"/>
      <c r="X71" s="3"/>
      <c r="Y71" s="3"/>
      <c r="Z71" t="s">
        <v>356</v>
      </c>
      <c r="AA71" t="s">
        <v>318</v>
      </c>
    </row>
    <row r="72" spans="1:27" x14ac:dyDescent="0.25">
      <c r="A72" s="12">
        <v>127</v>
      </c>
      <c r="B72">
        <v>10</v>
      </c>
      <c r="C72">
        <f t="shared" si="1"/>
        <v>12710</v>
      </c>
      <c r="D72" s="3" t="s">
        <v>87</v>
      </c>
      <c r="E72" s="11">
        <v>29.042351973684166</v>
      </c>
      <c r="F72" s="11">
        <v>48.18147840531558</v>
      </c>
      <c r="G72" t="s">
        <v>259</v>
      </c>
      <c r="H72" t="s">
        <v>258</v>
      </c>
      <c r="I72" t="s">
        <v>273</v>
      </c>
      <c r="J72" t="s">
        <v>295</v>
      </c>
      <c r="K72" s="2">
        <v>0</v>
      </c>
      <c r="L72" s="2" t="s">
        <v>309</v>
      </c>
      <c r="M72" s="20"/>
      <c r="N72" s="20"/>
      <c r="O72" s="8"/>
      <c r="P72" s="1"/>
      <c r="Q72" s="1"/>
      <c r="R72" s="1"/>
      <c r="S72" s="3"/>
      <c r="T72" s="3"/>
      <c r="U72" s="3"/>
      <c r="V72" s="3">
        <v>5.49</v>
      </c>
      <c r="W72" s="3"/>
      <c r="X72" s="3"/>
      <c r="Y72" s="3"/>
      <c r="Z72" t="s">
        <v>356</v>
      </c>
      <c r="AA72" t="s">
        <v>318</v>
      </c>
    </row>
    <row r="73" spans="1:27" x14ac:dyDescent="0.25">
      <c r="A73" s="12">
        <v>127</v>
      </c>
      <c r="B73">
        <v>10</v>
      </c>
      <c r="C73">
        <f t="shared" si="1"/>
        <v>12710</v>
      </c>
      <c r="D73" s="3" t="s">
        <v>87</v>
      </c>
      <c r="E73" s="11">
        <v>29.042351973684166</v>
      </c>
      <c r="F73" s="11">
        <v>48.18147840531558</v>
      </c>
      <c r="G73" t="s">
        <v>259</v>
      </c>
      <c r="H73" t="s">
        <v>258</v>
      </c>
      <c r="I73" t="s">
        <v>273</v>
      </c>
      <c r="J73" t="s">
        <v>295</v>
      </c>
      <c r="K73" s="2">
        <v>0</v>
      </c>
      <c r="L73" s="2" t="s">
        <v>311</v>
      </c>
      <c r="M73" s="20"/>
      <c r="N73" s="20"/>
      <c r="O73" s="8"/>
      <c r="P73" s="1"/>
      <c r="Q73" s="1"/>
      <c r="R73" s="1"/>
      <c r="S73" s="3"/>
      <c r="T73" s="3"/>
      <c r="U73" s="3"/>
      <c r="V73" s="3">
        <v>19.984999999999999</v>
      </c>
      <c r="W73" s="3"/>
      <c r="X73" s="3"/>
      <c r="Y73" s="3"/>
      <c r="Z73" t="s">
        <v>356</v>
      </c>
      <c r="AA73" t="s">
        <v>318</v>
      </c>
    </row>
    <row r="74" spans="1:27" x14ac:dyDescent="0.25">
      <c r="A74" s="12">
        <v>127</v>
      </c>
      <c r="B74">
        <v>10</v>
      </c>
      <c r="C74">
        <f t="shared" si="1"/>
        <v>12710</v>
      </c>
      <c r="D74" s="3" t="s">
        <v>87</v>
      </c>
      <c r="E74" s="11">
        <v>29.042351973684166</v>
      </c>
      <c r="F74" s="11">
        <v>48.18147840531558</v>
      </c>
      <c r="G74" t="s">
        <v>259</v>
      </c>
      <c r="H74" t="s">
        <v>258</v>
      </c>
      <c r="I74" t="s">
        <v>273</v>
      </c>
      <c r="J74" t="s">
        <v>295</v>
      </c>
      <c r="K74" s="2">
        <v>0</v>
      </c>
      <c r="L74" s="2" t="s">
        <v>313</v>
      </c>
      <c r="M74" s="20"/>
      <c r="N74" s="20"/>
      <c r="O74" s="8"/>
      <c r="P74" s="1"/>
      <c r="Q74" s="1"/>
      <c r="R74" s="1"/>
      <c r="S74" s="3"/>
      <c r="T74" s="3"/>
      <c r="U74" s="3"/>
      <c r="V74" s="3">
        <v>24.524999999999999</v>
      </c>
      <c r="W74" s="3"/>
      <c r="X74" s="3"/>
      <c r="Y74" s="3"/>
      <c r="Z74" t="s">
        <v>356</v>
      </c>
      <c r="AA74" t="s">
        <v>318</v>
      </c>
    </row>
    <row r="75" spans="1:27" x14ac:dyDescent="0.25">
      <c r="A75" s="12">
        <v>127</v>
      </c>
      <c r="B75">
        <v>10</v>
      </c>
      <c r="C75">
        <f t="shared" si="1"/>
        <v>12710</v>
      </c>
      <c r="D75" s="3" t="s">
        <v>87</v>
      </c>
      <c r="E75" s="11">
        <v>29.042351973684166</v>
      </c>
      <c r="F75" s="11">
        <v>48.18147840531558</v>
      </c>
      <c r="G75" t="s">
        <v>259</v>
      </c>
      <c r="H75" t="s">
        <v>258</v>
      </c>
      <c r="I75" t="s">
        <v>273</v>
      </c>
      <c r="J75" t="s">
        <v>296</v>
      </c>
      <c r="K75" s="2">
        <v>0</v>
      </c>
      <c r="L75" s="2" t="s">
        <v>308</v>
      </c>
      <c r="M75" s="20"/>
      <c r="N75" s="20"/>
      <c r="O75" s="8"/>
      <c r="P75" s="1"/>
      <c r="Q75" s="1"/>
      <c r="R75" s="1"/>
      <c r="S75" s="3"/>
      <c r="T75" s="3"/>
      <c r="U75" s="3"/>
      <c r="V75" s="3">
        <v>0.57000000000000006</v>
      </c>
      <c r="W75" s="3"/>
      <c r="X75" s="3"/>
      <c r="Y75" s="3"/>
      <c r="Z75" t="s">
        <v>356</v>
      </c>
      <c r="AA75" t="s">
        <v>318</v>
      </c>
    </row>
    <row r="76" spans="1:27" x14ac:dyDescent="0.25">
      <c r="A76" s="12">
        <v>127</v>
      </c>
      <c r="B76">
        <v>10</v>
      </c>
      <c r="C76">
        <f t="shared" si="1"/>
        <v>12710</v>
      </c>
      <c r="D76" s="3" t="s">
        <v>87</v>
      </c>
      <c r="E76" s="11">
        <v>29.042351973684166</v>
      </c>
      <c r="F76" s="11">
        <v>48.18147840531558</v>
      </c>
      <c r="G76" t="s">
        <v>259</v>
      </c>
      <c r="H76" t="s">
        <v>258</v>
      </c>
      <c r="I76" t="s">
        <v>273</v>
      </c>
      <c r="J76" t="s">
        <v>296</v>
      </c>
      <c r="K76" s="2">
        <v>0</v>
      </c>
      <c r="L76" s="2" t="s">
        <v>311</v>
      </c>
      <c r="M76" s="20"/>
      <c r="N76" s="20"/>
      <c r="O76" s="8"/>
      <c r="P76" s="1"/>
      <c r="Q76" s="1"/>
      <c r="R76" s="1"/>
      <c r="S76" s="3"/>
      <c r="T76" s="3"/>
      <c r="U76" s="3"/>
      <c r="V76" s="3">
        <v>6.2949999999999999</v>
      </c>
      <c r="W76" s="3"/>
      <c r="X76" s="3"/>
      <c r="Y76" s="3"/>
      <c r="Z76" t="s">
        <v>356</v>
      </c>
      <c r="AA76" t="s">
        <v>318</v>
      </c>
    </row>
    <row r="77" spans="1:27" x14ac:dyDescent="0.25">
      <c r="A77" s="12">
        <v>127</v>
      </c>
      <c r="B77">
        <v>10</v>
      </c>
      <c r="C77">
        <f t="shared" si="1"/>
        <v>12710</v>
      </c>
      <c r="D77" s="3" t="s">
        <v>87</v>
      </c>
      <c r="E77" s="11">
        <v>29.042351973684166</v>
      </c>
      <c r="F77" s="11">
        <v>48.18147840531558</v>
      </c>
      <c r="G77" t="s">
        <v>259</v>
      </c>
      <c r="H77" t="s">
        <v>258</v>
      </c>
      <c r="I77" t="s">
        <v>273</v>
      </c>
      <c r="J77" t="s">
        <v>296</v>
      </c>
      <c r="K77" s="2">
        <v>0</v>
      </c>
      <c r="L77" s="2" t="s">
        <v>313</v>
      </c>
      <c r="M77" s="20"/>
      <c r="N77" s="20"/>
      <c r="O77" s="8"/>
      <c r="P77" s="1"/>
      <c r="Q77" s="1"/>
      <c r="R77" s="1"/>
      <c r="S77" s="3"/>
      <c r="T77" s="3"/>
      <c r="U77" s="3"/>
      <c r="V77" s="3">
        <v>45.105000000000004</v>
      </c>
      <c r="W77" s="3"/>
      <c r="X77" s="3"/>
      <c r="Y77" s="3"/>
      <c r="Z77" t="s">
        <v>356</v>
      </c>
      <c r="AA77" t="s">
        <v>318</v>
      </c>
    </row>
    <row r="78" spans="1:27" x14ac:dyDescent="0.25">
      <c r="A78" s="12">
        <v>127</v>
      </c>
      <c r="B78">
        <v>10</v>
      </c>
      <c r="C78">
        <f t="shared" si="1"/>
        <v>12710</v>
      </c>
      <c r="D78" s="3" t="s">
        <v>87</v>
      </c>
      <c r="E78" s="11">
        <v>29.042351973684166</v>
      </c>
      <c r="F78" s="11">
        <v>48.18147840531558</v>
      </c>
      <c r="G78" t="s">
        <v>259</v>
      </c>
      <c r="H78" t="s">
        <v>258</v>
      </c>
      <c r="I78" t="s">
        <v>273</v>
      </c>
      <c r="J78" t="s">
        <v>296</v>
      </c>
      <c r="K78" s="2">
        <v>0</v>
      </c>
      <c r="L78" s="2" t="s">
        <v>314</v>
      </c>
      <c r="M78" s="20"/>
      <c r="N78" s="20"/>
      <c r="O78" s="8"/>
      <c r="P78" s="1"/>
      <c r="Q78" s="1"/>
      <c r="R78" s="1"/>
      <c r="S78" s="3"/>
      <c r="T78" s="3"/>
      <c r="U78" s="3"/>
      <c r="V78" s="3">
        <v>0.46</v>
      </c>
      <c r="W78" s="3"/>
      <c r="X78" s="3"/>
      <c r="Y78" s="3"/>
      <c r="Z78" t="s">
        <v>356</v>
      </c>
      <c r="AA78" t="s">
        <v>318</v>
      </c>
    </row>
    <row r="79" spans="1:27" x14ac:dyDescent="0.25">
      <c r="A79" s="12">
        <v>127</v>
      </c>
      <c r="B79">
        <v>10</v>
      </c>
      <c r="C79">
        <f t="shared" si="1"/>
        <v>12710</v>
      </c>
      <c r="D79" s="3" t="s">
        <v>87</v>
      </c>
      <c r="E79" s="11">
        <v>29.042351973684166</v>
      </c>
      <c r="F79" s="11">
        <v>48.18147840531558</v>
      </c>
      <c r="G79" t="s">
        <v>259</v>
      </c>
      <c r="H79" t="s">
        <v>258</v>
      </c>
      <c r="I79" t="s">
        <v>273</v>
      </c>
      <c r="J79" t="s">
        <v>297</v>
      </c>
      <c r="K79" s="2">
        <v>0</v>
      </c>
      <c r="L79" s="2" t="s">
        <v>308</v>
      </c>
      <c r="M79" s="20"/>
      <c r="N79" s="20"/>
      <c r="O79" s="8"/>
      <c r="P79" s="1"/>
      <c r="Q79" s="1"/>
      <c r="R79" s="1"/>
      <c r="S79" s="3"/>
      <c r="T79" s="3"/>
      <c r="U79" s="3"/>
      <c r="V79" s="3">
        <v>0.98</v>
      </c>
      <c r="W79" s="3"/>
      <c r="X79" s="3"/>
      <c r="Y79" s="3"/>
      <c r="Z79" t="s">
        <v>356</v>
      </c>
      <c r="AA79" t="s">
        <v>318</v>
      </c>
    </row>
    <row r="80" spans="1:27" x14ac:dyDescent="0.25">
      <c r="A80" s="12">
        <v>127</v>
      </c>
      <c r="B80">
        <v>10</v>
      </c>
      <c r="C80">
        <f t="shared" si="1"/>
        <v>12710</v>
      </c>
      <c r="D80" s="3" t="s">
        <v>87</v>
      </c>
      <c r="E80" s="11">
        <v>29.042351973684166</v>
      </c>
      <c r="F80" s="11">
        <v>48.18147840531558</v>
      </c>
      <c r="G80" t="s">
        <v>259</v>
      </c>
      <c r="H80" t="s">
        <v>258</v>
      </c>
      <c r="I80" t="s">
        <v>273</v>
      </c>
      <c r="J80" t="s">
        <v>297</v>
      </c>
      <c r="K80" s="2">
        <v>0</v>
      </c>
      <c r="L80" s="2" t="s">
        <v>309</v>
      </c>
      <c r="M80" s="20"/>
      <c r="N80" s="20"/>
      <c r="O80" s="8"/>
      <c r="P80" s="1"/>
      <c r="Q80" s="1"/>
      <c r="R80" s="1"/>
      <c r="S80" s="3"/>
      <c r="T80" s="3"/>
      <c r="U80" s="3"/>
      <c r="V80" s="3">
        <v>5.3599999999999994</v>
      </c>
      <c r="W80" s="3"/>
      <c r="X80" s="3"/>
      <c r="Y80" s="3"/>
      <c r="Z80" t="s">
        <v>356</v>
      </c>
      <c r="AA80" t="s">
        <v>318</v>
      </c>
    </row>
    <row r="81" spans="1:27" x14ac:dyDescent="0.25">
      <c r="A81" s="12">
        <v>127</v>
      </c>
      <c r="B81">
        <v>10</v>
      </c>
      <c r="C81">
        <f t="shared" si="1"/>
        <v>12710</v>
      </c>
      <c r="D81" s="3" t="s">
        <v>87</v>
      </c>
      <c r="E81" s="11">
        <v>29.042351973684166</v>
      </c>
      <c r="F81" s="11">
        <v>48.18147840531558</v>
      </c>
      <c r="G81" t="s">
        <v>259</v>
      </c>
      <c r="H81" t="s">
        <v>258</v>
      </c>
      <c r="I81" t="s">
        <v>273</v>
      </c>
      <c r="J81" t="s">
        <v>297</v>
      </c>
      <c r="K81" s="2">
        <v>0</v>
      </c>
      <c r="L81" s="2" t="s">
        <v>311</v>
      </c>
      <c r="M81" s="20"/>
      <c r="N81" s="20"/>
      <c r="O81" s="8"/>
      <c r="P81" s="1"/>
      <c r="Q81" s="1"/>
      <c r="R81" s="1"/>
      <c r="S81" s="3"/>
      <c r="T81" s="3"/>
      <c r="U81" s="3"/>
      <c r="V81" s="3">
        <v>18.07</v>
      </c>
      <c r="W81" s="3"/>
      <c r="X81" s="3"/>
      <c r="Y81" s="3"/>
      <c r="Z81" t="s">
        <v>356</v>
      </c>
      <c r="AA81" t="s">
        <v>318</v>
      </c>
    </row>
    <row r="82" spans="1:27" x14ac:dyDescent="0.25">
      <c r="A82" s="12">
        <v>127</v>
      </c>
      <c r="B82">
        <v>10</v>
      </c>
      <c r="C82">
        <f t="shared" si="1"/>
        <v>12710</v>
      </c>
      <c r="D82" s="3" t="s">
        <v>87</v>
      </c>
      <c r="E82" s="11">
        <v>29.042351973684166</v>
      </c>
      <c r="F82" s="11">
        <v>48.18147840531558</v>
      </c>
      <c r="G82" t="s">
        <v>259</v>
      </c>
      <c r="H82" t="s">
        <v>258</v>
      </c>
      <c r="I82" t="s">
        <v>273</v>
      </c>
      <c r="J82" t="s">
        <v>297</v>
      </c>
      <c r="K82" s="2">
        <v>0</v>
      </c>
      <c r="L82" s="2" t="s">
        <v>314</v>
      </c>
      <c r="M82" s="20"/>
      <c r="N82" s="20"/>
      <c r="O82" s="8"/>
      <c r="P82" s="1"/>
      <c r="Q82" s="1"/>
      <c r="R82" s="1"/>
      <c r="S82" s="3"/>
      <c r="T82" s="3"/>
      <c r="U82" s="3"/>
      <c r="V82" s="3">
        <v>77.669999999999987</v>
      </c>
      <c r="W82" s="3"/>
      <c r="X82" s="3"/>
      <c r="Y82" s="3"/>
      <c r="Z82" t="s">
        <v>356</v>
      </c>
      <c r="AA82" t="s">
        <v>318</v>
      </c>
    </row>
    <row r="83" spans="1:27" x14ac:dyDescent="0.25">
      <c r="A83" s="12">
        <v>127</v>
      </c>
      <c r="B83">
        <v>10</v>
      </c>
      <c r="C83">
        <f t="shared" si="1"/>
        <v>12710</v>
      </c>
      <c r="D83" s="3" t="s">
        <v>87</v>
      </c>
      <c r="E83" s="11">
        <v>29.042351973684166</v>
      </c>
      <c r="F83" s="11">
        <v>48.18147840531558</v>
      </c>
      <c r="G83" t="s">
        <v>259</v>
      </c>
      <c r="H83" t="s">
        <v>258</v>
      </c>
      <c r="I83" t="s">
        <v>273</v>
      </c>
      <c r="J83" t="s">
        <v>298</v>
      </c>
      <c r="K83" s="2">
        <v>0</v>
      </c>
      <c r="L83" s="2" t="s">
        <v>308</v>
      </c>
      <c r="M83" s="20"/>
      <c r="N83" s="20"/>
      <c r="O83" s="8"/>
      <c r="P83" s="1"/>
      <c r="Q83" s="1"/>
      <c r="R83" s="1"/>
      <c r="S83" s="3"/>
      <c r="T83" s="3"/>
      <c r="U83" s="3"/>
      <c r="V83" s="3">
        <v>0.66999999999999993</v>
      </c>
      <c r="W83" s="3"/>
      <c r="X83" s="3"/>
      <c r="Y83" s="3"/>
      <c r="Z83" t="s">
        <v>356</v>
      </c>
      <c r="AA83" t="s">
        <v>318</v>
      </c>
    </row>
    <row r="84" spans="1:27" x14ac:dyDescent="0.25">
      <c r="A84" s="12">
        <v>127</v>
      </c>
      <c r="B84">
        <v>10</v>
      </c>
      <c r="C84">
        <f t="shared" si="1"/>
        <v>12710</v>
      </c>
      <c r="D84" s="3" t="s">
        <v>87</v>
      </c>
      <c r="E84" s="11">
        <v>29.042351973684166</v>
      </c>
      <c r="F84" s="11">
        <v>48.18147840531558</v>
      </c>
      <c r="G84" t="s">
        <v>259</v>
      </c>
      <c r="H84" t="s">
        <v>258</v>
      </c>
      <c r="I84" t="s">
        <v>273</v>
      </c>
      <c r="J84" t="s">
        <v>298</v>
      </c>
      <c r="K84" s="2">
        <v>0</v>
      </c>
      <c r="L84" s="2" t="s">
        <v>309</v>
      </c>
      <c r="M84" s="20"/>
      <c r="N84" s="20"/>
      <c r="O84" s="8"/>
      <c r="P84" s="1"/>
      <c r="Q84" s="1"/>
      <c r="R84" s="1"/>
      <c r="S84" s="3"/>
      <c r="T84" s="3"/>
      <c r="U84" s="3"/>
      <c r="V84" s="3">
        <v>2.0699999999999998</v>
      </c>
      <c r="W84" s="3"/>
      <c r="X84" s="3"/>
      <c r="Y84" s="3"/>
      <c r="Z84" t="s">
        <v>356</v>
      </c>
      <c r="AA84" t="s">
        <v>318</v>
      </c>
    </row>
    <row r="85" spans="1:27" x14ac:dyDescent="0.25">
      <c r="A85" s="12">
        <v>127</v>
      </c>
      <c r="B85">
        <v>10</v>
      </c>
      <c r="C85">
        <f t="shared" si="1"/>
        <v>12710</v>
      </c>
      <c r="D85" s="3" t="s">
        <v>87</v>
      </c>
      <c r="E85" s="11">
        <v>29.042351973684166</v>
      </c>
      <c r="F85" s="11">
        <v>48.18147840531558</v>
      </c>
      <c r="G85" t="s">
        <v>259</v>
      </c>
      <c r="H85" t="s">
        <v>258</v>
      </c>
      <c r="I85" t="s">
        <v>273</v>
      </c>
      <c r="J85" t="s">
        <v>298</v>
      </c>
      <c r="K85" s="2">
        <v>0</v>
      </c>
      <c r="L85" s="2" t="s">
        <v>317</v>
      </c>
      <c r="M85" s="20"/>
      <c r="N85" s="20"/>
      <c r="O85" s="8"/>
      <c r="P85" s="1"/>
      <c r="Q85" s="1"/>
      <c r="R85" s="1"/>
      <c r="S85" s="3"/>
      <c r="T85" s="3"/>
      <c r="U85" s="3"/>
      <c r="V85" s="3">
        <v>9.9350000000000005</v>
      </c>
      <c r="W85" s="3"/>
      <c r="X85" s="3"/>
      <c r="Y85" s="3"/>
      <c r="Z85" t="s">
        <v>356</v>
      </c>
      <c r="AA85" t="s">
        <v>318</v>
      </c>
    </row>
    <row r="86" spans="1:27" x14ac:dyDescent="0.25">
      <c r="A86" s="12">
        <v>127</v>
      </c>
      <c r="B86">
        <v>10</v>
      </c>
      <c r="C86">
        <f t="shared" si="1"/>
        <v>12710</v>
      </c>
      <c r="D86" s="3" t="s">
        <v>87</v>
      </c>
      <c r="E86" s="11">
        <v>29.042351973684166</v>
      </c>
      <c r="F86" s="11">
        <v>48.18147840531558</v>
      </c>
      <c r="G86" t="s">
        <v>259</v>
      </c>
      <c r="H86" t="s">
        <v>258</v>
      </c>
      <c r="I86" t="s">
        <v>273</v>
      </c>
      <c r="J86" t="s">
        <v>298</v>
      </c>
      <c r="K86" s="2">
        <v>0</v>
      </c>
      <c r="L86" s="2" t="s">
        <v>311</v>
      </c>
      <c r="M86" s="20"/>
      <c r="N86" s="20"/>
      <c r="O86" s="8"/>
      <c r="P86" s="1"/>
      <c r="Q86" s="1"/>
      <c r="R86" s="1"/>
      <c r="S86" s="3"/>
      <c r="T86" s="3"/>
      <c r="U86" s="3"/>
      <c r="V86" s="3">
        <v>13.654999999999999</v>
      </c>
      <c r="W86" s="3"/>
      <c r="X86" s="3"/>
      <c r="Y86" s="3"/>
      <c r="Z86" t="s">
        <v>356</v>
      </c>
      <c r="AA86" t="s">
        <v>318</v>
      </c>
    </row>
    <row r="87" spans="1:27" x14ac:dyDescent="0.25">
      <c r="A87" s="12">
        <v>127</v>
      </c>
      <c r="B87">
        <v>10</v>
      </c>
      <c r="C87">
        <f t="shared" si="1"/>
        <v>12710</v>
      </c>
      <c r="D87" s="3" t="s">
        <v>87</v>
      </c>
      <c r="E87" s="11">
        <v>29.042351973684166</v>
      </c>
      <c r="F87" s="11">
        <v>48.18147840531558</v>
      </c>
      <c r="G87" t="s">
        <v>259</v>
      </c>
      <c r="H87" t="s">
        <v>258</v>
      </c>
      <c r="I87" t="s">
        <v>273</v>
      </c>
      <c r="J87" t="s">
        <v>298</v>
      </c>
      <c r="K87" s="2">
        <v>0</v>
      </c>
      <c r="L87" s="2" t="s">
        <v>313</v>
      </c>
      <c r="M87" s="20"/>
      <c r="N87" s="20"/>
      <c r="O87" s="8"/>
      <c r="P87" s="1"/>
      <c r="Q87" s="1"/>
      <c r="R87" s="1"/>
      <c r="S87" s="3"/>
      <c r="T87" s="3"/>
      <c r="U87" s="3"/>
      <c r="V87" s="3">
        <v>36.064999999999998</v>
      </c>
      <c r="W87" s="3"/>
      <c r="X87" s="3"/>
      <c r="Y87" s="3"/>
      <c r="Z87" t="s">
        <v>356</v>
      </c>
      <c r="AA87" t="s">
        <v>318</v>
      </c>
    </row>
    <row r="88" spans="1:27" x14ac:dyDescent="0.25">
      <c r="A88" s="12">
        <v>127</v>
      </c>
      <c r="B88">
        <v>10</v>
      </c>
      <c r="C88">
        <f t="shared" si="1"/>
        <v>12710</v>
      </c>
      <c r="D88" s="3" t="s">
        <v>87</v>
      </c>
      <c r="E88" s="11">
        <v>29.042351973684166</v>
      </c>
      <c r="F88" s="11">
        <v>48.18147840531558</v>
      </c>
      <c r="G88" t="s">
        <v>259</v>
      </c>
      <c r="H88" t="s">
        <v>258</v>
      </c>
      <c r="I88" t="s">
        <v>273</v>
      </c>
      <c r="J88" t="s">
        <v>298</v>
      </c>
      <c r="K88" s="2">
        <v>0</v>
      </c>
      <c r="L88" s="2" t="s">
        <v>314</v>
      </c>
      <c r="M88" s="20"/>
      <c r="N88" s="20"/>
      <c r="O88" s="8"/>
      <c r="P88" s="1"/>
      <c r="Q88" s="1"/>
      <c r="R88" s="1"/>
      <c r="S88" s="3"/>
      <c r="T88" s="3"/>
      <c r="U88" s="3"/>
      <c r="V88" s="3">
        <v>78.33</v>
      </c>
      <c r="W88" s="3"/>
      <c r="X88" s="3"/>
      <c r="Y88" s="3"/>
      <c r="Z88" t="s">
        <v>356</v>
      </c>
      <c r="AA88" t="s">
        <v>318</v>
      </c>
    </row>
    <row r="89" spans="1:27" x14ac:dyDescent="0.25">
      <c r="A89" s="12">
        <v>127</v>
      </c>
      <c r="B89">
        <v>10</v>
      </c>
      <c r="C89">
        <f t="shared" si="1"/>
        <v>12710</v>
      </c>
      <c r="D89" s="3" t="s">
        <v>87</v>
      </c>
      <c r="E89" s="11">
        <v>29.042351973684166</v>
      </c>
      <c r="F89" s="11">
        <v>48.18147840531558</v>
      </c>
      <c r="G89" t="s">
        <v>259</v>
      </c>
      <c r="H89" t="s">
        <v>258</v>
      </c>
      <c r="I89" t="s">
        <v>273</v>
      </c>
      <c r="J89" t="s">
        <v>299</v>
      </c>
      <c r="K89" s="2">
        <v>0</v>
      </c>
      <c r="L89" s="2" t="s">
        <v>308</v>
      </c>
      <c r="M89" s="20"/>
      <c r="N89" s="20"/>
      <c r="O89" s="8"/>
      <c r="P89" s="1"/>
      <c r="Q89" s="1"/>
      <c r="R89" s="1"/>
      <c r="S89" s="3"/>
      <c r="T89" s="3"/>
      <c r="U89" s="3"/>
      <c r="V89" s="3">
        <v>1.9200000000000002</v>
      </c>
      <c r="W89" s="3"/>
      <c r="X89" s="3"/>
      <c r="Y89" s="3"/>
      <c r="Z89" t="s">
        <v>356</v>
      </c>
      <c r="AA89" t="s">
        <v>318</v>
      </c>
    </row>
    <row r="90" spans="1:27" x14ac:dyDescent="0.25">
      <c r="A90" s="12">
        <v>127</v>
      </c>
      <c r="B90">
        <v>10</v>
      </c>
      <c r="C90">
        <f t="shared" si="1"/>
        <v>12710</v>
      </c>
      <c r="D90" s="3" t="s">
        <v>87</v>
      </c>
      <c r="E90" s="11">
        <v>29.042351973684166</v>
      </c>
      <c r="F90" s="11">
        <v>48.18147840531558</v>
      </c>
      <c r="G90" t="s">
        <v>259</v>
      </c>
      <c r="H90" t="s">
        <v>258</v>
      </c>
      <c r="I90" t="s">
        <v>273</v>
      </c>
      <c r="J90" t="s">
        <v>299</v>
      </c>
      <c r="K90" s="2">
        <v>0</v>
      </c>
      <c r="L90" s="2" t="s">
        <v>309</v>
      </c>
      <c r="M90" s="20"/>
      <c r="N90" s="20"/>
      <c r="O90" s="8"/>
      <c r="P90" s="1"/>
      <c r="Q90" s="1"/>
      <c r="R90" s="1"/>
      <c r="S90" s="3"/>
      <c r="T90" s="3"/>
      <c r="U90" s="3"/>
      <c r="V90" s="3">
        <v>15.419999999999998</v>
      </c>
      <c r="W90" s="3"/>
      <c r="X90" s="3"/>
      <c r="Y90" s="3"/>
      <c r="Z90" t="s">
        <v>356</v>
      </c>
      <c r="AA90" t="s">
        <v>318</v>
      </c>
    </row>
    <row r="91" spans="1:27" x14ac:dyDescent="0.25">
      <c r="A91" s="12">
        <v>127</v>
      </c>
      <c r="B91">
        <v>10</v>
      </c>
      <c r="C91">
        <f t="shared" si="1"/>
        <v>12710</v>
      </c>
      <c r="D91" s="3" t="s">
        <v>87</v>
      </c>
      <c r="E91" s="11">
        <v>29.042351973684166</v>
      </c>
      <c r="F91" s="11">
        <v>48.18147840531558</v>
      </c>
      <c r="G91" t="s">
        <v>259</v>
      </c>
      <c r="H91" t="s">
        <v>258</v>
      </c>
      <c r="I91" t="s">
        <v>273</v>
      </c>
      <c r="J91" t="s">
        <v>299</v>
      </c>
      <c r="K91" s="2">
        <v>0</v>
      </c>
      <c r="L91" s="2" t="s">
        <v>310</v>
      </c>
      <c r="M91" s="20"/>
      <c r="N91" s="20"/>
      <c r="O91" s="8"/>
      <c r="P91" s="1"/>
      <c r="Q91" s="1"/>
      <c r="R91" s="1"/>
      <c r="S91" s="3"/>
      <c r="T91" s="3"/>
      <c r="U91" s="3"/>
      <c r="V91" s="3">
        <v>441.75</v>
      </c>
      <c r="W91" s="3"/>
      <c r="X91" s="3"/>
      <c r="Y91" s="3"/>
      <c r="Z91" t="s">
        <v>356</v>
      </c>
      <c r="AA91" t="s">
        <v>318</v>
      </c>
    </row>
    <row r="92" spans="1:27" x14ac:dyDescent="0.25">
      <c r="A92" s="12">
        <v>127</v>
      </c>
      <c r="B92">
        <v>10</v>
      </c>
      <c r="C92">
        <f t="shared" si="1"/>
        <v>12710</v>
      </c>
      <c r="D92" s="3" t="s">
        <v>87</v>
      </c>
      <c r="E92" s="11">
        <v>29.042351973684166</v>
      </c>
      <c r="F92" s="11">
        <v>48.18147840531558</v>
      </c>
      <c r="G92" t="s">
        <v>259</v>
      </c>
      <c r="H92" t="s">
        <v>258</v>
      </c>
      <c r="I92" t="s">
        <v>273</v>
      </c>
      <c r="J92" t="s">
        <v>299</v>
      </c>
      <c r="K92" s="2">
        <v>0</v>
      </c>
      <c r="L92" s="2" t="s">
        <v>311</v>
      </c>
      <c r="M92" s="20"/>
      <c r="N92" s="20"/>
      <c r="O92" s="8"/>
      <c r="P92" s="1"/>
      <c r="Q92" s="1"/>
      <c r="R92" s="1"/>
      <c r="S92" s="3"/>
      <c r="T92" s="3"/>
      <c r="U92" s="3"/>
      <c r="V92" s="3">
        <v>25.57</v>
      </c>
      <c r="W92" s="3"/>
      <c r="X92" s="3"/>
      <c r="Y92" s="3"/>
      <c r="Z92" t="s">
        <v>356</v>
      </c>
      <c r="AA92" t="s">
        <v>318</v>
      </c>
    </row>
    <row r="93" spans="1:27" x14ac:dyDescent="0.25">
      <c r="A93" s="12">
        <v>127</v>
      </c>
      <c r="B93">
        <v>10</v>
      </c>
      <c r="C93">
        <f t="shared" si="1"/>
        <v>12710</v>
      </c>
      <c r="D93" s="3" t="s">
        <v>87</v>
      </c>
      <c r="E93" s="11">
        <v>29.042351973684166</v>
      </c>
      <c r="F93" s="11">
        <v>48.18147840531558</v>
      </c>
      <c r="G93" t="s">
        <v>259</v>
      </c>
      <c r="H93" t="s">
        <v>258</v>
      </c>
      <c r="I93" t="s">
        <v>273</v>
      </c>
      <c r="J93" t="s">
        <v>300</v>
      </c>
      <c r="K93" s="2">
        <v>0</v>
      </c>
      <c r="L93" s="2" t="s">
        <v>308</v>
      </c>
      <c r="M93" s="20"/>
      <c r="N93" s="20"/>
      <c r="O93" s="8"/>
      <c r="P93" s="1"/>
      <c r="Q93" s="1"/>
      <c r="R93" s="1"/>
      <c r="S93" s="3"/>
      <c r="T93" s="3"/>
      <c r="U93" s="3"/>
      <c r="V93" s="3">
        <v>1.4849999999999999</v>
      </c>
      <c r="W93" s="3"/>
      <c r="X93" s="3"/>
      <c r="Y93" s="3"/>
      <c r="Z93" t="s">
        <v>356</v>
      </c>
      <c r="AA93" t="s">
        <v>318</v>
      </c>
    </row>
    <row r="94" spans="1:27" x14ac:dyDescent="0.25">
      <c r="A94" s="12">
        <v>127</v>
      </c>
      <c r="B94">
        <v>10</v>
      </c>
      <c r="C94">
        <f t="shared" si="1"/>
        <v>12710</v>
      </c>
      <c r="D94" s="3" t="s">
        <v>87</v>
      </c>
      <c r="E94" s="11">
        <v>29.042351973684166</v>
      </c>
      <c r="F94" s="11">
        <v>48.18147840531558</v>
      </c>
      <c r="G94" t="s">
        <v>259</v>
      </c>
      <c r="H94" t="s">
        <v>258</v>
      </c>
      <c r="I94" t="s">
        <v>273</v>
      </c>
      <c r="J94" t="s">
        <v>300</v>
      </c>
      <c r="K94" s="2">
        <v>0</v>
      </c>
      <c r="L94" s="2" t="s">
        <v>309</v>
      </c>
      <c r="M94" s="20"/>
      <c r="N94" s="20"/>
      <c r="O94" s="8"/>
      <c r="P94" s="1"/>
      <c r="Q94" s="1"/>
      <c r="R94" s="1"/>
      <c r="S94" s="3"/>
      <c r="T94" s="3"/>
      <c r="U94" s="3"/>
      <c r="V94" s="3">
        <v>17.060000000000002</v>
      </c>
      <c r="W94" s="3"/>
      <c r="X94" s="3"/>
      <c r="Y94" s="3"/>
      <c r="Z94" t="s">
        <v>356</v>
      </c>
      <c r="AA94" t="s">
        <v>318</v>
      </c>
    </row>
    <row r="95" spans="1:27" x14ac:dyDescent="0.25">
      <c r="A95" s="12">
        <v>127</v>
      </c>
      <c r="B95">
        <v>10</v>
      </c>
      <c r="C95">
        <f t="shared" si="1"/>
        <v>12710</v>
      </c>
      <c r="D95" s="3" t="s">
        <v>87</v>
      </c>
      <c r="E95" s="11">
        <v>29.042351973684166</v>
      </c>
      <c r="F95" s="11">
        <v>48.18147840531558</v>
      </c>
      <c r="G95" t="s">
        <v>259</v>
      </c>
      <c r="H95" t="s">
        <v>258</v>
      </c>
      <c r="I95" t="s">
        <v>273</v>
      </c>
      <c r="J95" t="s">
        <v>300</v>
      </c>
      <c r="K95" s="2">
        <v>0</v>
      </c>
      <c r="L95" s="2" t="s">
        <v>310</v>
      </c>
      <c r="M95" s="20"/>
      <c r="N95" s="20"/>
      <c r="O95" s="8"/>
      <c r="P95" s="1"/>
      <c r="Q95" s="1"/>
      <c r="R95" s="1"/>
      <c r="S95" s="3"/>
      <c r="T95" s="3"/>
      <c r="U95" s="3"/>
      <c r="V95" s="3">
        <v>97.25</v>
      </c>
      <c r="W95" s="3"/>
      <c r="X95" s="3"/>
      <c r="Y95" s="3"/>
      <c r="Z95" t="s">
        <v>356</v>
      </c>
      <c r="AA95" t="s">
        <v>318</v>
      </c>
    </row>
    <row r="96" spans="1:27" x14ac:dyDescent="0.25">
      <c r="A96" s="12">
        <v>127</v>
      </c>
      <c r="B96">
        <v>10</v>
      </c>
      <c r="C96">
        <f t="shared" si="1"/>
        <v>12710</v>
      </c>
      <c r="D96" s="3" t="s">
        <v>87</v>
      </c>
      <c r="E96" s="11">
        <v>29.042351973684166</v>
      </c>
      <c r="F96" s="11">
        <v>48.18147840531558</v>
      </c>
      <c r="G96" t="s">
        <v>259</v>
      </c>
      <c r="H96" t="s">
        <v>258</v>
      </c>
      <c r="I96" t="s">
        <v>273</v>
      </c>
      <c r="J96" t="s">
        <v>300</v>
      </c>
      <c r="K96" s="2">
        <v>0</v>
      </c>
      <c r="L96" s="2" t="s">
        <v>311</v>
      </c>
      <c r="M96" s="20"/>
      <c r="N96" s="20"/>
      <c r="O96" s="8"/>
      <c r="P96" s="1"/>
      <c r="Q96" s="1"/>
      <c r="R96" s="1"/>
      <c r="S96" s="3"/>
      <c r="T96" s="3"/>
      <c r="U96" s="3"/>
      <c r="V96" s="3">
        <v>193.2</v>
      </c>
      <c r="W96" s="3"/>
      <c r="X96" s="3"/>
      <c r="Y96" s="3"/>
      <c r="Z96" t="s">
        <v>356</v>
      </c>
      <c r="AA96" t="s">
        <v>318</v>
      </c>
    </row>
    <row r="97" spans="1:27" x14ac:dyDescent="0.25">
      <c r="A97" s="12">
        <v>127</v>
      </c>
      <c r="B97">
        <v>10</v>
      </c>
      <c r="C97">
        <f t="shared" si="1"/>
        <v>12710</v>
      </c>
      <c r="D97" s="3" t="s">
        <v>87</v>
      </c>
      <c r="E97" s="11">
        <v>29.042351973684166</v>
      </c>
      <c r="F97" s="11">
        <v>48.18147840531558</v>
      </c>
      <c r="G97" t="s">
        <v>259</v>
      </c>
      <c r="H97" t="s">
        <v>258</v>
      </c>
      <c r="I97" t="s">
        <v>273</v>
      </c>
      <c r="J97" t="s">
        <v>300</v>
      </c>
      <c r="K97" s="2">
        <v>0</v>
      </c>
      <c r="L97" s="2" t="s">
        <v>314</v>
      </c>
      <c r="M97" s="20"/>
      <c r="N97" s="20"/>
      <c r="O97" s="8"/>
      <c r="P97" s="1"/>
      <c r="Q97" s="1"/>
      <c r="R97" s="1"/>
      <c r="S97" s="3"/>
      <c r="T97" s="3"/>
      <c r="U97" s="3"/>
      <c r="V97" s="3">
        <v>40.884999999999998</v>
      </c>
      <c r="W97" s="3"/>
      <c r="X97" s="3"/>
      <c r="Y97" s="3"/>
      <c r="Z97" t="s">
        <v>356</v>
      </c>
      <c r="AA97" t="s">
        <v>318</v>
      </c>
    </row>
    <row r="98" spans="1:27" x14ac:dyDescent="0.25">
      <c r="A98" s="12">
        <v>127</v>
      </c>
      <c r="B98">
        <v>10</v>
      </c>
      <c r="C98">
        <f t="shared" si="1"/>
        <v>12710</v>
      </c>
      <c r="D98" s="3" t="s">
        <v>87</v>
      </c>
      <c r="E98" s="11">
        <v>29.042351973684166</v>
      </c>
      <c r="F98" s="11">
        <v>48.18147840531558</v>
      </c>
      <c r="G98" t="s">
        <v>259</v>
      </c>
      <c r="H98" t="s">
        <v>258</v>
      </c>
      <c r="I98" t="s">
        <v>273</v>
      </c>
      <c r="J98" t="s">
        <v>301</v>
      </c>
      <c r="K98" s="2">
        <v>0</v>
      </c>
      <c r="L98" s="2" t="s">
        <v>308</v>
      </c>
      <c r="M98" s="20"/>
      <c r="N98" s="20"/>
      <c r="O98" s="8"/>
      <c r="P98" s="1"/>
      <c r="Q98" s="1"/>
      <c r="R98" s="1"/>
      <c r="S98" s="3"/>
      <c r="T98" s="3"/>
      <c r="U98" s="3"/>
      <c r="V98" s="3">
        <v>0.7</v>
      </c>
      <c r="W98" s="3"/>
      <c r="X98" s="3"/>
      <c r="Y98" s="3"/>
      <c r="Z98" t="s">
        <v>356</v>
      </c>
      <c r="AA98" t="s">
        <v>318</v>
      </c>
    </row>
    <row r="99" spans="1:27" x14ac:dyDescent="0.25">
      <c r="A99" s="12">
        <v>127</v>
      </c>
      <c r="B99">
        <v>10</v>
      </c>
      <c r="C99">
        <f t="shared" si="1"/>
        <v>12710</v>
      </c>
      <c r="D99" s="3" t="s">
        <v>87</v>
      </c>
      <c r="E99" s="11">
        <v>29.042351973684166</v>
      </c>
      <c r="F99" s="11">
        <v>48.18147840531558</v>
      </c>
      <c r="G99" t="s">
        <v>259</v>
      </c>
      <c r="H99" t="s">
        <v>258</v>
      </c>
      <c r="I99" t="s">
        <v>273</v>
      </c>
      <c r="J99" t="s">
        <v>301</v>
      </c>
      <c r="K99" s="2">
        <v>0</v>
      </c>
      <c r="L99" s="2" t="s">
        <v>309</v>
      </c>
      <c r="M99" s="20"/>
      <c r="N99" s="20"/>
      <c r="O99" s="8"/>
      <c r="P99" s="1"/>
      <c r="Q99" s="1"/>
      <c r="R99" s="1"/>
      <c r="S99" s="3"/>
      <c r="T99" s="3"/>
      <c r="U99" s="3"/>
      <c r="V99" s="3">
        <v>2.64</v>
      </c>
      <c r="W99" s="3"/>
      <c r="X99" s="3"/>
      <c r="Y99" s="3"/>
      <c r="Z99" t="s">
        <v>356</v>
      </c>
      <c r="AA99" t="s">
        <v>318</v>
      </c>
    </row>
    <row r="100" spans="1:27" x14ac:dyDescent="0.25">
      <c r="A100" s="12">
        <v>127</v>
      </c>
      <c r="B100">
        <v>10</v>
      </c>
      <c r="C100">
        <f t="shared" si="1"/>
        <v>12710</v>
      </c>
      <c r="D100" s="3" t="s">
        <v>87</v>
      </c>
      <c r="E100" s="11">
        <v>29.042351973684166</v>
      </c>
      <c r="F100" s="11">
        <v>48.18147840531558</v>
      </c>
      <c r="G100" t="s">
        <v>259</v>
      </c>
      <c r="H100" t="s">
        <v>258</v>
      </c>
      <c r="I100" t="s">
        <v>273</v>
      </c>
      <c r="J100" t="s">
        <v>301</v>
      </c>
      <c r="K100" s="2">
        <v>0</v>
      </c>
      <c r="L100" s="2" t="s">
        <v>310</v>
      </c>
      <c r="M100" s="20"/>
      <c r="N100" s="20"/>
      <c r="O100" s="8"/>
      <c r="P100" s="1"/>
      <c r="Q100" s="1"/>
      <c r="R100" s="1"/>
      <c r="S100" s="3"/>
      <c r="T100" s="3"/>
      <c r="U100" s="3"/>
      <c r="V100" s="3">
        <v>6.2650000000000006</v>
      </c>
      <c r="W100" s="3"/>
      <c r="X100" s="3"/>
      <c r="Y100" s="3"/>
      <c r="Z100" t="s">
        <v>356</v>
      </c>
      <c r="AA100" t="s">
        <v>318</v>
      </c>
    </row>
    <row r="101" spans="1:27" x14ac:dyDescent="0.25">
      <c r="A101" s="12">
        <v>127</v>
      </c>
      <c r="B101">
        <v>10</v>
      </c>
      <c r="C101">
        <f t="shared" si="1"/>
        <v>12710</v>
      </c>
      <c r="D101" s="3" t="s">
        <v>87</v>
      </c>
      <c r="E101" s="11">
        <v>29.042351973684166</v>
      </c>
      <c r="F101" s="11">
        <v>48.18147840531558</v>
      </c>
      <c r="G101" t="s">
        <v>259</v>
      </c>
      <c r="H101" t="s">
        <v>258</v>
      </c>
      <c r="I101" t="s">
        <v>273</v>
      </c>
      <c r="J101" t="s">
        <v>301</v>
      </c>
      <c r="K101" s="2">
        <v>0</v>
      </c>
      <c r="L101" s="2" t="s">
        <v>311</v>
      </c>
      <c r="M101" s="20"/>
      <c r="N101" s="20"/>
      <c r="O101" s="8"/>
      <c r="P101" s="1"/>
      <c r="Q101" s="1"/>
      <c r="R101" s="1"/>
      <c r="S101" s="3"/>
      <c r="T101" s="3"/>
      <c r="U101" s="3"/>
      <c r="V101" s="3">
        <v>39.49</v>
      </c>
      <c r="W101" s="3"/>
      <c r="X101" s="3"/>
      <c r="Y101" s="3"/>
      <c r="Z101" t="s">
        <v>356</v>
      </c>
      <c r="AA101" t="s">
        <v>318</v>
      </c>
    </row>
    <row r="102" spans="1:27" x14ac:dyDescent="0.25">
      <c r="A102" s="12">
        <v>127</v>
      </c>
      <c r="B102">
        <v>10</v>
      </c>
      <c r="C102">
        <f t="shared" si="1"/>
        <v>12710</v>
      </c>
      <c r="D102" s="3" t="s">
        <v>87</v>
      </c>
      <c r="E102" s="11">
        <v>29.042351973684166</v>
      </c>
      <c r="F102" s="11">
        <v>48.18147840531558</v>
      </c>
      <c r="G102" t="s">
        <v>259</v>
      </c>
      <c r="H102" t="s">
        <v>258</v>
      </c>
      <c r="I102" t="s">
        <v>273</v>
      </c>
      <c r="J102" t="s">
        <v>301</v>
      </c>
      <c r="K102" s="2">
        <v>0</v>
      </c>
      <c r="L102" s="2" t="s">
        <v>314</v>
      </c>
      <c r="M102" s="20"/>
      <c r="N102" s="20"/>
      <c r="O102" s="8"/>
      <c r="P102" s="1"/>
      <c r="Q102" s="1"/>
      <c r="R102" s="1"/>
      <c r="S102" s="3"/>
      <c r="T102" s="3"/>
      <c r="U102" s="3"/>
      <c r="V102" s="3">
        <v>1.74</v>
      </c>
      <c r="W102" s="3"/>
      <c r="X102" s="3"/>
      <c r="Y102" s="3"/>
      <c r="Z102" t="s">
        <v>356</v>
      </c>
      <c r="AA102" t="s">
        <v>318</v>
      </c>
    </row>
    <row r="103" spans="1:27" x14ac:dyDescent="0.25">
      <c r="A103" s="12">
        <v>127</v>
      </c>
      <c r="B103">
        <v>10</v>
      </c>
      <c r="C103">
        <f t="shared" si="1"/>
        <v>12710</v>
      </c>
      <c r="D103" s="3" t="s">
        <v>87</v>
      </c>
      <c r="E103" s="11">
        <v>29.042351973684166</v>
      </c>
      <c r="F103" s="11">
        <v>48.18147840531558</v>
      </c>
      <c r="G103" t="s">
        <v>259</v>
      </c>
      <c r="H103" t="s">
        <v>258</v>
      </c>
      <c r="I103" t="s">
        <v>273</v>
      </c>
      <c r="J103" t="s">
        <v>302</v>
      </c>
      <c r="K103" s="2">
        <v>0</v>
      </c>
      <c r="L103" s="2" t="s">
        <v>308</v>
      </c>
      <c r="M103" s="20"/>
      <c r="N103" s="20"/>
      <c r="O103" s="8"/>
      <c r="P103" s="1"/>
      <c r="Q103" s="1"/>
      <c r="R103" s="1"/>
      <c r="S103" s="3"/>
      <c r="T103" s="3"/>
      <c r="U103" s="3"/>
      <c r="V103" s="3">
        <v>3.76</v>
      </c>
      <c r="W103" s="3"/>
      <c r="X103" s="3"/>
      <c r="Y103" s="3"/>
      <c r="Z103" t="s">
        <v>356</v>
      </c>
      <c r="AA103" t="s">
        <v>318</v>
      </c>
    </row>
    <row r="104" spans="1:27" x14ac:dyDescent="0.25">
      <c r="A104" s="12">
        <v>127</v>
      </c>
      <c r="B104">
        <v>10</v>
      </c>
      <c r="C104">
        <f t="shared" si="1"/>
        <v>12710</v>
      </c>
      <c r="D104" s="3" t="s">
        <v>87</v>
      </c>
      <c r="E104" s="11">
        <v>29.042351973684166</v>
      </c>
      <c r="F104" s="11">
        <v>48.18147840531558</v>
      </c>
      <c r="G104" t="s">
        <v>259</v>
      </c>
      <c r="H104" t="s">
        <v>258</v>
      </c>
      <c r="I104" t="s">
        <v>273</v>
      </c>
      <c r="J104" t="s">
        <v>302</v>
      </c>
      <c r="K104" s="2">
        <v>0</v>
      </c>
      <c r="L104" s="2" t="s">
        <v>311</v>
      </c>
      <c r="M104" s="20"/>
      <c r="N104" s="20"/>
      <c r="O104" s="8"/>
      <c r="P104" s="1"/>
      <c r="Q104" s="1"/>
      <c r="R104" s="1"/>
      <c r="S104" s="3"/>
      <c r="T104" s="3"/>
      <c r="U104" s="3"/>
      <c r="V104" s="3">
        <v>68.37</v>
      </c>
      <c r="W104" s="3"/>
      <c r="X104" s="3"/>
      <c r="Y104" s="3"/>
      <c r="Z104" t="s">
        <v>356</v>
      </c>
      <c r="AA104" t="s">
        <v>318</v>
      </c>
    </row>
    <row r="105" spans="1:27" x14ac:dyDescent="0.25">
      <c r="A105" s="12">
        <v>127</v>
      </c>
      <c r="B105">
        <v>10</v>
      </c>
      <c r="C105">
        <f t="shared" si="1"/>
        <v>12710</v>
      </c>
      <c r="D105" s="3" t="s">
        <v>87</v>
      </c>
      <c r="E105" s="11">
        <v>29.042351973684166</v>
      </c>
      <c r="F105" s="11">
        <v>48.18147840531558</v>
      </c>
      <c r="G105" t="s">
        <v>259</v>
      </c>
      <c r="H105" t="s">
        <v>258</v>
      </c>
      <c r="I105" t="s">
        <v>273</v>
      </c>
      <c r="J105" t="s">
        <v>303</v>
      </c>
      <c r="K105" s="2">
        <v>0</v>
      </c>
      <c r="L105" s="2" t="s">
        <v>308</v>
      </c>
      <c r="M105" s="20"/>
      <c r="N105" s="20"/>
      <c r="O105" s="8"/>
      <c r="P105" s="1"/>
      <c r="Q105" s="1"/>
      <c r="R105" s="1"/>
      <c r="S105" s="3"/>
      <c r="T105" s="3"/>
      <c r="U105" s="3"/>
      <c r="V105" s="3">
        <v>1.375</v>
      </c>
      <c r="W105" s="3"/>
      <c r="X105" s="3"/>
      <c r="Y105" s="3"/>
      <c r="Z105" t="s">
        <v>356</v>
      </c>
      <c r="AA105" t="s">
        <v>318</v>
      </c>
    </row>
    <row r="106" spans="1:27" x14ac:dyDescent="0.25">
      <c r="A106" s="12">
        <v>127</v>
      </c>
      <c r="B106">
        <v>10</v>
      </c>
      <c r="C106">
        <f t="shared" si="1"/>
        <v>12710</v>
      </c>
      <c r="D106" s="3" t="s">
        <v>87</v>
      </c>
      <c r="E106" s="11">
        <v>29.042351973684166</v>
      </c>
      <c r="F106" s="11">
        <v>48.18147840531558</v>
      </c>
      <c r="G106" t="s">
        <v>259</v>
      </c>
      <c r="H106" t="s">
        <v>258</v>
      </c>
      <c r="I106" t="s">
        <v>273</v>
      </c>
      <c r="J106" t="s">
        <v>303</v>
      </c>
      <c r="K106" s="2">
        <v>0</v>
      </c>
      <c r="L106" s="2" t="s">
        <v>309</v>
      </c>
      <c r="M106" s="20"/>
      <c r="N106" s="20"/>
      <c r="O106" s="8"/>
      <c r="P106" s="1"/>
      <c r="Q106" s="1"/>
      <c r="R106" s="1"/>
      <c r="S106" s="3"/>
      <c r="T106" s="3"/>
      <c r="U106" s="3"/>
      <c r="V106" s="3">
        <v>5.28</v>
      </c>
      <c r="W106" s="3"/>
      <c r="X106" s="3"/>
      <c r="Y106" s="3"/>
      <c r="Z106" t="s">
        <v>356</v>
      </c>
      <c r="AA106" t="s">
        <v>318</v>
      </c>
    </row>
    <row r="107" spans="1:27" x14ac:dyDescent="0.25">
      <c r="A107" s="12">
        <v>127</v>
      </c>
      <c r="B107">
        <v>10</v>
      </c>
      <c r="C107">
        <f t="shared" si="1"/>
        <v>12710</v>
      </c>
      <c r="D107" s="3" t="s">
        <v>87</v>
      </c>
      <c r="E107" s="11">
        <v>29.042351973684166</v>
      </c>
      <c r="F107" s="11">
        <v>48.18147840531558</v>
      </c>
      <c r="G107" t="s">
        <v>259</v>
      </c>
      <c r="H107" t="s">
        <v>258</v>
      </c>
      <c r="I107" t="s">
        <v>273</v>
      </c>
      <c r="J107" t="s">
        <v>303</v>
      </c>
      <c r="K107" s="2">
        <v>0</v>
      </c>
      <c r="L107" s="2" t="s">
        <v>311</v>
      </c>
      <c r="M107" s="20"/>
      <c r="N107" s="20"/>
      <c r="O107" s="8"/>
      <c r="P107" s="1"/>
      <c r="Q107" s="1"/>
      <c r="R107" s="1"/>
      <c r="S107" s="3"/>
      <c r="T107" s="3"/>
      <c r="U107" s="3"/>
      <c r="V107" s="3">
        <v>26.134999999999998</v>
      </c>
      <c r="W107" s="3"/>
      <c r="X107" s="3"/>
      <c r="Y107" s="3"/>
      <c r="Z107" t="s">
        <v>356</v>
      </c>
      <c r="AA107" t="s">
        <v>318</v>
      </c>
    </row>
    <row r="108" spans="1:27" x14ac:dyDescent="0.25">
      <c r="A108" s="12">
        <v>127</v>
      </c>
      <c r="B108">
        <v>10</v>
      </c>
      <c r="C108">
        <f t="shared" si="1"/>
        <v>12710</v>
      </c>
      <c r="D108" s="3" t="s">
        <v>87</v>
      </c>
      <c r="E108" s="11">
        <v>29.042351973684166</v>
      </c>
      <c r="F108" s="11">
        <v>48.18147840531558</v>
      </c>
      <c r="G108" t="s">
        <v>259</v>
      </c>
      <c r="H108" t="s">
        <v>258</v>
      </c>
      <c r="I108" t="s">
        <v>273</v>
      </c>
      <c r="J108" t="s">
        <v>303</v>
      </c>
      <c r="K108" s="2">
        <v>0</v>
      </c>
      <c r="L108" s="2" t="s">
        <v>314</v>
      </c>
      <c r="M108" s="20"/>
      <c r="N108" s="20"/>
      <c r="O108" s="8"/>
      <c r="P108" s="1"/>
      <c r="Q108" s="1"/>
      <c r="R108" s="1"/>
      <c r="S108" s="3"/>
      <c r="T108" s="3"/>
      <c r="U108" s="3"/>
      <c r="V108" s="3">
        <v>5.8049999999999997</v>
      </c>
      <c r="W108" s="3"/>
      <c r="X108" s="3"/>
      <c r="Y108" s="3"/>
      <c r="Z108" t="s">
        <v>356</v>
      </c>
      <c r="AA108" t="s">
        <v>318</v>
      </c>
    </row>
    <row r="109" spans="1:27" x14ac:dyDescent="0.25">
      <c r="A109" s="12">
        <v>127</v>
      </c>
      <c r="B109">
        <v>10</v>
      </c>
      <c r="C109">
        <f t="shared" si="1"/>
        <v>12710</v>
      </c>
      <c r="D109" s="3" t="s">
        <v>87</v>
      </c>
      <c r="E109" s="11">
        <v>29.042351973684166</v>
      </c>
      <c r="F109" s="11">
        <v>48.18147840531558</v>
      </c>
      <c r="G109" t="s">
        <v>259</v>
      </c>
      <c r="H109" t="s">
        <v>258</v>
      </c>
      <c r="I109" t="s">
        <v>273</v>
      </c>
      <c r="J109" t="s">
        <v>304</v>
      </c>
      <c r="K109" s="2">
        <v>0</v>
      </c>
      <c r="L109" s="2" t="s">
        <v>308</v>
      </c>
      <c r="M109" s="20"/>
      <c r="N109" s="20"/>
      <c r="O109" s="8"/>
      <c r="P109" s="1"/>
      <c r="Q109" s="1"/>
      <c r="R109" s="1"/>
      <c r="S109" s="3"/>
      <c r="T109" s="3"/>
      <c r="U109" s="3"/>
      <c r="V109" s="3">
        <v>0.53500000000000003</v>
      </c>
      <c r="W109" s="3"/>
      <c r="X109" s="3"/>
      <c r="Y109" s="3"/>
      <c r="Z109" t="s">
        <v>356</v>
      </c>
      <c r="AA109" t="s">
        <v>318</v>
      </c>
    </row>
    <row r="110" spans="1:27" x14ac:dyDescent="0.25">
      <c r="A110" s="12">
        <v>127</v>
      </c>
      <c r="B110">
        <v>10</v>
      </c>
      <c r="C110">
        <f t="shared" si="1"/>
        <v>12710</v>
      </c>
      <c r="D110" s="3" t="s">
        <v>87</v>
      </c>
      <c r="E110" s="11">
        <v>29.042351973684166</v>
      </c>
      <c r="F110" s="11">
        <v>48.18147840531558</v>
      </c>
      <c r="G110" t="s">
        <v>259</v>
      </c>
      <c r="H110" t="s">
        <v>258</v>
      </c>
      <c r="I110" t="s">
        <v>273</v>
      </c>
      <c r="J110" t="s">
        <v>304</v>
      </c>
      <c r="K110" s="2">
        <v>0</v>
      </c>
      <c r="L110" s="2" t="s">
        <v>309</v>
      </c>
      <c r="M110" s="20"/>
      <c r="N110" s="20"/>
      <c r="O110" s="8"/>
      <c r="P110" s="1"/>
      <c r="Q110" s="1"/>
      <c r="R110" s="1"/>
      <c r="S110" s="3"/>
      <c r="T110" s="3"/>
      <c r="U110" s="3"/>
      <c r="V110" s="3">
        <v>5.96</v>
      </c>
      <c r="W110" s="3"/>
      <c r="X110" s="3"/>
      <c r="Y110" s="3"/>
      <c r="Z110" t="s">
        <v>356</v>
      </c>
      <c r="AA110" t="s">
        <v>318</v>
      </c>
    </row>
    <row r="111" spans="1:27" x14ac:dyDescent="0.25">
      <c r="A111" s="12">
        <v>127</v>
      </c>
      <c r="B111">
        <v>10</v>
      </c>
      <c r="C111">
        <f t="shared" si="1"/>
        <v>12710</v>
      </c>
      <c r="D111" s="3" t="s">
        <v>87</v>
      </c>
      <c r="E111" s="11">
        <v>29.042351973684166</v>
      </c>
      <c r="F111" s="11">
        <v>48.18147840531558</v>
      </c>
      <c r="G111" t="s">
        <v>259</v>
      </c>
      <c r="H111" t="s">
        <v>258</v>
      </c>
      <c r="I111" t="s">
        <v>273</v>
      </c>
      <c r="J111" t="s">
        <v>304</v>
      </c>
      <c r="K111" s="2">
        <v>0</v>
      </c>
      <c r="L111" s="2" t="s">
        <v>311</v>
      </c>
      <c r="M111" s="20"/>
      <c r="N111" s="20"/>
      <c r="O111" s="8"/>
      <c r="P111" s="1"/>
      <c r="Q111" s="1"/>
      <c r="R111" s="1"/>
      <c r="S111" s="3"/>
      <c r="T111" s="3"/>
      <c r="U111" s="3"/>
      <c r="V111" s="3">
        <v>51.965000000000003</v>
      </c>
      <c r="W111" s="3"/>
      <c r="X111" s="3"/>
      <c r="Y111" s="3"/>
      <c r="Z111" t="s">
        <v>356</v>
      </c>
      <c r="AA111" t="s">
        <v>318</v>
      </c>
    </row>
    <row r="112" spans="1:27" x14ac:dyDescent="0.25">
      <c r="A112" s="12">
        <v>127</v>
      </c>
      <c r="B112">
        <v>10</v>
      </c>
      <c r="C112">
        <f t="shared" si="1"/>
        <v>12710</v>
      </c>
      <c r="D112" s="3" t="s">
        <v>87</v>
      </c>
      <c r="E112" s="11">
        <v>29.042351973684166</v>
      </c>
      <c r="F112" s="11">
        <v>48.18147840531558</v>
      </c>
      <c r="G112" t="s">
        <v>259</v>
      </c>
      <c r="H112" t="s">
        <v>258</v>
      </c>
      <c r="I112" t="s">
        <v>273</v>
      </c>
      <c r="J112" t="s">
        <v>304</v>
      </c>
      <c r="K112" s="2">
        <v>0</v>
      </c>
      <c r="L112" s="2" t="s">
        <v>314</v>
      </c>
      <c r="M112" s="20"/>
      <c r="N112" s="20"/>
      <c r="O112" s="8"/>
      <c r="P112" s="1"/>
      <c r="Q112" s="1"/>
      <c r="R112" s="1"/>
      <c r="S112" s="3"/>
      <c r="T112" s="3"/>
      <c r="U112" s="3"/>
      <c r="V112" s="3">
        <v>4.8949999999999996</v>
      </c>
      <c r="W112" s="3"/>
      <c r="X112" s="3"/>
      <c r="Y112" s="3"/>
      <c r="Z112" t="s">
        <v>356</v>
      </c>
      <c r="AA112" t="s">
        <v>318</v>
      </c>
    </row>
    <row r="113" spans="1:27" x14ac:dyDescent="0.25">
      <c r="A113" s="12">
        <v>127</v>
      </c>
      <c r="B113">
        <v>10</v>
      </c>
      <c r="C113">
        <f t="shared" si="1"/>
        <v>12710</v>
      </c>
      <c r="D113" s="3" t="s">
        <v>87</v>
      </c>
      <c r="E113" s="11">
        <v>29.042351973684166</v>
      </c>
      <c r="F113" s="11">
        <v>48.18147840531558</v>
      </c>
      <c r="G113" t="s">
        <v>259</v>
      </c>
      <c r="H113" t="s">
        <v>258</v>
      </c>
      <c r="I113" t="s">
        <v>273</v>
      </c>
      <c r="J113" t="s">
        <v>305</v>
      </c>
      <c r="K113" s="2">
        <v>0</v>
      </c>
      <c r="L113" s="2" t="s">
        <v>308</v>
      </c>
      <c r="M113" s="20"/>
      <c r="N113" s="20"/>
      <c r="O113" s="8"/>
      <c r="P113" s="1"/>
      <c r="Q113" s="1"/>
      <c r="R113" s="1"/>
      <c r="S113" s="3"/>
      <c r="T113" s="3"/>
      <c r="U113" s="3"/>
      <c r="V113" s="3">
        <v>6.8900000000000006</v>
      </c>
      <c r="W113" s="3"/>
      <c r="X113" s="3"/>
      <c r="Y113" s="3"/>
      <c r="Z113" t="s">
        <v>356</v>
      </c>
      <c r="AA113" t="s">
        <v>318</v>
      </c>
    </row>
    <row r="114" spans="1:27" x14ac:dyDescent="0.25">
      <c r="A114" s="12">
        <v>127</v>
      </c>
      <c r="B114">
        <v>10</v>
      </c>
      <c r="C114">
        <f t="shared" si="1"/>
        <v>12710</v>
      </c>
      <c r="D114" s="3" t="s">
        <v>87</v>
      </c>
      <c r="E114" s="11">
        <v>29.042351973684166</v>
      </c>
      <c r="F114" s="11">
        <v>48.18147840531558</v>
      </c>
      <c r="G114" t="s">
        <v>259</v>
      </c>
      <c r="H114" t="s">
        <v>258</v>
      </c>
      <c r="I114" t="s">
        <v>273</v>
      </c>
      <c r="J114" t="s">
        <v>305</v>
      </c>
      <c r="K114" s="2">
        <v>0</v>
      </c>
      <c r="L114" s="2" t="s">
        <v>309</v>
      </c>
      <c r="M114" s="20"/>
      <c r="N114" s="20"/>
      <c r="O114" s="8"/>
      <c r="P114" s="1"/>
      <c r="Q114" s="1"/>
      <c r="R114" s="1"/>
      <c r="S114" s="3"/>
      <c r="T114" s="3"/>
      <c r="U114" s="3"/>
      <c r="V114" s="3">
        <v>20.9</v>
      </c>
      <c r="W114" s="3"/>
      <c r="X114" s="3"/>
      <c r="Y114" s="3"/>
      <c r="Z114" t="s">
        <v>356</v>
      </c>
      <c r="AA114" t="s">
        <v>318</v>
      </c>
    </row>
    <row r="115" spans="1:27" x14ac:dyDescent="0.25">
      <c r="A115" s="12">
        <v>127</v>
      </c>
      <c r="B115">
        <v>10</v>
      </c>
      <c r="C115">
        <f t="shared" si="1"/>
        <v>12710</v>
      </c>
      <c r="D115" s="3" t="s">
        <v>87</v>
      </c>
      <c r="E115" s="11">
        <v>29.042351973684166</v>
      </c>
      <c r="F115" s="11">
        <v>48.18147840531558</v>
      </c>
      <c r="G115" t="s">
        <v>259</v>
      </c>
      <c r="H115" t="s">
        <v>258</v>
      </c>
      <c r="I115" t="s">
        <v>273</v>
      </c>
      <c r="J115" t="s">
        <v>305</v>
      </c>
      <c r="K115" s="2">
        <v>0</v>
      </c>
      <c r="L115" s="2" t="s">
        <v>311</v>
      </c>
      <c r="M115" s="20"/>
      <c r="N115" s="20"/>
      <c r="O115" s="8"/>
      <c r="P115" s="1"/>
      <c r="Q115" s="1"/>
      <c r="R115" s="1"/>
      <c r="S115" s="3"/>
      <c r="T115" s="3"/>
      <c r="U115" s="3"/>
      <c r="V115" s="3">
        <v>49.16</v>
      </c>
      <c r="W115" s="3"/>
      <c r="X115" s="3"/>
      <c r="Y115" s="3"/>
      <c r="Z115" t="s">
        <v>356</v>
      </c>
      <c r="AA115" t="s">
        <v>318</v>
      </c>
    </row>
    <row r="116" spans="1:27" x14ac:dyDescent="0.25">
      <c r="A116" s="12">
        <v>127</v>
      </c>
      <c r="B116">
        <v>10</v>
      </c>
      <c r="C116">
        <f t="shared" si="1"/>
        <v>12710</v>
      </c>
      <c r="D116" s="3" t="s">
        <v>87</v>
      </c>
      <c r="E116" s="11">
        <v>29.042351973684166</v>
      </c>
      <c r="F116" s="11">
        <v>48.18147840531558</v>
      </c>
      <c r="G116" t="s">
        <v>259</v>
      </c>
      <c r="H116" t="s">
        <v>258</v>
      </c>
      <c r="I116" t="s">
        <v>273</v>
      </c>
      <c r="J116" t="s">
        <v>305</v>
      </c>
      <c r="K116" s="2">
        <v>0</v>
      </c>
      <c r="L116" s="2" t="s">
        <v>314</v>
      </c>
      <c r="M116" s="20"/>
      <c r="N116" s="20"/>
      <c r="O116" s="8"/>
      <c r="P116" s="1"/>
      <c r="Q116" s="1"/>
      <c r="R116" s="1"/>
      <c r="S116" s="3"/>
      <c r="T116" s="3"/>
      <c r="U116" s="3"/>
      <c r="V116" s="3">
        <v>22.75</v>
      </c>
      <c r="W116" s="3"/>
      <c r="X116" s="3"/>
      <c r="Y116" s="3"/>
      <c r="Z116" t="s">
        <v>356</v>
      </c>
      <c r="AA116" t="s">
        <v>318</v>
      </c>
    </row>
    <row r="117" spans="1:27" x14ac:dyDescent="0.25">
      <c r="A117" s="12">
        <v>127</v>
      </c>
      <c r="B117">
        <v>10</v>
      </c>
      <c r="C117">
        <f t="shared" si="1"/>
        <v>12710</v>
      </c>
      <c r="D117" s="3" t="s">
        <v>87</v>
      </c>
      <c r="E117" s="11">
        <v>29.042351973684166</v>
      </c>
      <c r="F117" s="11">
        <v>48.18147840531558</v>
      </c>
      <c r="G117" t="s">
        <v>259</v>
      </c>
      <c r="H117" t="s">
        <v>258</v>
      </c>
      <c r="I117" t="s">
        <v>273</v>
      </c>
      <c r="J117" t="s">
        <v>306</v>
      </c>
      <c r="K117" s="2">
        <v>0</v>
      </c>
      <c r="L117" s="2" t="s">
        <v>308</v>
      </c>
      <c r="M117" s="20"/>
      <c r="N117" s="20"/>
      <c r="O117" s="8"/>
      <c r="P117" s="1"/>
      <c r="Q117" s="1"/>
      <c r="R117" s="1"/>
      <c r="S117" s="3"/>
      <c r="T117" s="3"/>
      <c r="U117" s="3"/>
      <c r="V117" s="3">
        <v>1.3149999999999999</v>
      </c>
      <c r="W117" s="3"/>
      <c r="X117" s="3"/>
      <c r="Y117" s="3"/>
      <c r="Z117" t="s">
        <v>356</v>
      </c>
      <c r="AA117" t="s">
        <v>318</v>
      </c>
    </row>
    <row r="118" spans="1:27" x14ac:dyDescent="0.25">
      <c r="A118" s="12">
        <v>127</v>
      </c>
      <c r="B118">
        <v>10</v>
      </c>
      <c r="C118">
        <f t="shared" si="1"/>
        <v>12710</v>
      </c>
      <c r="D118" s="3" t="s">
        <v>87</v>
      </c>
      <c r="E118" s="11">
        <v>29.042351973684166</v>
      </c>
      <c r="F118" s="11">
        <v>48.18147840531558</v>
      </c>
      <c r="G118" t="s">
        <v>259</v>
      </c>
      <c r="H118" t="s">
        <v>258</v>
      </c>
      <c r="I118" t="s">
        <v>273</v>
      </c>
      <c r="J118" t="s">
        <v>306</v>
      </c>
      <c r="K118" s="2">
        <v>0</v>
      </c>
      <c r="L118" s="2" t="s">
        <v>315</v>
      </c>
      <c r="M118" s="20"/>
      <c r="N118" s="20"/>
      <c r="O118" s="8"/>
      <c r="P118" s="1"/>
      <c r="Q118" s="1"/>
      <c r="R118" s="1"/>
      <c r="S118" s="3"/>
      <c r="T118" s="3"/>
      <c r="U118" s="3"/>
      <c r="V118" s="3">
        <v>7.0600000000000005</v>
      </c>
      <c r="W118" s="3"/>
      <c r="X118" s="3"/>
      <c r="Y118" s="3"/>
      <c r="Z118" t="s">
        <v>356</v>
      </c>
      <c r="AA118" t="s">
        <v>318</v>
      </c>
    </row>
    <row r="119" spans="1:27" x14ac:dyDescent="0.25">
      <c r="A119" s="12">
        <v>127</v>
      </c>
      <c r="B119">
        <v>10</v>
      </c>
      <c r="C119">
        <f t="shared" si="1"/>
        <v>12710</v>
      </c>
      <c r="D119" s="3" t="s">
        <v>87</v>
      </c>
      <c r="E119" s="11">
        <v>29.042351973684166</v>
      </c>
      <c r="F119" s="11">
        <v>48.18147840531558</v>
      </c>
      <c r="G119" t="s">
        <v>259</v>
      </c>
      <c r="H119" t="s">
        <v>258</v>
      </c>
      <c r="I119" t="s">
        <v>273</v>
      </c>
      <c r="J119" t="s">
        <v>306</v>
      </c>
      <c r="K119" s="2">
        <v>0</v>
      </c>
      <c r="L119" s="2" t="s">
        <v>316</v>
      </c>
      <c r="M119" s="20"/>
      <c r="N119" s="20"/>
      <c r="O119" s="8"/>
      <c r="P119" s="1"/>
      <c r="Q119" s="1"/>
      <c r="R119" s="1"/>
      <c r="S119" s="3"/>
      <c r="T119" s="3"/>
      <c r="U119" s="3"/>
      <c r="V119" s="3">
        <v>14.195</v>
      </c>
      <c r="W119" s="3"/>
      <c r="X119" s="3"/>
      <c r="Y119" s="3"/>
      <c r="Z119" t="s">
        <v>356</v>
      </c>
      <c r="AA119" t="s">
        <v>318</v>
      </c>
    </row>
    <row r="120" spans="1:27" x14ac:dyDescent="0.25">
      <c r="A120" s="12">
        <v>127</v>
      </c>
      <c r="B120">
        <v>10</v>
      </c>
      <c r="C120">
        <f t="shared" si="1"/>
        <v>12710</v>
      </c>
      <c r="D120" s="3" t="s">
        <v>87</v>
      </c>
      <c r="E120" s="11">
        <v>29.042351973684166</v>
      </c>
      <c r="F120" s="11">
        <v>48.18147840531558</v>
      </c>
      <c r="G120" t="s">
        <v>259</v>
      </c>
      <c r="H120" t="s">
        <v>258</v>
      </c>
      <c r="I120" t="s">
        <v>273</v>
      </c>
      <c r="J120" t="s">
        <v>306</v>
      </c>
      <c r="K120" s="2">
        <v>0</v>
      </c>
      <c r="L120" s="2" t="s">
        <v>309</v>
      </c>
      <c r="M120" s="20"/>
      <c r="N120" s="20"/>
      <c r="O120" s="8"/>
      <c r="P120" s="1"/>
      <c r="Q120" s="1"/>
      <c r="R120" s="1"/>
      <c r="S120" s="3"/>
      <c r="T120" s="3"/>
      <c r="U120" s="3"/>
      <c r="V120" s="3">
        <v>28.22</v>
      </c>
      <c r="W120" s="3"/>
      <c r="X120" s="3"/>
      <c r="Y120" s="3"/>
      <c r="Z120" t="s">
        <v>356</v>
      </c>
      <c r="AA120" t="s">
        <v>318</v>
      </c>
    </row>
    <row r="121" spans="1:27" x14ac:dyDescent="0.25">
      <c r="A121" s="12">
        <v>127</v>
      </c>
      <c r="B121">
        <v>10</v>
      </c>
      <c r="C121">
        <f t="shared" si="1"/>
        <v>12710</v>
      </c>
      <c r="D121" s="3" t="s">
        <v>87</v>
      </c>
      <c r="E121" s="11">
        <v>29.042351973684166</v>
      </c>
      <c r="F121" s="11">
        <v>48.18147840531558</v>
      </c>
      <c r="G121" t="s">
        <v>259</v>
      </c>
      <c r="H121" t="s">
        <v>258</v>
      </c>
      <c r="I121" t="s">
        <v>273</v>
      </c>
      <c r="J121" t="s">
        <v>306</v>
      </c>
      <c r="K121" s="2">
        <v>0</v>
      </c>
      <c r="L121" s="2" t="s">
        <v>313</v>
      </c>
      <c r="M121" s="20"/>
      <c r="N121" s="20"/>
      <c r="O121" s="8"/>
      <c r="P121" s="1"/>
      <c r="Q121" s="1"/>
      <c r="R121" s="1"/>
      <c r="S121" s="3"/>
      <c r="T121" s="3"/>
      <c r="U121" s="3"/>
      <c r="V121" s="3">
        <v>133.85</v>
      </c>
      <c r="W121" s="3"/>
      <c r="X121" s="3"/>
      <c r="Y121" s="3"/>
      <c r="Z121" t="s">
        <v>356</v>
      </c>
      <c r="AA121" t="s">
        <v>318</v>
      </c>
    </row>
    <row r="122" spans="1:27" x14ac:dyDescent="0.25">
      <c r="A122" s="12">
        <v>127</v>
      </c>
      <c r="B122">
        <v>10</v>
      </c>
      <c r="C122">
        <f t="shared" si="1"/>
        <v>12710</v>
      </c>
      <c r="D122" s="3" t="s">
        <v>87</v>
      </c>
      <c r="E122" s="11">
        <v>29.042351973684166</v>
      </c>
      <c r="F122" s="11">
        <v>48.18147840531558</v>
      </c>
      <c r="G122" t="s">
        <v>259</v>
      </c>
      <c r="H122" t="s">
        <v>258</v>
      </c>
      <c r="I122" t="s">
        <v>273</v>
      </c>
      <c r="J122" t="s">
        <v>306</v>
      </c>
      <c r="K122" s="2">
        <v>0</v>
      </c>
      <c r="L122" s="2" t="s">
        <v>314</v>
      </c>
      <c r="M122" s="20"/>
      <c r="N122" s="20"/>
      <c r="O122" s="8"/>
      <c r="P122" s="1"/>
      <c r="Q122" s="1"/>
      <c r="R122" s="1"/>
      <c r="S122" s="3"/>
      <c r="T122" s="3"/>
      <c r="U122" s="3"/>
      <c r="V122" s="3">
        <v>45.234999999999999</v>
      </c>
      <c r="W122" s="3"/>
      <c r="X122" s="3"/>
      <c r="Y122" s="3"/>
      <c r="Z122" t="s">
        <v>356</v>
      </c>
      <c r="AA122" t="s">
        <v>318</v>
      </c>
    </row>
    <row r="123" spans="1:27" x14ac:dyDescent="0.25">
      <c r="A123" s="12">
        <v>127</v>
      </c>
      <c r="B123">
        <v>11</v>
      </c>
      <c r="C123">
        <f t="shared" si="1"/>
        <v>12711</v>
      </c>
      <c r="D123" s="3" t="s">
        <v>86</v>
      </c>
      <c r="E123">
        <v>29.180921052631501</v>
      </c>
      <c r="F123">
        <v>48.147009966777397</v>
      </c>
      <c r="G123" t="s">
        <v>259</v>
      </c>
      <c r="H123" t="s">
        <v>258</v>
      </c>
      <c r="I123" t="s">
        <v>273</v>
      </c>
      <c r="J123" t="s">
        <v>319</v>
      </c>
      <c r="K123" s="2">
        <v>0</v>
      </c>
      <c r="L123" s="2"/>
      <c r="M123" s="20"/>
      <c r="N123" s="20"/>
      <c r="O123" s="8"/>
      <c r="P123" s="1"/>
      <c r="Q123" s="1"/>
      <c r="R123" s="1"/>
      <c r="S123" s="3"/>
      <c r="T123" s="3"/>
      <c r="U123" s="3"/>
      <c r="V123" s="3">
        <v>11.375</v>
      </c>
      <c r="W123" s="3"/>
      <c r="X123" s="3"/>
      <c r="Y123" s="3"/>
      <c r="Z123" t="s">
        <v>356</v>
      </c>
      <c r="AA123" t="s">
        <v>322</v>
      </c>
    </row>
    <row r="124" spans="1:27" x14ac:dyDescent="0.25">
      <c r="A124" s="12">
        <v>127</v>
      </c>
      <c r="B124">
        <v>12</v>
      </c>
      <c r="C124">
        <f t="shared" si="1"/>
        <v>12712</v>
      </c>
      <c r="D124" s="3" t="s">
        <v>86</v>
      </c>
      <c r="E124">
        <v>29.1315789473684</v>
      </c>
      <c r="F124">
        <v>48.154485049833802</v>
      </c>
      <c r="G124" t="s">
        <v>259</v>
      </c>
      <c r="H124" t="s">
        <v>258</v>
      </c>
      <c r="I124" t="s">
        <v>273</v>
      </c>
      <c r="J124" t="s">
        <v>319</v>
      </c>
      <c r="K124" s="2">
        <v>0</v>
      </c>
      <c r="L124" s="2"/>
      <c r="M124" s="20"/>
      <c r="N124" s="20"/>
      <c r="O124" s="8"/>
      <c r="P124" s="1"/>
      <c r="Q124" s="1"/>
      <c r="R124" s="1"/>
      <c r="S124" s="3"/>
      <c r="T124" s="3"/>
      <c r="U124" s="3"/>
      <c r="V124" s="3">
        <v>56.515000000000001</v>
      </c>
      <c r="W124" s="3"/>
      <c r="X124" s="3"/>
      <c r="Y124" s="3"/>
      <c r="Z124" t="s">
        <v>356</v>
      </c>
      <c r="AA124" t="s">
        <v>323</v>
      </c>
    </row>
    <row r="125" spans="1:27" x14ac:dyDescent="0.25">
      <c r="A125" s="12">
        <v>127</v>
      </c>
      <c r="B125">
        <v>13</v>
      </c>
      <c r="C125">
        <f t="shared" si="1"/>
        <v>12713</v>
      </c>
      <c r="D125" s="3" t="s">
        <v>86</v>
      </c>
      <c r="E125">
        <v>29.368421052631501</v>
      </c>
      <c r="F125">
        <v>47.815614617940199</v>
      </c>
      <c r="G125" t="s">
        <v>259</v>
      </c>
      <c r="H125" t="s">
        <v>258</v>
      </c>
      <c r="I125" t="s">
        <v>273</v>
      </c>
      <c r="J125" t="s">
        <v>320</v>
      </c>
      <c r="K125" s="2">
        <v>0</v>
      </c>
      <c r="L125" s="2"/>
      <c r="M125" s="20"/>
      <c r="N125" s="20"/>
      <c r="O125" s="8"/>
      <c r="P125" s="1"/>
      <c r="Q125" s="1"/>
      <c r="R125" s="1"/>
      <c r="S125" s="3"/>
      <c r="T125" s="3"/>
      <c r="U125" s="3"/>
      <c r="V125" s="3">
        <v>204.55</v>
      </c>
      <c r="W125" s="3"/>
      <c r="X125" s="3"/>
      <c r="Y125" s="3"/>
      <c r="Z125" t="s">
        <v>356</v>
      </c>
      <c r="AA125" t="s">
        <v>324</v>
      </c>
    </row>
    <row r="126" spans="1:27" x14ac:dyDescent="0.25">
      <c r="A126" s="12">
        <v>127</v>
      </c>
      <c r="B126">
        <v>14</v>
      </c>
      <c r="C126">
        <f t="shared" si="1"/>
        <v>12714</v>
      </c>
      <c r="D126" s="3" t="s">
        <v>86</v>
      </c>
      <c r="E126">
        <v>28.766447368421002</v>
      </c>
      <c r="F126">
        <v>48.361295681063098</v>
      </c>
      <c r="G126" t="s">
        <v>259</v>
      </c>
      <c r="H126" t="s">
        <v>258</v>
      </c>
      <c r="I126" t="s">
        <v>273</v>
      </c>
      <c r="J126" t="s">
        <v>320</v>
      </c>
      <c r="K126" s="2">
        <v>0</v>
      </c>
      <c r="L126" s="2"/>
      <c r="M126" s="20"/>
      <c r="N126" s="20"/>
      <c r="O126" s="8"/>
      <c r="P126" s="1"/>
      <c r="Q126" s="1"/>
      <c r="R126" s="1"/>
      <c r="S126" s="3"/>
      <c r="T126" s="3"/>
      <c r="U126" s="3"/>
      <c r="V126" s="3">
        <v>60</v>
      </c>
      <c r="W126" s="3"/>
      <c r="X126" s="3"/>
      <c r="Y126" s="3"/>
      <c r="Z126" t="s">
        <v>356</v>
      </c>
      <c r="AA126" t="s">
        <v>325</v>
      </c>
    </row>
    <row r="127" spans="1:27" x14ac:dyDescent="0.25">
      <c r="A127" s="12">
        <v>127</v>
      </c>
      <c r="B127">
        <v>15</v>
      </c>
      <c r="C127">
        <f t="shared" si="1"/>
        <v>12715</v>
      </c>
      <c r="D127" s="3" t="s">
        <v>86</v>
      </c>
      <c r="E127">
        <v>29.348684210526301</v>
      </c>
      <c r="F127">
        <v>48.102159468438501</v>
      </c>
      <c r="G127" t="s">
        <v>259</v>
      </c>
      <c r="H127" t="s">
        <v>258</v>
      </c>
      <c r="I127" t="s">
        <v>273</v>
      </c>
      <c r="J127" t="s">
        <v>320</v>
      </c>
      <c r="K127" s="2">
        <v>0</v>
      </c>
      <c r="L127" s="2"/>
      <c r="M127" s="20"/>
      <c r="N127" s="20"/>
      <c r="O127" s="8"/>
      <c r="P127" s="1"/>
      <c r="Q127" s="1"/>
      <c r="R127" s="1"/>
      <c r="S127" s="3"/>
      <c r="T127" s="3"/>
      <c r="U127" s="3"/>
      <c r="V127" s="3">
        <v>48.585000000000001</v>
      </c>
      <c r="W127" s="3"/>
      <c r="X127" s="3"/>
      <c r="Y127" s="3"/>
      <c r="Z127" t="s">
        <v>356</v>
      </c>
      <c r="AA127" t="s">
        <v>326</v>
      </c>
    </row>
    <row r="128" spans="1:27" x14ac:dyDescent="0.25">
      <c r="A128" s="12">
        <v>127</v>
      </c>
      <c r="B128">
        <v>16</v>
      </c>
      <c r="C128">
        <f t="shared" si="1"/>
        <v>12716</v>
      </c>
      <c r="D128" s="3" t="s">
        <v>86</v>
      </c>
      <c r="E128">
        <v>28.458059210526301</v>
      </c>
      <c r="F128">
        <v>48.508305647840501</v>
      </c>
      <c r="G128" t="s">
        <v>259</v>
      </c>
      <c r="H128" t="s">
        <v>258</v>
      </c>
      <c r="I128" t="s">
        <v>273</v>
      </c>
      <c r="J128" t="s">
        <v>321</v>
      </c>
      <c r="K128" s="2">
        <v>0</v>
      </c>
      <c r="L128" s="2"/>
      <c r="M128" s="20"/>
      <c r="N128" s="20"/>
      <c r="O128" s="8"/>
      <c r="P128" s="1"/>
      <c r="Q128" s="1"/>
      <c r="R128" s="1"/>
      <c r="S128" s="3"/>
      <c r="T128" s="3"/>
      <c r="U128" s="3"/>
      <c r="V128" s="3">
        <v>46.255000000000003</v>
      </c>
      <c r="W128" s="3"/>
      <c r="X128" s="3"/>
      <c r="Y128" s="3"/>
      <c r="Z128" t="s">
        <v>356</v>
      </c>
      <c r="AA128" t="s">
        <v>327</v>
      </c>
    </row>
    <row r="129" spans="1:27" x14ac:dyDescent="0.25">
      <c r="A129" s="12">
        <v>127</v>
      </c>
      <c r="B129">
        <v>11</v>
      </c>
      <c r="C129">
        <f t="shared" si="1"/>
        <v>12711</v>
      </c>
      <c r="D129" s="3" t="s">
        <v>86</v>
      </c>
      <c r="E129">
        <v>29.180921052631501</v>
      </c>
      <c r="F129">
        <v>48.147009966777397</v>
      </c>
      <c r="G129" t="s">
        <v>259</v>
      </c>
      <c r="H129" t="s">
        <v>258</v>
      </c>
      <c r="I129" t="s">
        <v>273</v>
      </c>
      <c r="J129" t="s">
        <v>268</v>
      </c>
      <c r="K129" s="2">
        <v>0</v>
      </c>
      <c r="L129" s="2"/>
      <c r="M129" s="20"/>
      <c r="N129" s="20"/>
      <c r="O129" s="8"/>
      <c r="P129" s="1"/>
      <c r="Q129" s="1"/>
      <c r="R129" s="1"/>
      <c r="S129" s="3"/>
      <c r="T129" s="3"/>
      <c r="U129" s="3"/>
      <c r="V129" s="3">
        <v>5.0000000000000001E-4</v>
      </c>
      <c r="W129" s="3"/>
      <c r="X129" s="3"/>
      <c r="Y129" s="3"/>
      <c r="Z129" t="s">
        <v>398</v>
      </c>
      <c r="AA129" t="s">
        <v>328</v>
      </c>
    </row>
    <row r="130" spans="1:27" x14ac:dyDescent="0.25">
      <c r="A130" s="12">
        <v>127</v>
      </c>
      <c r="B130">
        <v>12</v>
      </c>
      <c r="C130">
        <f t="shared" si="1"/>
        <v>12712</v>
      </c>
      <c r="D130" s="3" t="s">
        <v>86</v>
      </c>
      <c r="E130">
        <v>29.1315789473684</v>
      </c>
      <c r="F130">
        <v>48.154485049833802</v>
      </c>
      <c r="G130" t="s">
        <v>259</v>
      </c>
      <c r="H130" t="s">
        <v>258</v>
      </c>
      <c r="I130" t="s">
        <v>273</v>
      </c>
      <c r="J130" t="s">
        <v>268</v>
      </c>
      <c r="K130" s="2">
        <v>0</v>
      </c>
      <c r="L130" s="2"/>
      <c r="M130" s="20"/>
      <c r="N130" s="20"/>
      <c r="O130" s="8"/>
      <c r="P130" s="1"/>
      <c r="Q130" s="1"/>
      <c r="R130" s="1"/>
      <c r="S130" s="3"/>
      <c r="T130" s="3"/>
      <c r="U130" s="3"/>
      <c r="V130" s="3">
        <v>6.7000000000000002E-4</v>
      </c>
      <c r="W130" s="3"/>
      <c r="X130" s="3"/>
      <c r="Y130" s="3"/>
      <c r="Z130" t="s">
        <v>398</v>
      </c>
      <c r="AA130" t="s">
        <v>329</v>
      </c>
    </row>
    <row r="131" spans="1:27" x14ac:dyDescent="0.25">
      <c r="A131" s="12">
        <v>127</v>
      </c>
      <c r="B131">
        <v>13</v>
      </c>
      <c r="C131">
        <f t="shared" si="1"/>
        <v>12713</v>
      </c>
      <c r="D131" s="3" t="s">
        <v>86</v>
      </c>
      <c r="E131">
        <v>29.368421052631501</v>
      </c>
      <c r="F131">
        <v>47.815614617940199</v>
      </c>
      <c r="G131" t="s">
        <v>259</v>
      </c>
      <c r="H131" t="s">
        <v>258</v>
      </c>
      <c r="I131" t="s">
        <v>273</v>
      </c>
      <c r="J131" t="s">
        <v>268</v>
      </c>
      <c r="K131" s="2">
        <v>0</v>
      </c>
      <c r="L131" s="2"/>
      <c r="M131" s="20"/>
      <c r="N131" s="20"/>
      <c r="O131" s="8"/>
      <c r="P131" s="1"/>
      <c r="Q131" s="1"/>
      <c r="R131" s="1"/>
      <c r="S131" s="3"/>
      <c r="T131" s="3"/>
      <c r="U131" s="3"/>
      <c r="V131" s="3">
        <v>5.4000000000000001E-4</v>
      </c>
      <c r="W131" s="3"/>
      <c r="X131" s="3"/>
      <c r="Y131" s="3"/>
      <c r="Z131" t="s">
        <v>398</v>
      </c>
      <c r="AA131" t="s">
        <v>330</v>
      </c>
    </row>
    <row r="132" spans="1:27" x14ac:dyDescent="0.25">
      <c r="A132" s="12">
        <v>127</v>
      </c>
      <c r="B132">
        <v>14</v>
      </c>
      <c r="C132">
        <f t="shared" ref="C132:C150" si="2">A132*100+B132</f>
        <v>12714</v>
      </c>
      <c r="D132" s="3" t="s">
        <v>86</v>
      </c>
      <c r="E132">
        <v>28.766447368421002</v>
      </c>
      <c r="F132">
        <v>48.361295681063098</v>
      </c>
      <c r="G132" t="s">
        <v>259</v>
      </c>
      <c r="H132" t="s">
        <v>258</v>
      </c>
      <c r="I132" t="s">
        <v>273</v>
      </c>
      <c r="J132" t="s">
        <v>268</v>
      </c>
      <c r="K132" s="2">
        <v>0</v>
      </c>
      <c r="L132" s="2"/>
      <c r="M132" s="20"/>
      <c r="N132" s="20"/>
      <c r="O132" s="8"/>
      <c r="P132" s="1"/>
      <c r="Q132" s="1"/>
      <c r="R132" s="1"/>
      <c r="S132" s="3"/>
      <c r="T132" s="3"/>
      <c r="U132" s="3"/>
      <c r="V132" s="3">
        <v>6.3000000000000003E-4</v>
      </c>
      <c r="W132" s="3"/>
      <c r="X132" s="3"/>
      <c r="Y132" s="3"/>
      <c r="Z132" t="s">
        <v>398</v>
      </c>
      <c r="AA132" t="s">
        <v>331</v>
      </c>
    </row>
    <row r="133" spans="1:27" x14ac:dyDescent="0.25">
      <c r="A133" s="12">
        <v>127</v>
      </c>
      <c r="B133">
        <v>15</v>
      </c>
      <c r="C133">
        <f t="shared" si="2"/>
        <v>12715</v>
      </c>
      <c r="D133" s="3" t="s">
        <v>86</v>
      </c>
      <c r="E133">
        <v>29.348684210526301</v>
      </c>
      <c r="F133">
        <v>48.102159468438501</v>
      </c>
      <c r="G133" t="s">
        <v>259</v>
      </c>
      <c r="H133" t="s">
        <v>258</v>
      </c>
      <c r="I133" t="s">
        <v>273</v>
      </c>
      <c r="J133" t="s">
        <v>268</v>
      </c>
      <c r="K133" s="2">
        <v>0</v>
      </c>
      <c r="L133" s="2"/>
      <c r="M133" s="20"/>
      <c r="N133" s="20"/>
      <c r="O133" s="8"/>
      <c r="P133" s="1"/>
      <c r="Q133" s="1"/>
      <c r="R133" s="1"/>
      <c r="S133" s="3"/>
      <c r="T133" s="3"/>
      <c r="U133" s="3"/>
      <c r="V133" s="3">
        <v>6.8999999999999997E-4</v>
      </c>
      <c r="W133" s="3"/>
      <c r="X133" s="3"/>
      <c r="Y133" s="3"/>
      <c r="Z133" t="s">
        <v>398</v>
      </c>
      <c r="AA133" t="s">
        <v>332</v>
      </c>
    </row>
    <row r="134" spans="1:27" x14ac:dyDescent="0.25">
      <c r="A134" s="12">
        <v>127</v>
      </c>
      <c r="B134">
        <v>16</v>
      </c>
      <c r="C134">
        <f t="shared" si="2"/>
        <v>12716</v>
      </c>
      <c r="D134" s="3" t="s">
        <v>86</v>
      </c>
      <c r="E134">
        <v>28.458059210526301</v>
      </c>
      <c r="F134">
        <v>48.508305647840501</v>
      </c>
      <c r="G134" t="s">
        <v>259</v>
      </c>
      <c r="H134" t="s">
        <v>258</v>
      </c>
      <c r="I134" t="s">
        <v>273</v>
      </c>
      <c r="J134" t="s">
        <v>268</v>
      </c>
      <c r="K134" s="2">
        <v>0</v>
      </c>
      <c r="L134" s="2"/>
      <c r="M134" s="20"/>
      <c r="N134" s="20"/>
      <c r="O134" s="8"/>
      <c r="P134" s="1"/>
      <c r="Q134" s="1"/>
      <c r="R134" s="1"/>
      <c r="S134" s="3"/>
      <c r="T134" s="3"/>
      <c r="U134" s="3"/>
      <c r="V134" s="3">
        <v>6.4000000000000005E-4</v>
      </c>
      <c r="W134" s="3"/>
      <c r="X134" s="3"/>
      <c r="Y134" s="3"/>
      <c r="Z134" t="s">
        <v>398</v>
      </c>
      <c r="AA134" t="s">
        <v>333</v>
      </c>
    </row>
    <row r="135" spans="1:27" x14ac:dyDescent="0.25">
      <c r="A135" s="12">
        <v>127</v>
      </c>
      <c r="B135">
        <v>17</v>
      </c>
      <c r="C135">
        <f t="shared" si="2"/>
        <v>12717</v>
      </c>
      <c r="D135" s="3" t="s">
        <v>86</v>
      </c>
      <c r="E135">
        <v>29.400493421052602</v>
      </c>
      <c r="F135">
        <v>47.865448504983299</v>
      </c>
      <c r="G135" t="s">
        <v>259</v>
      </c>
      <c r="H135" t="s">
        <v>258</v>
      </c>
      <c r="I135" t="s">
        <v>273</v>
      </c>
      <c r="J135" t="s">
        <v>334</v>
      </c>
      <c r="K135" s="2">
        <v>0</v>
      </c>
      <c r="L135" s="2"/>
      <c r="M135" s="20"/>
      <c r="N135" s="20"/>
      <c r="O135" s="8">
        <v>15.8</v>
      </c>
      <c r="P135" s="1"/>
      <c r="Q135" s="1"/>
      <c r="R135" s="1"/>
      <c r="S135" s="3"/>
      <c r="T135" s="3"/>
      <c r="U135" s="3"/>
      <c r="V135" s="3">
        <v>22.5</v>
      </c>
      <c r="W135" s="3"/>
      <c r="X135" s="3"/>
      <c r="Y135" s="3"/>
      <c r="Z135" t="s">
        <v>357</v>
      </c>
      <c r="AA135" t="s">
        <v>336</v>
      </c>
    </row>
    <row r="136" spans="1:27" x14ac:dyDescent="0.25">
      <c r="A136" s="12">
        <v>127</v>
      </c>
      <c r="B136">
        <v>18</v>
      </c>
      <c r="C136">
        <f t="shared" si="2"/>
        <v>12718</v>
      </c>
      <c r="D136" s="3" t="s">
        <v>86</v>
      </c>
      <c r="E136">
        <v>29.003289473684202</v>
      </c>
      <c r="F136">
        <v>48.204318936877002</v>
      </c>
      <c r="G136" t="s">
        <v>259</v>
      </c>
      <c r="H136" t="s">
        <v>258</v>
      </c>
      <c r="I136" t="s">
        <v>273</v>
      </c>
      <c r="J136" t="s">
        <v>334</v>
      </c>
      <c r="K136" s="2">
        <v>0</v>
      </c>
      <c r="L136" s="2"/>
      <c r="M136" s="20"/>
      <c r="N136" s="20"/>
      <c r="O136" s="8">
        <v>15.3</v>
      </c>
      <c r="P136" s="1"/>
      <c r="Q136" s="1"/>
      <c r="R136" s="1"/>
      <c r="S136" s="3"/>
      <c r="T136" s="3"/>
      <c r="U136" s="3"/>
      <c r="V136" s="3">
        <v>25.6</v>
      </c>
      <c r="W136" s="3"/>
      <c r="X136" s="3"/>
      <c r="Y136" s="3"/>
      <c r="Z136" t="s">
        <v>357</v>
      </c>
      <c r="AA136" t="s">
        <v>337</v>
      </c>
    </row>
    <row r="137" spans="1:27" x14ac:dyDescent="0.25">
      <c r="A137" s="12">
        <v>127</v>
      </c>
      <c r="B137">
        <v>19</v>
      </c>
      <c r="C137">
        <f t="shared" si="2"/>
        <v>12719</v>
      </c>
      <c r="D137" s="3" t="s">
        <v>86</v>
      </c>
      <c r="E137">
        <v>28.551809210526301</v>
      </c>
      <c r="F137">
        <v>48.468438538205902</v>
      </c>
      <c r="G137" t="s">
        <v>259</v>
      </c>
      <c r="H137" t="s">
        <v>258</v>
      </c>
      <c r="I137" t="s">
        <v>273</v>
      </c>
      <c r="J137" t="s">
        <v>334</v>
      </c>
      <c r="K137" s="2">
        <v>0</v>
      </c>
      <c r="L137" s="2"/>
      <c r="M137" s="20"/>
      <c r="N137" s="20"/>
      <c r="O137" s="8">
        <v>16.8</v>
      </c>
      <c r="P137" s="1"/>
      <c r="Q137" s="1"/>
      <c r="R137" s="1"/>
      <c r="S137" s="3"/>
      <c r="T137" s="3"/>
      <c r="U137" s="3"/>
      <c r="V137" s="3">
        <v>23.6</v>
      </c>
      <c r="W137" s="3"/>
      <c r="X137" s="3"/>
      <c r="Y137" s="3"/>
      <c r="Z137" t="s">
        <v>357</v>
      </c>
      <c r="AA137" t="s">
        <v>338</v>
      </c>
    </row>
    <row r="138" spans="1:27" x14ac:dyDescent="0.25">
      <c r="A138" s="12">
        <v>127</v>
      </c>
      <c r="B138">
        <v>17</v>
      </c>
      <c r="C138">
        <f t="shared" si="2"/>
        <v>12717</v>
      </c>
      <c r="D138" s="3" t="s">
        <v>86</v>
      </c>
      <c r="E138">
        <v>29.400493421052602</v>
      </c>
      <c r="F138">
        <v>47.865448504983299</v>
      </c>
      <c r="G138" t="s">
        <v>259</v>
      </c>
      <c r="H138" t="s">
        <v>258</v>
      </c>
      <c r="I138" t="s">
        <v>273</v>
      </c>
      <c r="J138" t="s">
        <v>335</v>
      </c>
      <c r="K138" s="2">
        <v>0</v>
      </c>
      <c r="L138" s="2"/>
      <c r="M138" s="20"/>
      <c r="N138" s="20"/>
      <c r="O138" s="8">
        <v>18.399999999999999</v>
      </c>
      <c r="P138" s="1"/>
      <c r="Q138" s="1"/>
      <c r="R138" s="1"/>
      <c r="S138" s="3"/>
      <c r="T138" s="3"/>
      <c r="U138" s="3"/>
      <c r="V138" s="3">
        <v>22.5</v>
      </c>
      <c r="W138" s="3"/>
      <c r="X138" s="3"/>
      <c r="Y138" s="3"/>
      <c r="Z138" t="s">
        <v>357</v>
      </c>
      <c r="AA138" t="s">
        <v>336</v>
      </c>
    </row>
    <row r="139" spans="1:27" x14ac:dyDescent="0.25">
      <c r="A139" s="12">
        <v>127</v>
      </c>
      <c r="B139">
        <v>18</v>
      </c>
      <c r="C139">
        <f t="shared" si="2"/>
        <v>12718</v>
      </c>
      <c r="D139" s="3" t="s">
        <v>86</v>
      </c>
      <c r="E139">
        <v>29.003289473684202</v>
      </c>
      <c r="F139">
        <v>48.204318936877002</v>
      </c>
      <c r="G139" t="s">
        <v>259</v>
      </c>
      <c r="H139" t="s">
        <v>258</v>
      </c>
      <c r="I139" t="s">
        <v>273</v>
      </c>
      <c r="J139" t="s">
        <v>335</v>
      </c>
      <c r="K139" s="2">
        <v>0</v>
      </c>
      <c r="L139" s="2"/>
      <c r="M139" s="20"/>
      <c r="N139" s="20"/>
      <c r="O139" s="8">
        <v>22</v>
      </c>
      <c r="P139" s="1"/>
      <c r="Q139" s="1"/>
      <c r="R139" s="1"/>
      <c r="S139" s="3"/>
      <c r="T139" s="3"/>
      <c r="U139" s="3"/>
      <c r="V139" s="3">
        <v>22.3</v>
      </c>
      <c r="W139" s="3"/>
      <c r="X139" s="3"/>
      <c r="Y139" s="3"/>
      <c r="Z139" t="s">
        <v>357</v>
      </c>
      <c r="AA139" t="s">
        <v>337</v>
      </c>
    </row>
    <row r="140" spans="1:27" x14ac:dyDescent="0.25">
      <c r="A140" s="12">
        <v>127</v>
      </c>
      <c r="B140">
        <v>19</v>
      </c>
      <c r="C140">
        <f t="shared" si="2"/>
        <v>12719</v>
      </c>
      <c r="D140" s="3" t="s">
        <v>86</v>
      </c>
      <c r="E140">
        <v>28.551809210526301</v>
      </c>
      <c r="F140">
        <v>48.468438538205902</v>
      </c>
      <c r="G140" t="s">
        <v>259</v>
      </c>
      <c r="H140" t="s">
        <v>258</v>
      </c>
      <c r="I140" t="s">
        <v>273</v>
      </c>
      <c r="J140" t="s">
        <v>335</v>
      </c>
      <c r="K140" s="2">
        <v>0</v>
      </c>
      <c r="L140" s="2"/>
      <c r="M140" s="20"/>
      <c r="N140" s="20"/>
      <c r="O140" s="8">
        <v>19.7</v>
      </c>
      <c r="P140" s="1"/>
      <c r="Q140" s="1"/>
      <c r="R140" s="1"/>
      <c r="S140" s="3"/>
      <c r="T140" s="3"/>
      <c r="U140" s="3"/>
      <c r="V140" s="3">
        <v>20.2</v>
      </c>
      <c r="W140" s="3"/>
      <c r="X140" s="3"/>
      <c r="Y140" s="3"/>
      <c r="Z140" t="s">
        <v>357</v>
      </c>
      <c r="AA140" t="s">
        <v>338</v>
      </c>
    </row>
    <row r="141" spans="1:27" x14ac:dyDescent="0.25">
      <c r="A141" s="12">
        <v>127</v>
      </c>
      <c r="B141">
        <v>17</v>
      </c>
      <c r="C141">
        <f t="shared" si="2"/>
        <v>12717</v>
      </c>
      <c r="D141" s="3" t="s">
        <v>86</v>
      </c>
      <c r="E141">
        <v>29.400493421052602</v>
      </c>
      <c r="F141">
        <v>47.865448504983299</v>
      </c>
      <c r="G141" t="s">
        <v>259</v>
      </c>
      <c r="H141" t="s">
        <v>258</v>
      </c>
      <c r="I141" t="s">
        <v>273</v>
      </c>
      <c r="J141" t="s">
        <v>268</v>
      </c>
      <c r="K141" s="2">
        <v>0</v>
      </c>
      <c r="L141" s="2"/>
      <c r="M141" s="20"/>
      <c r="N141" s="20"/>
      <c r="O141" s="34">
        <v>5.9999999999999995E-4</v>
      </c>
      <c r="P141" s="1"/>
      <c r="Q141" s="1"/>
      <c r="R141" s="1"/>
      <c r="S141" s="3"/>
      <c r="T141" s="3"/>
      <c r="U141" s="3"/>
      <c r="V141" s="3">
        <v>2.9999999999999997E-4</v>
      </c>
      <c r="W141" s="3"/>
      <c r="X141" s="3"/>
      <c r="Y141" s="3"/>
      <c r="Z141" t="s">
        <v>357</v>
      </c>
      <c r="AA141" t="s">
        <v>339</v>
      </c>
    </row>
    <row r="142" spans="1:27" x14ac:dyDescent="0.25">
      <c r="A142" s="12">
        <v>127</v>
      </c>
      <c r="B142">
        <v>18</v>
      </c>
      <c r="C142">
        <f t="shared" si="2"/>
        <v>12718</v>
      </c>
      <c r="D142" s="3" t="s">
        <v>86</v>
      </c>
      <c r="E142">
        <v>29.003289473684202</v>
      </c>
      <c r="F142">
        <v>48.204318936877002</v>
      </c>
      <c r="G142" t="s">
        <v>259</v>
      </c>
      <c r="H142" t="s">
        <v>258</v>
      </c>
      <c r="I142" t="s">
        <v>273</v>
      </c>
      <c r="J142" t="s">
        <v>268</v>
      </c>
      <c r="K142" s="2">
        <v>0</v>
      </c>
      <c r="L142" s="2"/>
      <c r="M142" s="20"/>
      <c r="N142" s="20"/>
      <c r="O142" s="34">
        <v>6.6E-4</v>
      </c>
      <c r="P142" s="1"/>
      <c r="Q142" s="1"/>
      <c r="R142" s="1"/>
      <c r="S142" s="3"/>
      <c r="T142" s="3"/>
      <c r="U142" s="3"/>
      <c r="V142" s="3">
        <v>3.6999999999999999E-4</v>
      </c>
      <c r="W142" s="3"/>
      <c r="X142" s="3"/>
      <c r="Y142" s="3"/>
      <c r="Z142" t="s">
        <v>357</v>
      </c>
      <c r="AA142" t="s">
        <v>339</v>
      </c>
    </row>
    <row r="143" spans="1:27" x14ac:dyDescent="0.25">
      <c r="A143" s="12">
        <v>127</v>
      </c>
      <c r="B143">
        <v>19</v>
      </c>
      <c r="C143">
        <f t="shared" si="2"/>
        <v>12719</v>
      </c>
      <c r="D143" s="3" t="s">
        <v>86</v>
      </c>
      <c r="E143">
        <v>28.551809210526301</v>
      </c>
      <c r="F143">
        <v>48.468438538205902</v>
      </c>
      <c r="G143" t="s">
        <v>259</v>
      </c>
      <c r="H143" t="s">
        <v>258</v>
      </c>
      <c r="I143" t="s">
        <v>273</v>
      </c>
      <c r="J143" t="s">
        <v>268</v>
      </c>
      <c r="K143" s="2">
        <v>0</v>
      </c>
      <c r="L143" s="2"/>
      <c r="M143" s="20"/>
      <c r="N143" s="20"/>
      <c r="O143" s="34">
        <v>6.2E-4</v>
      </c>
      <c r="P143" s="1"/>
      <c r="Q143" s="1"/>
      <c r="R143" s="1"/>
      <c r="S143" s="3"/>
      <c r="T143" s="3"/>
      <c r="U143" s="3"/>
      <c r="V143" s="3">
        <v>3.3E-4</v>
      </c>
      <c r="W143" s="3"/>
      <c r="X143" s="3"/>
      <c r="Y143" s="3"/>
      <c r="Z143" t="s">
        <v>357</v>
      </c>
      <c r="AA143" t="s">
        <v>339</v>
      </c>
    </row>
    <row r="144" spans="1:27" x14ac:dyDescent="0.25">
      <c r="A144" s="12">
        <v>127</v>
      </c>
      <c r="B144">
        <v>20</v>
      </c>
      <c r="C144">
        <f t="shared" si="2"/>
        <v>12720</v>
      </c>
      <c r="D144" s="3" t="s">
        <v>86</v>
      </c>
      <c r="E144">
        <v>29.430098684210499</v>
      </c>
      <c r="F144">
        <v>48.062292358803901</v>
      </c>
      <c r="G144" t="s">
        <v>259</v>
      </c>
      <c r="H144" t="s">
        <v>258</v>
      </c>
      <c r="I144" t="s">
        <v>273</v>
      </c>
      <c r="J144" t="s">
        <v>340</v>
      </c>
      <c r="K144" s="2">
        <v>0</v>
      </c>
      <c r="L144" s="2"/>
      <c r="M144" s="20"/>
      <c r="N144" s="20"/>
      <c r="O144" s="8"/>
      <c r="P144" s="1"/>
      <c r="Q144" s="1"/>
      <c r="R144" s="1"/>
      <c r="S144" s="3"/>
      <c r="T144" s="3"/>
      <c r="U144" s="3"/>
      <c r="V144" s="3">
        <v>31.299999999999997</v>
      </c>
      <c r="W144" s="3"/>
      <c r="X144" s="3"/>
      <c r="Y144" s="3"/>
      <c r="Z144" t="s">
        <v>356</v>
      </c>
      <c r="AA144" t="s">
        <v>342</v>
      </c>
    </row>
    <row r="145" spans="1:27" x14ac:dyDescent="0.25">
      <c r="A145" s="12">
        <v>127</v>
      </c>
      <c r="B145">
        <v>21</v>
      </c>
      <c r="C145">
        <f t="shared" si="2"/>
        <v>12721</v>
      </c>
      <c r="D145" s="3" t="s">
        <v>86</v>
      </c>
      <c r="E145">
        <v>29.183388157894701</v>
      </c>
      <c r="F145">
        <v>48.406146179401901</v>
      </c>
      <c r="G145" t="s">
        <v>259</v>
      </c>
      <c r="H145" t="s">
        <v>258</v>
      </c>
      <c r="I145" t="s">
        <v>273</v>
      </c>
      <c r="J145" t="s">
        <v>341</v>
      </c>
      <c r="K145" s="2">
        <v>0</v>
      </c>
      <c r="L145" s="2"/>
      <c r="M145" s="20"/>
      <c r="N145" s="20"/>
      <c r="O145" s="8"/>
      <c r="P145" s="1"/>
      <c r="Q145" s="1"/>
      <c r="R145" s="1"/>
      <c r="S145" s="3"/>
      <c r="T145" s="3"/>
      <c r="U145" s="3"/>
      <c r="V145" s="3">
        <v>12.6</v>
      </c>
      <c r="W145" s="3"/>
      <c r="X145" s="3"/>
      <c r="Y145" s="3"/>
      <c r="Z145" t="s">
        <v>356</v>
      </c>
      <c r="AA145" t="s">
        <v>343</v>
      </c>
    </row>
    <row r="146" spans="1:27" x14ac:dyDescent="0.25">
      <c r="A146" s="12">
        <v>127</v>
      </c>
      <c r="B146">
        <v>22</v>
      </c>
      <c r="C146">
        <f t="shared" si="2"/>
        <v>12722</v>
      </c>
      <c r="D146" s="3" t="s">
        <v>86</v>
      </c>
      <c r="E146">
        <v>29.955592105263101</v>
      </c>
      <c r="F146">
        <v>48.261627906976699</v>
      </c>
      <c r="G146" t="s">
        <v>259</v>
      </c>
      <c r="H146" t="s">
        <v>258</v>
      </c>
      <c r="I146">
        <v>1994</v>
      </c>
      <c r="J146" t="s">
        <v>344</v>
      </c>
      <c r="K146" s="2">
        <v>0</v>
      </c>
      <c r="L146" s="2"/>
      <c r="M146" s="20"/>
      <c r="N146" s="20"/>
      <c r="O146" s="8"/>
      <c r="P146" s="1"/>
      <c r="Q146" s="1"/>
      <c r="R146" s="1"/>
      <c r="S146" s="3"/>
      <c r="T146" s="3"/>
      <c r="U146" s="3"/>
      <c r="V146" s="3">
        <v>23.56</v>
      </c>
      <c r="W146" s="3"/>
      <c r="X146" s="3"/>
      <c r="Y146" s="3"/>
      <c r="Z146" t="s">
        <v>356</v>
      </c>
      <c r="AA146" t="s">
        <v>345</v>
      </c>
    </row>
    <row r="147" spans="1:27" x14ac:dyDescent="0.25">
      <c r="A147" s="12">
        <v>127</v>
      </c>
      <c r="B147">
        <v>23</v>
      </c>
      <c r="C147">
        <f t="shared" si="2"/>
        <v>12723</v>
      </c>
      <c r="D147" s="3" t="s">
        <v>86</v>
      </c>
      <c r="E147">
        <v>29.563322368421002</v>
      </c>
      <c r="F147">
        <v>48.386212624584701</v>
      </c>
      <c r="G147" t="s">
        <v>259</v>
      </c>
      <c r="H147" t="s">
        <v>258</v>
      </c>
      <c r="I147">
        <v>1994</v>
      </c>
      <c r="J147" t="s">
        <v>344</v>
      </c>
      <c r="K147" s="2">
        <v>0</v>
      </c>
      <c r="L147" s="2"/>
      <c r="M147" s="20"/>
      <c r="N147" s="20"/>
      <c r="O147" s="8"/>
      <c r="P147" s="1"/>
      <c r="Q147" s="1"/>
      <c r="R147" s="1"/>
      <c r="S147" s="3"/>
      <c r="T147" s="3"/>
      <c r="U147" s="3"/>
      <c r="V147" s="3">
        <v>26.95</v>
      </c>
      <c r="W147" s="3"/>
      <c r="X147" s="3"/>
      <c r="Y147" s="3"/>
      <c r="Z147" t="s">
        <v>356</v>
      </c>
      <c r="AA147" t="s">
        <v>346</v>
      </c>
    </row>
    <row r="148" spans="1:27" x14ac:dyDescent="0.25">
      <c r="A148" s="12">
        <v>127</v>
      </c>
      <c r="B148">
        <v>24</v>
      </c>
      <c r="C148">
        <f t="shared" si="2"/>
        <v>12724</v>
      </c>
      <c r="D148" s="3" t="s">
        <v>86</v>
      </c>
      <c r="E148">
        <v>29.472039473684202</v>
      </c>
      <c r="F148">
        <v>48.109634551494999</v>
      </c>
      <c r="G148" t="s">
        <v>259</v>
      </c>
      <c r="H148" t="s">
        <v>258</v>
      </c>
      <c r="I148">
        <v>1994</v>
      </c>
      <c r="J148" t="s">
        <v>344</v>
      </c>
      <c r="K148" s="2">
        <v>0</v>
      </c>
      <c r="L148" s="2"/>
      <c r="M148" s="20"/>
      <c r="N148" s="20"/>
      <c r="O148" s="8"/>
      <c r="P148" s="1"/>
      <c r="Q148" s="1"/>
      <c r="R148" s="1"/>
      <c r="S148" s="3"/>
      <c r="T148" s="3"/>
      <c r="U148" s="3"/>
      <c r="V148" s="3">
        <v>26.43</v>
      </c>
      <c r="W148" s="3"/>
      <c r="X148" s="3"/>
      <c r="Y148" s="3"/>
      <c r="Z148" t="s">
        <v>356</v>
      </c>
      <c r="AA148" t="s">
        <v>347</v>
      </c>
    </row>
    <row r="149" spans="1:27" x14ac:dyDescent="0.25">
      <c r="A149" s="12">
        <v>127</v>
      </c>
      <c r="B149">
        <v>25</v>
      </c>
      <c r="C149">
        <f t="shared" si="2"/>
        <v>12725</v>
      </c>
      <c r="D149" s="3" t="s">
        <v>86</v>
      </c>
      <c r="E149">
        <v>29.3659539473684</v>
      </c>
      <c r="F149">
        <v>47.950166112956801</v>
      </c>
      <c r="G149" t="s">
        <v>259</v>
      </c>
      <c r="H149" t="s">
        <v>258</v>
      </c>
      <c r="I149">
        <v>1994</v>
      </c>
      <c r="J149" t="s">
        <v>344</v>
      </c>
      <c r="K149" s="2">
        <v>0</v>
      </c>
      <c r="L149" s="2"/>
      <c r="M149" s="20"/>
      <c r="N149" s="20"/>
      <c r="O149" s="8"/>
      <c r="P149" s="1"/>
      <c r="Q149" s="1"/>
      <c r="R149" s="1"/>
      <c r="S149" s="3"/>
      <c r="T149" s="3"/>
      <c r="U149" s="3"/>
      <c r="V149" s="3">
        <v>37.950000000000003</v>
      </c>
      <c r="W149" s="3"/>
      <c r="X149" s="3"/>
      <c r="Y149" s="3"/>
      <c r="Z149" t="s">
        <v>356</v>
      </c>
      <c r="AA149" t="s">
        <v>348</v>
      </c>
    </row>
    <row r="150" spans="1:27" x14ac:dyDescent="0.25">
      <c r="A150" s="12">
        <v>127</v>
      </c>
      <c r="B150">
        <v>26</v>
      </c>
      <c r="C150">
        <f t="shared" si="2"/>
        <v>12726</v>
      </c>
      <c r="D150" s="3" t="s">
        <v>86</v>
      </c>
      <c r="E150">
        <v>29.025493421052602</v>
      </c>
      <c r="F150">
        <v>48.171926910299</v>
      </c>
      <c r="G150" t="s">
        <v>259</v>
      </c>
      <c r="H150" t="s">
        <v>258</v>
      </c>
      <c r="I150">
        <v>1994</v>
      </c>
      <c r="J150" t="s">
        <v>344</v>
      </c>
      <c r="K150" s="2">
        <v>0</v>
      </c>
      <c r="L150" s="2"/>
      <c r="M150" s="20"/>
      <c r="N150" s="20"/>
      <c r="O150" s="8"/>
      <c r="P150" s="1"/>
      <c r="Q150" s="1"/>
      <c r="R150" s="1"/>
      <c r="S150" s="3"/>
      <c r="T150" s="3"/>
      <c r="U150" s="3"/>
      <c r="V150" s="3">
        <v>12.32</v>
      </c>
      <c r="W150" s="3"/>
      <c r="X150" s="3"/>
      <c r="Y150" s="3"/>
      <c r="Z150" t="s">
        <v>356</v>
      </c>
      <c r="AA150" t="s">
        <v>349</v>
      </c>
    </row>
    <row r="151" spans="1:27" x14ac:dyDescent="0.25">
      <c r="A151" s="12">
        <v>129</v>
      </c>
      <c r="B151">
        <v>1</v>
      </c>
      <c r="C151">
        <f t="shared" ref="C151:C210" si="3">A151*100+B151</f>
        <v>12901</v>
      </c>
      <c r="D151" s="3" t="s">
        <v>87</v>
      </c>
      <c r="E151" s="11">
        <f>29+18/3600</f>
        <v>29.004999999999999</v>
      </c>
      <c r="F151" s="11">
        <f>48+54/60+53/3600</f>
        <v>48.914722222222224</v>
      </c>
      <c r="G151" t="s">
        <v>363</v>
      </c>
      <c r="H151" s="12" t="s">
        <v>364</v>
      </c>
      <c r="I151">
        <v>2007</v>
      </c>
      <c r="J151" t="s">
        <v>163</v>
      </c>
      <c r="K151" s="2">
        <v>0</v>
      </c>
      <c r="L151" s="2"/>
      <c r="M151" s="20">
        <v>12.2</v>
      </c>
      <c r="N151" s="3">
        <v>5.74</v>
      </c>
      <c r="O151" s="8"/>
      <c r="P151" s="1"/>
      <c r="Q151" s="1">
        <v>25.1</v>
      </c>
      <c r="R151" s="1"/>
      <c r="S151" s="3"/>
      <c r="T151" s="3">
        <v>0.5</v>
      </c>
      <c r="U151" s="3" t="s">
        <v>14</v>
      </c>
      <c r="V151" s="3"/>
      <c r="W151" s="3"/>
      <c r="X151" s="3"/>
      <c r="Y151" s="3">
        <v>144.5</v>
      </c>
      <c r="Z151" t="s">
        <v>365</v>
      </c>
      <c r="AA151" t="s">
        <v>367</v>
      </c>
    </row>
    <row r="152" spans="1:27" x14ac:dyDescent="0.25">
      <c r="A152" s="12">
        <v>129</v>
      </c>
      <c r="B152">
        <v>2</v>
      </c>
      <c r="C152">
        <f t="shared" si="3"/>
        <v>12902</v>
      </c>
      <c r="D152" s="3" t="s">
        <v>87</v>
      </c>
      <c r="E152" s="11">
        <f>29+7/60+53/3600</f>
        <v>29.131388888888889</v>
      </c>
      <c r="F152" s="11">
        <f>49+34/60</f>
        <v>49.56666666666667</v>
      </c>
      <c r="G152" t="s">
        <v>363</v>
      </c>
      <c r="H152" s="12" t="s">
        <v>364</v>
      </c>
      <c r="I152">
        <v>2007</v>
      </c>
      <c r="J152" t="s">
        <v>163</v>
      </c>
      <c r="K152" s="2">
        <v>0</v>
      </c>
      <c r="L152" s="2"/>
      <c r="M152" s="20">
        <v>7</v>
      </c>
      <c r="N152" s="3">
        <v>5</v>
      </c>
      <c r="O152" s="8"/>
      <c r="P152" s="1"/>
      <c r="Q152" s="1">
        <v>18.5</v>
      </c>
      <c r="R152" s="1"/>
      <c r="S152" s="3"/>
      <c r="T152" s="3">
        <v>0.4</v>
      </c>
      <c r="U152" s="3" t="s">
        <v>14</v>
      </c>
      <c r="V152" s="3"/>
      <c r="W152" s="3"/>
      <c r="X152" s="3"/>
      <c r="Y152" s="3">
        <v>118.6</v>
      </c>
      <c r="Z152" t="s">
        <v>365</v>
      </c>
      <c r="AA152" t="s">
        <v>367</v>
      </c>
    </row>
    <row r="153" spans="1:27" x14ac:dyDescent="0.25">
      <c r="A153" s="12">
        <v>129</v>
      </c>
      <c r="B153">
        <v>3</v>
      </c>
      <c r="C153">
        <f t="shared" si="3"/>
        <v>12903</v>
      </c>
      <c r="D153" s="3" t="s">
        <v>87</v>
      </c>
      <c r="E153" s="11">
        <f>28+39/60+52/3600</f>
        <v>28.664444444444442</v>
      </c>
      <c r="F153" s="11">
        <f>49+13/60+27/3600</f>
        <v>49.224166666666669</v>
      </c>
      <c r="G153" t="s">
        <v>363</v>
      </c>
      <c r="H153" s="12" t="s">
        <v>364</v>
      </c>
      <c r="I153">
        <v>2007</v>
      </c>
      <c r="J153" t="s">
        <v>163</v>
      </c>
      <c r="K153" s="2">
        <v>0</v>
      </c>
      <c r="L153" s="2"/>
      <c r="M153" s="20">
        <v>8.4</v>
      </c>
      <c r="N153" s="3">
        <v>4.3</v>
      </c>
      <c r="O153" s="8"/>
      <c r="P153" s="1"/>
      <c r="Q153" s="1">
        <v>14.3</v>
      </c>
      <c r="R153" s="1"/>
      <c r="S153" s="3"/>
      <c r="T153" s="3">
        <v>0.54</v>
      </c>
      <c r="U153" s="3" t="s">
        <v>14</v>
      </c>
      <c r="V153" s="3"/>
      <c r="W153" s="3"/>
      <c r="X153" s="3"/>
      <c r="Y153" s="3">
        <v>118.8</v>
      </c>
      <c r="Z153" t="s">
        <v>365</v>
      </c>
      <c r="AA153" t="s">
        <v>367</v>
      </c>
    </row>
    <row r="154" spans="1:27" x14ac:dyDescent="0.25">
      <c r="A154" s="12">
        <v>129</v>
      </c>
      <c r="B154">
        <v>4</v>
      </c>
      <c r="C154">
        <f t="shared" si="3"/>
        <v>12904</v>
      </c>
      <c r="D154" s="3" t="s">
        <v>87</v>
      </c>
      <c r="E154" s="11">
        <f>28+52/60+49.4/3600</f>
        <v>28.880388888888888</v>
      </c>
      <c r="F154" s="11">
        <f>50+4/60+31/3600</f>
        <v>50.075277777777778</v>
      </c>
      <c r="G154" t="s">
        <v>363</v>
      </c>
      <c r="H154" s="12" t="s">
        <v>364</v>
      </c>
      <c r="I154">
        <v>2007</v>
      </c>
      <c r="J154" t="s">
        <v>163</v>
      </c>
      <c r="K154" s="2">
        <v>0</v>
      </c>
      <c r="L154" s="2"/>
      <c r="M154" s="20">
        <v>11.62</v>
      </c>
      <c r="N154" s="3" t="s">
        <v>14</v>
      </c>
      <c r="O154" s="8"/>
      <c r="P154" s="1"/>
      <c r="Q154" s="1">
        <v>30</v>
      </c>
      <c r="R154" s="1"/>
      <c r="S154" s="3"/>
      <c r="T154" s="3">
        <v>0.7</v>
      </c>
      <c r="U154" s="3" t="s">
        <v>14</v>
      </c>
      <c r="V154" s="3"/>
      <c r="W154" s="3"/>
      <c r="X154" s="3"/>
      <c r="Y154" s="3">
        <v>217.3</v>
      </c>
      <c r="Z154" t="s">
        <v>365</v>
      </c>
      <c r="AA154" t="s">
        <v>367</v>
      </c>
    </row>
    <row r="155" spans="1:27" x14ac:dyDescent="0.25">
      <c r="A155" s="12">
        <v>129</v>
      </c>
      <c r="B155">
        <v>5</v>
      </c>
      <c r="C155">
        <f t="shared" si="3"/>
        <v>12905</v>
      </c>
      <c r="D155" s="3" t="s">
        <v>87</v>
      </c>
      <c r="E155" s="11">
        <f>28+15/60+14/3600</f>
        <v>28.253888888888888</v>
      </c>
      <c r="F155" s="11">
        <f>49+29/60</f>
        <v>49.483333333333334</v>
      </c>
      <c r="G155" t="s">
        <v>363</v>
      </c>
      <c r="H155" s="12" t="s">
        <v>364</v>
      </c>
      <c r="I155">
        <v>2007</v>
      </c>
      <c r="J155" t="s">
        <v>163</v>
      </c>
      <c r="K155" s="2">
        <v>0</v>
      </c>
      <c r="L155" s="2"/>
      <c r="M155" s="20" t="s">
        <v>14</v>
      </c>
      <c r="N155" s="3" t="s">
        <v>14</v>
      </c>
      <c r="O155" s="8"/>
      <c r="P155" s="1"/>
      <c r="Q155" s="1">
        <v>4.4000000000000004</v>
      </c>
      <c r="R155" s="1"/>
      <c r="S155" s="3"/>
      <c r="T155" s="3" t="s">
        <v>14</v>
      </c>
      <c r="U155" s="3">
        <v>30</v>
      </c>
      <c r="V155" s="3"/>
      <c r="W155" s="3"/>
      <c r="X155" s="3"/>
      <c r="Y155" s="3">
        <v>4</v>
      </c>
      <c r="Z155" t="s">
        <v>365</v>
      </c>
      <c r="AA155" t="s">
        <v>367</v>
      </c>
    </row>
    <row r="156" spans="1:27" x14ac:dyDescent="0.25">
      <c r="A156" s="12">
        <v>129</v>
      </c>
      <c r="B156">
        <v>6</v>
      </c>
      <c r="C156">
        <f t="shared" si="3"/>
        <v>12906</v>
      </c>
      <c r="D156" s="3" t="s">
        <v>87</v>
      </c>
      <c r="E156" s="11">
        <f>28+23/60+28/3600</f>
        <v>28.391111111111112</v>
      </c>
      <c r="F156" s="11">
        <f>49+55/60+2/3600</f>
        <v>49.917222222222222</v>
      </c>
      <c r="G156" t="s">
        <v>363</v>
      </c>
      <c r="H156" s="12" t="s">
        <v>364</v>
      </c>
      <c r="I156">
        <v>2007</v>
      </c>
      <c r="J156" t="s">
        <v>163</v>
      </c>
      <c r="K156" s="2">
        <v>0</v>
      </c>
      <c r="L156" s="2"/>
      <c r="M156" s="20">
        <v>15</v>
      </c>
      <c r="N156" s="3">
        <v>2</v>
      </c>
      <c r="O156" s="8"/>
      <c r="P156" s="1"/>
      <c r="Q156" s="1">
        <v>38</v>
      </c>
      <c r="R156" s="1"/>
      <c r="S156" s="3"/>
      <c r="T156" s="3">
        <v>1</v>
      </c>
      <c r="U156" s="3" t="s">
        <v>14</v>
      </c>
      <c r="V156" s="3"/>
      <c r="W156" s="3"/>
      <c r="X156" s="3"/>
      <c r="Y156" s="3">
        <v>254</v>
      </c>
      <c r="Z156" t="s">
        <v>365</v>
      </c>
      <c r="AA156" t="s">
        <v>367</v>
      </c>
    </row>
    <row r="157" spans="1:27" x14ac:dyDescent="0.25">
      <c r="A157" s="12">
        <v>129</v>
      </c>
      <c r="B157">
        <v>7</v>
      </c>
      <c r="C157">
        <f t="shared" si="3"/>
        <v>12907</v>
      </c>
      <c r="D157" s="3" t="s">
        <v>87</v>
      </c>
      <c r="E157" s="11">
        <f>27+49/60+35/3600</f>
        <v>27.826388888888889</v>
      </c>
      <c r="F157" s="11">
        <f>49+49/60+51/3600</f>
        <v>49.830833333333338</v>
      </c>
      <c r="G157" t="s">
        <v>363</v>
      </c>
      <c r="H157" s="12" t="s">
        <v>364</v>
      </c>
      <c r="I157">
        <v>2007</v>
      </c>
      <c r="J157" t="s">
        <v>163</v>
      </c>
      <c r="K157" s="2">
        <v>0</v>
      </c>
      <c r="L157" s="2"/>
      <c r="M157" s="20">
        <v>11</v>
      </c>
      <c r="N157" s="3">
        <v>10</v>
      </c>
      <c r="O157" s="8"/>
      <c r="P157" s="1"/>
      <c r="Q157" s="1">
        <v>9</v>
      </c>
      <c r="R157" s="1"/>
      <c r="S157" s="3"/>
      <c r="T157" s="3">
        <v>0.6</v>
      </c>
      <c r="U157" s="3">
        <v>157.30000000000001</v>
      </c>
      <c r="V157" s="3"/>
      <c r="W157" s="3"/>
      <c r="X157" s="3"/>
      <c r="Y157" s="3">
        <v>159</v>
      </c>
      <c r="Z157" t="s">
        <v>365</v>
      </c>
      <c r="AA157" t="s">
        <v>367</v>
      </c>
    </row>
    <row r="158" spans="1:27" x14ac:dyDescent="0.25">
      <c r="A158" s="12">
        <v>129</v>
      </c>
      <c r="B158">
        <v>8</v>
      </c>
      <c r="C158">
        <f t="shared" si="3"/>
        <v>12908</v>
      </c>
      <c r="D158" s="3" t="s">
        <v>87</v>
      </c>
      <c r="E158" s="11">
        <f>27+36/60+5/3600</f>
        <v>27.601388888888891</v>
      </c>
      <c r="F158" s="11">
        <f>50+19/60+37.3/3600</f>
        <v>50.327027777777779</v>
      </c>
      <c r="G158" t="s">
        <v>363</v>
      </c>
      <c r="H158" s="12" t="s">
        <v>364</v>
      </c>
      <c r="I158">
        <v>2007</v>
      </c>
      <c r="J158" t="s">
        <v>163</v>
      </c>
      <c r="K158" s="2">
        <v>0</v>
      </c>
      <c r="L158" s="2"/>
      <c r="M158" s="20">
        <v>9.4</v>
      </c>
      <c r="N158" s="3">
        <v>7.1</v>
      </c>
      <c r="O158" s="8"/>
      <c r="P158" s="1"/>
      <c r="Q158" s="1">
        <v>29</v>
      </c>
      <c r="R158" s="1"/>
      <c r="S158" s="3"/>
      <c r="T158" s="3">
        <v>0.73</v>
      </c>
      <c r="U158" s="3">
        <v>130.1</v>
      </c>
      <c r="V158" s="3"/>
      <c r="W158" s="3"/>
      <c r="X158" s="3"/>
      <c r="Y158" s="3">
        <v>150</v>
      </c>
      <c r="Z158" t="s">
        <v>365</v>
      </c>
      <c r="AA158" t="s">
        <v>367</v>
      </c>
    </row>
    <row r="159" spans="1:27" x14ac:dyDescent="0.25">
      <c r="A159" s="12">
        <v>129</v>
      </c>
      <c r="B159">
        <v>9</v>
      </c>
      <c r="C159">
        <f t="shared" si="3"/>
        <v>12909</v>
      </c>
      <c r="D159" s="3" t="s">
        <v>87</v>
      </c>
      <c r="E159" s="11">
        <f>27+46/60+27/3600</f>
        <v>27.774166666666666</v>
      </c>
      <c r="F159" s="11">
        <f>50+49/60+54/3600</f>
        <v>50.831666666666671</v>
      </c>
      <c r="G159" t="s">
        <v>363</v>
      </c>
      <c r="H159" s="12" t="s">
        <v>364</v>
      </c>
      <c r="I159">
        <v>2007</v>
      </c>
      <c r="J159" t="s">
        <v>163</v>
      </c>
      <c r="K159" s="2">
        <v>0</v>
      </c>
      <c r="L159" s="2"/>
      <c r="M159" s="20">
        <v>20.13</v>
      </c>
      <c r="N159" s="3">
        <v>1.8</v>
      </c>
      <c r="O159" s="8"/>
      <c r="P159" s="1"/>
      <c r="Q159" s="1">
        <v>40.5</v>
      </c>
      <c r="R159" s="1"/>
      <c r="S159" s="3"/>
      <c r="T159" s="3">
        <v>1.2</v>
      </c>
      <c r="U159" s="3" t="s">
        <v>14</v>
      </c>
      <c r="V159" s="3"/>
      <c r="W159" s="3"/>
      <c r="X159" s="3"/>
      <c r="Y159" s="3">
        <v>337</v>
      </c>
      <c r="Z159" t="s">
        <v>365</v>
      </c>
      <c r="AA159" t="s">
        <v>367</v>
      </c>
    </row>
    <row r="160" spans="1:27" x14ac:dyDescent="0.25">
      <c r="A160" s="12">
        <v>129</v>
      </c>
      <c r="B160">
        <v>10</v>
      </c>
      <c r="C160">
        <f t="shared" si="3"/>
        <v>12910</v>
      </c>
      <c r="D160" s="3" t="s">
        <v>87</v>
      </c>
      <c r="E160" s="11">
        <f>27+13/60+4.3/3600</f>
        <v>27.217861111111109</v>
      </c>
      <c r="F160" s="11">
        <f>50+37/60+26/3600</f>
        <v>50.623888888888892</v>
      </c>
      <c r="G160" t="s">
        <v>363</v>
      </c>
      <c r="H160" s="12" t="s">
        <v>364</v>
      </c>
      <c r="I160">
        <v>2007</v>
      </c>
      <c r="J160" t="s">
        <v>163</v>
      </c>
      <c r="K160" s="2">
        <v>0</v>
      </c>
      <c r="L160" s="2"/>
      <c r="M160" s="20">
        <v>5.5</v>
      </c>
      <c r="N160" s="3">
        <v>4.5999999999999996</v>
      </c>
      <c r="O160" s="8"/>
      <c r="P160" s="1"/>
      <c r="Q160" s="1">
        <v>22</v>
      </c>
      <c r="R160" s="1"/>
      <c r="S160" s="3"/>
      <c r="T160" s="3">
        <v>0.32</v>
      </c>
      <c r="U160" s="3" t="s">
        <v>14</v>
      </c>
      <c r="V160" s="3"/>
      <c r="W160" s="3"/>
      <c r="X160" s="3"/>
      <c r="Y160" s="3">
        <v>90.5</v>
      </c>
      <c r="Z160" t="s">
        <v>365</v>
      </c>
      <c r="AA160" t="s">
        <v>367</v>
      </c>
    </row>
    <row r="161" spans="1:27" x14ac:dyDescent="0.25">
      <c r="A161" s="12">
        <v>129</v>
      </c>
      <c r="B161">
        <v>11</v>
      </c>
      <c r="C161">
        <f t="shared" si="3"/>
        <v>12911</v>
      </c>
      <c r="D161" s="3" t="s">
        <v>87</v>
      </c>
      <c r="E161" s="11">
        <f>27+24/60+9.5/3600</f>
        <v>27.402638888888887</v>
      </c>
      <c r="F161" s="11">
        <f>51+24/60+27.2/3600</f>
        <v>51.407555555555554</v>
      </c>
      <c r="G161" t="s">
        <v>363</v>
      </c>
      <c r="H161" s="12" t="s">
        <v>364</v>
      </c>
      <c r="I161">
        <v>2007</v>
      </c>
      <c r="J161" t="s">
        <v>163</v>
      </c>
      <c r="K161" s="2">
        <v>0</v>
      </c>
      <c r="L161" s="2"/>
      <c r="M161" s="20">
        <v>28</v>
      </c>
      <c r="N161" s="3">
        <v>6</v>
      </c>
      <c r="O161" s="8"/>
      <c r="P161" s="1"/>
      <c r="Q161" s="1">
        <v>36.5</v>
      </c>
      <c r="R161" s="1"/>
      <c r="S161" s="3"/>
      <c r="T161" s="3">
        <v>1.6</v>
      </c>
      <c r="U161" s="3" t="s">
        <v>14</v>
      </c>
      <c r="V161" s="3"/>
      <c r="W161" s="3"/>
      <c r="X161" s="3"/>
      <c r="Y161" s="3">
        <v>471</v>
      </c>
      <c r="Z161" t="s">
        <v>365</v>
      </c>
      <c r="AA161" t="s">
        <v>367</v>
      </c>
    </row>
    <row r="162" spans="1:27" x14ac:dyDescent="0.25">
      <c r="A162" s="12">
        <v>129</v>
      </c>
      <c r="B162">
        <v>12</v>
      </c>
      <c r="C162">
        <f t="shared" si="3"/>
        <v>12912</v>
      </c>
      <c r="D162" s="3" t="s">
        <v>87</v>
      </c>
      <c r="E162" s="11">
        <f>26+29/60</f>
        <v>26.483333333333334</v>
      </c>
      <c r="F162" s="11">
        <f>51+40/60+35/3600</f>
        <v>51.676388888888887</v>
      </c>
      <c r="G162" t="s">
        <v>363</v>
      </c>
      <c r="H162" s="12" t="s">
        <v>364</v>
      </c>
      <c r="I162">
        <v>2007</v>
      </c>
      <c r="J162" t="s">
        <v>163</v>
      </c>
      <c r="K162" s="2">
        <v>0</v>
      </c>
      <c r="L162" s="2"/>
      <c r="M162" s="20">
        <v>6.7</v>
      </c>
      <c r="N162" s="3">
        <v>4.5</v>
      </c>
      <c r="O162" s="8"/>
      <c r="P162" s="1"/>
      <c r="Q162" s="1">
        <v>17.399999999999999</v>
      </c>
      <c r="R162" s="1"/>
      <c r="S162" s="3"/>
      <c r="T162" s="3">
        <v>0.3</v>
      </c>
      <c r="U162" s="3">
        <v>211</v>
      </c>
      <c r="V162" s="3"/>
      <c r="W162" s="3"/>
      <c r="X162" s="3"/>
      <c r="Y162" s="3" t="s">
        <v>14</v>
      </c>
      <c r="Z162" t="s">
        <v>365</v>
      </c>
      <c r="AA162" t="s">
        <v>367</v>
      </c>
    </row>
    <row r="163" spans="1:27" x14ac:dyDescent="0.25">
      <c r="A163" s="12">
        <v>129</v>
      </c>
      <c r="B163">
        <v>13</v>
      </c>
      <c r="C163">
        <f t="shared" si="3"/>
        <v>12913</v>
      </c>
      <c r="D163" s="3" t="s">
        <v>87</v>
      </c>
      <c r="E163" s="11">
        <f>25+48/60+27/3600</f>
        <v>25.807500000000001</v>
      </c>
      <c r="F163" s="11">
        <f>52+37/60+13/3600</f>
        <v>52.62027777777778</v>
      </c>
      <c r="G163" t="s">
        <v>363</v>
      </c>
      <c r="H163" s="12" t="s">
        <v>364</v>
      </c>
      <c r="I163">
        <v>2007</v>
      </c>
      <c r="J163" t="s">
        <v>163</v>
      </c>
      <c r="K163" s="2">
        <v>0</v>
      </c>
      <c r="L163" s="2"/>
      <c r="M163" s="20">
        <v>12.7</v>
      </c>
      <c r="N163" s="3">
        <v>3</v>
      </c>
      <c r="O163" s="8"/>
      <c r="P163" s="1"/>
      <c r="Q163" s="1">
        <v>14</v>
      </c>
      <c r="R163" s="1"/>
      <c r="S163" s="3"/>
      <c r="T163" s="3">
        <v>0.7</v>
      </c>
      <c r="U163" s="3" t="s">
        <v>14</v>
      </c>
      <c r="V163" s="3"/>
      <c r="W163" s="3"/>
      <c r="X163" s="3"/>
      <c r="Y163" s="3">
        <v>152</v>
      </c>
      <c r="Z163" t="s">
        <v>365</v>
      </c>
      <c r="AA163" t="s">
        <v>367</v>
      </c>
    </row>
    <row r="164" spans="1:27" x14ac:dyDescent="0.25">
      <c r="A164" s="12">
        <v>129</v>
      </c>
      <c r="B164">
        <v>14</v>
      </c>
      <c r="C164">
        <f t="shared" si="3"/>
        <v>12914</v>
      </c>
      <c r="D164" s="3" t="s">
        <v>87</v>
      </c>
      <c r="E164" s="11">
        <f>25+9/60+38.4/3600</f>
        <v>25.160666666666664</v>
      </c>
      <c r="F164" s="11">
        <f>53+41/60+27.6/3600</f>
        <v>53.690999999999995</v>
      </c>
      <c r="G164" t="s">
        <v>363</v>
      </c>
      <c r="H164" s="12" t="s">
        <v>364</v>
      </c>
      <c r="I164">
        <v>2007</v>
      </c>
      <c r="J164" t="s">
        <v>163</v>
      </c>
      <c r="K164" s="2">
        <v>0</v>
      </c>
      <c r="L164" s="2"/>
      <c r="M164" s="20">
        <v>5</v>
      </c>
      <c r="N164" s="3">
        <v>4.5</v>
      </c>
      <c r="O164" s="8"/>
      <c r="P164" s="1"/>
      <c r="Q164" s="1">
        <v>22</v>
      </c>
      <c r="R164" s="1"/>
      <c r="S164" s="3"/>
      <c r="T164" s="3">
        <v>0.3</v>
      </c>
      <c r="U164" s="3">
        <v>106</v>
      </c>
      <c r="V164" s="3"/>
      <c r="W164" s="3"/>
      <c r="X164" s="3"/>
      <c r="Y164" s="3">
        <v>88.2</v>
      </c>
      <c r="Z164" t="s">
        <v>365</v>
      </c>
      <c r="AA164" t="s">
        <v>367</v>
      </c>
    </row>
    <row r="165" spans="1:27" x14ac:dyDescent="0.25">
      <c r="A165" s="12">
        <v>129</v>
      </c>
      <c r="B165">
        <v>15</v>
      </c>
      <c r="C165">
        <f t="shared" si="3"/>
        <v>12915</v>
      </c>
      <c r="D165" s="3" t="s">
        <v>87</v>
      </c>
      <c r="E165" s="11">
        <f>25+38/60+32/3600</f>
        <v>25.642222222222223</v>
      </c>
      <c r="F165" s="11">
        <f>54+46/60+13.4/3600</f>
        <v>54.770388888888888</v>
      </c>
      <c r="G165" t="s">
        <v>363</v>
      </c>
      <c r="H165" s="12" t="s">
        <v>364</v>
      </c>
      <c r="I165">
        <v>2007</v>
      </c>
      <c r="J165" t="s">
        <v>163</v>
      </c>
      <c r="K165" s="2">
        <v>0</v>
      </c>
      <c r="L165" s="2"/>
      <c r="M165" s="20">
        <v>15.3</v>
      </c>
      <c r="N165" s="3" t="s">
        <v>14</v>
      </c>
      <c r="O165" s="8"/>
      <c r="P165" s="1"/>
      <c r="Q165" s="1">
        <v>43.7</v>
      </c>
      <c r="R165" s="1"/>
      <c r="S165" s="3"/>
      <c r="T165" s="3">
        <v>1</v>
      </c>
      <c r="U165" s="3" t="s">
        <v>14</v>
      </c>
      <c r="V165" s="3"/>
      <c r="W165" s="3"/>
      <c r="X165" s="3"/>
      <c r="Y165" s="3">
        <v>324</v>
      </c>
      <c r="Z165" t="s">
        <v>365</v>
      </c>
      <c r="AA165" t="s">
        <v>367</v>
      </c>
    </row>
    <row r="166" spans="1:27" x14ac:dyDescent="0.25">
      <c r="A166" s="12">
        <v>130</v>
      </c>
      <c r="B166">
        <v>1</v>
      </c>
      <c r="C166">
        <f t="shared" si="3"/>
        <v>13001</v>
      </c>
      <c r="D166" s="3" t="s">
        <v>87</v>
      </c>
      <c r="E166" s="11">
        <f>5+8/60+49/3600</f>
        <v>5.1469444444444452</v>
      </c>
      <c r="F166" s="11">
        <f>103+37/60</f>
        <v>103.61666666666666</v>
      </c>
      <c r="G166" t="s">
        <v>369</v>
      </c>
      <c r="H166" s="12" t="s">
        <v>370</v>
      </c>
      <c r="I166">
        <v>2004</v>
      </c>
      <c r="J166" t="s">
        <v>368</v>
      </c>
      <c r="K166" s="2">
        <v>0</v>
      </c>
      <c r="L166" s="2"/>
      <c r="M166" s="20">
        <v>51</v>
      </c>
      <c r="N166" s="20">
        <v>58</v>
      </c>
      <c r="O166" s="8"/>
      <c r="P166" s="1"/>
      <c r="Q166" s="1"/>
      <c r="R166" s="1"/>
      <c r="S166" s="3"/>
      <c r="T166" s="3"/>
      <c r="U166" s="3"/>
      <c r="V166" s="3"/>
      <c r="W166" s="3"/>
      <c r="X166" s="3"/>
      <c r="Y166" s="3"/>
      <c r="Z166" t="s">
        <v>371</v>
      </c>
      <c r="AA166" t="s">
        <v>372</v>
      </c>
    </row>
    <row r="167" spans="1:27" x14ac:dyDescent="0.25">
      <c r="A167" s="12">
        <v>131</v>
      </c>
      <c r="B167">
        <v>1</v>
      </c>
      <c r="C167">
        <f t="shared" si="3"/>
        <v>13101</v>
      </c>
      <c r="D167" s="3" t="s">
        <v>87</v>
      </c>
      <c r="E167" s="11">
        <f>26+47/60+21/3600</f>
        <v>26.789166666666667</v>
      </c>
      <c r="F167" s="11">
        <f>51+44/60+58/3600</f>
        <v>51.749444444444443</v>
      </c>
      <c r="G167" t="s">
        <v>259</v>
      </c>
      <c r="H167" s="12" t="s">
        <v>364</v>
      </c>
      <c r="I167" s="38" t="s">
        <v>377</v>
      </c>
      <c r="J167" t="s">
        <v>378</v>
      </c>
      <c r="K167" s="2">
        <v>0</v>
      </c>
      <c r="L167" s="2"/>
      <c r="M167" s="20"/>
      <c r="N167" s="20"/>
      <c r="O167" s="8"/>
      <c r="P167" s="1"/>
      <c r="Q167" s="1"/>
      <c r="R167" s="1"/>
      <c r="S167" s="3"/>
      <c r="T167" s="3"/>
      <c r="U167" s="3"/>
      <c r="V167" s="3">
        <v>3.3</v>
      </c>
      <c r="W167" s="3"/>
      <c r="X167" s="3"/>
      <c r="Y167" s="3"/>
      <c r="Z167" t="s">
        <v>389</v>
      </c>
      <c r="AA167" t="s">
        <v>390</v>
      </c>
    </row>
    <row r="168" spans="1:27" x14ac:dyDescent="0.25">
      <c r="A168" s="12">
        <v>131</v>
      </c>
      <c r="B168">
        <v>1</v>
      </c>
      <c r="C168">
        <f t="shared" si="3"/>
        <v>13101</v>
      </c>
      <c r="D168" s="3" t="s">
        <v>87</v>
      </c>
      <c r="E168" s="11">
        <f t="shared" ref="E168:E176" si="4">26+47/60+21/3600</f>
        <v>26.789166666666667</v>
      </c>
      <c r="F168" s="11">
        <f t="shared" ref="F168:F176" si="5">51+44/60+58/3600</f>
        <v>51.749444444444443</v>
      </c>
      <c r="G168" t="s">
        <v>259</v>
      </c>
      <c r="H168" s="12" t="s">
        <v>364</v>
      </c>
      <c r="I168" s="38" t="s">
        <v>377</v>
      </c>
      <c r="J168" t="s">
        <v>379</v>
      </c>
      <c r="K168" s="2">
        <v>0</v>
      </c>
      <c r="L168" s="2"/>
      <c r="M168" s="20"/>
      <c r="N168" s="20"/>
      <c r="O168" s="8"/>
      <c r="P168" s="1"/>
      <c r="Q168" s="1"/>
      <c r="R168" s="1"/>
      <c r="S168" s="3"/>
      <c r="T168" s="3"/>
      <c r="U168" s="3"/>
      <c r="V168" s="3">
        <v>2.544</v>
      </c>
      <c r="W168" s="3"/>
      <c r="X168" s="3"/>
      <c r="Y168" s="3"/>
      <c r="Z168" t="s">
        <v>389</v>
      </c>
      <c r="AA168" t="s">
        <v>390</v>
      </c>
    </row>
    <row r="169" spans="1:27" x14ac:dyDescent="0.25">
      <c r="A169" s="12">
        <v>131</v>
      </c>
      <c r="B169">
        <v>1</v>
      </c>
      <c r="C169">
        <f t="shared" si="3"/>
        <v>13101</v>
      </c>
      <c r="D169" s="3" t="s">
        <v>87</v>
      </c>
      <c r="E169" s="11">
        <f t="shared" si="4"/>
        <v>26.789166666666667</v>
      </c>
      <c r="F169" s="11">
        <f t="shared" si="5"/>
        <v>51.749444444444443</v>
      </c>
      <c r="G169" t="s">
        <v>259</v>
      </c>
      <c r="H169" s="12" t="s">
        <v>364</v>
      </c>
      <c r="I169" s="38" t="s">
        <v>377</v>
      </c>
      <c r="J169" t="s">
        <v>380</v>
      </c>
      <c r="K169" s="2">
        <v>0</v>
      </c>
      <c r="L169" s="2"/>
      <c r="M169" s="20"/>
      <c r="N169" s="20"/>
      <c r="O169" s="8"/>
      <c r="P169" s="1"/>
      <c r="Q169" s="1"/>
      <c r="R169" s="1"/>
      <c r="S169" s="3"/>
      <c r="T169" s="3"/>
      <c r="U169" s="3"/>
      <c r="V169" s="3">
        <v>2.4</v>
      </c>
      <c r="W169" s="3"/>
      <c r="X169" s="3"/>
      <c r="Y169" s="3"/>
      <c r="Z169" t="s">
        <v>389</v>
      </c>
      <c r="AA169" t="s">
        <v>390</v>
      </c>
    </row>
    <row r="170" spans="1:27" x14ac:dyDescent="0.25">
      <c r="A170" s="12">
        <v>131</v>
      </c>
      <c r="B170">
        <v>1</v>
      </c>
      <c r="C170">
        <f t="shared" si="3"/>
        <v>13101</v>
      </c>
      <c r="D170" s="3" t="s">
        <v>87</v>
      </c>
      <c r="E170" s="11">
        <f t="shared" si="4"/>
        <v>26.789166666666667</v>
      </c>
      <c r="F170" s="11">
        <f t="shared" si="5"/>
        <v>51.749444444444443</v>
      </c>
      <c r="G170" t="s">
        <v>259</v>
      </c>
      <c r="H170" s="12" t="s">
        <v>364</v>
      </c>
      <c r="I170" s="38" t="s">
        <v>377</v>
      </c>
      <c r="J170" t="s">
        <v>381</v>
      </c>
      <c r="K170" s="2">
        <v>0</v>
      </c>
      <c r="L170" s="2"/>
      <c r="M170" s="20"/>
      <c r="N170" s="20"/>
      <c r="O170" s="8"/>
      <c r="P170" s="1"/>
      <c r="Q170" s="1"/>
      <c r="R170" s="1"/>
      <c r="S170" s="3"/>
      <c r="T170" s="3"/>
      <c r="U170" s="3"/>
      <c r="V170" s="3">
        <v>2.29</v>
      </c>
      <c r="W170" s="3"/>
      <c r="X170" s="3"/>
      <c r="Y170" s="3"/>
      <c r="Z170" t="s">
        <v>389</v>
      </c>
      <c r="AA170" t="s">
        <v>390</v>
      </c>
    </row>
    <row r="171" spans="1:27" x14ac:dyDescent="0.25">
      <c r="A171" s="12">
        <v>131</v>
      </c>
      <c r="B171">
        <v>1</v>
      </c>
      <c r="C171">
        <f t="shared" si="3"/>
        <v>13101</v>
      </c>
      <c r="D171" s="3" t="s">
        <v>87</v>
      </c>
      <c r="E171" s="11">
        <f t="shared" si="4"/>
        <v>26.789166666666667</v>
      </c>
      <c r="F171" s="11">
        <f t="shared" si="5"/>
        <v>51.749444444444443</v>
      </c>
      <c r="G171" t="s">
        <v>259</v>
      </c>
      <c r="H171" s="12" t="s">
        <v>364</v>
      </c>
      <c r="I171" s="38" t="s">
        <v>377</v>
      </c>
      <c r="J171" t="s">
        <v>382</v>
      </c>
      <c r="K171" s="2">
        <v>0</v>
      </c>
      <c r="L171" s="2"/>
      <c r="M171" s="20"/>
      <c r="N171" s="20"/>
      <c r="O171" s="8"/>
      <c r="P171" s="1"/>
      <c r="Q171" s="1"/>
      <c r="R171" s="1"/>
      <c r="S171" s="3"/>
      <c r="T171" s="3"/>
      <c r="U171" s="3"/>
      <c r="V171" s="3">
        <v>1.6040000000000001</v>
      </c>
      <c r="W171" s="3"/>
      <c r="X171" s="3"/>
      <c r="Y171" s="3"/>
      <c r="Z171" t="s">
        <v>389</v>
      </c>
      <c r="AA171" t="s">
        <v>390</v>
      </c>
    </row>
    <row r="172" spans="1:27" x14ac:dyDescent="0.25">
      <c r="A172" s="12">
        <v>131</v>
      </c>
      <c r="B172">
        <v>1</v>
      </c>
      <c r="C172">
        <f t="shared" si="3"/>
        <v>13101</v>
      </c>
      <c r="D172" s="3" t="s">
        <v>87</v>
      </c>
      <c r="E172" s="11">
        <f t="shared" si="4"/>
        <v>26.789166666666667</v>
      </c>
      <c r="F172" s="11">
        <f t="shared" si="5"/>
        <v>51.749444444444443</v>
      </c>
      <c r="G172" t="s">
        <v>259</v>
      </c>
      <c r="H172" s="12" t="s">
        <v>364</v>
      </c>
      <c r="I172" s="38" t="s">
        <v>377</v>
      </c>
      <c r="J172" t="s">
        <v>383</v>
      </c>
      <c r="K172" s="2">
        <v>0</v>
      </c>
      <c r="L172" s="2"/>
      <c r="M172" s="20"/>
      <c r="N172" s="20"/>
      <c r="O172" s="8"/>
      <c r="P172" s="1"/>
      <c r="Q172" s="1"/>
      <c r="R172" s="1"/>
      <c r="S172" s="3"/>
      <c r="T172" s="3"/>
      <c r="U172" s="3"/>
      <c r="V172" s="3">
        <v>1.46</v>
      </c>
      <c r="W172" s="3"/>
      <c r="X172" s="3"/>
      <c r="Y172" s="3"/>
      <c r="Z172" t="s">
        <v>389</v>
      </c>
      <c r="AA172" t="s">
        <v>390</v>
      </c>
    </row>
    <row r="173" spans="1:27" x14ac:dyDescent="0.25">
      <c r="A173" s="12">
        <v>131</v>
      </c>
      <c r="B173">
        <v>1</v>
      </c>
      <c r="C173">
        <f t="shared" si="3"/>
        <v>13101</v>
      </c>
      <c r="D173" s="3" t="s">
        <v>87</v>
      </c>
      <c r="E173" s="11">
        <f t="shared" si="4"/>
        <v>26.789166666666667</v>
      </c>
      <c r="F173" s="11">
        <f t="shared" si="5"/>
        <v>51.749444444444443</v>
      </c>
      <c r="G173" t="s">
        <v>259</v>
      </c>
      <c r="H173" s="12" t="s">
        <v>364</v>
      </c>
      <c r="I173" s="38" t="s">
        <v>377</v>
      </c>
      <c r="J173" t="s">
        <v>384</v>
      </c>
      <c r="K173" s="2">
        <v>0</v>
      </c>
      <c r="L173" s="2"/>
      <c r="M173" s="20"/>
      <c r="N173" s="20"/>
      <c r="O173" s="8"/>
      <c r="P173" s="1"/>
      <c r="Q173" s="1"/>
      <c r="R173" s="1"/>
      <c r="S173" s="3"/>
      <c r="T173" s="3"/>
      <c r="U173" s="3"/>
      <c r="V173" s="3">
        <v>0.69</v>
      </c>
      <c r="W173" s="3"/>
      <c r="X173" s="3"/>
      <c r="Y173" s="3"/>
      <c r="Z173" t="s">
        <v>389</v>
      </c>
      <c r="AA173" t="s">
        <v>390</v>
      </c>
    </row>
    <row r="174" spans="1:27" x14ac:dyDescent="0.25">
      <c r="A174" s="12">
        <v>131</v>
      </c>
      <c r="B174">
        <v>1</v>
      </c>
      <c r="C174">
        <f t="shared" si="3"/>
        <v>13101</v>
      </c>
      <c r="D174" s="3" t="s">
        <v>87</v>
      </c>
      <c r="E174" s="11">
        <f t="shared" si="4"/>
        <v>26.789166666666667</v>
      </c>
      <c r="F174" s="11">
        <f t="shared" si="5"/>
        <v>51.749444444444443</v>
      </c>
      <c r="G174" t="s">
        <v>259</v>
      </c>
      <c r="H174" s="12" t="s">
        <v>364</v>
      </c>
      <c r="I174" s="38" t="s">
        <v>377</v>
      </c>
      <c r="J174" t="s">
        <v>385</v>
      </c>
      <c r="K174" s="2">
        <v>0</v>
      </c>
      <c r="L174" s="2"/>
      <c r="M174" s="20"/>
      <c r="N174" s="20"/>
      <c r="O174" s="8"/>
      <c r="P174" s="1"/>
      <c r="Q174" s="1"/>
      <c r="R174" s="1"/>
      <c r="S174" s="3"/>
      <c r="T174" s="3"/>
      <c r="U174" s="3"/>
      <c r="V174" s="3">
        <v>0.66600000000000004</v>
      </c>
      <c r="W174" s="3"/>
      <c r="X174" s="3"/>
      <c r="Y174" s="3"/>
      <c r="Z174" t="s">
        <v>389</v>
      </c>
      <c r="AA174" t="s">
        <v>390</v>
      </c>
    </row>
    <row r="175" spans="1:27" x14ac:dyDescent="0.25">
      <c r="A175" s="12">
        <v>131</v>
      </c>
      <c r="B175">
        <v>1</v>
      </c>
      <c r="C175">
        <f t="shared" si="3"/>
        <v>13101</v>
      </c>
      <c r="D175" s="3" t="s">
        <v>87</v>
      </c>
      <c r="E175" s="11">
        <f t="shared" si="4"/>
        <v>26.789166666666667</v>
      </c>
      <c r="F175" s="11">
        <f t="shared" si="5"/>
        <v>51.749444444444443</v>
      </c>
      <c r="G175" t="s">
        <v>259</v>
      </c>
      <c r="H175" s="12" t="s">
        <v>364</v>
      </c>
      <c r="I175" s="38" t="s">
        <v>377</v>
      </c>
      <c r="J175" t="s">
        <v>386</v>
      </c>
      <c r="K175" s="2">
        <v>0</v>
      </c>
      <c r="L175" s="2"/>
      <c r="M175" s="20"/>
      <c r="N175" s="20"/>
      <c r="O175" s="8"/>
      <c r="P175" s="1"/>
      <c r="Q175" s="1"/>
      <c r="R175" s="1"/>
      <c r="S175" s="3"/>
      <c r="T175" s="3"/>
      <c r="U175" s="3"/>
      <c r="V175" s="3">
        <v>0.373</v>
      </c>
      <c r="W175" s="3"/>
      <c r="X175" s="3"/>
      <c r="Y175" s="3"/>
      <c r="Z175" t="s">
        <v>389</v>
      </c>
      <c r="AA175" t="s">
        <v>390</v>
      </c>
    </row>
    <row r="176" spans="1:27" x14ac:dyDescent="0.25">
      <c r="A176" s="12">
        <v>131</v>
      </c>
      <c r="B176">
        <v>1</v>
      </c>
      <c r="C176">
        <f t="shared" si="3"/>
        <v>13101</v>
      </c>
      <c r="D176" s="3" t="s">
        <v>87</v>
      </c>
      <c r="E176" s="11">
        <f t="shared" si="4"/>
        <v>26.789166666666667</v>
      </c>
      <c r="F176" s="11">
        <f t="shared" si="5"/>
        <v>51.749444444444443</v>
      </c>
      <c r="G176" t="s">
        <v>259</v>
      </c>
      <c r="H176" s="12" t="s">
        <v>364</v>
      </c>
      <c r="I176" s="38" t="s">
        <v>377</v>
      </c>
      <c r="J176" t="s">
        <v>387</v>
      </c>
      <c r="K176" s="2">
        <v>0</v>
      </c>
      <c r="L176" s="2"/>
      <c r="M176" s="20"/>
      <c r="N176" s="20"/>
      <c r="O176" s="8"/>
      <c r="P176" s="1"/>
      <c r="Q176" s="1"/>
      <c r="R176" s="1"/>
      <c r="S176" s="3"/>
      <c r="T176" s="3"/>
      <c r="U176" s="3"/>
      <c r="V176" s="3">
        <v>8.8999999999999996E-2</v>
      </c>
      <c r="W176" s="3"/>
      <c r="X176" s="3"/>
      <c r="Y176" s="3"/>
      <c r="Z176" t="s">
        <v>389</v>
      </c>
      <c r="AA176" t="s">
        <v>390</v>
      </c>
    </row>
    <row r="177" spans="1:27" x14ac:dyDescent="0.25">
      <c r="A177" s="12">
        <v>132</v>
      </c>
      <c r="B177">
        <v>1</v>
      </c>
      <c r="C177">
        <f t="shared" si="3"/>
        <v>13201</v>
      </c>
      <c r="D177" s="3" t="s">
        <v>86</v>
      </c>
      <c r="E177">
        <v>29.064236902050101</v>
      </c>
      <c r="F177">
        <v>48.144776119402898</v>
      </c>
      <c r="G177" t="s">
        <v>259</v>
      </c>
      <c r="H177" s="12" t="s">
        <v>364</v>
      </c>
      <c r="I177">
        <v>2013</v>
      </c>
      <c r="J177" t="s">
        <v>391</v>
      </c>
      <c r="K177" s="2">
        <v>0</v>
      </c>
      <c r="L177" s="2"/>
      <c r="M177" s="20"/>
      <c r="N177" s="20"/>
      <c r="O177" s="8"/>
      <c r="P177" s="1"/>
      <c r="Q177" s="1"/>
      <c r="R177" s="1"/>
      <c r="S177" s="3"/>
      <c r="T177" s="3"/>
      <c r="U177" s="3"/>
      <c r="V177" s="3">
        <v>11.375</v>
      </c>
      <c r="W177" s="3"/>
      <c r="X177" s="3"/>
      <c r="Y177" s="3"/>
      <c r="Z177" t="s">
        <v>394</v>
      </c>
      <c r="AA177" t="s">
        <v>395</v>
      </c>
    </row>
    <row r="178" spans="1:27" x14ac:dyDescent="0.25">
      <c r="A178" s="12">
        <v>132</v>
      </c>
      <c r="B178">
        <v>2</v>
      </c>
      <c r="C178">
        <f t="shared" si="3"/>
        <v>13202</v>
      </c>
      <c r="D178" s="3" t="s">
        <v>86</v>
      </c>
      <c r="E178">
        <v>29.015034168564899</v>
      </c>
      <c r="F178">
        <v>48.177611940298497</v>
      </c>
      <c r="G178" t="s">
        <v>259</v>
      </c>
      <c r="H178" s="12" t="s">
        <v>364</v>
      </c>
      <c r="I178">
        <v>2013</v>
      </c>
      <c r="J178" t="s">
        <v>391</v>
      </c>
      <c r="K178" s="2">
        <v>0</v>
      </c>
      <c r="L178" s="2"/>
      <c r="M178" s="20"/>
      <c r="N178" s="20"/>
      <c r="O178" s="8"/>
      <c r="P178" s="1"/>
      <c r="Q178" s="1"/>
      <c r="R178" s="1"/>
      <c r="S178" s="3"/>
      <c r="T178" s="3"/>
      <c r="U178" s="3"/>
      <c r="V178" s="3">
        <v>56.515000000000001</v>
      </c>
      <c r="W178" s="3"/>
      <c r="X178" s="3"/>
      <c r="Y178" s="3"/>
      <c r="Z178" t="s">
        <v>394</v>
      </c>
      <c r="AA178" t="s">
        <v>395</v>
      </c>
    </row>
    <row r="179" spans="1:27" x14ac:dyDescent="0.25">
      <c r="A179" s="12">
        <v>132</v>
      </c>
      <c r="B179">
        <v>3</v>
      </c>
      <c r="C179">
        <f t="shared" si="3"/>
        <v>13203</v>
      </c>
      <c r="D179" s="3" t="s">
        <v>86</v>
      </c>
      <c r="E179">
        <v>29.370387243735699</v>
      </c>
      <c r="F179">
        <v>47.816417910447697</v>
      </c>
      <c r="G179" t="s">
        <v>259</v>
      </c>
      <c r="H179" s="12" t="s">
        <v>364</v>
      </c>
      <c r="I179">
        <v>2013</v>
      </c>
      <c r="J179" t="s">
        <v>392</v>
      </c>
      <c r="K179" s="2">
        <v>0</v>
      </c>
      <c r="L179" s="2"/>
      <c r="M179" s="20"/>
      <c r="N179" s="20"/>
      <c r="O179" s="8"/>
      <c r="P179" s="1"/>
      <c r="Q179" s="1"/>
      <c r="R179" s="1"/>
      <c r="S179" s="3"/>
      <c r="T179" s="3"/>
      <c r="U179" s="3"/>
      <c r="V179" s="3">
        <v>204.55500000000001</v>
      </c>
      <c r="W179" s="3"/>
      <c r="X179" s="3"/>
      <c r="Y179" s="3"/>
      <c r="Z179" t="s">
        <v>394</v>
      </c>
      <c r="AA179" t="s">
        <v>395</v>
      </c>
    </row>
    <row r="180" spans="1:27" x14ac:dyDescent="0.25">
      <c r="A180" s="12">
        <v>132</v>
      </c>
      <c r="B180">
        <v>4</v>
      </c>
      <c r="C180">
        <f t="shared" si="3"/>
        <v>13204</v>
      </c>
      <c r="D180" s="3" t="s">
        <v>86</v>
      </c>
      <c r="E180">
        <v>28.719817767653701</v>
      </c>
      <c r="F180">
        <v>48.362686567164097</v>
      </c>
      <c r="G180" t="s">
        <v>259</v>
      </c>
      <c r="H180" s="12" t="s">
        <v>364</v>
      </c>
      <c r="I180">
        <v>2013</v>
      </c>
      <c r="J180" t="s">
        <v>392</v>
      </c>
      <c r="K180" s="2">
        <v>0</v>
      </c>
      <c r="L180" s="2"/>
      <c r="M180" s="20"/>
      <c r="N180" s="20"/>
      <c r="O180" s="8"/>
      <c r="P180" s="1"/>
      <c r="Q180" s="1"/>
      <c r="R180" s="1"/>
      <c r="S180" s="3"/>
      <c r="T180" s="3"/>
      <c r="U180" s="3"/>
      <c r="V180" s="3">
        <v>60</v>
      </c>
      <c r="W180" s="3"/>
      <c r="X180" s="3"/>
      <c r="Y180" s="3"/>
      <c r="Z180" t="s">
        <v>394</v>
      </c>
      <c r="AA180" t="s">
        <v>395</v>
      </c>
    </row>
    <row r="181" spans="1:27" x14ac:dyDescent="0.25">
      <c r="A181" s="12">
        <v>132</v>
      </c>
      <c r="B181">
        <v>5</v>
      </c>
      <c r="C181">
        <f t="shared" si="3"/>
        <v>13205</v>
      </c>
      <c r="D181" s="3" t="s">
        <v>86</v>
      </c>
      <c r="E181">
        <v>29.351252847380401</v>
      </c>
      <c r="F181">
        <v>48.0492537313432</v>
      </c>
      <c r="G181" t="s">
        <v>259</v>
      </c>
      <c r="H181" s="12" t="s">
        <v>364</v>
      </c>
      <c r="I181">
        <v>2013</v>
      </c>
      <c r="J181" t="s">
        <v>392</v>
      </c>
      <c r="K181" s="2">
        <v>0</v>
      </c>
      <c r="L181" s="2"/>
      <c r="M181" s="20"/>
      <c r="N181" s="20"/>
      <c r="O181" s="8"/>
      <c r="P181" s="1"/>
      <c r="Q181" s="1"/>
      <c r="R181" s="1"/>
      <c r="S181" s="3"/>
      <c r="T181" s="3"/>
      <c r="U181" s="3"/>
      <c r="V181" s="3">
        <v>48.585000000000001</v>
      </c>
      <c r="W181" s="3"/>
      <c r="X181" s="3"/>
      <c r="Y181" s="3"/>
      <c r="Z181" t="s">
        <v>394</v>
      </c>
      <c r="AA181" t="s">
        <v>395</v>
      </c>
    </row>
    <row r="182" spans="1:27" x14ac:dyDescent="0.25">
      <c r="A182" s="12">
        <v>132</v>
      </c>
      <c r="B182">
        <v>6</v>
      </c>
      <c r="C182">
        <f t="shared" si="3"/>
        <v>13206</v>
      </c>
      <c r="D182" s="3" t="s">
        <v>86</v>
      </c>
      <c r="E182">
        <v>28.421867881548899</v>
      </c>
      <c r="F182">
        <v>48.517910447761103</v>
      </c>
      <c r="G182" t="s">
        <v>259</v>
      </c>
      <c r="H182" s="12" t="s">
        <v>364</v>
      </c>
      <c r="I182">
        <v>2013</v>
      </c>
      <c r="J182" t="s">
        <v>393</v>
      </c>
      <c r="K182" s="2">
        <v>0</v>
      </c>
      <c r="L182" s="2"/>
      <c r="M182" s="20"/>
      <c r="N182" s="20"/>
      <c r="O182" s="8"/>
      <c r="P182" s="1"/>
      <c r="Q182" s="1"/>
      <c r="R182" s="1"/>
      <c r="S182" s="3"/>
      <c r="T182" s="3"/>
      <c r="U182" s="3"/>
      <c r="V182" s="3">
        <v>46.255000000000003</v>
      </c>
      <c r="W182" s="3"/>
      <c r="X182" s="3"/>
      <c r="Y182" s="3"/>
      <c r="Z182" t="s">
        <v>394</v>
      </c>
      <c r="AA182" t="s">
        <v>395</v>
      </c>
    </row>
    <row r="183" spans="1:27" x14ac:dyDescent="0.25">
      <c r="A183" s="12">
        <v>133</v>
      </c>
      <c r="B183">
        <v>1</v>
      </c>
      <c r="C183">
        <f t="shared" si="3"/>
        <v>13301</v>
      </c>
      <c r="D183" t="s">
        <v>86</v>
      </c>
      <c r="E183">
        <v>29.627467105263101</v>
      </c>
      <c r="F183">
        <v>48.403654485049799</v>
      </c>
      <c r="G183" t="s">
        <v>259</v>
      </c>
      <c r="H183" t="s">
        <v>258</v>
      </c>
      <c r="I183">
        <v>2013</v>
      </c>
      <c r="J183" t="s">
        <v>20</v>
      </c>
      <c r="K183" s="2">
        <v>0</v>
      </c>
      <c r="L183" s="2"/>
      <c r="M183" s="20">
        <v>18.3</v>
      </c>
      <c r="N183" s="20">
        <v>18.8</v>
      </c>
      <c r="O183" s="8">
        <v>48.8</v>
      </c>
      <c r="P183" s="1"/>
      <c r="Q183" s="1">
        <v>388</v>
      </c>
      <c r="R183" s="1"/>
      <c r="S183" s="3">
        <v>302.60000000000002</v>
      </c>
      <c r="T183" s="3">
        <v>1.19</v>
      </c>
      <c r="U183" s="3">
        <v>26.6</v>
      </c>
      <c r="V183" s="3"/>
      <c r="W183" s="3"/>
      <c r="X183" s="3"/>
      <c r="Y183" s="3"/>
      <c r="Z183" t="s">
        <v>399</v>
      </c>
      <c r="AA183" t="s">
        <v>396</v>
      </c>
    </row>
    <row r="184" spans="1:27" x14ac:dyDescent="0.25">
      <c r="A184" s="12">
        <v>133</v>
      </c>
      <c r="B184">
        <v>2</v>
      </c>
      <c r="C184">
        <f t="shared" si="3"/>
        <v>13302</v>
      </c>
      <c r="D184" t="s">
        <v>86</v>
      </c>
      <c r="E184">
        <v>29.533717105263101</v>
      </c>
      <c r="F184">
        <v>48.027408637873698</v>
      </c>
      <c r="G184" t="s">
        <v>259</v>
      </c>
      <c r="H184" t="s">
        <v>258</v>
      </c>
      <c r="I184">
        <v>2013</v>
      </c>
      <c r="J184" t="s">
        <v>20</v>
      </c>
      <c r="K184" s="2">
        <v>0</v>
      </c>
      <c r="L184" s="2"/>
      <c r="M184" s="20">
        <v>19.600000000000001</v>
      </c>
      <c r="N184" s="20">
        <v>19.2</v>
      </c>
      <c r="O184" s="8">
        <v>36.1</v>
      </c>
      <c r="P184" s="1"/>
      <c r="Q184" s="1">
        <v>474</v>
      </c>
      <c r="R184" s="1"/>
      <c r="S184" s="3">
        <v>30.3</v>
      </c>
      <c r="T184" s="3">
        <v>1.18</v>
      </c>
      <c r="U184" s="3">
        <v>26.1</v>
      </c>
      <c r="V184" s="3"/>
      <c r="W184" s="3"/>
      <c r="X184" s="3"/>
      <c r="Y184" s="3"/>
      <c r="Z184" t="s">
        <v>399</v>
      </c>
      <c r="AA184" t="s">
        <v>396</v>
      </c>
    </row>
    <row r="185" spans="1:27" x14ac:dyDescent="0.25">
      <c r="A185" s="12">
        <v>133</v>
      </c>
      <c r="B185">
        <v>3</v>
      </c>
      <c r="C185">
        <f t="shared" si="3"/>
        <v>13303</v>
      </c>
      <c r="D185" t="s">
        <v>86</v>
      </c>
      <c r="E185">
        <v>29.415296052631501</v>
      </c>
      <c r="F185">
        <v>47.800664451827203</v>
      </c>
      <c r="G185" t="s">
        <v>259</v>
      </c>
      <c r="H185" t="s">
        <v>258</v>
      </c>
      <c r="I185">
        <v>2013</v>
      </c>
      <c r="J185" t="s">
        <v>20</v>
      </c>
      <c r="K185" s="2">
        <v>0</v>
      </c>
      <c r="L185" s="2"/>
      <c r="M185" s="20">
        <v>21.7</v>
      </c>
      <c r="N185" s="20">
        <v>19.8</v>
      </c>
      <c r="O185" s="8">
        <v>32.299999999999997</v>
      </c>
      <c r="P185" s="1"/>
      <c r="Q185" s="1">
        <v>489</v>
      </c>
      <c r="R185" s="1"/>
      <c r="S185" s="3">
        <v>34.799999999999997</v>
      </c>
      <c r="T185" s="3">
        <v>1.33</v>
      </c>
      <c r="U185" s="3">
        <v>30.5</v>
      </c>
      <c r="V185" s="3"/>
      <c r="W185" s="3"/>
      <c r="X185" s="3"/>
      <c r="Y185" s="3"/>
      <c r="Z185" t="s">
        <v>399</v>
      </c>
      <c r="AA185" t="s">
        <v>396</v>
      </c>
    </row>
    <row r="186" spans="1:27" x14ac:dyDescent="0.25">
      <c r="A186" s="12">
        <v>133</v>
      </c>
      <c r="B186">
        <v>4</v>
      </c>
      <c r="C186">
        <f t="shared" si="3"/>
        <v>13304</v>
      </c>
      <c r="D186" t="s">
        <v>86</v>
      </c>
      <c r="E186">
        <v>29.361019736842099</v>
      </c>
      <c r="F186">
        <v>48.057308970099598</v>
      </c>
      <c r="G186" t="s">
        <v>259</v>
      </c>
      <c r="H186" t="s">
        <v>258</v>
      </c>
      <c r="I186">
        <v>2013</v>
      </c>
      <c r="J186" t="s">
        <v>20</v>
      </c>
      <c r="K186" s="2">
        <v>0</v>
      </c>
      <c r="L186" s="2"/>
      <c r="M186" s="20">
        <v>22.5</v>
      </c>
      <c r="N186" s="20">
        <v>23</v>
      </c>
      <c r="O186" s="8">
        <v>41.2</v>
      </c>
      <c r="P186" s="1"/>
      <c r="Q186" s="1">
        <v>45656</v>
      </c>
      <c r="R186" s="1"/>
      <c r="S186" s="3">
        <v>34.200000000000003</v>
      </c>
      <c r="T186" s="3">
        <v>1.27</v>
      </c>
      <c r="U186" s="3">
        <v>29.6</v>
      </c>
      <c r="V186" s="3"/>
      <c r="W186" s="3"/>
      <c r="X186" s="3"/>
      <c r="Y186" s="3"/>
      <c r="Z186" t="s">
        <v>399</v>
      </c>
      <c r="AA186" t="s">
        <v>396</v>
      </c>
    </row>
    <row r="187" spans="1:27" x14ac:dyDescent="0.25">
      <c r="A187" s="12">
        <v>133</v>
      </c>
      <c r="B187">
        <v>5</v>
      </c>
      <c r="C187">
        <f t="shared" si="3"/>
        <v>13305</v>
      </c>
      <c r="D187" t="s">
        <v>86</v>
      </c>
      <c r="E187">
        <v>29.422697368421002</v>
      </c>
      <c r="F187">
        <v>48.622923588039797</v>
      </c>
      <c r="G187" t="s">
        <v>259</v>
      </c>
      <c r="H187" t="s">
        <v>258</v>
      </c>
      <c r="I187">
        <v>2013</v>
      </c>
      <c r="J187" t="s">
        <v>20</v>
      </c>
      <c r="K187" s="2">
        <v>0</v>
      </c>
      <c r="L187" s="2"/>
      <c r="M187" s="20">
        <v>23.1</v>
      </c>
      <c r="N187" s="20">
        <v>21.6</v>
      </c>
      <c r="O187" s="8">
        <v>43.5</v>
      </c>
      <c r="P187" s="1"/>
      <c r="Q187" s="1">
        <v>394</v>
      </c>
      <c r="R187" s="1"/>
      <c r="S187" s="3">
        <v>31.8</v>
      </c>
      <c r="T187" s="3">
        <v>1.19</v>
      </c>
      <c r="U187" s="3">
        <v>27.6</v>
      </c>
      <c r="V187" s="3"/>
      <c r="W187" s="3"/>
      <c r="X187" s="3"/>
      <c r="Y187" s="3"/>
      <c r="Z187" t="s">
        <v>399</v>
      </c>
      <c r="AA187" t="s">
        <v>396</v>
      </c>
    </row>
    <row r="188" spans="1:27" x14ac:dyDescent="0.25">
      <c r="A188" s="12">
        <v>133</v>
      </c>
      <c r="B188">
        <v>6</v>
      </c>
      <c r="C188">
        <f t="shared" si="3"/>
        <v>13306</v>
      </c>
      <c r="D188" t="s">
        <v>86</v>
      </c>
      <c r="E188">
        <v>29.277138157894701</v>
      </c>
      <c r="F188">
        <v>48.612956810631204</v>
      </c>
      <c r="G188" t="s">
        <v>259</v>
      </c>
      <c r="H188" t="s">
        <v>258</v>
      </c>
      <c r="I188">
        <v>2013</v>
      </c>
      <c r="J188" t="s">
        <v>20</v>
      </c>
      <c r="K188" s="2">
        <v>0</v>
      </c>
      <c r="L188" s="2"/>
      <c r="M188" s="20">
        <v>21.2</v>
      </c>
      <c r="N188" s="20">
        <v>20.6</v>
      </c>
      <c r="O188" s="8">
        <v>32.700000000000003</v>
      </c>
      <c r="P188" s="1"/>
      <c r="Q188" s="1">
        <v>386</v>
      </c>
      <c r="R188" s="1"/>
      <c r="S188" s="3">
        <v>25.6</v>
      </c>
      <c r="T188" s="3">
        <v>0.99</v>
      </c>
      <c r="U188" s="3">
        <v>22.3</v>
      </c>
      <c r="V188" s="3"/>
      <c r="W188" s="3"/>
      <c r="X188" s="3"/>
      <c r="Y188" s="3"/>
      <c r="Z188" t="s">
        <v>399</v>
      </c>
      <c r="AA188" t="s">
        <v>396</v>
      </c>
    </row>
    <row r="189" spans="1:27" x14ac:dyDescent="0.25">
      <c r="A189" s="12">
        <v>134</v>
      </c>
      <c r="B189">
        <v>1</v>
      </c>
      <c r="C189">
        <f t="shared" si="3"/>
        <v>13401</v>
      </c>
      <c r="D189" s="3" t="s">
        <v>87</v>
      </c>
      <c r="E189" s="11">
        <f>26+47/60+21/3600</f>
        <v>26.789166666666667</v>
      </c>
      <c r="F189" s="11">
        <f>51+44/60+58/3600</f>
        <v>51.749444444444443</v>
      </c>
      <c r="G189" t="s">
        <v>259</v>
      </c>
      <c r="H189" s="12" t="s">
        <v>364</v>
      </c>
      <c r="I189">
        <v>2017</v>
      </c>
      <c r="J189" t="s">
        <v>400</v>
      </c>
      <c r="K189" s="2">
        <v>0</v>
      </c>
      <c r="L189" s="2"/>
      <c r="M189" s="20"/>
      <c r="N189" s="20"/>
      <c r="O189" s="8"/>
      <c r="P189" s="1"/>
      <c r="Q189" s="1"/>
      <c r="R189" s="1"/>
      <c r="S189" s="3"/>
      <c r="T189" s="3"/>
      <c r="U189" s="3"/>
      <c r="V189" s="3">
        <v>10.8</v>
      </c>
      <c r="W189" s="3"/>
      <c r="X189" s="3"/>
      <c r="Y189" s="3"/>
      <c r="Z189" t="s">
        <v>406</v>
      </c>
      <c r="AA189" t="s">
        <v>361</v>
      </c>
    </row>
    <row r="190" spans="1:27" x14ac:dyDescent="0.25">
      <c r="A190" s="12">
        <v>134</v>
      </c>
      <c r="B190">
        <v>1</v>
      </c>
      <c r="C190">
        <f t="shared" si="3"/>
        <v>13401</v>
      </c>
      <c r="D190" s="3" t="s">
        <v>87</v>
      </c>
      <c r="E190" s="11">
        <f t="shared" ref="E190:E194" si="6">26+47/60+21/3600</f>
        <v>26.789166666666667</v>
      </c>
      <c r="F190" s="11">
        <f t="shared" ref="F190:F194" si="7">51+44/60+58/3600</f>
        <v>51.749444444444443</v>
      </c>
      <c r="G190" t="s">
        <v>259</v>
      </c>
      <c r="H190" s="12" t="s">
        <v>364</v>
      </c>
      <c r="I190">
        <v>2017</v>
      </c>
      <c r="J190" t="s">
        <v>401</v>
      </c>
      <c r="K190" s="2">
        <v>0</v>
      </c>
      <c r="L190" s="2"/>
      <c r="M190" s="20"/>
      <c r="N190" s="20"/>
      <c r="O190" s="8"/>
      <c r="P190" s="1"/>
      <c r="Q190" s="1"/>
      <c r="R190" s="1"/>
      <c r="S190" s="3"/>
      <c r="T190" s="3"/>
      <c r="U190" s="3"/>
      <c r="V190" s="3">
        <v>7.0649999999999995</v>
      </c>
      <c r="W190" s="3"/>
      <c r="X190" s="3"/>
      <c r="Y190" s="3"/>
      <c r="Z190" t="s">
        <v>406</v>
      </c>
      <c r="AA190" t="s">
        <v>361</v>
      </c>
    </row>
    <row r="191" spans="1:27" x14ac:dyDescent="0.25">
      <c r="A191" s="12">
        <v>134</v>
      </c>
      <c r="B191">
        <v>1</v>
      </c>
      <c r="C191">
        <f t="shared" si="3"/>
        <v>13401</v>
      </c>
      <c r="D191" s="3" t="s">
        <v>87</v>
      </c>
      <c r="E191" s="11">
        <f t="shared" si="6"/>
        <v>26.789166666666667</v>
      </c>
      <c r="F191" s="11">
        <f t="shared" si="7"/>
        <v>51.749444444444443</v>
      </c>
      <c r="G191" t="s">
        <v>259</v>
      </c>
      <c r="H191" s="12" t="s">
        <v>364</v>
      </c>
      <c r="I191">
        <v>2017</v>
      </c>
      <c r="J191" t="s">
        <v>402</v>
      </c>
      <c r="K191" s="2">
        <v>0</v>
      </c>
      <c r="L191" s="2"/>
      <c r="M191" s="20"/>
      <c r="N191" s="20"/>
      <c r="O191" s="8"/>
      <c r="P191" s="1"/>
      <c r="Q191" s="1"/>
      <c r="R191" s="1"/>
      <c r="S191" s="3"/>
      <c r="T191" s="3"/>
      <c r="U191" s="3"/>
      <c r="V191" s="3">
        <v>9.5350000000000001</v>
      </c>
      <c r="W191" s="3"/>
      <c r="X191" s="3"/>
      <c r="Y191" s="3"/>
      <c r="Z191" t="s">
        <v>406</v>
      </c>
      <c r="AA191" t="s">
        <v>361</v>
      </c>
    </row>
    <row r="192" spans="1:27" x14ac:dyDescent="0.25">
      <c r="A192" s="12">
        <v>134</v>
      </c>
      <c r="B192">
        <v>1</v>
      </c>
      <c r="C192">
        <f t="shared" si="3"/>
        <v>13401</v>
      </c>
      <c r="D192" s="3" t="s">
        <v>87</v>
      </c>
      <c r="E192" s="11">
        <f t="shared" si="6"/>
        <v>26.789166666666667</v>
      </c>
      <c r="F192" s="11">
        <f t="shared" si="7"/>
        <v>51.749444444444443</v>
      </c>
      <c r="G192" t="s">
        <v>259</v>
      </c>
      <c r="H192" s="12" t="s">
        <v>364</v>
      </c>
      <c r="I192">
        <v>2017</v>
      </c>
      <c r="J192" t="s">
        <v>403</v>
      </c>
      <c r="K192" s="2">
        <v>0</v>
      </c>
      <c r="L192" s="2"/>
      <c r="M192" s="20"/>
      <c r="N192" s="20"/>
      <c r="O192" s="8"/>
      <c r="P192" s="1"/>
      <c r="Q192" s="1"/>
      <c r="R192" s="1"/>
      <c r="S192" s="3"/>
      <c r="T192" s="3"/>
      <c r="U192" s="3"/>
      <c r="V192" s="3">
        <v>8.6449999999999996</v>
      </c>
      <c r="W192" s="3"/>
      <c r="X192" s="3"/>
      <c r="Y192" s="3"/>
      <c r="Z192" t="s">
        <v>406</v>
      </c>
      <c r="AA192" t="s">
        <v>361</v>
      </c>
    </row>
    <row r="193" spans="1:27" x14ac:dyDescent="0.25">
      <c r="A193" s="12">
        <v>134</v>
      </c>
      <c r="B193">
        <v>1</v>
      </c>
      <c r="C193">
        <f t="shared" si="3"/>
        <v>13401</v>
      </c>
      <c r="D193" s="3" t="s">
        <v>87</v>
      </c>
      <c r="E193" s="11">
        <f t="shared" si="6"/>
        <v>26.789166666666667</v>
      </c>
      <c r="F193" s="11">
        <f t="shared" si="7"/>
        <v>51.749444444444443</v>
      </c>
      <c r="G193" t="s">
        <v>259</v>
      </c>
      <c r="H193" s="12" t="s">
        <v>364</v>
      </c>
      <c r="I193">
        <v>2017</v>
      </c>
      <c r="J193" t="s">
        <v>404</v>
      </c>
      <c r="K193" s="2">
        <v>0</v>
      </c>
      <c r="L193" s="2"/>
      <c r="M193" s="20"/>
      <c r="N193" s="20"/>
      <c r="O193" s="8"/>
      <c r="P193" s="1"/>
      <c r="Q193" s="1"/>
      <c r="R193" s="1"/>
      <c r="S193" s="3"/>
      <c r="T193" s="3"/>
      <c r="U193" s="3"/>
      <c r="V193" s="3">
        <v>15.3</v>
      </c>
      <c r="W193" s="3"/>
      <c r="X193" s="3"/>
      <c r="Y193" s="3"/>
      <c r="Z193" t="s">
        <v>406</v>
      </c>
      <c r="AA193" t="s">
        <v>361</v>
      </c>
    </row>
    <row r="194" spans="1:27" x14ac:dyDescent="0.25">
      <c r="A194" s="12">
        <v>134</v>
      </c>
      <c r="B194">
        <v>1</v>
      </c>
      <c r="C194">
        <f t="shared" si="3"/>
        <v>13401</v>
      </c>
      <c r="D194" s="3" t="s">
        <v>87</v>
      </c>
      <c r="E194" s="11">
        <f t="shared" si="6"/>
        <v>26.789166666666667</v>
      </c>
      <c r="F194" s="11">
        <f t="shared" si="7"/>
        <v>51.749444444444443</v>
      </c>
      <c r="G194" t="s">
        <v>259</v>
      </c>
      <c r="H194" s="12" t="s">
        <v>364</v>
      </c>
      <c r="I194">
        <v>2017</v>
      </c>
      <c r="J194" t="s">
        <v>405</v>
      </c>
      <c r="K194" s="2">
        <v>0</v>
      </c>
      <c r="L194" s="2"/>
      <c r="M194" s="20"/>
      <c r="N194" s="20"/>
      <c r="O194" s="8"/>
      <c r="P194" s="1"/>
      <c r="Q194" s="1"/>
      <c r="R194" s="1"/>
      <c r="S194" s="3"/>
      <c r="T194" s="3"/>
      <c r="U194" s="3"/>
      <c r="V194" s="3">
        <v>14.5</v>
      </c>
      <c r="W194" s="3"/>
      <c r="X194" s="3"/>
      <c r="Y194" s="3"/>
      <c r="Z194" t="s">
        <v>406</v>
      </c>
      <c r="AA194" t="s">
        <v>361</v>
      </c>
    </row>
    <row r="195" spans="1:27" x14ac:dyDescent="0.25">
      <c r="A195" s="12">
        <v>135</v>
      </c>
      <c r="B195">
        <v>1</v>
      </c>
      <c r="C195">
        <f t="shared" si="3"/>
        <v>13501</v>
      </c>
      <c r="D195" s="3" t="s">
        <v>87</v>
      </c>
      <c r="E195" s="11">
        <f>26+47/60+21/3600</f>
        <v>26.789166666666667</v>
      </c>
      <c r="F195" s="11">
        <f>51+44/60+58/3600</f>
        <v>51.749444444444443</v>
      </c>
      <c r="G195" t="s">
        <v>259</v>
      </c>
      <c r="H195" s="12" t="s">
        <v>364</v>
      </c>
      <c r="I195">
        <v>2017</v>
      </c>
      <c r="J195" t="s">
        <v>407</v>
      </c>
      <c r="K195" s="2">
        <v>0</v>
      </c>
      <c r="L195" s="2"/>
      <c r="M195" s="20"/>
      <c r="N195" s="20"/>
      <c r="O195" s="8"/>
      <c r="P195" s="1"/>
      <c r="Q195" s="1"/>
      <c r="R195" s="1"/>
      <c r="S195" s="3"/>
      <c r="T195" s="3"/>
      <c r="U195" s="3"/>
      <c r="V195" s="3">
        <v>34.980000000000004</v>
      </c>
      <c r="W195" s="3"/>
      <c r="X195" s="3"/>
      <c r="Y195" s="3"/>
      <c r="Z195" t="s">
        <v>413</v>
      </c>
      <c r="AA195" t="s">
        <v>361</v>
      </c>
    </row>
    <row r="196" spans="1:27" x14ac:dyDescent="0.25">
      <c r="A196" s="12">
        <v>135</v>
      </c>
      <c r="B196">
        <v>1</v>
      </c>
      <c r="C196">
        <f t="shared" si="3"/>
        <v>13501</v>
      </c>
      <c r="D196" s="3" t="s">
        <v>87</v>
      </c>
      <c r="E196" s="11">
        <f t="shared" ref="E196:E200" si="8">26+47/60+21/3600</f>
        <v>26.789166666666667</v>
      </c>
      <c r="F196" s="11">
        <f t="shared" ref="F196:F200" si="9">51+44/60+58/3600</f>
        <v>51.749444444444443</v>
      </c>
      <c r="G196" t="s">
        <v>259</v>
      </c>
      <c r="H196" s="12" t="s">
        <v>364</v>
      </c>
      <c r="I196">
        <v>2017</v>
      </c>
      <c r="J196" t="s">
        <v>408</v>
      </c>
      <c r="K196" s="2">
        <v>0</v>
      </c>
      <c r="L196" s="2"/>
      <c r="M196" s="20"/>
      <c r="N196" s="20"/>
      <c r="O196" s="8"/>
      <c r="P196" s="1"/>
      <c r="Q196" s="1"/>
      <c r="R196" s="1"/>
      <c r="S196" s="3"/>
      <c r="T196" s="3"/>
      <c r="U196" s="3"/>
      <c r="V196" s="3">
        <v>38.18</v>
      </c>
      <c r="W196" s="3"/>
      <c r="X196" s="3"/>
      <c r="Y196" s="3"/>
      <c r="Z196" t="s">
        <v>413</v>
      </c>
      <c r="AA196" t="s">
        <v>361</v>
      </c>
    </row>
    <row r="197" spans="1:27" x14ac:dyDescent="0.25">
      <c r="A197" s="12">
        <v>135</v>
      </c>
      <c r="B197">
        <v>1</v>
      </c>
      <c r="C197">
        <f t="shared" si="3"/>
        <v>13501</v>
      </c>
      <c r="D197" s="3" t="s">
        <v>87</v>
      </c>
      <c r="E197" s="11">
        <f t="shared" si="8"/>
        <v>26.789166666666667</v>
      </c>
      <c r="F197" s="11">
        <f t="shared" si="9"/>
        <v>51.749444444444443</v>
      </c>
      <c r="G197" t="s">
        <v>259</v>
      </c>
      <c r="H197" s="12" t="s">
        <v>364</v>
      </c>
      <c r="I197">
        <v>2017</v>
      </c>
      <c r="J197" t="s">
        <v>409</v>
      </c>
      <c r="K197" s="2">
        <v>0</v>
      </c>
      <c r="L197" s="2"/>
      <c r="M197" s="20"/>
      <c r="N197" s="20"/>
      <c r="O197" s="8"/>
      <c r="P197" s="1"/>
      <c r="Q197" s="1"/>
      <c r="R197" s="1"/>
      <c r="S197" s="3"/>
      <c r="T197" s="3"/>
      <c r="U197" s="3"/>
      <c r="V197" s="3">
        <v>39.484999999999999</v>
      </c>
      <c r="W197" s="3"/>
      <c r="X197" s="3"/>
      <c r="Y197" s="3"/>
      <c r="Z197" t="s">
        <v>413</v>
      </c>
      <c r="AA197" t="s">
        <v>361</v>
      </c>
    </row>
    <row r="198" spans="1:27" x14ac:dyDescent="0.25">
      <c r="A198" s="12">
        <v>135</v>
      </c>
      <c r="B198">
        <v>1</v>
      </c>
      <c r="C198">
        <f t="shared" si="3"/>
        <v>13501</v>
      </c>
      <c r="D198" s="3" t="s">
        <v>87</v>
      </c>
      <c r="E198" s="11">
        <f t="shared" si="8"/>
        <v>26.789166666666667</v>
      </c>
      <c r="F198" s="11">
        <f t="shared" si="9"/>
        <v>51.749444444444443</v>
      </c>
      <c r="G198" t="s">
        <v>259</v>
      </c>
      <c r="H198" s="12" t="s">
        <v>364</v>
      </c>
      <c r="I198">
        <v>2017</v>
      </c>
      <c r="J198" t="s">
        <v>410</v>
      </c>
      <c r="K198" s="2">
        <v>0</v>
      </c>
      <c r="L198" s="2"/>
      <c r="M198" s="20"/>
      <c r="N198" s="20"/>
      <c r="O198" s="8"/>
      <c r="P198" s="1"/>
      <c r="Q198" s="1"/>
      <c r="R198" s="1"/>
      <c r="S198" s="3"/>
      <c r="T198" s="3"/>
      <c r="U198" s="3"/>
      <c r="V198" s="3">
        <v>53.069999999999993</v>
      </c>
      <c r="W198" s="3"/>
      <c r="X198" s="3"/>
      <c r="Y198" s="3"/>
      <c r="Z198" t="s">
        <v>413</v>
      </c>
      <c r="AA198" t="s">
        <v>361</v>
      </c>
    </row>
    <row r="199" spans="1:27" x14ac:dyDescent="0.25">
      <c r="A199" s="12">
        <v>135</v>
      </c>
      <c r="B199">
        <v>1</v>
      </c>
      <c r="C199">
        <f t="shared" si="3"/>
        <v>13501</v>
      </c>
      <c r="D199" s="3" t="s">
        <v>87</v>
      </c>
      <c r="E199" s="11">
        <f t="shared" si="8"/>
        <v>26.789166666666667</v>
      </c>
      <c r="F199" s="11">
        <f t="shared" si="9"/>
        <v>51.749444444444443</v>
      </c>
      <c r="G199" t="s">
        <v>259</v>
      </c>
      <c r="H199" s="12" t="s">
        <v>364</v>
      </c>
      <c r="I199">
        <v>2017</v>
      </c>
      <c r="J199" t="s">
        <v>411</v>
      </c>
      <c r="K199" s="2">
        <v>0</v>
      </c>
      <c r="L199" s="2"/>
      <c r="M199" s="20"/>
      <c r="N199" s="20"/>
      <c r="O199" s="8"/>
      <c r="P199" s="1"/>
      <c r="Q199" s="1"/>
      <c r="R199" s="1"/>
      <c r="S199" s="3"/>
      <c r="T199" s="3"/>
      <c r="U199" s="3"/>
      <c r="V199" s="3">
        <v>125.3</v>
      </c>
      <c r="W199" s="3"/>
      <c r="X199" s="3"/>
      <c r="Y199" s="3"/>
      <c r="Z199" t="s">
        <v>413</v>
      </c>
      <c r="AA199" t="s">
        <v>361</v>
      </c>
    </row>
    <row r="200" spans="1:27" x14ac:dyDescent="0.25">
      <c r="A200" s="12">
        <v>135</v>
      </c>
      <c r="B200">
        <v>1</v>
      </c>
      <c r="C200">
        <f t="shared" si="3"/>
        <v>13501</v>
      </c>
      <c r="D200" s="3" t="s">
        <v>87</v>
      </c>
      <c r="E200" s="11">
        <f t="shared" si="8"/>
        <v>26.789166666666667</v>
      </c>
      <c r="F200" s="11">
        <f t="shared" si="9"/>
        <v>51.749444444444443</v>
      </c>
      <c r="G200" t="s">
        <v>259</v>
      </c>
      <c r="H200" s="12" t="s">
        <v>364</v>
      </c>
      <c r="I200">
        <v>2017</v>
      </c>
      <c r="J200" t="s">
        <v>412</v>
      </c>
      <c r="K200" s="2">
        <v>0</v>
      </c>
      <c r="L200" s="2"/>
      <c r="M200" s="20"/>
      <c r="N200" s="20"/>
      <c r="O200" s="8"/>
      <c r="P200" s="1"/>
      <c r="Q200" s="1"/>
      <c r="R200" s="1"/>
      <c r="S200" s="3"/>
      <c r="T200" s="3"/>
      <c r="U200" s="3"/>
      <c r="V200" s="3">
        <v>155.05000000000001</v>
      </c>
      <c r="W200" s="3"/>
      <c r="X200" s="3"/>
      <c r="Y200" s="3"/>
      <c r="Z200" t="s">
        <v>413</v>
      </c>
      <c r="AA200" t="s">
        <v>361</v>
      </c>
    </row>
    <row r="201" spans="1:27" x14ac:dyDescent="0.25">
      <c r="A201" s="12">
        <v>136</v>
      </c>
      <c r="B201">
        <v>1</v>
      </c>
      <c r="C201">
        <f t="shared" si="3"/>
        <v>13601</v>
      </c>
      <c r="D201" s="3" t="s">
        <v>86</v>
      </c>
      <c r="E201">
        <v>29.400493421052602</v>
      </c>
      <c r="F201">
        <v>47.865448504983299</v>
      </c>
      <c r="G201" t="s">
        <v>259</v>
      </c>
      <c r="H201" t="s">
        <v>258</v>
      </c>
      <c r="I201" t="s">
        <v>273</v>
      </c>
      <c r="J201" t="s">
        <v>268</v>
      </c>
      <c r="K201" s="2">
        <v>0</v>
      </c>
      <c r="L201" s="2"/>
      <c r="M201" s="20"/>
      <c r="N201" s="20"/>
      <c r="O201" s="34">
        <f>0.00052</f>
        <v>5.1999999999999995E-4</v>
      </c>
      <c r="P201" s="1"/>
      <c r="Q201" s="1"/>
      <c r="R201" s="1"/>
      <c r="S201" s="3"/>
      <c r="T201" s="3"/>
      <c r="U201" s="3"/>
      <c r="V201" s="3">
        <f>0.28/1000</f>
        <v>2.8000000000000003E-4</v>
      </c>
      <c r="W201" s="3"/>
      <c r="X201" s="3"/>
      <c r="Y201" s="3"/>
      <c r="Z201" t="s">
        <v>414</v>
      </c>
      <c r="AA201" t="s">
        <v>396</v>
      </c>
    </row>
    <row r="202" spans="1:27" x14ac:dyDescent="0.25">
      <c r="A202" s="12">
        <v>136</v>
      </c>
      <c r="B202">
        <v>2</v>
      </c>
      <c r="C202">
        <f t="shared" si="3"/>
        <v>13602</v>
      </c>
      <c r="D202" s="3" t="s">
        <v>86</v>
      </c>
      <c r="E202">
        <v>29.003289473684202</v>
      </c>
      <c r="F202">
        <v>48.204318936877002</v>
      </c>
      <c r="G202" t="s">
        <v>259</v>
      </c>
      <c r="H202" t="s">
        <v>258</v>
      </c>
      <c r="I202" t="s">
        <v>273</v>
      </c>
      <c r="J202" t="s">
        <v>268</v>
      </c>
      <c r="K202" s="2">
        <v>0</v>
      </c>
      <c r="L202" s="2"/>
      <c r="M202" s="20"/>
      <c r="N202" s="20"/>
      <c r="O202" s="34">
        <f>0.00052</f>
        <v>5.1999999999999995E-4</v>
      </c>
      <c r="P202" s="1"/>
      <c r="Q202" s="1"/>
      <c r="R202" s="1"/>
      <c r="S202" s="3"/>
      <c r="T202" s="3"/>
      <c r="U202" s="3"/>
      <c r="V202" s="3">
        <f>0.00029</f>
        <v>2.9E-4</v>
      </c>
      <c r="W202" s="3"/>
      <c r="X202" s="3"/>
      <c r="Y202" s="3"/>
      <c r="Z202" t="s">
        <v>414</v>
      </c>
      <c r="AA202" t="s">
        <v>396</v>
      </c>
    </row>
    <row r="203" spans="1:27" x14ac:dyDescent="0.25">
      <c r="A203" s="12">
        <v>136</v>
      </c>
      <c r="B203">
        <v>3</v>
      </c>
      <c r="C203">
        <f t="shared" si="3"/>
        <v>13603</v>
      </c>
      <c r="D203" s="3" t="s">
        <v>86</v>
      </c>
      <c r="E203">
        <v>28.551809210526301</v>
      </c>
      <c r="F203">
        <v>48.468438538205902</v>
      </c>
      <c r="G203" t="s">
        <v>259</v>
      </c>
      <c r="H203" t="s">
        <v>258</v>
      </c>
      <c r="I203" t="s">
        <v>273</v>
      </c>
      <c r="J203" t="s">
        <v>268</v>
      </c>
      <c r="K203" s="2">
        <v>0</v>
      </c>
      <c r="L203" s="2"/>
      <c r="M203" s="20"/>
      <c r="N203" s="20"/>
      <c r="O203" s="34">
        <f>0.00053</f>
        <v>5.2999999999999998E-4</v>
      </c>
      <c r="P203" s="1"/>
      <c r="Q203" s="1"/>
      <c r="R203" s="1"/>
      <c r="S203" s="3"/>
      <c r="T203" s="3"/>
      <c r="U203" s="3"/>
      <c r="V203" s="3">
        <f>0.00028</f>
        <v>2.7999999999999998E-4</v>
      </c>
      <c r="W203" s="3"/>
      <c r="X203" s="3"/>
      <c r="Y203" s="3"/>
      <c r="Z203" t="s">
        <v>414</v>
      </c>
      <c r="AA203" t="s">
        <v>396</v>
      </c>
    </row>
    <row r="204" spans="1:27" x14ac:dyDescent="0.25">
      <c r="A204" s="12">
        <v>136</v>
      </c>
      <c r="B204">
        <v>4</v>
      </c>
      <c r="C204">
        <f t="shared" si="3"/>
        <v>13604</v>
      </c>
      <c r="D204" s="3" t="s">
        <v>87</v>
      </c>
      <c r="E204" s="11">
        <f>AVERAGE(E201:E203)</f>
        <v>28.985197368421037</v>
      </c>
      <c r="F204" s="11">
        <f>AVERAGE(F201:F203)</f>
        <v>48.179401993355405</v>
      </c>
      <c r="G204" t="s">
        <v>259</v>
      </c>
      <c r="H204" t="s">
        <v>258</v>
      </c>
      <c r="I204" t="s">
        <v>273</v>
      </c>
      <c r="J204" t="s">
        <v>416</v>
      </c>
      <c r="K204" s="2">
        <v>0</v>
      </c>
      <c r="L204" s="2"/>
      <c r="M204" s="20"/>
      <c r="N204" s="20"/>
      <c r="O204" s="39">
        <v>1.0569999999999999</v>
      </c>
      <c r="P204" s="1"/>
      <c r="Q204" s="1"/>
      <c r="R204" s="1"/>
      <c r="S204" s="3"/>
      <c r="T204" s="3"/>
      <c r="U204" s="3"/>
      <c r="V204" s="3">
        <v>2.9470000000000001</v>
      </c>
      <c r="W204" s="3"/>
      <c r="X204" s="3"/>
      <c r="Y204" s="3"/>
      <c r="Z204" t="s">
        <v>414</v>
      </c>
      <c r="AA204" t="s">
        <v>415</v>
      </c>
    </row>
    <row r="205" spans="1:27" x14ac:dyDescent="0.25">
      <c r="A205" s="12">
        <v>136</v>
      </c>
      <c r="B205">
        <v>4</v>
      </c>
      <c r="C205">
        <f t="shared" si="3"/>
        <v>13604</v>
      </c>
      <c r="D205" s="3" t="s">
        <v>87</v>
      </c>
      <c r="E205" s="11">
        <f t="shared" ref="E205:F210" si="10">AVERAGE(E202:E204)</f>
        <v>28.846765350877181</v>
      </c>
      <c r="F205" s="11">
        <f t="shared" si="10"/>
        <v>48.284053156146108</v>
      </c>
      <c r="G205" t="s">
        <v>259</v>
      </c>
      <c r="H205" t="s">
        <v>258</v>
      </c>
      <c r="I205" t="s">
        <v>273</v>
      </c>
      <c r="J205" t="s">
        <v>417</v>
      </c>
      <c r="K205" s="2">
        <v>0</v>
      </c>
      <c r="L205" s="2"/>
      <c r="M205" s="20"/>
      <c r="N205" s="20"/>
      <c r="O205" s="39">
        <v>0.89200000000000002</v>
      </c>
      <c r="P205" s="1"/>
      <c r="Q205" s="1"/>
      <c r="R205" s="1"/>
      <c r="S205" s="3"/>
      <c r="T205" s="3"/>
      <c r="U205" s="3"/>
      <c r="V205" s="3">
        <v>2.3719999999999999</v>
      </c>
      <c r="W205" s="3"/>
      <c r="X205" s="3"/>
      <c r="Y205" s="3"/>
      <c r="Z205" t="s">
        <v>414</v>
      </c>
      <c r="AA205" t="s">
        <v>415</v>
      </c>
    </row>
    <row r="206" spans="1:27" x14ac:dyDescent="0.25">
      <c r="A206" s="12">
        <v>136</v>
      </c>
      <c r="B206">
        <v>4</v>
      </c>
      <c r="C206">
        <f t="shared" si="3"/>
        <v>13604</v>
      </c>
      <c r="D206" s="3" t="s">
        <v>87</v>
      </c>
      <c r="E206" s="11">
        <f t="shared" si="10"/>
        <v>28.794590643274841</v>
      </c>
      <c r="F206" s="11">
        <f t="shared" si="10"/>
        <v>48.31063122923581</v>
      </c>
      <c r="G206" t="s">
        <v>259</v>
      </c>
      <c r="H206" t="s">
        <v>258</v>
      </c>
      <c r="I206" t="s">
        <v>273</v>
      </c>
      <c r="J206" t="s">
        <v>418</v>
      </c>
      <c r="K206" s="2">
        <v>0</v>
      </c>
      <c r="L206" s="2"/>
      <c r="M206" s="20"/>
      <c r="N206" s="20"/>
      <c r="O206" s="39">
        <v>0.24399999999999999</v>
      </c>
      <c r="P206" s="1"/>
      <c r="Q206" s="1"/>
      <c r="R206" s="1"/>
      <c r="S206" s="3"/>
      <c r="T206" s="3"/>
      <c r="U206" s="3"/>
      <c r="V206" s="3">
        <v>1.7829999999999999</v>
      </c>
      <c r="W206" s="3"/>
      <c r="X206" s="3"/>
      <c r="Y206" s="3"/>
      <c r="Z206" t="s">
        <v>414</v>
      </c>
      <c r="AA206" t="s">
        <v>415</v>
      </c>
    </row>
    <row r="207" spans="1:27" x14ac:dyDescent="0.25">
      <c r="A207" s="12">
        <v>136</v>
      </c>
      <c r="B207">
        <v>4</v>
      </c>
      <c r="C207">
        <f t="shared" si="3"/>
        <v>13604</v>
      </c>
      <c r="D207" s="3" t="s">
        <v>87</v>
      </c>
      <c r="E207" s="11">
        <f t="shared" si="10"/>
        <v>28.875517787524355</v>
      </c>
      <c r="F207" s="11">
        <f t="shared" si="10"/>
        <v>48.258028792912434</v>
      </c>
      <c r="G207" t="s">
        <v>259</v>
      </c>
      <c r="H207" t="s">
        <v>258</v>
      </c>
      <c r="I207" t="s">
        <v>273</v>
      </c>
      <c r="J207" t="s">
        <v>419</v>
      </c>
      <c r="K207" s="2">
        <v>0</v>
      </c>
      <c r="L207" s="2"/>
      <c r="M207" s="20"/>
      <c r="N207" s="20"/>
      <c r="O207" s="39">
        <v>0.23799999999999999</v>
      </c>
      <c r="P207" s="1"/>
      <c r="Q207" s="1"/>
      <c r="R207" s="1"/>
      <c r="S207" s="3"/>
      <c r="T207" s="3"/>
      <c r="U207" s="3"/>
      <c r="V207" s="3">
        <v>2.6059999999999999</v>
      </c>
      <c r="W207" s="3"/>
      <c r="X207" s="3"/>
      <c r="Y207" s="3"/>
      <c r="Z207" t="s">
        <v>414</v>
      </c>
      <c r="AA207" t="s">
        <v>415</v>
      </c>
    </row>
    <row r="208" spans="1:27" x14ac:dyDescent="0.25">
      <c r="A208" s="12">
        <v>136</v>
      </c>
      <c r="B208">
        <v>4</v>
      </c>
      <c r="C208">
        <f t="shared" si="3"/>
        <v>13604</v>
      </c>
      <c r="D208" s="3" t="s">
        <v>87</v>
      </c>
      <c r="E208" s="11">
        <f t="shared" si="10"/>
        <v>28.838957927225461</v>
      </c>
      <c r="F208" s="11">
        <f t="shared" si="10"/>
        <v>48.284237726098119</v>
      </c>
      <c r="G208" t="s">
        <v>259</v>
      </c>
      <c r="H208" t="s">
        <v>258</v>
      </c>
      <c r="I208" t="s">
        <v>273</v>
      </c>
      <c r="J208" t="s">
        <v>420</v>
      </c>
      <c r="K208" s="2">
        <v>0</v>
      </c>
      <c r="L208" s="2"/>
      <c r="M208" s="20"/>
      <c r="N208" s="20"/>
      <c r="O208" s="39">
        <v>0.39300000000000002</v>
      </c>
      <c r="P208" s="1"/>
      <c r="Q208" s="1"/>
      <c r="R208" s="1"/>
      <c r="S208" s="3"/>
      <c r="T208" s="3"/>
      <c r="U208" s="3"/>
      <c r="V208" s="3">
        <v>2.0830000000000002</v>
      </c>
      <c r="W208" s="3"/>
      <c r="X208" s="3"/>
      <c r="Y208" s="3"/>
      <c r="Z208" t="s">
        <v>414</v>
      </c>
      <c r="AA208" t="s">
        <v>415</v>
      </c>
    </row>
    <row r="209" spans="1:27" x14ac:dyDescent="0.25">
      <c r="A209" s="12">
        <v>136</v>
      </c>
      <c r="B209">
        <v>4</v>
      </c>
      <c r="C209">
        <f t="shared" si="3"/>
        <v>13604</v>
      </c>
      <c r="D209" s="3" t="s">
        <v>87</v>
      </c>
      <c r="E209" s="11">
        <f t="shared" si="10"/>
        <v>28.836355452674884</v>
      </c>
      <c r="F209" s="11">
        <f t="shared" si="10"/>
        <v>48.284299249415454</v>
      </c>
      <c r="G209" t="s">
        <v>259</v>
      </c>
      <c r="H209" t="s">
        <v>258</v>
      </c>
      <c r="I209" t="s">
        <v>273</v>
      </c>
      <c r="J209" t="s">
        <v>421</v>
      </c>
      <c r="K209" s="2">
        <v>0</v>
      </c>
      <c r="L209" s="2"/>
      <c r="M209" s="20"/>
      <c r="N209" s="20"/>
      <c r="O209" s="39">
        <v>0.17</v>
      </c>
      <c r="P209" s="1"/>
      <c r="Q209" s="1"/>
      <c r="R209" s="1"/>
      <c r="S209" s="3"/>
      <c r="T209" s="3"/>
      <c r="U209" s="3"/>
      <c r="V209" s="3">
        <v>1.5329999999999999</v>
      </c>
      <c r="W209" s="3"/>
      <c r="X209" s="3"/>
      <c r="Y209" s="3"/>
      <c r="Z209" t="s">
        <v>414</v>
      </c>
      <c r="AA209" t="s">
        <v>415</v>
      </c>
    </row>
    <row r="210" spans="1:27" x14ac:dyDescent="0.25">
      <c r="A210" s="12">
        <v>136</v>
      </c>
      <c r="B210">
        <v>4</v>
      </c>
      <c r="C210">
        <f t="shared" si="3"/>
        <v>13604</v>
      </c>
      <c r="D210" s="3" t="s">
        <v>87</v>
      </c>
      <c r="E210" s="11">
        <f t="shared" si="10"/>
        <v>28.850277055808235</v>
      </c>
      <c r="F210" s="11">
        <f t="shared" si="10"/>
        <v>48.275521922808672</v>
      </c>
      <c r="G210" t="s">
        <v>259</v>
      </c>
      <c r="H210" t="s">
        <v>258</v>
      </c>
      <c r="I210" t="s">
        <v>273</v>
      </c>
      <c r="J210" t="s">
        <v>422</v>
      </c>
      <c r="K210" s="2">
        <v>0</v>
      </c>
      <c r="L210" s="2"/>
      <c r="M210" s="20"/>
      <c r="N210" s="20"/>
      <c r="O210" s="39">
        <v>0.22600000000000001</v>
      </c>
      <c r="P210" s="1"/>
      <c r="Q210" s="1"/>
      <c r="R210" s="1"/>
      <c r="S210" s="3"/>
      <c r="T210" s="3"/>
      <c r="U210" s="3"/>
      <c r="V210" s="3">
        <v>1.6539999999999999</v>
      </c>
      <c r="W210" s="3"/>
      <c r="X210" s="3"/>
      <c r="Y210" s="3"/>
      <c r="Z210" t="s">
        <v>414</v>
      </c>
      <c r="AA210" t="s">
        <v>415</v>
      </c>
    </row>
    <row r="1267" spans="12:12" x14ac:dyDescent="0.25">
      <c r="L1267" t="s">
        <v>312</v>
      </c>
    </row>
  </sheetData>
  <autoFilter ref="Z1:Z1267" xr:uid="{508569D6-1AD9-4DA1-959C-35C4C993628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CBA0-C985-48B8-9640-E593C748C907}">
  <dimension ref="A1:B29"/>
  <sheetViews>
    <sheetView workbookViewId="0">
      <selection activeCell="E36" sqref="E36"/>
    </sheetView>
  </sheetViews>
  <sheetFormatPr defaultColWidth="8.875" defaultRowHeight="15.75" x14ac:dyDescent="0.25"/>
  <sheetData>
    <row r="1" spans="1:2" x14ac:dyDescent="0.25">
      <c r="A1" t="s">
        <v>21</v>
      </c>
      <c r="B1" t="s">
        <v>85</v>
      </c>
    </row>
    <row r="2" spans="1:2" x14ac:dyDescent="0.25">
      <c r="A2" t="s">
        <v>433</v>
      </c>
    </row>
    <row r="4" spans="1:2" x14ac:dyDescent="0.25">
      <c r="A4" t="s">
        <v>111</v>
      </c>
    </row>
    <row r="6" spans="1:2" x14ac:dyDescent="0.25">
      <c r="A6" t="s">
        <v>94</v>
      </c>
    </row>
    <row r="8" spans="1:2" x14ac:dyDescent="0.25">
      <c r="A8" t="s">
        <v>434</v>
      </c>
      <c r="B8" s="13"/>
    </row>
    <row r="10" spans="1:2" x14ac:dyDescent="0.25">
      <c r="A10" t="s">
        <v>93</v>
      </c>
    </row>
    <row r="11" spans="1:2" x14ac:dyDescent="0.25">
      <c r="A11" t="s">
        <v>107</v>
      </c>
    </row>
    <row r="13" spans="1:2" x14ac:dyDescent="0.25">
      <c r="A13" t="s">
        <v>100</v>
      </c>
      <c r="B13" t="s">
        <v>101</v>
      </c>
    </row>
    <row r="14" spans="1:2" x14ac:dyDescent="0.25">
      <c r="A14" t="s">
        <v>102</v>
      </c>
      <c r="B14" t="s">
        <v>103</v>
      </c>
    </row>
    <row r="15" spans="1:2" x14ac:dyDescent="0.25">
      <c r="A15" t="s">
        <v>248</v>
      </c>
    </row>
    <row r="16" spans="1:2" x14ac:dyDescent="0.25">
      <c r="A16" t="s">
        <v>104</v>
      </c>
      <c r="B16">
        <f>30+20/60+10/3600</f>
        <v>30.336111111111109</v>
      </c>
    </row>
    <row r="18" spans="1:1" x14ac:dyDescent="0.25">
      <c r="A18" t="s">
        <v>249</v>
      </c>
    </row>
    <row r="20" spans="1:1" x14ac:dyDescent="0.25">
      <c r="A20" t="s">
        <v>105</v>
      </c>
    </row>
    <row r="21" spans="1:1" x14ac:dyDescent="0.25">
      <c r="A21" t="s">
        <v>106</v>
      </c>
    </row>
    <row r="23" spans="1:1" x14ac:dyDescent="0.25">
      <c r="A23" t="s">
        <v>157</v>
      </c>
    </row>
    <row r="24" spans="1:1" x14ac:dyDescent="0.25">
      <c r="A24" t="s">
        <v>158</v>
      </c>
    </row>
    <row r="26" spans="1:1" x14ac:dyDescent="0.25">
      <c r="A26" s="35" t="s">
        <v>373</v>
      </c>
    </row>
    <row r="27" spans="1:1" x14ac:dyDescent="0.25">
      <c r="A27" s="37" t="s">
        <v>375</v>
      </c>
    </row>
    <row r="28" spans="1:1" x14ac:dyDescent="0.25">
      <c r="A28" s="36" t="s">
        <v>374</v>
      </c>
    </row>
    <row r="29" spans="1:1" x14ac:dyDescent="0.25">
      <c r="A29" t="s">
        <v>425</v>
      </c>
    </row>
  </sheetData>
  <hyperlinks>
    <hyperlink ref="A28" r:id="rId1" xr:uid="{3BD14169-CFE7-427D-A893-A318E48961F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AllData</vt:lpstr>
      <vt:lpstr>AtlanticArctic</vt:lpstr>
      <vt:lpstr>PacificIndian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Songjie He</cp:lastModifiedBy>
  <dcterms:created xsi:type="dcterms:W3CDTF">2022-05-04T18:04:02Z</dcterms:created>
  <dcterms:modified xsi:type="dcterms:W3CDTF">2023-07-06T17:59:52Z</dcterms:modified>
</cp:coreProperties>
</file>