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am.daigneault\OneDrive - University of Maine System\UMaine OneDrive Projects\AFRI Ag Adaptation Grant\Economics\"/>
    </mc:Choice>
  </mc:AlternateContent>
  <bookViews>
    <workbookView xWindow="-120" yWindow="-120" windowWidth="29040" windowHeight="15840" activeTab="3"/>
  </bookViews>
  <sheets>
    <sheet name="Silvopasture-CropTrees" sheetId="2" r:id="rId1"/>
    <sheet name="Irrigation_Spray" sheetId="3" r:id="rId2"/>
    <sheet name="Irrigation_Drip" sheetId="5" r:id="rId3"/>
    <sheet name="Tarp&amp;CoverCrop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4" l="1"/>
  <c r="B15" i="2" l="1"/>
  <c r="B9" i="2"/>
  <c r="B9" i="4"/>
  <c r="D49" i="4"/>
  <c r="C49" i="4"/>
  <c r="B10" i="5" l="1"/>
  <c r="B11" i="5" s="1"/>
  <c r="B45" i="5"/>
  <c r="E45" i="5" s="1"/>
  <c r="B44" i="5"/>
  <c r="E44" i="5" s="1"/>
  <c r="B43" i="5"/>
  <c r="E43" i="5" s="1"/>
  <c r="B42" i="5"/>
  <c r="E42" i="5" s="1"/>
  <c r="B41" i="5"/>
  <c r="E41" i="5" s="1"/>
  <c r="B40" i="5"/>
  <c r="E40" i="5" s="1"/>
  <c r="B39" i="5"/>
  <c r="E39" i="5" s="1"/>
  <c r="B38" i="5"/>
  <c r="E38" i="5" s="1"/>
  <c r="B37" i="5"/>
  <c r="E37" i="5" s="1"/>
  <c r="B36" i="5"/>
  <c r="E36" i="5" s="1"/>
  <c r="B35" i="5"/>
  <c r="E35" i="5" s="1"/>
  <c r="B34" i="5"/>
  <c r="E34" i="5" s="1"/>
  <c r="B33" i="5"/>
  <c r="E33" i="5" s="1"/>
  <c r="B32" i="5"/>
  <c r="E32" i="5" s="1"/>
  <c r="B31" i="5"/>
  <c r="E31" i="5" s="1"/>
  <c r="B30" i="5"/>
  <c r="E30" i="5" s="1"/>
  <c r="B29" i="5"/>
  <c r="E29" i="5" s="1"/>
  <c r="B28" i="5"/>
  <c r="E28" i="5" s="1"/>
  <c r="B27" i="5"/>
  <c r="E27" i="5" s="1"/>
  <c r="B26" i="5"/>
  <c r="B19" i="5"/>
  <c r="C27" i="5" s="1"/>
  <c r="B7" i="5"/>
  <c r="F49" i="4"/>
  <c r="F50" i="4" s="1"/>
  <c r="H7" i="3"/>
  <c r="G7" i="3"/>
  <c r="H6" i="3"/>
  <c r="G6" i="3"/>
  <c r="G5" i="3"/>
  <c r="I25" i="5" l="1"/>
  <c r="C26" i="5"/>
  <c r="D26" i="5" s="1"/>
  <c r="G4" i="5"/>
  <c r="H4" i="5" s="1"/>
  <c r="B46" i="5"/>
  <c r="E26" i="5"/>
  <c r="E46" i="5" s="1"/>
  <c r="F27" i="5"/>
  <c r="G27" i="5" s="1"/>
  <c r="C28" i="5"/>
  <c r="D27" i="5"/>
  <c r="C27" i="4"/>
  <c r="C32" i="4" s="1"/>
  <c r="C37" i="4" s="1"/>
  <c r="F26" i="3"/>
  <c r="E44" i="3"/>
  <c r="B18" i="3"/>
  <c r="C26" i="3" s="1"/>
  <c r="C24" i="4"/>
  <c r="C23" i="4"/>
  <c r="C12" i="4"/>
  <c r="B26" i="3"/>
  <c r="E26" i="3" s="1"/>
  <c r="G26" i="3" s="1"/>
  <c r="B27" i="3"/>
  <c r="E27" i="3" s="1"/>
  <c r="B28" i="3"/>
  <c r="E28" i="3" s="1"/>
  <c r="B29" i="3"/>
  <c r="B30" i="3"/>
  <c r="B31" i="3"/>
  <c r="B32" i="3"/>
  <c r="E32" i="3" s="1"/>
  <c r="B33" i="3"/>
  <c r="E33" i="3" s="1"/>
  <c r="B34" i="3"/>
  <c r="E34" i="3" s="1"/>
  <c r="B35" i="3"/>
  <c r="E35" i="3" s="1"/>
  <c r="B36" i="3"/>
  <c r="E36" i="3" s="1"/>
  <c r="B37" i="3"/>
  <c r="B38" i="3"/>
  <c r="B39" i="3"/>
  <c r="B40" i="3"/>
  <c r="E40" i="3" s="1"/>
  <c r="B41" i="3"/>
  <c r="E41" i="3" s="1"/>
  <c r="B42" i="3"/>
  <c r="E42" i="3" s="1"/>
  <c r="B43" i="3"/>
  <c r="E43" i="3" s="1"/>
  <c r="B44" i="3"/>
  <c r="B25" i="3"/>
  <c r="B23" i="4"/>
  <c r="B24" i="4"/>
  <c r="B25" i="4"/>
  <c r="E25" i="4" s="1"/>
  <c r="B26" i="4"/>
  <c r="E26" i="4" s="1"/>
  <c r="B27" i="4"/>
  <c r="E27" i="4" s="1"/>
  <c r="B28" i="4"/>
  <c r="E28" i="4" s="1"/>
  <c r="B29" i="4"/>
  <c r="E29" i="4" s="1"/>
  <c r="B30" i="4"/>
  <c r="E30" i="4" s="1"/>
  <c r="B31" i="4"/>
  <c r="E31" i="4" s="1"/>
  <c r="B32" i="4"/>
  <c r="E32" i="4" s="1"/>
  <c r="B33" i="4"/>
  <c r="E33" i="4" s="1"/>
  <c r="B34" i="4"/>
  <c r="E34" i="4" s="1"/>
  <c r="B35" i="4"/>
  <c r="E35" i="4" s="1"/>
  <c r="B36" i="4"/>
  <c r="E36" i="4" s="1"/>
  <c r="B37" i="4"/>
  <c r="E37" i="4" s="1"/>
  <c r="B38" i="4"/>
  <c r="E38" i="4" s="1"/>
  <c r="B39" i="4"/>
  <c r="E39" i="4" s="1"/>
  <c r="B40" i="4"/>
  <c r="E40" i="4" s="1"/>
  <c r="B41" i="4"/>
  <c r="E41" i="4" s="1"/>
  <c r="B22" i="4"/>
  <c r="B7" i="4"/>
  <c r="B11" i="3"/>
  <c r="B9" i="3"/>
  <c r="B7" i="3"/>
  <c r="B7" i="2"/>
  <c r="C14" i="2"/>
  <c r="E22" i="4" l="1"/>
  <c r="G4" i="4"/>
  <c r="C22" i="2"/>
  <c r="B31" i="2"/>
  <c r="E31" i="2" s="1"/>
  <c r="C21" i="2"/>
  <c r="G5" i="4"/>
  <c r="F26" i="5"/>
  <c r="G26" i="5" s="1"/>
  <c r="D28" i="5"/>
  <c r="C29" i="5"/>
  <c r="F28" i="5"/>
  <c r="G28" i="5" s="1"/>
  <c r="F24" i="4"/>
  <c r="C29" i="4"/>
  <c r="C34" i="4" s="1"/>
  <c r="C39" i="4" s="1"/>
  <c r="F23" i="4"/>
  <c r="C28" i="4"/>
  <c r="C33" i="4" s="1"/>
  <c r="C38" i="4" s="1"/>
  <c r="D24" i="4"/>
  <c r="E24" i="4"/>
  <c r="E23" i="4"/>
  <c r="G23" i="4" s="1"/>
  <c r="D23" i="4"/>
  <c r="F22" i="4"/>
  <c r="D22" i="4"/>
  <c r="B42" i="4"/>
  <c r="E39" i="3"/>
  <c r="E31" i="3"/>
  <c r="D26" i="3"/>
  <c r="E38" i="3"/>
  <c r="E30" i="3"/>
  <c r="E25" i="3"/>
  <c r="B45" i="3"/>
  <c r="E37" i="3"/>
  <c r="E29" i="3"/>
  <c r="C25" i="3"/>
  <c r="C27" i="3"/>
  <c r="G24" i="4" l="1"/>
  <c r="B34" i="2"/>
  <c r="E34" i="2" s="1"/>
  <c r="B36" i="2"/>
  <c r="E36" i="2" s="1"/>
  <c r="B33" i="2"/>
  <c r="E33" i="2" s="1"/>
  <c r="B38" i="2"/>
  <c r="E38" i="2" s="1"/>
  <c r="B39" i="2"/>
  <c r="E39" i="2" s="1"/>
  <c r="B40" i="2"/>
  <c r="E40" i="2" s="1"/>
  <c r="B35" i="2"/>
  <c r="E35" i="2" s="1"/>
  <c r="B32" i="2"/>
  <c r="E32" i="2" s="1"/>
  <c r="B25" i="2"/>
  <c r="E25" i="2" s="1"/>
  <c r="B30" i="2"/>
  <c r="E30" i="2" s="1"/>
  <c r="B24" i="2"/>
  <c r="E24" i="2" s="1"/>
  <c r="B27" i="2"/>
  <c r="E27" i="2" s="1"/>
  <c r="B26" i="2"/>
  <c r="E26" i="2" s="1"/>
  <c r="B22" i="2"/>
  <c r="E22" i="2" s="1"/>
  <c r="B23" i="2"/>
  <c r="B28" i="2"/>
  <c r="E28" i="2" s="1"/>
  <c r="B29" i="2"/>
  <c r="E29" i="2" s="1"/>
  <c r="B21" i="2"/>
  <c r="C23" i="2"/>
  <c r="F22" i="2"/>
  <c r="B37" i="2"/>
  <c r="E37" i="2" s="1"/>
  <c r="F21" i="2"/>
  <c r="C30" i="5"/>
  <c r="F29" i="5"/>
  <c r="G29" i="5" s="1"/>
  <c r="D29" i="5"/>
  <c r="H4" i="4"/>
  <c r="E42" i="4"/>
  <c r="G22" i="4"/>
  <c r="E45" i="3"/>
  <c r="C28" i="3"/>
  <c r="F27" i="3"/>
  <c r="G27" i="3" s="1"/>
  <c r="D27" i="3"/>
  <c r="F25" i="3"/>
  <c r="G25" i="3"/>
  <c r="D25" i="3"/>
  <c r="G4" i="3"/>
  <c r="H4" i="3" s="1"/>
  <c r="G22" i="2" l="1"/>
  <c r="D22" i="2"/>
  <c r="C24" i="2"/>
  <c r="D24" i="2" s="1"/>
  <c r="F23" i="2"/>
  <c r="E21" i="2"/>
  <c r="G4" i="2"/>
  <c r="H4" i="2" s="1"/>
  <c r="B41" i="2"/>
  <c r="D21" i="2"/>
  <c r="E23" i="2"/>
  <c r="E41" i="2" s="1"/>
  <c r="D23" i="2"/>
  <c r="G21" i="2"/>
  <c r="F30" i="5"/>
  <c r="G30" i="5" s="1"/>
  <c r="D30" i="5"/>
  <c r="C31" i="5"/>
  <c r="C29" i="3"/>
  <c r="F28" i="3"/>
  <c r="G28" i="3" s="1"/>
  <c r="D28" i="3"/>
  <c r="G23" i="2" l="1"/>
  <c r="C25" i="2"/>
  <c r="D25" i="2" s="1"/>
  <c r="F24" i="2"/>
  <c r="G24" i="2" s="1"/>
  <c r="F31" i="5"/>
  <c r="G31" i="5" s="1"/>
  <c r="C32" i="5"/>
  <c r="D31" i="5"/>
  <c r="C30" i="3"/>
  <c r="F29" i="3"/>
  <c r="G29" i="3" s="1"/>
  <c r="D29" i="3"/>
  <c r="C26" i="4"/>
  <c r="C31" i="4" s="1"/>
  <c r="C36" i="4" s="1"/>
  <c r="C41" i="4" s="1"/>
  <c r="C25" i="4"/>
  <c r="C30" i="4" s="1"/>
  <c r="C35" i="4" s="1"/>
  <c r="C40" i="4" s="1"/>
  <c r="F25" i="2" l="1"/>
  <c r="G25" i="2" s="1"/>
  <c r="C26" i="2"/>
  <c r="C33" i="5"/>
  <c r="F32" i="5"/>
  <c r="G32" i="5" s="1"/>
  <c r="D32" i="5"/>
  <c r="D25" i="4"/>
  <c r="F25" i="4"/>
  <c r="F26" i="4"/>
  <c r="G26" i="4" s="1"/>
  <c r="D26" i="4"/>
  <c r="C31" i="3"/>
  <c r="F30" i="3"/>
  <c r="D30" i="3"/>
  <c r="D26" i="2" l="1"/>
  <c r="C27" i="2"/>
  <c r="D27" i="2" s="1"/>
  <c r="F26" i="2"/>
  <c r="G26" i="2" s="1"/>
  <c r="C34" i="5"/>
  <c r="F33" i="5"/>
  <c r="G33" i="5" s="1"/>
  <c r="D33" i="5"/>
  <c r="F28" i="4"/>
  <c r="G28" i="4" s="1"/>
  <c r="D28" i="4"/>
  <c r="D30" i="4"/>
  <c r="F30" i="4"/>
  <c r="G30" i="4" s="1"/>
  <c r="G25" i="4"/>
  <c r="F27" i="4"/>
  <c r="G27" i="4" s="1"/>
  <c r="D27" i="4"/>
  <c r="G30" i="3"/>
  <c r="C32" i="3"/>
  <c r="F31" i="3"/>
  <c r="G31" i="3" s="1"/>
  <c r="D31" i="3"/>
  <c r="F27" i="2" l="1"/>
  <c r="G27" i="2" s="1"/>
  <c r="C28" i="2"/>
  <c r="D28" i="2" s="1"/>
  <c r="F34" i="5"/>
  <c r="G34" i="5" s="1"/>
  <c r="D34" i="5"/>
  <c r="C35" i="5"/>
  <c r="F29" i="4"/>
  <c r="G29" i="4" s="1"/>
  <c r="D29" i="4"/>
  <c r="F32" i="4"/>
  <c r="G32" i="4" s="1"/>
  <c r="D32" i="4"/>
  <c r="C33" i="3"/>
  <c r="F32" i="3"/>
  <c r="G32" i="3" s="1"/>
  <c r="D32" i="3"/>
  <c r="C29" i="2" l="1"/>
  <c r="D29" i="2" s="1"/>
  <c r="F28" i="2"/>
  <c r="G28" i="2" s="1"/>
  <c r="F35" i="5"/>
  <c r="G35" i="5" s="1"/>
  <c r="C36" i="5"/>
  <c r="D35" i="5"/>
  <c r="F31" i="4"/>
  <c r="G31" i="4" s="1"/>
  <c r="D31" i="4"/>
  <c r="D34" i="4"/>
  <c r="F34" i="4"/>
  <c r="G34" i="4" s="1"/>
  <c r="C34" i="3"/>
  <c r="D33" i="3"/>
  <c r="F33" i="3"/>
  <c r="G33" i="3" s="1"/>
  <c r="F29" i="2" l="1"/>
  <c r="G29" i="2" s="1"/>
  <c r="C30" i="2"/>
  <c r="D30" i="2" s="1"/>
  <c r="C37" i="5"/>
  <c r="F36" i="5"/>
  <c r="G36" i="5" s="1"/>
  <c r="D36" i="5"/>
  <c r="F36" i="4"/>
  <c r="G36" i="4" s="1"/>
  <c r="D36" i="4"/>
  <c r="D33" i="4"/>
  <c r="F33" i="4"/>
  <c r="G33" i="4" s="1"/>
  <c r="C35" i="3"/>
  <c r="F34" i="3"/>
  <c r="G34" i="3" s="1"/>
  <c r="D34" i="3"/>
  <c r="C31" i="2" l="1"/>
  <c r="D31" i="2" s="1"/>
  <c r="F30" i="2"/>
  <c r="G30" i="2" s="1"/>
  <c r="C38" i="5"/>
  <c r="F37" i="5"/>
  <c r="G37" i="5" s="1"/>
  <c r="D37" i="5"/>
  <c r="F35" i="4"/>
  <c r="G35" i="4" s="1"/>
  <c r="D35" i="4"/>
  <c r="D38" i="4"/>
  <c r="F38" i="4"/>
  <c r="G38" i="4" s="1"/>
  <c r="C36" i="3"/>
  <c r="F35" i="3"/>
  <c r="G35" i="3" s="1"/>
  <c r="D35" i="3"/>
  <c r="C32" i="2" l="1"/>
  <c r="D32" i="2" s="1"/>
  <c r="F31" i="2"/>
  <c r="G31" i="2" s="1"/>
  <c r="F38" i="5"/>
  <c r="G38" i="5" s="1"/>
  <c r="D38" i="5"/>
  <c r="C39" i="5"/>
  <c r="F40" i="4"/>
  <c r="G40" i="4" s="1"/>
  <c r="D40" i="4"/>
  <c r="F37" i="4"/>
  <c r="G37" i="4" s="1"/>
  <c r="D37" i="4"/>
  <c r="C37" i="3"/>
  <c r="F36" i="3"/>
  <c r="G36" i="3" s="1"/>
  <c r="D36" i="3"/>
  <c r="C33" i="2" l="1"/>
  <c r="D33" i="2" s="1"/>
  <c r="F32" i="2"/>
  <c r="G32" i="2" s="1"/>
  <c r="F39" i="5"/>
  <c r="G39" i="5" s="1"/>
  <c r="C40" i="5"/>
  <c r="D39" i="5"/>
  <c r="G6" i="4"/>
  <c r="F39" i="4"/>
  <c r="G39" i="4" s="1"/>
  <c r="D39" i="4"/>
  <c r="C42" i="4"/>
  <c r="C38" i="3"/>
  <c r="F37" i="3"/>
  <c r="G37" i="3" s="1"/>
  <c r="D37" i="3"/>
  <c r="C34" i="2" l="1"/>
  <c r="D34" i="2" s="1"/>
  <c r="F33" i="2"/>
  <c r="G33" i="2" s="1"/>
  <c r="C41" i="5"/>
  <c r="F40" i="5"/>
  <c r="G40" i="5" s="1"/>
  <c r="D40" i="5"/>
  <c r="D41" i="4"/>
  <c r="D42" i="4" s="1"/>
  <c r="F41" i="4"/>
  <c r="C39" i="3"/>
  <c r="F38" i="3"/>
  <c r="G38" i="3" s="1"/>
  <c r="D38" i="3"/>
  <c r="F34" i="2" l="1"/>
  <c r="G34" i="2" s="1"/>
  <c r="C35" i="2"/>
  <c r="D35" i="2" s="1"/>
  <c r="C42" i="5"/>
  <c r="F41" i="5"/>
  <c r="G41" i="5" s="1"/>
  <c r="D41" i="5"/>
  <c r="H5" i="4"/>
  <c r="H6" i="4" s="1"/>
  <c r="G7" i="4"/>
  <c r="G41" i="4"/>
  <c r="G42" i="4" s="1"/>
  <c r="F42" i="4"/>
  <c r="C40" i="3"/>
  <c r="F39" i="3"/>
  <c r="G39" i="3" s="1"/>
  <c r="D39" i="3"/>
  <c r="C36" i="2" l="1"/>
  <c r="D36" i="2" s="1"/>
  <c r="F35" i="2"/>
  <c r="G35" i="2" s="1"/>
  <c r="F42" i="5"/>
  <c r="G42" i="5" s="1"/>
  <c r="D42" i="5"/>
  <c r="C43" i="5"/>
  <c r="H7" i="4"/>
  <c r="C41" i="3"/>
  <c r="F40" i="3"/>
  <c r="G40" i="3" s="1"/>
  <c r="D40" i="3"/>
  <c r="C37" i="2" l="1"/>
  <c r="D37" i="2" s="1"/>
  <c r="F36" i="2"/>
  <c r="G36" i="2" s="1"/>
  <c r="F43" i="5"/>
  <c r="G43" i="5" s="1"/>
  <c r="C44" i="5"/>
  <c r="D43" i="5"/>
  <c r="C42" i="3"/>
  <c r="F41" i="3"/>
  <c r="G41" i="3" s="1"/>
  <c r="D41" i="3"/>
  <c r="F37" i="2" l="1"/>
  <c r="G37" i="2" s="1"/>
  <c r="C38" i="2"/>
  <c r="D38" i="2" s="1"/>
  <c r="C45" i="5"/>
  <c r="D44" i="5"/>
  <c r="F44" i="5"/>
  <c r="G44" i="5" s="1"/>
  <c r="C43" i="3"/>
  <c r="F42" i="3"/>
  <c r="G42" i="3" s="1"/>
  <c r="D42" i="3"/>
  <c r="C39" i="2" l="1"/>
  <c r="D39" i="2" s="1"/>
  <c r="F38" i="2"/>
  <c r="G38" i="2" s="1"/>
  <c r="F45" i="5"/>
  <c r="D45" i="5"/>
  <c r="D46" i="5" s="1"/>
  <c r="G5" i="5"/>
  <c r="C46" i="5"/>
  <c r="C44" i="3"/>
  <c r="F43" i="3"/>
  <c r="G43" i="3" s="1"/>
  <c r="D43" i="3"/>
  <c r="C40" i="2" l="1"/>
  <c r="F39" i="2"/>
  <c r="G39" i="2" s="1"/>
  <c r="H5" i="5"/>
  <c r="G7" i="5"/>
  <c r="G6" i="5"/>
  <c r="G45" i="5"/>
  <c r="G46" i="5" s="1"/>
  <c r="F46" i="5"/>
  <c r="F44" i="3"/>
  <c r="D44" i="3"/>
  <c r="D45" i="3" s="1"/>
  <c r="C45" i="3"/>
  <c r="F40" i="2" l="1"/>
  <c r="G5" i="2"/>
  <c r="G7" i="2" s="1"/>
  <c r="D40" i="2"/>
  <c r="D41" i="2" s="1"/>
  <c r="C41" i="2"/>
  <c r="H7" i="5"/>
  <c r="H6" i="5"/>
  <c r="H5" i="3"/>
  <c r="G44" i="3"/>
  <c r="G45" i="3" s="1"/>
  <c r="F45" i="3"/>
  <c r="F41" i="2" l="1"/>
  <c r="G40" i="2"/>
  <c r="G41" i="2" s="1"/>
  <c r="G6" i="2"/>
  <c r="H5" i="2"/>
  <c r="H6" i="2" l="1"/>
  <c r="H7" i="2"/>
</calcChain>
</file>

<file path=xl/sharedStrings.xml><?xml version="1.0" encoding="utf-8"?>
<sst xmlns="http://schemas.openxmlformats.org/spreadsheetml/2006/main" count="286" uniqueCount="97">
  <si>
    <t>Project Length (years)</t>
  </si>
  <si>
    <t>Year</t>
  </si>
  <si>
    <t>Farm Size (acres)</t>
  </si>
  <si>
    <t>Discount Rate (%)</t>
  </si>
  <si>
    <t>Component</t>
  </si>
  <si>
    <t>Tree Crop Yield (units/tree)</t>
  </si>
  <si>
    <t>Tree Crop price ($/unit)</t>
  </si>
  <si>
    <t>Trees Planted (trees/acre)</t>
  </si>
  <si>
    <t>Benefits and Costs ($/ac/yr)</t>
  </si>
  <si>
    <t>Metric</t>
  </si>
  <si>
    <t>Years Accrued</t>
  </si>
  <si>
    <t>All</t>
  </si>
  <si>
    <t>Tree Maintenance Cost ($/tree)</t>
  </si>
  <si>
    <t>2-20</t>
  </si>
  <si>
    <t>Tree Spacing (ft)</t>
  </si>
  <si>
    <t>10-20</t>
  </si>
  <si>
    <t>Assumption/Source</t>
  </si>
  <si>
    <t>Mean productivity based on Pent (2020): https://link.springer.com/article/10.1007/s10457-020-00494-6</t>
  </si>
  <si>
    <t>Default, need to confirm with project team</t>
  </si>
  <si>
    <t>Typical for agricultural financial analyses</t>
  </si>
  <si>
    <t>Base Grazing Cost ($/acre)</t>
  </si>
  <si>
    <t>https://extension.missouri.edu/publications/af1006</t>
  </si>
  <si>
    <t>https://bugwoodcloud.org/bugwood/productivity/pdfs/Jx_WOODLAND_MANAGEMENT_Trees_per_Acre_Spacing_Dist_CODER_2017.pdf</t>
  </si>
  <si>
    <t>PV Benefit</t>
  </si>
  <si>
    <t>PV Cost</t>
  </si>
  <si>
    <t>Benefit-Cost Ratio (BCR)</t>
  </si>
  <si>
    <t>guesstimate / placeholder</t>
  </si>
  <si>
    <t>Estimate</t>
  </si>
  <si>
    <t>BCA Component</t>
  </si>
  <si>
    <t>If area was 100% pasture, guesstimate/placeholder</t>
  </si>
  <si>
    <t>Calculated</t>
  </si>
  <si>
    <t>User defined</t>
  </si>
  <si>
    <t>Per Acre</t>
  </si>
  <si>
    <t>Total Area</t>
  </si>
  <si>
    <t>Base Crop Cost ($/acre)</t>
  </si>
  <si>
    <t>Irrigation Pipe Length (ft/ac)</t>
  </si>
  <si>
    <t>Irrigation Pipe Cost ($/ft)</t>
  </si>
  <si>
    <t>calculated</t>
  </si>
  <si>
    <t>Irrigation Sprinkler Spacing (ft)</t>
  </si>
  <si>
    <t>Based on NRCS Practice 442, Scenario #6: Solid Set Sprinkler System</t>
  </si>
  <si>
    <t>Based on NRCS Practice 430, Scenario #7: 2" Surface HDPE Irrigation Pipeline</t>
  </si>
  <si>
    <t>Irrigation Pump ($/HP)</t>
  </si>
  <si>
    <t>NRCS Practice 533, Scenario $5: Electric-powered pump 10-40HP</t>
  </si>
  <si>
    <t>Irrigation Pump Size (HP)</t>
  </si>
  <si>
    <t>If area was 100% veggies, guesstimate/placeholder</t>
  </si>
  <si>
    <t>&lt;-- NRCS Practice 442 estimated cost is $4746/ac for pipe, sprinklers, connections, installation, and appurtenances (w/o cost share) and $710/hp for the pump</t>
  </si>
  <si>
    <t>Cover Crop Cost ($/ac)</t>
  </si>
  <si>
    <t>Crop Productivity w/Irrigation (% of base yield)</t>
  </si>
  <si>
    <t>Crop Productivity w/Tarp &amp; Cover Crop (% of base yield)</t>
  </si>
  <si>
    <t>Based on NRCS Practice 340, Scenario #57: Cover Crop, 1 ac or less (includes materials + labor)</t>
  </si>
  <si>
    <t>Base Crop Revenue ($/acre)</t>
  </si>
  <si>
    <t>Base Crop Net Revenue ($/acre)</t>
  </si>
  <si>
    <t>Base Pasture Revenue ($/acre)</t>
  </si>
  <si>
    <t>Base Pasture Net Revenue ($/acre)</t>
  </si>
  <si>
    <t>Tarping Maintenance Cost ($/acre/yr)</t>
  </si>
  <si>
    <t>Irrigation Maintenance Cost ($/acre/yr)</t>
  </si>
  <si>
    <t>Every other</t>
  </si>
  <si>
    <t>Irrigation Sprinkler Count  (head/acre)</t>
  </si>
  <si>
    <t>Irrigation Sprinkler Cost ($/head)</t>
  </si>
  <si>
    <t>Tarp Labor (hr/acre)</t>
  </si>
  <si>
    <t>Tarp Labor cost ($/hr)</t>
  </si>
  <si>
    <t>Efficiency based on OKSU Irrigation Cost Calc</t>
  </si>
  <si>
    <t>Diesel Fuel Cost ($/gal)</t>
  </si>
  <si>
    <t>Irrigation Daily Pump Use (hr/day)</t>
  </si>
  <si>
    <t>Irrigation Annual Diesel Cost ($/yr)</t>
  </si>
  <si>
    <t>EIA Fuel Prices</t>
  </si>
  <si>
    <t>Irrigation Hourly Pump (days/yr)</t>
  </si>
  <si>
    <t>Non-Discounted</t>
  </si>
  <si>
    <t>NPV</t>
  </si>
  <si>
    <t>Total NPV</t>
  </si>
  <si>
    <t>PV Net Revenue / Profit</t>
  </si>
  <si>
    <t>Discounted / Present Value</t>
  </si>
  <si>
    <t>Annual Net Revenue / Profit</t>
  </si>
  <si>
    <t>Annual Revenue</t>
  </si>
  <si>
    <t>Annual Cost</t>
  </si>
  <si>
    <t>PV Revenue</t>
  </si>
  <si>
    <t>Tarp Cost ($/ft2)</t>
  </si>
  <si>
    <t>Tarp area (ft2/acre)</t>
  </si>
  <si>
    <t>Tarp Durability (years)</t>
  </si>
  <si>
    <t>Time before tarp must be replaced (Tim, need to figure out how to adjust this in calculator via an if/then statement?)</t>
  </si>
  <si>
    <t>Varies</t>
  </si>
  <si>
    <t>Irrigated Crop Row Spacing (ft)</t>
  </si>
  <si>
    <t>Irrigation Drip Fitting Count (fitting/acre)</t>
  </si>
  <si>
    <t>Irrigation Drip Fitting Spacing (ft)</t>
  </si>
  <si>
    <t>Irrigation Drip Tape Length (ft/ac)</t>
  </si>
  <si>
    <t>Irrigation Drip Tape Cost ($/ft)</t>
  </si>
  <si>
    <t>Irrigation Drip Fitting Cost ($/fitting)</t>
  </si>
  <si>
    <t>&lt;-- NRCS Practice 441, scenario #9-10 estimated cost is $3480-5251/ac for all materials (w/o cost share)</t>
  </si>
  <si>
    <t>Per Acre Cost:</t>
  </si>
  <si>
    <t>Varies (see durability)</t>
  </si>
  <si>
    <t>Tarp area (% total crop area)</t>
  </si>
  <si>
    <t>Pasture Area w/Silvopasture (% of full pasture area)</t>
  </si>
  <si>
    <t>Animal Health &amp; Productivity (% of base productivity)</t>
  </si>
  <si>
    <t>Tree Seedling Cost ($/tree)</t>
  </si>
  <si>
    <t>Tree Labor Cost ($/tree)</t>
  </si>
  <si>
    <t>calculated, assuming 3ft radius around cannot be grazed</t>
  </si>
  <si>
    <t>Tarp securing cost ($/acre)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</si>
</sst>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"/>
    <numFmt numFmtId="165" formatCode="&quot;$&quot;#,##0.00"/>
    <numFmt numFmtId="166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wrapText="1"/>
    </xf>
    <xf numFmtId="9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4" xfId="0" applyFont="1" applyBorder="1" applyAlignment="1">
      <alignment horizontal="center" vertical="center" wrapText="1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1" fillId="0" borderId="4" xfId="0" applyFont="1" applyBorder="1"/>
    <xf numFmtId="165" fontId="0" fillId="0" borderId="0" xfId="0" applyNumberFormat="1"/>
    <xf numFmtId="0" fontId="3" fillId="0" borderId="0" xfId="1"/>
    <xf numFmtId="0" fontId="1" fillId="0" borderId="0" xfId="0" applyFont="1"/>
    <xf numFmtId="0" fontId="4" fillId="0" borderId="1" xfId="0" applyFont="1" applyBorder="1" applyAlignment="1">
      <alignment horizontal="center"/>
    </xf>
    <xf numFmtId="0" fontId="0" fillId="0" borderId="1" xfId="0" applyBorder="1"/>
    <xf numFmtId="4" fontId="0" fillId="0" borderId="1" xfId="0" applyNumberFormat="1" applyBorder="1"/>
    <xf numFmtId="0" fontId="5" fillId="0" borderId="0" xfId="0" applyFont="1"/>
    <xf numFmtId="0" fontId="1" fillId="2" borderId="4" xfId="0" applyFont="1" applyFill="1" applyBorder="1" applyAlignment="1">
      <alignment wrapText="1"/>
    </xf>
    <xf numFmtId="164" fontId="0" fillId="2" borderId="0" xfId="0" applyNumberFormat="1" applyFill="1"/>
    <xf numFmtId="164" fontId="0" fillId="2" borderId="1" xfId="0" applyNumberFormat="1" applyFill="1" applyBorder="1"/>
    <xf numFmtId="164" fontId="0" fillId="3" borderId="0" xfId="0" applyNumberFormat="1" applyFill="1"/>
    <xf numFmtId="164" fontId="0" fillId="3" borderId="1" xfId="0" applyNumberFormat="1" applyFill="1" applyBorder="1"/>
    <xf numFmtId="0" fontId="1" fillId="0" borderId="2" xfId="0" applyFont="1" applyBorder="1"/>
    <xf numFmtId="164" fontId="1" fillId="2" borderId="2" xfId="0" applyNumberFormat="1" applyFont="1" applyFill="1" applyBorder="1"/>
    <xf numFmtId="164" fontId="1" fillId="3" borderId="2" xfId="0" applyNumberFormat="1" applyFont="1" applyFill="1" applyBorder="1"/>
    <xf numFmtId="0" fontId="1" fillId="3" borderId="4" xfId="0" applyFont="1" applyFill="1" applyBorder="1" applyAlignment="1">
      <alignment wrapText="1"/>
    </xf>
    <xf numFmtId="166" fontId="0" fillId="0" borderId="0" xfId="0" applyNumberFormat="1"/>
    <xf numFmtId="0" fontId="0" fillId="4" borderId="0" xfId="0" applyFill="1"/>
    <xf numFmtId="165" fontId="0" fillId="4" borderId="0" xfId="0" applyNumberFormat="1" applyFill="1"/>
    <xf numFmtId="0" fontId="0" fillId="4" borderId="0" xfId="0" applyFill="1" applyAlignment="1">
      <alignment horizontal="center"/>
    </xf>
    <xf numFmtId="0" fontId="0" fillId="0" borderId="0" xfId="0" applyBorder="1"/>
    <xf numFmtId="4" fontId="0" fillId="0" borderId="0" xfId="0" applyNumberFormat="1" applyBorder="1"/>
    <xf numFmtId="9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wrapText="1"/>
    </xf>
    <xf numFmtId="164" fontId="0" fillId="0" borderId="0" xfId="0" applyNumberFormat="1" applyFill="1"/>
    <xf numFmtId="0" fontId="0" fillId="0" borderId="0" xfId="0" applyFill="1"/>
    <xf numFmtId="165" fontId="0" fillId="0" borderId="0" xfId="0" applyNumberFormat="1" applyFill="1"/>
    <xf numFmtId="0" fontId="0" fillId="0" borderId="0" xfId="0" applyFill="1" applyAlignment="1">
      <alignment horizontal="center"/>
    </xf>
    <xf numFmtId="0" fontId="3" fillId="0" borderId="0" xfId="1" applyFill="1"/>
    <xf numFmtId="0" fontId="0" fillId="0" borderId="0" xfId="0" quotePrefix="1" applyFill="1" applyAlignment="1">
      <alignment horizontal="center"/>
    </xf>
    <xf numFmtId="9" fontId="5" fillId="4" borderId="0" xfId="0" applyNumberFormat="1" applyFont="1" applyFill="1"/>
    <xf numFmtId="1" fontId="5" fillId="4" borderId="0" xfId="0" applyNumberFormat="1" applyFont="1" applyFill="1"/>
    <xf numFmtId="165" fontId="5" fillId="4" borderId="0" xfId="0" applyNumberFormat="1" applyFont="1" applyFill="1"/>
    <xf numFmtId="164" fontId="0" fillId="4" borderId="0" xfId="0" applyNumberFormat="1" applyFill="1"/>
    <xf numFmtId="0" fontId="0" fillId="4" borderId="0" xfId="0" applyFont="1" applyFill="1"/>
    <xf numFmtId="9" fontId="0" fillId="4" borderId="0" xfId="0" applyNumberFormat="1" applyFont="1" applyFill="1"/>
    <xf numFmtId="0" fontId="0" fillId="4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Non-Discounted Silvopasture Cash Flow ($/acre)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61990477582402"/>
          <c:y val="0.10845029239766082"/>
          <c:w val="0.86650595164195965"/>
          <c:h val="0.78254846433669489"/>
        </c:manualLayout>
      </c:layout>
      <c:lineChart>
        <c:grouping val="standard"/>
        <c:varyColors val="0"/>
        <c:ser>
          <c:idx val="0"/>
          <c:order val="0"/>
          <c:tx>
            <c:strRef>
              <c:f>'Silvopasture-CropTrees'!$B$20</c:f>
              <c:strCache>
                <c:ptCount val="1"/>
                <c:pt idx="0">
                  <c:v>Annual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'Silvopasture-CropTrees'!$A$21:$A$40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'Silvopasture-CropTrees'!$B$21:$B$40</c:f>
              <c:numCache>
                <c:formatCode>"$"#,##0</c:formatCode>
                <c:ptCount val="20"/>
                <c:pt idx="0">
                  <c:v>160.02459523809526</c:v>
                </c:pt>
                <c:pt idx="1">
                  <c:v>160.02459523809526</c:v>
                </c:pt>
                <c:pt idx="2">
                  <c:v>160.02459523809526</c:v>
                </c:pt>
                <c:pt idx="3">
                  <c:v>160.02459523809526</c:v>
                </c:pt>
                <c:pt idx="4">
                  <c:v>160.02459523809526</c:v>
                </c:pt>
                <c:pt idx="5">
                  <c:v>160.02459523809526</c:v>
                </c:pt>
                <c:pt idx="6">
                  <c:v>160.02459523809526</c:v>
                </c:pt>
                <c:pt idx="7">
                  <c:v>160.02459523809526</c:v>
                </c:pt>
                <c:pt idx="8">
                  <c:v>160.02459523809526</c:v>
                </c:pt>
                <c:pt idx="9">
                  <c:v>160.02459523809526</c:v>
                </c:pt>
                <c:pt idx="10">
                  <c:v>677.87690476190483</c:v>
                </c:pt>
                <c:pt idx="11">
                  <c:v>677.87690476190483</c:v>
                </c:pt>
                <c:pt idx="12">
                  <c:v>677.87690476190483</c:v>
                </c:pt>
                <c:pt idx="13">
                  <c:v>677.87690476190483</c:v>
                </c:pt>
                <c:pt idx="14">
                  <c:v>677.87690476190483</c:v>
                </c:pt>
                <c:pt idx="15">
                  <c:v>677.87690476190483</c:v>
                </c:pt>
                <c:pt idx="16">
                  <c:v>677.87690476190483</c:v>
                </c:pt>
                <c:pt idx="17">
                  <c:v>677.87690476190483</c:v>
                </c:pt>
                <c:pt idx="18">
                  <c:v>677.87690476190483</c:v>
                </c:pt>
                <c:pt idx="19">
                  <c:v>677.87690476190483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06-4AFC-806E-6E04795938DD}"/>
            </c:ext>
          </c:extLst>
        </c:ser>
        <c:ser>
          <c:idx val="1"/>
          <c:order val="1"/>
          <c:tx>
            <c:strRef>
              <c:f>'Silvopasture-CropTrees'!$C$20</c:f>
              <c:strCache>
                <c:ptCount val="1"/>
                <c:pt idx="0">
                  <c:v>Annual 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'Silvopasture-CropTrees'!$A$21:$A$40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'Silvopasture-CropTrees'!$C$21:$C$40</c:f>
              <c:numCache>
                <c:formatCode>"$"#,##0</c:formatCode>
                <c:ptCount val="20"/>
                <c:pt idx="0">
                  <c:v>-459.8</c:v>
                </c:pt>
                <c:pt idx="1">
                  <c:v>-121</c:v>
                </c:pt>
                <c:pt idx="2">
                  <c:v>-121</c:v>
                </c:pt>
                <c:pt idx="3">
                  <c:v>-121</c:v>
                </c:pt>
                <c:pt idx="4">
                  <c:v>-121</c:v>
                </c:pt>
                <c:pt idx="5">
                  <c:v>-121</c:v>
                </c:pt>
                <c:pt idx="6">
                  <c:v>-121</c:v>
                </c:pt>
                <c:pt idx="7">
                  <c:v>-121</c:v>
                </c:pt>
                <c:pt idx="8">
                  <c:v>-121</c:v>
                </c:pt>
                <c:pt idx="9">
                  <c:v>-121</c:v>
                </c:pt>
                <c:pt idx="10">
                  <c:v>-121</c:v>
                </c:pt>
                <c:pt idx="11">
                  <c:v>-121</c:v>
                </c:pt>
                <c:pt idx="12">
                  <c:v>-121</c:v>
                </c:pt>
                <c:pt idx="13">
                  <c:v>-121</c:v>
                </c:pt>
                <c:pt idx="14">
                  <c:v>-121</c:v>
                </c:pt>
                <c:pt idx="15">
                  <c:v>-121</c:v>
                </c:pt>
                <c:pt idx="16">
                  <c:v>-121</c:v>
                </c:pt>
                <c:pt idx="17">
                  <c:v>-121</c:v>
                </c:pt>
                <c:pt idx="18">
                  <c:v>-121</c:v>
                </c:pt>
                <c:pt idx="19">
                  <c:v>-121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6-4AFC-806E-6E04795938DD}"/>
            </c:ext>
          </c:extLst>
        </c:ser>
        <c:ser>
          <c:idx val="2"/>
          <c:order val="2"/>
          <c:tx>
            <c:strRef>
              <c:f>'Silvopasture-CropTrees'!$D$20</c:f>
              <c:strCache>
                <c:ptCount val="1"/>
                <c:pt idx="0">
                  <c:v>Annual Net Revenue /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'Silvopasture-CropTrees'!$A$21:$A$40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'Silvopasture-CropTrees'!$D$21:$D$40</c:f>
              <c:numCache>
                <c:formatCode>"$"#,##0</c:formatCode>
                <c:ptCount val="20"/>
                <c:pt idx="0">
                  <c:v>-299.77540476190472</c:v>
                </c:pt>
                <c:pt idx="1">
                  <c:v>39.024595238095259</c:v>
                </c:pt>
                <c:pt idx="2">
                  <c:v>39.024595238095259</c:v>
                </c:pt>
                <c:pt idx="3">
                  <c:v>39.024595238095259</c:v>
                </c:pt>
                <c:pt idx="4">
                  <c:v>39.024595238095259</c:v>
                </c:pt>
                <c:pt idx="5">
                  <c:v>39.024595238095259</c:v>
                </c:pt>
                <c:pt idx="6">
                  <c:v>39.024595238095259</c:v>
                </c:pt>
                <c:pt idx="7">
                  <c:v>39.024595238095259</c:v>
                </c:pt>
                <c:pt idx="8">
                  <c:v>39.024595238095259</c:v>
                </c:pt>
                <c:pt idx="9">
                  <c:v>39.024595238095259</c:v>
                </c:pt>
                <c:pt idx="10">
                  <c:v>556.87690476190483</c:v>
                </c:pt>
                <c:pt idx="11">
                  <c:v>556.87690476190483</c:v>
                </c:pt>
                <c:pt idx="12">
                  <c:v>556.87690476190483</c:v>
                </c:pt>
                <c:pt idx="13">
                  <c:v>556.87690476190483</c:v>
                </c:pt>
                <c:pt idx="14">
                  <c:v>556.87690476190483</c:v>
                </c:pt>
                <c:pt idx="15">
                  <c:v>556.87690476190483</c:v>
                </c:pt>
                <c:pt idx="16">
                  <c:v>556.87690476190483</c:v>
                </c:pt>
                <c:pt idx="17">
                  <c:v>556.87690476190483</c:v>
                </c:pt>
                <c:pt idx="18">
                  <c:v>556.87690476190483</c:v>
                </c:pt>
                <c:pt idx="19">
                  <c:v>556.87690476190483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8E-4F78-9478-9A0BF62AF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548832"/>
        <c:axId val="523546864"/>
      </c:lineChart>
      <c:catAx>
        <c:axId val="52354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Since Established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46864"/>
        <c:crosses val="autoZero"/>
        <c:auto val="1"/>
        <c:lblAlgn val="ctr"/>
        <c:lblOffset val="100"/>
        <c:noMultiLvlLbl val="0"/>
      </c:catAx>
      <c:valAx>
        <c:axId val="52354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$/acre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4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282314732943165"/>
          <c:y val="0.11440023944375381"/>
          <c:w val="0.71717680482831836"/>
          <c:h val="5.0724444294666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Present Value ($/ac)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'Silvopasture-CropTrees'!$F$4</c:f>
              <c:strCache>
                <c:ptCount val="1"/>
                <c:pt idx="0">
                  <c:v>PV Benefit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'Silvopasture-CropTrees'!$G$4</c:f>
              <c:numCache>
                <c:formatCode>"$"#,##0</c:formatCode>
                <c:ptCount val="1"/>
                <c:pt idx="0">
                  <c:v>4449.126306883777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36-4314-BF64-518F71C2FE26}"/>
            </c:ext>
          </c:extLst>
        </c:ser>
        <c:ser>
          <c:idx val="1"/>
          <c:order val="1"/>
          <c:tx>
            <c:strRef>
              <c:f>'Silvopasture-CropTrees'!$F$5</c:f>
              <c:strCache>
                <c:ptCount val="1"/>
                <c:pt idx="0">
                  <c:v>PV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'Silvopasture-CropTrees'!$G$5</c:f>
              <c:numCache>
                <c:formatCode>"$"#,##0</c:formatCode>
                <c:ptCount val="1"/>
                <c:pt idx="0">
                  <c:v>-1830.5941181140047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36-4314-BF64-518F71C2F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100"/>
        <c:axId val="964355999"/>
        <c:axId val="964351007"/>
      </c:barChart>
      <c:scatterChart>
        <c:scatterStyle val="lineMarker"/>
        <c:varyColors val="0"/>
        <c:ser>
          <c:idx val="2"/>
          <c:order val="2"/>
          <c:tx>
            <c:strRef>
              <c:f>'Silvopasture-CropTrees'!$F$6</c:f>
              <c:strCache>
                <c:ptCount val="1"/>
                <c:pt idx="0">
                  <c:v>NPV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'Silvopasture-CropTrees'!$G$6</c:f>
              <c:numCache>
                <c:formatCode>"$"#,##0</c:formatCode>
                <c:ptCount val="1"/>
                <c:pt idx="0">
                  <c:v>2618.5321887697723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36-4314-BF64-518F71C2F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355999"/>
        <c:axId val="964351007"/>
      </c:scatterChart>
      <c:catAx>
        <c:axId val="9643559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64351007"/>
        <c:crosses val="autoZero"/>
        <c:auto val="1"/>
        <c:lblAlgn val="ctr"/>
        <c:lblOffset val="100"/>
        <c:noMultiLvlLbl val="0"/>
      </c:catAx>
      <c:valAx>
        <c:axId val="96435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35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Non-Discounted Spray Irrigation Cash Flow ($/acre)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20417091636071"/>
          <c:y val="0.10845029239766082"/>
          <c:w val="0.80941449915531039"/>
          <c:h val="0.78254846433669489"/>
        </c:manualLayout>
      </c:layout>
      <c:lineChart>
        <c:grouping val="standard"/>
        <c:varyColors val="0"/>
        <c:ser>
          <c:idx val="0"/>
          <c:order val="0"/>
          <c:tx>
            <c:strRef>
              <c:f>Irrigation_Spray!$B$24</c:f>
              <c:strCache>
                <c:ptCount val="1"/>
                <c:pt idx="0">
                  <c:v>Annual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Irrigation_Spray!$A$25:$A$44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Irrigation_Spray!$B$25:$B$44</c:f>
              <c:numCache>
                <c:formatCode>"$"#,##0</c:formatCode>
                <c:ptCount val="20"/>
                <c:pt idx="0">
                  <c:v>3125</c:v>
                </c:pt>
                <c:pt idx="1">
                  <c:v>3125</c:v>
                </c:pt>
                <c:pt idx="2">
                  <c:v>3125</c:v>
                </c:pt>
                <c:pt idx="3">
                  <c:v>3125</c:v>
                </c:pt>
                <c:pt idx="4">
                  <c:v>3125</c:v>
                </c:pt>
                <c:pt idx="5">
                  <c:v>3125</c:v>
                </c:pt>
                <c:pt idx="6">
                  <c:v>3125</c:v>
                </c:pt>
                <c:pt idx="7">
                  <c:v>3125</c:v>
                </c:pt>
                <c:pt idx="8">
                  <c:v>3125</c:v>
                </c:pt>
                <c:pt idx="9">
                  <c:v>3125</c:v>
                </c:pt>
                <c:pt idx="10">
                  <c:v>3125</c:v>
                </c:pt>
                <c:pt idx="11">
                  <c:v>3125</c:v>
                </c:pt>
                <c:pt idx="12">
                  <c:v>3125</c:v>
                </c:pt>
                <c:pt idx="13">
                  <c:v>3125</c:v>
                </c:pt>
                <c:pt idx="14">
                  <c:v>3125</c:v>
                </c:pt>
                <c:pt idx="15">
                  <c:v>3125</c:v>
                </c:pt>
                <c:pt idx="16">
                  <c:v>3125</c:v>
                </c:pt>
                <c:pt idx="17">
                  <c:v>3125</c:v>
                </c:pt>
                <c:pt idx="18">
                  <c:v>3125</c:v>
                </c:pt>
                <c:pt idx="19">
                  <c:v>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C6-4B90-92E9-BB0358DE2E7C}"/>
            </c:ext>
          </c:extLst>
        </c:ser>
        <c:ser>
          <c:idx val="1"/>
          <c:order val="1"/>
          <c:tx>
            <c:strRef>
              <c:f>Irrigation_Spray!$C$24</c:f>
              <c:strCache>
                <c:ptCount val="1"/>
                <c:pt idx="0">
                  <c:v>Annual 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Irrigation_Spray!$A$25:$A$44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Irrigation_Spray!$C$25:$C$44</c:f>
              <c:numCache>
                <c:formatCode>"$"#,##0</c:formatCode>
                <c:ptCount val="20"/>
                <c:pt idx="0">
                  <c:v>-13556.201217067583</c:v>
                </c:pt>
                <c:pt idx="1">
                  <c:v>-1807.216494845361</c:v>
                </c:pt>
                <c:pt idx="2">
                  <c:v>-1807.216494845361</c:v>
                </c:pt>
                <c:pt idx="3">
                  <c:v>-1807.216494845361</c:v>
                </c:pt>
                <c:pt idx="4">
                  <c:v>-1807.216494845361</c:v>
                </c:pt>
                <c:pt idx="5">
                  <c:v>-1807.216494845361</c:v>
                </c:pt>
                <c:pt idx="6">
                  <c:v>-1807.216494845361</c:v>
                </c:pt>
                <c:pt idx="7">
                  <c:v>-1807.216494845361</c:v>
                </c:pt>
                <c:pt idx="8">
                  <c:v>-1807.216494845361</c:v>
                </c:pt>
                <c:pt idx="9">
                  <c:v>-1807.216494845361</c:v>
                </c:pt>
                <c:pt idx="10">
                  <c:v>-1807.216494845361</c:v>
                </c:pt>
                <c:pt idx="11">
                  <c:v>-1807.216494845361</c:v>
                </c:pt>
                <c:pt idx="12">
                  <c:v>-1807.216494845361</c:v>
                </c:pt>
                <c:pt idx="13">
                  <c:v>-1807.216494845361</c:v>
                </c:pt>
                <c:pt idx="14">
                  <c:v>-1807.216494845361</c:v>
                </c:pt>
                <c:pt idx="15">
                  <c:v>-1807.216494845361</c:v>
                </c:pt>
                <c:pt idx="16">
                  <c:v>-1807.216494845361</c:v>
                </c:pt>
                <c:pt idx="17">
                  <c:v>-1807.216494845361</c:v>
                </c:pt>
                <c:pt idx="18">
                  <c:v>-1807.216494845361</c:v>
                </c:pt>
                <c:pt idx="19">
                  <c:v>-1807.216494845361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C6-4B90-92E9-BB0358DE2E7C}"/>
            </c:ext>
          </c:extLst>
        </c:ser>
        <c:ser>
          <c:idx val="2"/>
          <c:order val="2"/>
          <c:tx>
            <c:strRef>
              <c:f>Irrigation_Spray!$D$24</c:f>
              <c:strCache>
                <c:ptCount val="1"/>
                <c:pt idx="0">
                  <c:v>Annual Net Revenue /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Irrigation_Spray!$A$25:$A$44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Irrigation_Spray!$D$25:$D$44</c:f>
              <c:numCache>
                <c:formatCode>"$"#,##0</c:formatCode>
                <c:ptCount val="20"/>
                <c:pt idx="0">
                  <c:v>-10431.201217067583</c:v>
                </c:pt>
                <c:pt idx="1">
                  <c:v>1317.783505154639</c:v>
                </c:pt>
                <c:pt idx="2">
                  <c:v>1317.783505154639</c:v>
                </c:pt>
                <c:pt idx="3">
                  <c:v>1317.783505154639</c:v>
                </c:pt>
                <c:pt idx="4">
                  <c:v>1317.783505154639</c:v>
                </c:pt>
                <c:pt idx="5">
                  <c:v>1317.783505154639</c:v>
                </c:pt>
                <c:pt idx="6">
                  <c:v>1317.783505154639</c:v>
                </c:pt>
                <c:pt idx="7">
                  <c:v>1317.783505154639</c:v>
                </c:pt>
                <c:pt idx="8">
                  <c:v>1317.783505154639</c:v>
                </c:pt>
                <c:pt idx="9">
                  <c:v>1317.783505154639</c:v>
                </c:pt>
                <c:pt idx="10">
                  <c:v>1317.783505154639</c:v>
                </c:pt>
                <c:pt idx="11">
                  <c:v>1317.783505154639</c:v>
                </c:pt>
                <c:pt idx="12">
                  <c:v>1317.783505154639</c:v>
                </c:pt>
                <c:pt idx="13">
                  <c:v>1317.783505154639</c:v>
                </c:pt>
                <c:pt idx="14">
                  <c:v>1317.783505154639</c:v>
                </c:pt>
                <c:pt idx="15">
                  <c:v>1317.783505154639</c:v>
                </c:pt>
                <c:pt idx="16">
                  <c:v>1317.783505154639</c:v>
                </c:pt>
                <c:pt idx="17">
                  <c:v>1317.783505154639</c:v>
                </c:pt>
                <c:pt idx="18">
                  <c:v>1317.783505154639</c:v>
                </c:pt>
                <c:pt idx="19">
                  <c:v>1317.783505154639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DE-4287-BDBC-D76CE9DFB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548832"/>
        <c:axId val="523546864"/>
      </c:lineChart>
      <c:catAx>
        <c:axId val="52354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Since Established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46864"/>
        <c:crosses val="autoZero"/>
        <c:auto val="1"/>
        <c:lblAlgn val="ctr"/>
        <c:lblOffset val="100"/>
        <c:noMultiLvlLbl val="0"/>
      </c:catAx>
      <c:valAx>
        <c:axId val="52354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$/acre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4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609012559473394"/>
          <c:y val="0.45959805971958478"/>
          <c:w val="0.37445082150567904"/>
          <c:h val="0.249164789026617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Present Value ($/ac)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Irrigation_Spray!$F$4</c:f>
              <c:strCache>
                <c:ptCount val="1"/>
                <c:pt idx="0">
                  <c:v>PV Benefit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Irrigation_Spray!$G$4</c:f>
              <c:numCache>
                <c:formatCode>"$"#,##0</c:formatCode>
                <c:ptCount val="1"/>
                <c:pt idx="0">
                  <c:v>38944.407320437444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6-4D52-9577-B5B05B347EA6}"/>
            </c:ext>
          </c:extLst>
        </c:ser>
        <c:ser>
          <c:idx val="1"/>
          <c:order val="1"/>
          <c:tx>
            <c:strRef>
              <c:f>Irrigation_Spray!$F$5</c:f>
              <c:strCache>
                <c:ptCount val="1"/>
                <c:pt idx="0">
                  <c:v>PV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Irrigation_Spray!$G$5</c:f>
              <c:numCache>
                <c:formatCode>"$"#,##0</c:formatCode>
                <c:ptCount val="1"/>
                <c:pt idx="0">
                  <c:v>-33711.421352529971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26-4D52-9577-B5B05B347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100"/>
        <c:axId val="964355999"/>
        <c:axId val="964351007"/>
      </c:barChart>
      <c:scatterChart>
        <c:scatterStyle val="lineMarker"/>
        <c:varyColors val="0"/>
        <c:ser>
          <c:idx val="2"/>
          <c:order val="2"/>
          <c:tx>
            <c:strRef>
              <c:f>Irrigation_Spray!$F$6</c:f>
              <c:strCache>
                <c:ptCount val="1"/>
                <c:pt idx="0">
                  <c:v>NPV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Irrigation_Spray!$G$6</c:f>
              <c:numCache>
                <c:formatCode>"$"#,##0</c:formatCode>
                <c:ptCount val="1"/>
                <c:pt idx="0">
                  <c:v>5232.9859679074725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26-4D52-9577-B5B05B347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355999"/>
        <c:axId val="964351007"/>
      </c:scatterChart>
      <c:catAx>
        <c:axId val="9643559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64351007"/>
        <c:crosses val="autoZero"/>
        <c:auto val="1"/>
        <c:lblAlgn val="ctr"/>
        <c:lblOffset val="100"/>
        <c:noMultiLvlLbl val="0"/>
      </c:catAx>
      <c:valAx>
        <c:axId val="96435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35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Non-Discounted Drip Irrigation Cash Flow ($/acre)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20417091636071"/>
          <c:y val="0.10845029239766082"/>
          <c:w val="0.80941449915531039"/>
          <c:h val="0.78254846433669489"/>
        </c:manualLayout>
      </c:layout>
      <c:lineChart>
        <c:grouping val="standard"/>
        <c:varyColors val="0"/>
        <c:ser>
          <c:idx val="0"/>
          <c:order val="0"/>
          <c:tx>
            <c:strRef>
              <c:f>Irrigation_Drip!$B$25</c:f>
              <c:strCache>
                <c:ptCount val="1"/>
                <c:pt idx="0">
                  <c:v>Annual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Irrigation_Drip!$A$26:$A$45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Irrigation_Drip!$B$26:$B$45</c:f>
              <c:numCache>
                <c:formatCode>"$"#,##0</c:formatCode>
                <c:ptCount val="20"/>
                <c:pt idx="0">
                  <c:v>3125</c:v>
                </c:pt>
                <c:pt idx="1">
                  <c:v>3125</c:v>
                </c:pt>
                <c:pt idx="2">
                  <c:v>3125</c:v>
                </c:pt>
                <c:pt idx="3">
                  <c:v>3125</c:v>
                </c:pt>
                <c:pt idx="4">
                  <c:v>3125</c:v>
                </c:pt>
                <c:pt idx="5">
                  <c:v>3125</c:v>
                </c:pt>
                <c:pt idx="6">
                  <c:v>3125</c:v>
                </c:pt>
                <c:pt idx="7">
                  <c:v>3125</c:v>
                </c:pt>
                <c:pt idx="8">
                  <c:v>3125</c:v>
                </c:pt>
                <c:pt idx="9">
                  <c:v>3125</c:v>
                </c:pt>
                <c:pt idx="10">
                  <c:v>3125</c:v>
                </c:pt>
                <c:pt idx="11">
                  <c:v>3125</c:v>
                </c:pt>
                <c:pt idx="12">
                  <c:v>3125</c:v>
                </c:pt>
                <c:pt idx="13">
                  <c:v>3125</c:v>
                </c:pt>
                <c:pt idx="14">
                  <c:v>3125</c:v>
                </c:pt>
                <c:pt idx="15">
                  <c:v>3125</c:v>
                </c:pt>
                <c:pt idx="16">
                  <c:v>3125</c:v>
                </c:pt>
                <c:pt idx="17">
                  <c:v>3125</c:v>
                </c:pt>
                <c:pt idx="18">
                  <c:v>3125</c:v>
                </c:pt>
                <c:pt idx="19">
                  <c:v>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66-484B-B1D0-22AE76B22381}"/>
            </c:ext>
          </c:extLst>
        </c:ser>
        <c:ser>
          <c:idx val="1"/>
          <c:order val="1"/>
          <c:tx>
            <c:strRef>
              <c:f>Irrigation_Drip!$C$25</c:f>
              <c:strCache>
                <c:ptCount val="1"/>
                <c:pt idx="0">
                  <c:v>Annual 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Irrigation_Drip!$A$26:$A$45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Irrigation_Drip!$C$26:$C$45</c:f>
              <c:numCache>
                <c:formatCode>"$"#,##0</c:formatCode>
                <c:ptCount val="20"/>
                <c:pt idx="0">
                  <c:v>-12616.938717067584</c:v>
                </c:pt>
                <c:pt idx="1">
                  <c:v>-1807.216494845361</c:v>
                </c:pt>
                <c:pt idx="2">
                  <c:v>-1807.216494845361</c:v>
                </c:pt>
                <c:pt idx="3">
                  <c:v>-1807.216494845361</c:v>
                </c:pt>
                <c:pt idx="4">
                  <c:v>-1807.216494845361</c:v>
                </c:pt>
                <c:pt idx="5">
                  <c:v>-1807.216494845361</c:v>
                </c:pt>
                <c:pt idx="6">
                  <c:v>-1807.216494845361</c:v>
                </c:pt>
                <c:pt idx="7">
                  <c:v>-1807.216494845361</c:v>
                </c:pt>
                <c:pt idx="8">
                  <c:v>-1807.216494845361</c:v>
                </c:pt>
                <c:pt idx="9">
                  <c:v>-1807.216494845361</c:v>
                </c:pt>
                <c:pt idx="10">
                  <c:v>-1807.216494845361</c:v>
                </c:pt>
                <c:pt idx="11">
                  <c:v>-1807.216494845361</c:v>
                </c:pt>
                <c:pt idx="12">
                  <c:v>-1807.216494845361</c:v>
                </c:pt>
                <c:pt idx="13">
                  <c:v>-1807.216494845361</c:v>
                </c:pt>
                <c:pt idx="14">
                  <c:v>-1807.216494845361</c:v>
                </c:pt>
                <c:pt idx="15">
                  <c:v>-1807.216494845361</c:v>
                </c:pt>
                <c:pt idx="16">
                  <c:v>-1807.216494845361</c:v>
                </c:pt>
                <c:pt idx="17">
                  <c:v>-1807.216494845361</c:v>
                </c:pt>
                <c:pt idx="18">
                  <c:v>-1807.216494845361</c:v>
                </c:pt>
                <c:pt idx="19">
                  <c:v>-1807.216494845361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66-484B-B1D0-22AE76B22381}"/>
            </c:ext>
          </c:extLst>
        </c:ser>
        <c:ser>
          <c:idx val="2"/>
          <c:order val="2"/>
          <c:tx>
            <c:strRef>
              <c:f>Irrigation_Drip!$D$25</c:f>
              <c:strCache>
                <c:ptCount val="1"/>
                <c:pt idx="0">
                  <c:v>Annual Net Revenue /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Irrigation_Drip!$A$26:$A$45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Irrigation_Drip!$D$26:$D$45</c:f>
              <c:numCache>
                <c:formatCode>"$"#,##0</c:formatCode>
                <c:ptCount val="20"/>
                <c:pt idx="0">
                  <c:v>-9491.9387170675836</c:v>
                </c:pt>
                <c:pt idx="1">
                  <c:v>1317.783505154639</c:v>
                </c:pt>
                <c:pt idx="2">
                  <c:v>1317.783505154639</c:v>
                </c:pt>
                <c:pt idx="3">
                  <c:v>1317.783505154639</c:v>
                </c:pt>
                <c:pt idx="4">
                  <c:v>1317.783505154639</c:v>
                </c:pt>
                <c:pt idx="5">
                  <c:v>1317.783505154639</c:v>
                </c:pt>
                <c:pt idx="6">
                  <c:v>1317.783505154639</c:v>
                </c:pt>
                <c:pt idx="7">
                  <c:v>1317.783505154639</c:v>
                </c:pt>
                <c:pt idx="8">
                  <c:v>1317.783505154639</c:v>
                </c:pt>
                <c:pt idx="9">
                  <c:v>1317.783505154639</c:v>
                </c:pt>
                <c:pt idx="10">
                  <c:v>1317.783505154639</c:v>
                </c:pt>
                <c:pt idx="11">
                  <c:v>1317.783505154639</c:v>
                </c:pt>
                <c:pt idx="12">
                  <c:v>1317.783505154639</c:v>
                </c:pt>
                <c:pt idx="13">
                  <c:v>1317.783505154639</c:v>
                </c:pt>
                <c:pt idx="14">
                  <c:v>1317.783505154639</c:v>
                </c:pt>
                <c:pt idx="15">
                  <c:v>1317.783505154639</c:v>
                </c:pt>
                <c:pt idx="16">
                  <c:v>1317.783505154639</c:v>
                </c:pt>
                <c:pt idx="17">
                  <c:v>1317.783505154639</c:v>
                </c:pt>
                <c:pt idx="18">
                  <c:v>1317.783505154639</c:v>
                </c:pt>
                <c:pt idx="19">
                  <c:v>1317.783505154639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66-484B-B1D0-22AE76B22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548832"/>
        <c:axId val="523546864"/>
      </c:lineChart>
      <c:catAx>
        <c:axId val="52354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Since Established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46864"/>
        <c:crosses val="autoZero"/>
        <c:auto val="1"/>
        <c:lblAlgn val="ctr"/>
        <c:lblOffset val="100"/>
        <c:noMultiLvlLbl val="0"/>
      </c:catAx>
      <c:valAx>
        <c:axId val="52354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$/acre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4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7609012559473394"/>
          <c:y val="0.45959805971958478"/>
          <c:w val="0.37445082150567904"/>
          <c:h val="0.249164789026617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Present Value ($/ac)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Irrigation_Drip!$F$4</c:f>
              <c:strCache>
                <c:ptCount val="1"/>
                <c:pt idx="0">
                  <c:v>PV Benefit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Irrigation_Drip!$G$4</c:f>
              <c:numCache>
                <c:formatCode>"$"#,##0</c:formatCode>
                <c:ptCount val="1"/>
                <c:pt idx="0">
                  <c:v>38944.407320437444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96-4E9A-81BE-A996E885166B}"/>
            </c:ext>
          </c:extLst>
        </c:ser>
        <c:ser>
          <c:idx val="1"/>
          <c:order val="1"/>
          <c:tx>
            <c:strRef>
              <c:f>Irrigation_Drip!$F$5</c:f>
              <c:strCache>
                <c:ptCount val="1"/>
                <c:pt idx="0">
                  <c:v>PV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Irrigation_Drip!$G$5</c:f>
              <c:numCache>
                <c:formatCode>"$"#,##0</c:formatCode>
                <c:ptCount val="1"/>
                <c:pt idx="0">
                  <c:v>-32816.885638244261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96-4E9A-81BE-A996E8851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100"/>
        <c:axId val="964355999"/>
        <c:axId val="964351007"/>
      </c:barChart>
      <c:scatterChart>
        <c:scatterStyle val="lineMarker"/>
        <c:varyColors val="0"/>
        <c:ser>
          <c:idx val="2"/>
          <c:order val="2"/>
          <c:tx>
            <c:strRef>
              <c:f>Irrigation_Drip!$F$6</c:f>
              <c:strCache>
                <c:ptCount val="1"/>
                <c:pt idx="0">
                  <c:v>NPV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Irrigation_Drip!$G$6</c:f>
              <c:numCache>
                <c:formatCode>"$"#,##0</c:formatCode>
                <c:ptCount val="1"/>
                <c:pt idx="0">
                  <c:v>6127.5216821931826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96-4E9A-81BE-A996E8851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355999"/>
        <c:axId val="964351007"/>
      </c:scatterChart>
      <c:catAx>
        <c:axId val="9643559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64351007"/>
        <c:crosses val="autoZero"/>
        <c:auto val="1"/>
        <c:lblAlgn val="ctr"/>
        <c:lblOffset val="100"/>
        <c:noMultiLvlLbl val="0"/>
      </c:catAx>
      <c:valAx>
        <c:axId val="96435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35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Present Value ($/ac)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'Tarp&amp;CoverCrop'!$F$4</c:f>
              <c:strCache>
                <c:ptCount val="1"/>
                <c:pt idx="0">
                  <c:v>PV Benefit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'Tarp&amp;CoverCrop'!$G$4</c:f>
              <c:numCache>
                <c:formatCode>"$"#,##0</c:formatCode>
                <c:ptCount val="1"/>
                <c:pt idx="0">
                  <c:v>6231.1051712699882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D8-4295-A756-A3D4140DE220}"/>
            </c:ext>
          </c:extLst>
        </c:ser>
        <c:ser>
          <c:idx val="1"/>
          <c:order val="1"/>
          <c:tx>
            <c:strRef>
              <c:f>'Tarp&amp;CoverCrop'!$F$5</c:f>
              <c:strCache>
                <c:ptCount val="1"/>
                <c:pt idx="0">
                  <c:v>PV Cost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'Tarp&amp;CoverCrop'!$G$5</c:f>
              <c:numCache>
                <c:formatCode>"$"#,##0</c:formatCode>
                <c:ptCount val="1"/>
                <c:pt idx="0">
                  <c:v>-5830.6506941172529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D8-4295-A756-A3D4140DE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0"/>
        <c:overlap val="100"/>
        <c:axId val="964355999"/>
        <c:axId val="964351007"/>
      </c:barChart>
      <c:scatterChart>
        <c:scatterStyle val="lineMarker"/>
        <c:varyColors val="0"/>
        <c:ser>
          <c:idx val="2"/>
          <c:order val="2"/>
          <c:tx>
            <c:strRef>
              <c:f>'Tarp&amp;CoverCrop'!$F$6</c:f>
              <c:strCache>
                <c:ptCount val="1"/>
                <c:pt idx="0">
                  <c:v>NPV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'Tarp&amp;CoverCrop'!$G$6</c:f>
              <c:numCache>
                <c:formatCode>"$"#,##0</c:formatCode>
                <c:ptCount val="1"/>
                <c:pt idx="0">
                  <c:v>400.45447715273531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D8-4295-A756-A3D4140DE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355999"/>
        <c:axId val="964351007"/>
      </c:scatterChart>
      <c:catAx>
        <c:axId val="9643559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64351007"/>
        <c:crosses val="autoZero"/>
        <c:auto val="1"/>
        <c:lblAlgn val="ctr"/>
        <c:lblOffset val="100"/>
        <c:noMultiLvlLbl val="0"/>
      </c:catAx>
      <c:valAx>
        <c:axId val="96435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35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</a:t>
            </a:r>
            <a:r>
              <a:rPr lang="en-US" baseline="0"/>
              <a:t> Discounted </a:t>
            </a:r>
            <a:r>
              <a:rPr lang="en-US"/>
              <a:t>Tarping &amp; Cover Crop Cash Flow ($/acre)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20417091636071"/>
          <c:y val="0.10845029239766082"/>
          <c:w val="0.80941449915531039"/>
          <c:h val="0.78254846433669489"/>
        </c:manualLayout>
      </c:layout>
      <c:lineChart>
        <c:grouping val="standard"/>
        <c:varyColors val="0"/>
        <c:ser>
          <c:idx val="0"/>
          <c:order val="0"/>
          <c:tx>
            <c:strRef>
              <c:f>'Tarp&amp;CoverCrop'!$B$21</c:f>
              <c:strCache>
                <c:ptCount val="1"/>
                <c:pt idx="0">
                  <c:v>Annual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'Tarp&amp;CoverCrop'!$A$22:$A$41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'Tarp&amp;CoverCrop'!$B$22:$B$41</c:f>
              <c:numCache>
                <c:formatCode>"$"#,##0</c:formatCode>
                <c:ptCount val="20"/>
                <c:pt idx="0">
                  <c:v>499.99999999999989</c:v>
                </c:pt>
                <c:pt idx="1">
                  <c:v>499.99999999999989</c:v>
                </c:pt>
                <c:pt idx="2">
                  <c:v>499.99999999999989</c:v>
                </c:pt>
                <c:pt idx="3">
                  <c:v>499.99999999999989</c:v>
                </c:pt>
                <c:pt idx="4">
                  <c:v>499.99999999999989</c:v>
                </c:pt>
                <c:pt idx="5">
                  <c:v>499.99999999999989</c:v>
                </c:pt>
                <c:pt idx="6">
                  <c:v>499.99999999999989</c:v>
                </c:pt>
                <c:pt idx="7">
                  <c:v>499.99999999999989</c:v>
                </c:pt>
                <c:pt idx="8">
                  <c:v>499.99999999999989</c:v>
                </c:pt>
                <c:pt idx="9">
                  <c:v>499.99999999999989</c:v>
                </c:pt>
                <c:pt idx="10">
                  <c:v>499.99999999999989</c:v>
                </c:pt>
                <c:pt idx="11">
                  <c:v>499.99999999999989</c:v>
                </c:pt>
                <c:pt idx="12">
                  <c:v>499.99999999999989</c:v>
                </c:pt>
                <c:pt idx="13">
                  <c:v>499.99999999999989</c:v>
                </c:pt>
                <c:pt idx="14">
                  <c:v>499.99999999999989</c:v>
                </c:pt>
                <c:pt idx="15">
                  <c:v>499.99999999999989</c:v>
                </c:pt>
                <c:pt idx="16">
                  <c:v>499.99999999999989</c:v>
                </c:pt>
                <c:pt idx="17">
                  <c:v>499.99999999999989</c:v>
                </c:pt>
                <c:pt idx="18">
                  <c:v>499.99999999999989</c:v>
                </c:pt>
                <c:pt idx="19">
                  <c:v>499.99999999999989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B9-41A3-B779-44EF4F035FA6}"/>
            </c:ext>
          </c:extLst>
        </c:ser>
        <c:ser>
          <c:idx val="1"/>
          <c:order val="1"/>
          <c:tx>
            <c:strRef>
              <c:f>'Tarp&amp;CoverCrop'!$C$21</c:f>
              <c:strCache>
                <c:ptCount val="1"/>
                <c:pt idx="0">
                  <c:v>Annual 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'Tarp&amp;CoverCrop'!$A$22:$A$41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'Tarp&amp;CoverCrop'!$C$22:$C$41</c:f>
              <c:numCache>
                <c:formatCode>"$"#,##0</c:formatCode>
                <c:ptCount val="20"/>
                <c:pt idx="0">
                  <c:v>-1629.6000000000001</c:v>
                </c:pt>
                <c:pt idx="1">
                  <c:v>-150</c:v>
                </c:pt>
                <c:pt idx="2">
                  <c:v>-130</c:v>
                </c:pt>
                <c:pt idx="3">
                  <c:v>-150</c:v>
                </c:pt>
                <c:pt idx="4">
                  <c:v>-130</c:v>
                </c:pt>
                <c:pt idx="5">
                  <c:v>-1629.6000000000001</c:v>
                </c:pt>
                <c:pt idx="6">
                  <c:v>-150</c:v>
                </c:pt>
                <c:pt idx="7">
                  <c:v>-130</c:v>
                </c:pt>
                <c:pt idx="8">
                  <c:v>-150</c:v>
                </c:pt>
                <c:pt idx="9">
                  <c:v>-130</c:v>
                </c:pt>
                <c:pt idx="10">
                  <c:v>-1629.6000000000001</c:v>
                </c:pt>
                <c:pt idx="11">
                  <c:v>-150</c:v>
                </c:pt>
                <c:pt idx="12">
                  <c:v>-130</c:v>
                </c:pt>
                <c:pt idx="13">
                  <c:v>-150</c:v>
                </c:pt>
                <c:pt idx="14">
                  <c:v>-130</c:v>
                </c:pt>
                <c:pt idx="15">
                  <c:v>-1629.6000000000001</c:v>
                </c:pt>
                <c:pt idx="16">
                  <c:v>-150</c:v>
                </c:pt>
                <c:pt idx="17">
                  <c:v>-130</c:v>
                </c:pt>
                <c:pt idx="18">
                  <c:v>-150</c:v>
                </c:pt>
                <c:pt idx="19">
                  <c:v>-130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B9-41A3-B779-44EF4F035FA6}"/>
            </c:ext>
          </c:extLst>
        </c:ser>
        <c:ser>
          <c:idx val="2"/>
          <c:order val="2"/>
          <c:tx>
            <c:strRef>
              <c:f>'Tarp&amp;CoverCrop'!$D$21</c:f>
              <c:strCache>
                <c:ptCount val="1"/>
                <c:pt idx="0">
                  <c:v>Annual Net Revenue /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'Tarp&amp;CoverCrop'!$A$22:$A$41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'Tarp&amp;CoverCrop'!$D$22:$D$41</c:f>
              <c:numCache>
                <c:formatCode>"$"#,##0</c:formatCode>
                <c:ptCount val="20"/>
                <c:pt idx="0">
                  <c:v>-1129.6000000000004</c:v>
                </c:pt>
                <c:pt idx="1">
                  <c:v>349.99999999999989</c:v>
                </c:pt>
                <c:pt idx="2">
                  <c:v>369.99999999999989</c:v>
                </c:pt>
                <c:pt idx="3">
                  <c:v>349.99999999999989</c:v>
                </c:pt>
                <c:pt idx="4">
                  <c:v>369.99999999999989</c:v>
                </c:pt>
                <c:pt idx="5">
                  <c:v>-1129.6000000000004</c:v>
                </c:pt>
                <c:pt idx="6">
                  <c:v>349.99999999999989</c:v>
                </c:pt>
                <c:pt idx="7">
                  <c:v>369.99999999999989</c:v>
                </c:pt>
                <c:pt idx="8">
                  <c:v>349.99999999999989</c:v>
                </c:pt>
                <c:pt idx="9">
                  <c:v>369.99999999999989</c:v>
                </c:pt>
                <c:pt idx="10">
                  <c:v>-1129.6000000000004</c:v>
                </c:pt>
                <c:pt idx="11">
                  <c:v>349.99999999999989</c:v>
                </c:pt>
                <c:pt idx="12">
                  <c:v>369.99999999999989</c:v>
                </c:pt>
                <c:pt idx="13">
                  <c:v>349.99999999999989</c:v>
                </c:pt>
                <c:pt idx="14">
                  <c:v>369.99999999999989</c:v>
                </c:pt>
                <c:pt idx="15">
                  <c:v>-1129.6000000000004</c:v>
                </c:pt>
                <c:pt idx="16">
                  <c:v>349.99999999999989</c:v>
                </c:pt>
                <c:pt idx="17">
                  <c:v>369.99999999999989</c:v>
                </c:pt>
                <c:pt idx="18">
                  <c:v>349.99999999999989</c:v>
                </c:pt>
                <c:pt idx="19">
                  <c:v>369.99999999999989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B9-41A3-B779-44EF4F035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548832"/>
        <c:axId val="523546864"/>
      </c:lineChart>
      <c:catAx>
        <c:axId val="52354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Since Established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46864"/>
        <c:crosses val="autoZero"/>
        <c:auto val="1"/>
        <c:lblAlgn val="ctr"/>
        <c:lblOffset val="100"/>
        <c:noMultiLvlLbl val="0"/>
      </c:catAx>
      <c:valAx>
        <c:axId val="52354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$/acre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4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178165917111153"/>
          <c:y val="0.36024880268808912"/>
          <c:w val="0.39890180418108323"/>
          <c:h val="0.247194068158772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167064</xdr:colOff>
      <xdr:row>19</xdr:row>
      <xdr:rowOff>207889</xdr:rowOff>
    </xdr:from>
    <xdr:to>
      <xdr:col>18</xdr:col>
      <xdr:colOff>160260</xdr:colOff>
      <xdr:row>45</xdr:row>
      <xdr:rowOff>7410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122B61-A684-4437-8578-E20CB1063F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14</xdr:col>
      <xdr:colOff>523876</xdr:colOff>
      <xdr:row>17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C1C10D-F290-4352-8679-2603CFA20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353785</xdr:colOff>
      <xdr:row>25</xdr:row>
      <xdr:rowOff>58967</xdr:rowOff>
    </xdr:from>
    <xdr:to>
      <xdr:col>17</xdr:col>
      <xdr:colOff>426353</xdr:colOff>
      <xdr:row>49</xdr:row>
      <xdr:rowOff>48988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5174BE-F4BA-4857-A05D-F3DFE85C4F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210910</xdr:colOff>
      <xdr:row>0</xdr:row>
      <xdr:rowOff>183017</xdr:rowOff>
    </xdr:from>
    <xdr:to>
      <xdr:col>14</xdr:col>
      <xdr:colOff>122464</xdr:colOff>
      <xdr:row>15</xdr:row>
      <xdr:rowOff>68717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1B9E11-63AF-44FF-8FC3-52856C8B39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353785</xdr:colOff>
      <xdr:row>26</xdr:row>
      <xdr:rowOff>58967</xdr:rowOff>
    </xdr:from>
    <xdr:to>
      <xdr:col>17</xdr:col>
      <xdr:colOff>426353</xdr:colOff>
      <xdr:row>50</xdr:row>
      <xdr:rowOff>48988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4174E6-E149-43BC-99C1-2322D9D2D5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210910</xdr:colOff>
      <xdr:row>0</xdr:row>
      <xdr:rowOff>183017</xdr:rowOff>
    </xdr:from>
    <xdr:to>
      <xdr:col>14</xdr:col>
      <xdr:colOff>122464</xdr:colOff>
      <xdr:row>16</xdr:row>
      <xdr:rowOff>68717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C56F0C-E4CA-40E1-94B1-5F44147F0D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13607</xdr:rowOff>
    </xdr:from>
    <xdr:to>
      <xdr:col>14</xdr:col>
      <xdr:colOff>523876</xdr:colOff>
      <xdr:row>17</xdr:row>
      <xdr:rowOff>89807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22C425-A9EA-4E87-A050-9EB03ECFE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20</xdr:row>
      <xdr:rowOff>0</xdr:rowOff>
    </xdr:from>
    <xdr:to>
      <xdr:col>18</xdr:col>
      <xdr:colOff>260347</xdr:colOff>
      <xdr:row>42</xdr:row>
      <xdr:rowOff>180521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7F29D5-7FC1-4C80-A803-88FB07E6AD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extension.missouri.edu/publications/af1006" TargetMode="External"/><Relationship Id="rId1" Type="http://schemas.openxmlformats.org/officeDocument/2006/relationships/hyperlink" Target="https://bugwoodcloud.org/bugwood/productivity/pdfs/Jx_WOODLAND_MANAGEMENT_Trees_per_Acre_Spacing_Dist_CODER_2017.pdf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cs.usda.gov/wps/PA_NRCSConsumption/download?cid=NRCSEPRD1854519&amp;ext=pdf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https://www.nrcs.usda.gov/wps/PA_NRCSConsumption/download?cid=NRCSEPRD1854519&amp;ext=pdf" TargetMode="External"/><Relationship Id="rId1" Type="http://schemas.openxmlformats.org/officeDocument/2006/relationships/hyperlink" Target="https://www.nrcs.usda.gov/wps/PA_NRCSConsumption/download?cid=NRCSEPRD1854519&amp;ext=pdf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eia.gov/petroleum/gasdiesel/" TargetMode="External"/><Relationship Id="rId4" Type="http://schemas.openxmlformats.org/officeDocument/2006/relationships/hyperlink" Target="https://extension.okstate.edu/fact-sheets/comparative-energy-costs-for-irrigation-pumping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petroleum/gasdiesel/" TargetMode="External"/><Relationship Id="rId2" Type="http://schemas.openxmlformats.org/officeDocument/2006/relationships/hyperlink" Target="https://extension.okstate.edu/fact-sheets/comparative-energy-costs-for-irrigation-pumping.html" TargetMode="External"/><Relationship Id="rId1" Type="http://schemas.openxmlformats.org/officeDocument/2006/relationships/hyperlink" Target="https://www.nrcs.usda.gov/wps/PA_NRCSConsumption/download?cid=NRCSEPRD1854519&amp;ext=pdf" TargetMode="External"/><Relationship Id="rId6" Type="http://schemas.openxmlformats.org/officeDocument/2006/relationships/drawing" Target="../drawings/drawing3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www.nrcs.usda.gov/wps/PA_NRCSConsumption/download?cid=NRCSEPRD1854519&amp;ext=pdf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fyi.extension.wisc.edu/danecountyag/files/2019/07/Tarps-to-Terminate-Cover-Crops-Before-No-Till-Organic-Vegetables-RFS.pdf" TargetMode="External"/><Relationship Id="rId1" Type="http://schemas.openxmlformats.org/officeDocument/2006/relationships/hyperlink" Target="https://www.nrcs.usda.gov/wps/PA_NRCSConsumption/download?cid=NRCSEPRD1854519&amp;ext=pdf" TargetMode="Externa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H41"/>
  <sheetViews>
    <sheetView zoomScale="80" zoomScaleNormal="80" workbookViewId="0">
      <selection activeCell="A13" sqref="A13"/>
    </sheetView>
  </sheetViews>
  <sheetFormatPr defaultRowHeight="15" x14ac:dyDescent="0.25"/>
  <cols>
    <col min="1" max="1" width="36.28515625" customWidth="1"/>
    <col min="2" max="2" width="19.85546875" customWidth="1"/>
    <col min="3" max="3" width="17.85546875" customWidth="1"/>
    <col min="4" max="4" width="43.85546875" customWidth="1"/>
    <col min="5" max="5" width="15.42578125" customWidth="1"/>
    <col min="6" max="6" width="20.7109375" customWidth="1"/>
    <col min="8" max="8" width="10.140625" bestFit="1" customWidth="1"/>
  </cols>
  <sheetData>
    <row r="1" spans="1:8" x14ac:dyDescent="0.25">
      <c r="A1" s="5" t="s">
        <v>4</v>
      </c>
      <c r="B1" s="5" t="s">
        <v>9</v>
      </c>
      <c r="C1" s="8" t="s">
        <v>10</v>
      </c>
      <c r="D1" s="8" t="s">
        <v>16</v>
      </c>
    </row>
    <row r="2" spans="1:8" x14ac:dyDescent="0.25">
      <c r="A2" t="s">
        <v>2</v>
      </c>
      <c r="B2">
        <v>10</v>
      </c>
      <c r="C2" s="3" t="s">
        <v>11</v>
      </c>
      <c r="D2" t="s">
        <v>31</v>
      </c>
      <c r="F2" s="48" t="s">
        <v>28</v>
      </c>
      <c r="G2" s="47" t="s">
        <v>27</v>
      </c>
      <c r="H2" s="47"/>
    </row>
    <row r="3" spans="1:8" x14ac:dyDescent="0.25">
      <c r="A3" t="s">
        <v>0</v>
      </c>
      <c r="B3">
        <v>20</v>
      </c>
      <c r="C3" s="3" t="s">
        <v>11</v>
      </c>
      <c r="D3" t="s">
        <v>18</v>
      </c>
      <c r="F3" s="49"/>
      <c r="G3" s="12" t="s">
        <v>32</v>
      </c>
      <c r="H3" s="12" t="s">
        <v>33</v>
      </c>
    </row>
    <row r="4" spans="1:8" x14ac:dyDescent="0.25">
      <c r="A4" t="s">
        <v>3</v>
      </c>
      <c r="B4" s="2">
        <v>0.05</v>
      </c>
      <c r="C4" s="3" t="s">
        <v>11</v>
      </c>
      <c r="D4" t="s">
        <v>19</v>
      </c>
      <c r="F4" t="s">
        <v>23</v>
      </c>
      <c r="G4" s="4">
        <f>NPV($B$4,B21:B40)</f>
        <v>4449.126306883777</v>
      </c>
      <c r="H4" s="4">
        <f>G4*$B$2</f>
        <v>44491.263068837769</v>
      </c>
    </row>
    <row r="5" spans="1:8" x14ac:dyDescent="0.25">
      <c r="A5" t="s">
        <v>52</v>
      </c>
      <c r="B5" s="4">
        <v>450</v>
      </c>
      <c r="C5" s="3" t="s">
        <v>11</v>
      </c>
      <c r="D5" t="s">
        <v>29</v>
      </c>
      <c r="F5" t="s">
        <v>24</v>
      </c>
      <c r="G5" s="4">
        <f>NPV($B$4,C21:C40)</f>
        <v>-1830.5941181140047</v>
      </c>
      <c r="H5" s="4">
        <f>G5*$B$2</f>
        <v>-18305.941181140046</v>
      </c>
    </row>
    <row r="6" spans="1:8" x14ac:dyDescent="0.25">
      <c r="A6" t="s">
        <v>20</v>
      </c>
      <c r="B6" s="4">
        <v>300</v>
      </c>
      <c r="C6" s="3" t="s">
        <v>11</v>
      </c>
      <c r="D6" t="s">
        <v>29</v>
      </c>
      <c r="F6" t="s">
        <v>68</v>
      </c>
      <c r="G6" s="4">
        <f>G4+G5</f>
        <v>2618.5321887697723</v>
      </c>
      <c r="H6" s="4">
        <f>H4+H5</f>
        <v>26185.321887697723</v>
      </c>
    </row>
    <row r="7" spans="1:8" x14ac:dyDescent="0.25">
      <c r="A7" t="s">
        <v>53</v>
      </c>
      <c r="B7" s="4">
        <f>B5-B6</f>
        <v>150</v>
      </c>
      <c r="C7" s="3" t="s">
        <v>11</v>
      </c>
      <c r="D7" t="s">
        <v>30</v>
      </c>
      <c r="F7" s="13" t="s">
        <v>25</v>
      </c>
      <c r="G7" s="14">
        <f>-G4/G5</f>
        <v>2.4304275114068168</v>
      </c>
      <c r="H7" s="14">
        <f>-H4/H5</f>
        <v>2.4304275114068168</v>
      </c>
    </row>
    <row r="8" spans="1:8" x14ac:dyDescent="0.25">
      <c r="A8" t="s">
        <v>14</v>
      </c>
      <c r="B8">
        <v>30</v>
      </c>
      <c r="C8" s="3">
        <v>1</v>
      </c>
      <c r="D8" s="10" t="s">
        <v>21</v>
      </c>
    </row>
    <row r="9" spans="1:8" x14ac:dyDescent="0.25">
      <c r="A9" t="s">
        <v>7</v>
      </c>
      <c r="B9" s="6">
        <f>43560/(B8*B8)</f>
        <v>48.4</v>
      </c>
      <c r="C9" s="3">
        <v>1</v>
      </c>
      <c r="D9" s="10" t="s">
        <v>22</v>
      </c>
    </row>
    <row r="10" spans="1:8" x14ac:dyDescent="0.25">
      <c r="A10" s="26" t="s">
        <v>93</v>
      </c>
      <c r="B10" s="27">
        <v>5</v>
      </c>
      <c r="C10" s="28">
        <v>1</v>
      </c>
      <c r="D10" t="s">
        <v>26</v>
      </c>
    </row>
    <row r="11" spans="1:8" x14ac:dyDescent="0.25">
      <c r="A11" s="26" t="s">
        <v>94</v>
      </c>
      <c r="B11" s="27">
        <v>4.5</v>
      </c>
      <c r="C11" s="28">
        <v>1</v>
      </c>
      <c r="D11" t="s">
        <v>26</v>
      </c>
    </row>
    <row r="12" spans="1:8" x14ac:dyDescent="0.25">
      <c r="A12" t="s">
        <v>12</v>
      </c>
      <c r="B12" s="9">
        <v>2.5</v>
      </c>
      <c r="C12" s="7" t="s">
        <v>13</v>
      </c>
      <c r="D12" t="s">
        <v>26</v>
      </c>
    </row>
    <row r="13" spans="1:8" x14ac:dyDescent="0.25">
      <c r="A13" t="s">
        <v>5</v>
      </c>
      <c r="B13" s="6">
        <v>2</v>
      </c>
      <c r="C13" s="7" t="s">
        <v>15</v>
      </c>
      <c r="D13" t="s">
        <v>26</v>
      </c>
    </row>
    <row r="14" spans="1:8" x14ac:dyDescent="0.25">
      <c r="A14" t="s">
        <v>6</v>
      </c>
      <c r="B14" s="9">
        <v>5</v>
      </c>
      <c r="C14" s="3" t="str">
        <f>C13</f>
        <v>10-20</v>
      </c>
      <c r="D14" t="s">
        <v>26</v>
      </c>
    </row>
    <row r="15" spans="1:8" x14ac:dyDescent="0.25">
      <c r="A15" s="44" t="s">
        <v>91</v>
      </c>
      <c r="B15" s="45">
        <f>(45360-(B9*3.14*3^2))/45360</f>
        <v>0.96984603174603179</v>
      </c>
      <c r="C15" s="46" t="s">
        <v>11</v>
      </c>
      <c r="D15" t="s">
        <v>95</v>
      </c>
    </row>
    <row r="16" spans="1:8" x14ac:dyDescent="0.25">
      <c r="A16" s="44" t="s">
        <v>92</v>
      </c>
      <c r="B16" s="45">
        <v>1.1000000000000001</v>
      </c>
      <c r="C16" s="46" t="s">
        <v>11</v>
      </c>
      <c r="D16" t="s">
        <v>17</v>
      </c>
    </row>
    <row r="19" spans="1:7" x14ac:dyDescent="0.25">
      <c r="A19" s="11" t="s">
        <v>8</v>
      </c>
      <c r="B19" s="50" t="s">
        <v>67</v>
      </c>
      <c r="C19" s="51"/>
      <c r="D19" s="52"/>
      <c r="E19" s="50" t="s">
        <v>71</v>
      </c>
      <c r="F19" s="51"/>
      <c r="G19" s="52"/>
    </row>
    <row r="20" spans="1:7" s="1" customFormat="1" ht="45" x14ac:dyDescent="0.25">
      <c r="A20" s="5" t="s">
        <v>1</v>
      </c>
      <c r="B20" s="16" t="s">
        <v>73</v>
      </c>
      <c r="C20" s="16" t="s">
        <v>74</v>
      </c>
      <c r="D20" s="16" t="s">
        <v>72</v>
      </c>
      <c r="E20" s="24" t="s">
        <v>75</v>
      </c>
      <c r="F20" s="24" t="s">
        <v>24</v>
      </c>
      <c r="G20" s="24" t="s">
        <v>70</v>
      </c>
    </row>
    <row r="21" spans="1:7" x14ac:dyDescent="0.25">
      <c r="A21">
        <v>1</v>
      </c>
      <c r="B21" s="17">
        <f t="shared" ref="B21:B30" si="0">($B$5-$B$6)*$B$15*$B$16</f>
        <v>160.02459523809526</v>
      </c>
      <c r="C21" s="43">
        <f>-(B10+B11)*B9</f>
        <v>-459.8</v>
      </c>
      <c r="D21" s="17">
        <f>SUM(B21:C21)</f>
        <v>-299.77540476190472</v>
      </c>
      <c r="E21" s="19">
        <f t="shared" ref="E21:E40" si="1">B21/(1+$B$4)^$A21</f>
        <v>152.40437641723358</v>
      </c>
      <c r="F21" s="19">
        <f t="shared" ref="F21:F40" si="2">C21/(1+$B$4)^$A21</f>
        <v>-437.90476190476187</v>
      </c>
      <c r="G21" s="19">
        <f>SUM(E21:F21)</f>
        <v>-285.50038548752832</v>
      </c>
    </row>
    <row r="22" spans="1:7" x14ac:dyDescent="0.25">
      <c r="A22">
        <v>2</v>
      </c>
      <c r="B22" s="17">
        <f t="shared" si="0"/>
        <v>160.02459523809526</v>
      </c>
      <c r="C22" s="17">
        <f>-B12*B9</f>
        <v>-121</v>
      </c>
      <c r="D22" s="17">
        <f t="shared" ref="D22:D40" si="3">SUM(B22:C22)</f>
        <v>39.024595238095259</v>
      </c>
      <c r="E22" s="19">
        <f t="shared" si="1"/>
        <v>145.14702515927007</v>
      </c>
      <c r="F22" s="19">
        <f t="shared" si="2"/>
        <v>-109.75056689342404</v>
      </c>
      <c r="G22" s="19">
        <f t="shared" ref="G22:G40" si="4">SUM(E22:F22)</f>
        <v>35.396458265846036</v>
      </c>
    </row>
    <row r="23" spans="1:7" x14ac:dyDescent="0.25">
      <c r="A23">
        <v>3</v>
      </c>
      <c r="B23" s="17">
        <f t="shared" si="0"/>
        <v>160.02459523809526</v>
      </c>
      <c r="C23" s="17">
        <f>C22</f>
        <v>-121</v>
      </c>
      <c r="D23" s="17">
        <f t="shared" si="3"/>
        <v>39.024595238095259</v>
      </c>
      <c r="E23" s="19">
        <f t="shared" si="1"/>
        <v>138.23526205644768</v>
      </c>
      <c r="F23" s="19">
        <f t="shared" si="2"/>
        <v>-104.52434942230859</v>
      </c>
      <c r="G23" s="19">
        <f t="shared" si="4"/>
        <v>33.710912634139092</v>
      </c>
    </row>
    <row r="24" spans="1:7" x14ac:dyDescent="0.25">
      <c r="A24">
        <v>4</v>
      </c>
      <c r="B24" s="17">
        <f t="shared" si="0"/>
        <v>160.02459523809526</v>
      </c>
      <c r="C24" s="17">
        <f t="shared" ref="C24:C40" si="5">C23</f>
        <v>-121</v>
      </c>
      <c r="D24" s="17">
        <f t="shared" si="3"/>
        <v>39.024595238095259</v>
      </c>
      <c r="E24" s="19">
        <f t="shared" si="1"/>
        <v>131.65263052995019</v>
      </c>
      <c r="F24" s="19">
        <f t="shared" si="2"/>
        <v>-99.546999449817719</v>
      </c>
      <c r="G24" s="19">
        <f t="shared" si="4"/>
        <v>32.105631080132468</v>
      </c>
    </row>
    <row r="25" spans="1:7" x14ac:dyDescent="0.25">
      <c r="A25">
        <v>5</v>
      </c>
      <c r="B25" s="17">
        <f t="shared" si="0"/>
        <v>160.02459523809526</v>
      </c>
      <c r="C25" s="17">
        <f t="shared" si="5"/>
        <v>-121</v>
      </c>
      <c r="D25" s="17">
        <f t="shared" si="3"/>
        <v>39.024595238095259</v>
      </c>
      <c r="E25" s="19">
        <f t="shared" si="1"/>
        <v>125.38345764757159</v>
      </c>
      <c r="F25" s="19">
        <f t="shared" si="2"/>
        <v>-94.80666614268354</v>
      </c>
      <c r="G25" s="19">
        <f t="shared" si="4"/>
        <v>30.57679150488805</v>
      </c>
    </row>
    <row r="26" spans="1:7" x14ac:dyDescent="0.25">
      <c r="A26">
        <v>6</v>
      </c>
      <c r="B26" s="17">
        <f t="shared" si="0"/>
        <v>160.02459523809526</v>
      </c>
      <c r="C26" s="17">
        <f t="shared" si="5"/>
        <v>-121</v>
      </c>
      <c r="D26" s="17">
        <f t="shared" si="3"/>
        <v>39.024595238095259</v>
      </c>
      <c r="E26" s="19">
        <f t="shared" si="1"/>
        <v>119.41281680721106</v>
      </c>
      <c r="F26" s="19">
        <f t="shared" si="2"/>
        <v>-90.292062993031948</v>
      </c>
      <c r="G26" s="19">
        <f t="shared" si="4"/>
        <v>29.12075381417911</v>
      </c>
    </row>
    <row r="27" spans="1:7" x14ac:dyDescent="0.25">
      <c r="A27">
        <v>7</v>
      </c>
      <c r="B27" s="17">
        <f t="shared" si="0"/>
        <v>160.02459523809526</v>
      </c>
      <c r="C27" s="17">
        <f t="shared" si="5"/>
        <v>-121</v>
      </c>
      <c r="D27" s="17">
        <f t="shared" si="3"/>
        <v>39.024595238095259</v>
      </c>
      <c r="E27" s="19">
        <f t="shared" si="1"/>
        <v>113.72649219734383</v>
      </c>
      <c r="F27" s="19">
        <f t="shared" si="2"/>
        <v>-85.99244094574469</v>
      </c>
      <c r="G27" s="19">
        <f t="shared" si="4"/>
        <v>27.734051251599141</v>
      </c>
    </row>
    <row r="28" spans="1:7" x14ac:dyDescent="0.25">
      <c r="A28">
        <v>8</v>
      </c>
      <c r="B28" s="17">
        <f t="shared" si="0"/>
        <v>160.02459523809526</v>
      </c>
      <c r="C28" s="17">
        <f t="shared" si="5"/>
        <v>-121</v>
      </c>
      <c r="D28" s="17">
        <f t="shared" si="3"/>
        <v>39.024595238095259</v>
      </c>
      <c r="E28" s="19">
        <f t="shared" si="1"/>
        <v>108.31094494985129</v>
      </c>
      <c r="F28" s="19">
        <f t="shared" si="2"/>
        <v>-81.897562805471154</v>
      </c>
      <c r="G28" s="19">
        <f t="shared" si="4"/>
        <v>26.413382144380137</v>
      </c>
    </row>
    <row r="29" spans="1:7" x14ac:dyDescent="0.25">
      <c r="A29">
        <v>9</v>
      </c>
      <c r="B29" s="17">
        <f t="shared" si="0"/>
        <v>160.02459523809526</v>
      </c>
      <c r="C29" s="17">
        <f t="shared" si="5"/>
        <v>-121</v>
      </c>
      <c r="D29" s="17">
        <f t="shared" si="3"/>
        <v>39.024595238095259</v>
      </c>
      <c r="E29" s="19">
        <f t="shared" si="1"/>
        <v>103.15328090462027</v>
      </c>
      <c r="F29" s="19">
        <f t="shared" si="2"/>
        <v>-77.997678862353467</v>
      </c>
      <c r="G29" s="19">
        <f t="shared" si="4"/>
        <v>25.155602042266807</v>
      </c>
    </row>
    <row r="30" spans="1:7" x14ac:dyDescent="0.25">
      <c r="A30">
        <v>10</v>
      </c>
      <c r="B30" s="17">
        <f t="shared" si="0"/>
        <v>160.02459523809526</v>
      </c>
      <c r="C30" s="17">
        <f t="shared" si="5"/>
        <v>-121</v>
      </c>
      <c r="D30" s="17">
        <f t="shared" si="3"/>
        <v>39.024595238095259</v>
      </c>
      <c r="E30" s="19">
        <f t="shared" si="1"/>
        <v>98.241219909162155</v>
      </c>
      <c r="F30" s="19">
        <f t="shared" si="2"/>
        <v>-74.28350367843187</v>
      </c>
      <c r="G30" s="19">
        <f t="shared" si="4"/>
        <v>23.957716230730284</v>
      </c>
    </row>
    <row r="31" spans="1:7" x14ac:dyDescent="0.25">
      <c r="A31">
        <v>11</v>
      </c>
      <c r="B31" s="17">
        <f t="shared" ref="B31:B40" si="6">$B$13*$B$14*$B$9*$B$16+$B$7*$B$15</f>
        <v>677.87690476190483</v>
      </c>
      <c r="C31" s="17">
        <f t="shared" si="5"/>
        <v>-121</v>
      </c>
      <c r="D31" s="17">
        <f t="shared" si="3"/>
        <v>556.87690476190483</v>
      </c>
      <c r="E31" s="19">
        <f t="shared" si="1"/>
        <v>396.34058676430516</v>
      </c>
      <c r="F31" s="19">
        <f t="shared" si="2"/>
        <v>-70.746193979458923</v>
      </c>
      <c r="G31" s="19">
        <f t="shared" si="4"/>
        <v>325.59439278484626</v>
      </c>
    </row>
    <row r="32" spans="1:7" x14ac:dyDescent="0.25">
      <c r="A32">
        <v>12</v>
      </c>
      <c r="B32" s="17">
        <f t="shared" si="6"/>
        <v>677.87690476190483</v>
      </c>
      <c r="C32" s="17">
        <f t="shared" si="5"/>
        <v>-121</v>
      </c>
      <c r="D32" s="17">
        <f t="shared" si="3"/>
        <v>556.87690476190483</v>
      </c>
      <c r="E32" s="19">
        <f t="shared" si="1"/>
        <v>377.4672254898145</v>
      </c>
      <c r="F32" s="19">
        <f t="shared" si="2"/>
        <v>-67.377327599484701</v>
      </c>
      <c r="G32" s="19">
        <f t="shared" si="4"/>
        <v>310.08989789032978</v>
      </c>
    </row>
    <row r="33" spans="1:7" x14ac:dyDescent="0.25">
      <c r="A33">
        <v>13</v>
      </c>
      <c r="B33" s="17">
        <f t="shared" si="6"/>
        <v>677.87690476190483</v>
      </c>
      <c r="C33" s="17">
        <f t="shared" si="5"/>
        <v>-121</v>
      </c>
      <c r="D33" s="17">
        <f t="shared" si="3"/>
        <v>556.87690476190483</v>
      </c>
      <c r="E33" s="19">
        <f t="shared" si="1"/>
        <v>359.49259570458514</v>
      </c>
      <c r="F33" s="19">
        <f t="shared" si="2"/>
        <v>-64.168883428080662</v>
      </c>
      <c r="G33" s="19">
        <f t="shared" si="4"/>
        <v>295.32371227650447</v>
      </c>
    </row>
    <row r="34" spans="1:7" x14ac:dyDescent="0.25">
      <c r="A34">
        <v>14</v>
      </c>
      <c r="B34" s="17">
        <f t="shared" si="6"/>
        <v>677.87690476190483</v>
      </c>
      <c r="C34" s="17">
        <f t="shared" si="5"/>
        <v>-121</v>
      </c>
      <c r="D34" s="17">
        <f t="shared" si="3"/>
        <v>556.87690476190483</v>
      </c>
      <c r="E34" s="19">
        <f t="shared" si="1"/>
        <v>342.37390067103354</v>
      </c>
      <c r="F34" s="19">
        <f t="shared" si="2"/>
        <v>-61.113222312457779</v>
      </c>
      <c r="G34" s="19">
        <f t="shared" si="4"/>
        <v>281.26067835857577</v>
      </c>
    </row>
    <row r="35" spans="1:7" x14ac:dyDescent="0.25">
      <c r="A35">
        <v>15</v>
      </c>
      <c r="B35" s="17">
        <f t="shared" si="6"/>
        <v>677.87690476190483</v>
      </c>
      <c r="C35" s="17">
        <f t="shared" si="5"/>
        <v>-121</v>
      </c>
      <c r="D35" s="17">
        <f t="shared" si="3"/>
        <v>556.87690476190483</v>
      </c>
      <c r="E35" s="19">
        <f t="shared" si="1"/>
        <v>326.07038159146043</v>
      </c>
      <c r="F35" s="19">
        <f t="shared" si="2"/>
        <v>-58.203068869007389</v>
      </c>
      <c r="G35" s="19">
        <f t="shared" si="4"/>
        <v>267.86731272245305</v>
      </c>
    </row>
    <row r="36" spans="1:7" x14ac:dyDescent="0.25">
      <c r="A36">
        <v>16</v>
      </c>
      <c r="B36" s="17">
        <f t="shared" si="6"/>
        <v>677.87690476190483</v>
      </c>
      <c r="C36" s="17">
        <f t="shared" si="5"/>
        <v>-121</v>
      </c>
      <c r="D36" s="17">
        <f t="shared" si="3"/>
        <v>556.87690476190483</v>
      </c>
      <c r="E36" s="19">
        <f t="shared" si="1"/>
        <v>310.54322056329568</v>
      </c>
      <c r="F36" s="19">
        <f t="shared" si="2"/>
        <v>-55.431494160959424</v>
      </c>
      <c r="G36" s="19">
        <f t="shared" si="4"/>
        <v>255.11172640233625</v>
      </c>
    </row>
    <row r="37" spans="1:7" x14ac:dyDescent="0.25">
      <c r="A37">
        <v>17</v>
      </c>
      <c r="B37" s="17">
        <f t="shared" si="6"/>
        <v>677.87690476190483</v>
      </c>
      <c r="C37" s="17">
        <f t="shared" si="5"/>
        <v>-121</v>
      </c>
      <c r="D37" s="17">
        <f t="shared" si="3"/>
        <v>556.87690476190483</v>
      </c>
      <c r="E37" s="19">
        <f t="shared" si="1"/>
        <v>295.75544815551967</v>
      </c>
      <c r="F37" s="19">
        <f t="shared" si="2"/>
        <v>-52.791899200913733</v>
      </c>
      <c r="G37" s="19">
        <f t="shared" si="4"/>
        <v>242.96354895460593</v>
      </c>
    </row>
    <row r="38" spans="1:7" x14ac:dyDescent="0.25">
      <c r="A38">
        <v>18</v>
      </c>
      <c r="B38" s="17">
        <f t="shared" si="6"/>
        <v>677.87690476190483</v>
      </c>
      <c r="C38" s="17">
        <f t="shared" si="5"/>
        <v>-121</v>
      </c>
      <c r="D38" s="17">
        <f t="shared" si="3"/>
        <v>556.87690476190483</v>
      </c>
      <c r="E38" s="19">
        <f t="shared" si="1"/>
        <v>281.67185538620919</v>
      </c>
      <c r="F38" s="19">
        <f t="shared" si="2"/>
        <v>-50.277999238965464</v>
      </c>
      <c r="G38" s="19">
        <f t="shared" si="4"/>
        <v>231.39385614724372</v>
      </c>
    </row>
    <row r="39" spans="1:7" x14ac:dyDescent="0.25">
      <c r="A39">
        <v>19</v>
      </c>
      <c r="B39" s="17">
        <f t="shared" si="6"/>
        <v>677.87690476190483</v>
      </c>
      <c r="C39" s="17">
        <f t="shared" si="5"/>
        <v>-121</v>
      </c>
      <c r="D39" s="17">
        <f t="shared" si="3"/>
        <v>556.87690476190483</v>
      </c>
      <c r="E39" s="19">
        <f t="shared" si="1"/>
        <v>268.25890989162781</v>
      </c>
      <c r="F39" s="19">
        <f t="shared" si="2"/>
        <v>-47.883808799014723</v>
      </c>
      <c r="G39" s="19">
        <f t="shared" si="4"/>
        <v>220.37510109261308</v>
      </c>
    </row>
    <row r="40" spans="1:7" x14ac:dyDescent="0.25">
      <c r="A40">
        <v>20</v>
      </c>
      <c r="B40" s="17">
        <f t="shared" si="6"/>
        <v>677.87690476190483</v>
      </c>
      <c r="C40" s="18">
        <f t="shared" si="5"/>
        <v>-121</v>
      </c>
      <c r="D40" s="18">
        <f t="shared" si="3"/>
        <v>556.87690476190483</v>
      </c>
      <c r="E40" s="20">
        <f t="shared" si="1"/>
        <v>255.48467608726457</v>
      </c>
      <c r="F40" s="20">
        <f t="shared" si="2"/>
        <v>-45.603627427633072</v>
      </c>
      <c r="G40" s="20">
        <f t="shared" si="4"/>
        <v>209.88104865963152</v>
      </c>
    </row>
    <row r="41" spans="1:7" x14ac:dyDescent="0.25">
      <c r="A41" s="21" t="s">
        <v>69</v>
      </c>
      <c r="B41" s="22">
        <f t="shared" ref="B41:D41" si="7">SUM(B21:B40)</f>
        <v>8379.0149999999976</v>
      </c>
      <c r="C41" s="22">
        <f t="shared" si="7"/>
        <v>-2758.8</v>
      </c>
      <c r="D41" s="22">
        <f t="shared" si="7"/>
        <v>5620.2150000000001</v>
      </c>
      <c r="E41" s="23">
        <f>SUM(E21:E40)</f>
        <v>4449.126306883777</v>
      </c>
      <c r="F41" s="23">
        <f t="shared" ref="F41:G41" si="8">SUM(F21:F40)</f>
        <v>-1830.5941181140045</v>
      </c>
      <c r="G41" s="23">
        <f t="shared" si="8"/>
        <v>2618.5321887697728</v>
      </c>
    </row>
  </sheetData>
  <mergeCells count="4">
    <mergeCell ref="G2:H2"/>
    <mergeCell ref="F2:F3"/>
    <mergeCell ref="B19:D19"/>
    <mergeCell ref="E19:G19"/>
  </mergeCells>
  <phoneticPr fontId="2" type="noConversion"/>
  <hyperlinks>
    <hyperlink ref="D9" r:id="rId1"/>
    <hyperlink ref="D8" r:id="rId2"/>
  </hyperlinks>
  <pageMargins left="0.7" right="0.7" top="0.75" bottom="0.75" header="0.3" footer="0.3"/>
  <pageSetup orientation="portrait" horizontalDpi="0" verticalDpi="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45"/>
  <sheetViews>
    <sheetView zoomScale="80" zoomScaleNormal="80" workbookViewId="0">
      <selection activeCell="K20" sqref="K20"/>
    </sheetView>
  </sheetViews>
  <sheetFormatPr defaultRowHeight="15" x14ac:dyDescent="0.25"/>
  <cols>
    <col min="1" max="1" width="45.85546875" bestFit="1" customWidth="1"/>
    <col min="2" max="2" width="19.85546875" customWidth="1"/>
    <col min="3" max="3" width="17.85546875" customWidth="1"/>
    <col min="4" max="4" width="43.85546875" customWidth="1"/>
    <col min="5" max="5" width="15.42578125" customWidth="1"/>
    <col min="6" max="6" width="22.85546875" bestFit="1" customWidth="1"/>
    <col min="8" max="8" width="11.7109375" customWidth="1"/>
  </cols>
  <sheetData>
    <row r="1" spans="1:8" x14ac:dyDescent="0.25">
      <c r="A1" s="5" t="s">
        <v>4</v>
      </c>
      <c r="B1" s="5" t="s">
        <v>9</v>
      </c>
      <c r="C1" s="8" t="s">
        <v>10</v>
      </c>
      <c r="D1" s="8" t="s">
        <v>16</v>
      </c>
    </row>
    <row r="2" spans="1:8" x14ac:dyDescent="0.25">
      <c r="A2" t="s">
        <v>2</v>
      </c>
      <c r="B2">
        <v>4</v>
      </c>
      <c r="C2" s="3" t="s">
        <v>11</v>
      </c>
      <c r="D2" t="s">
        <v>31</v>
      </c>
      <c r="F2" s="53" t="s">
        <v>28</v>
      </c>
      <c r="G2" s="51" t="s">
        <v>27</v>
      </c>
      <c r="H2" s="51"/>
    </row>
    <row r="3" spans="1:8" x14ac:dyDescent="0.25">
      <c r="A3" t="s">
        <v>0</v>
      </c>
      <c r="B3">
        <v>20</v>
      </c>
      <c r="C3" s="3" t="s">
        <v>11</v>
      </c>
      <c r="D3" t="s">
        <v>18</v>
      </c>
      <c r="F3" s="49"/>
      <c r="G3" s="12" t="s">
        <v>32</v>
      </c>
      <c r="H3" s="12" t="s">
        <v>33</v>
      </c>
    </row>
    <row r="4" spans="1:8" x14ac:dyDescent="0.25">
      <c r="A4" t="s">
        <v>3</v>
      </c>
      <c r="B4" s="2">
        <v>0.05</v>
      </c>
      <c r="C4" s="3" t="s">
        <v>11</v>
      </c>
      <c r="D4" t="s">
        <v>19</v>
      </c>
      <c r="F4" t="s">
        <v>23</v>
      </c>
      <c r="G4" s="4">
        <f>NPV($B$4,B25:B44)</f>
        <v>38944.407320437444</v>
      </c>
      <c r="H4" s="4">
        <f>G4*$B$2</f>
        <v>155777.62928174977</v>
      </c>
    </row>
    <row r="5" spans="1:8" x14ac:dyDescent="0.25">
      <c r="A5" t="s">
        <v>50</v>
      </c>
      <c r="B5" s="4">
        <v>2500</v>
      </c>
      <c r="C5" s="3" t="s">
        <v>11</v>
      </c>
      <c r="D5" t="s">
        <v>44</v>
      </c>
      <c r="F5" t="s">
        <v>24</v>
      </c>
      <c r="G5" s="4">
        <f>NPV($B$4,C25:C44)</f>
        <v>-33711.421352529971</v>
      </c>
      <c r="H5" s="4">
        <f>G5*$B$2</f>
        <v>-134845.68541011988</v>
      </c>
    </row>
    <row r="6" spans="1:8" x14ac:dyDescent="0.25">
      <c r="A6" t="s">
        <v>34</v>
      </c>
      <c r="B6" s="4">
        <v>1500</v>
      </c>
      <c r="C6" s="3" t="s">
        <v>11</v>
      </c>
      <c r="D6" t="s">
        <v>44</v>
      </c>
      <c r="F6" t="s">
        <v>68</v>
      </c>
      <c r="G6" s="4">
        <f>G4+G5</f>
        <v>5232.9859679074725</v>
      </c>
      <c r="H6" s="4">
        <f>H4+H5</f>
        <v>20931.94387162989</v>
      </c>
    </row>
    <row r="7" spans="1:8" x14ac:dyDescent="0.25">
      <c r="A7" t="s">
        <v>51</v>
      </c>
      <c r="B7" s="4">
        <f>B5-B6</f>
        <v>1000</v>
      </c>
      <c r="C7" s="3" t="s">
        <v>11</v>
      </c>
      <c r="D7" t="s">
        <v>30</v>
      </c>
      <c r="F7" s="13" t="s">
        <v>25</v>
      </c>
      <c r="G7" s="14">
        <f>-G4/G5</f>
        <v>1.1552288737156657</v>
      </c>
      <c r="H7" s="14">
        <f>-H4/H5</f>
        <v>1.1552288737156657</v>
      </c>
    </row>
    <row r="8" spans="1:8" x14ac:dyDescent="0.25">
      <c r="A8" t="s">
        <v>38</v>
      </c>
      <c r="B8">
        <v>40</v>
      </c>
      <c r="C8" s="3">
        <v>1</v>
      </c>
      <c r="D8" s="10" t="s">
        <v>39</v>
      </c>
    </row>
    <row r="9" spans="1:8" x14ac:dyDescent="0.25">
      <c r="A9" t="s">
        <v>57</v>
      </c>
      <c r="B9" s="6">
        <f>43560/(B8*B8)</f>
        <v>27.225000000000001</v>
      </c>
      <c r="C9" s="3">
        <v>1</v>
      </c>
      <c r="D9" t="s">
        <v>37</v>
      </c>
    </row>
    <row r="10" spans="1:8" x14ac:dyDescent="0.25">
      <c r="A10" t="s">
        <v>58</v>
      </c>
      <c r="B10" s="9">
        <v>62.5</v>
      </c>
      <c r="C10" s="3">
        <v>1</v>
      </c>
      <c r="D10" t="s">
        <v>26</v>
      </c>
    </row>
    <row r="11" spans="1:8" x14ac:dyDescent="0.25">
      <c r="A11" t="s">
        <v>35</v>
      </c>
      <c r="B11" s="6">
        <f>43560/B8</f>
        <v>1089</v>
      </c>
      <c r="C11" s="7">
        <v>1</v>
      </c>
      <c r="D11" t="s">
        <v>37</v>
      </c>
    </row>
    <row r="12" spans="1:8" x14ac:dyDescent="0.25">
      <c r="A12" t="s">
        <v>36</v>
      </c>
      <c r="B12" s="9">
        <v>2.8</v>
      </c>
      <c r="C12" s="3">
        <v>1</v>
      </c>
      <c r="D12" s="10" t="s">
        <v>40</v>
      </c>
    </row>
    <row r="13" spans="1:8" x14ac:dyDescent="0.25">
      <c r="A13" t="s">
        <v>43</v>
      </c>
      <c r="B13" s="6">
        <v>10</v>
      </c>
      <c r="C13" s="7">
        <v>1</v>
      </c>
      <c r="D13" t="s">
        <v>26</v>
      </c>
    </row>
    <row r="14" spans="1:8" x14ac:dyDescent="0.25">
      <c r="A14" t="s">
        <v>41</v>
      </c>
      <c r="B14" s="4">
        <v>709.82222222222219</v>
      </c>
      <c r="C14" s="7">
        <v>1</v>
      </c>
      <c r="D14" s="10" t="s">
        <v>42</v>
      </c>
    </row>
    <row r="15" spans="1:8" x14ac:dyDescent="0.25">
      <c r="A15" t="s">
        <v>63</v>
      </c>
      <c r="B15" s="6">
        <v>8</v>
      </c>
      <c r="C15" s="7" t="s">
        <v>11</v>
      </c>
      <c r="D15" t="s">
        <v>26</v>
      </c>
    </row>
    <row r="16" spans="1:8" x14ac:dyDescent="0.25">
      <c r="A16" t="s">
        <v>66</v>
      </c>
      <c r="B16" s="6">
        <v>90</v>
      </c>
      <c r="C16" s="7" t="s">
        <v>11</v>
      </c>
      <c r="D16" t="s">
        <v>26</v>
      </c>
    </row>
    <row r="17" spans="1:8" x14ac:dyDescent="0.25">
      <c r="A17" t="s">
        <v>62</v>
      </c>
      <c r="B17" s="9">
        <v>3.4</v>
      </c>
      <c r="C17" s="7" t="s">
        <v>11</v>
      </c>
      <c r="D17" s="10" t="s">
        <v>65</v>
      </c>
    </row>
    <row r="18" spans="1:8" x14ac:dyDescent="0.25">
      <c r="A18" t="s">
        <v>64</v>
      </c>
      <c r="B18" s="4">
        <f>(1.15*B17/16.49)*B16*B15*B13</f>
        <v>1707.216494845361</v>
      </c>
      <c r="C18" s="7" t="s">
        <v>11</v>
      </c>
      <c r="D18" s="10" t="s">
        <v>61</v>
      </c>
    </row>
    <row r="19" spans="1:8" x14ac:dyDescent="0.25">
      <c r="A19" t="s">
        <v>55</v>
      </c>
      <c r="B19" s="4">
        <v>100</v>
      </c>
      <c r="C19" s="7" t="s">
        <v>13</v>
      </c>
      <c r="D19" t="s">
        <v>26</v>
      </c>
    </row>
    <row r="20" spans="1:8" x14ac:dyDescent="0.25">
      <c r="A20" t="s">
        <v>47</v>
      </c>
      <c r="B20" s="2">
        <v>2.25</v>
      </c>
      <c r="C20" s="3" t="s">
        <v>11</v>
      </c>
      <c r="D20" t="s">
        <v>26</v>
      </c>
    </row>
    <row r="23" spans="1:8" x14ac:dyDescent="0.25">
      <c r="A23" s="11" t="s">
        <v>8</v>
      </c>
      <c r="B23" s="50" t="s">
        <v>67</v>
      </c>
      <c r="C23" s="51"/>
      <c r="D23" s="52"/>
      <c r="E23" s="50" t="s">
        <v>71</v>
      </c>
      <c r="F23" s="51"/>
      <c r="G23" s="52"/>
    </row>
    <row r="24" spans="1:8" s="1" customFormat="1" ht="45" x14ac:dyDescent="0.25">
      <c r="A24" s="5" t="s">
        <v>1</v>
      </c>
      <c r="B24" s="16" t="s">
        <v>73</v>
      </c>
      <c r="C24" s="16" t="s">
        <v>74</v>
      </c>
      <c r="D24" s="16" t="s">
        <v>72</v>
      </c>
      <c r="E24" s="24" t="s">
        <v>75</v>
      </c>
      <c r="F24" s="24" t="s">
        <v>24</v>
      </c>
      <c r="G24" s="24" t="s">
        <v>70</v>
      </c>
    </row>
    <row r="25" spans="1:8" x14ac:dyDescent="0.25">
      <c r="A25">
        <v>1</v>
      </c>
      <c r="B25" s="17">
        <f t="shared" ref="B25:B44" si="0">($B$5)*($B$20-1)</f>
        <v>3125</v>
      </c>
      <c r="C25" s="17">
        <f>-B10*B9-B11*B12-B13*B14-B18</f>
        <v>-13556.201217067583</v>
      </c>
      <c r="D25" s="17">
        <f>SUM(B25:C25)</f>
        <v>-10431.201217067583</v>
      </c>
      <c r="E25" s="19">
        <f t="shared" ref="E25:E44" si="1">B25/(1+$B$4)^$A25</f>
        <v>2976.1904761904761</v>
      </c>
      <c r="F25" s="19">
        <f t="shared" ref="F25:F44" si="2">C25/(1+$B$4)^$A25</f>
        <v>-12910.66782577865</v>
      </c>
      <c r="G25" s="19">
        <f>SUM(E25:F25)</f>
        <v>-9934.4773495881745</v>
      </c>
      <c r="H25" s="15" t="s">
        <v>45</v>
      </c>
    </row>
    <row r="26" spans="1:8" x14ac:dyDescent="0.25">
      <c r="A26">
        <v>2</v>
      </c>
      <c r="B26" s="17">
        <f t="shared" si="0"/>
        <v>3125</v>
      </c>
      <c r="C26" s="17">
        <f>-B19-B18</f>
        <v>-1807.216494845361</v>
      </c>
      <c r="D26" s="17">
        <f t="shared" ref="D26:D44" si="3">SUM(B26:C26)</f>
        <v>1317.783505154639</v>
      </c>
      <c r="E26" s="19">
        <f t="shared" si="1"/>
        <v>2834.4671201814058</v>
      </c>
      <c r="F26" s="19">
        <f t="shared" si="2"/>
        <v>-1639.1986347803727</v>
      </c>
      <c r="G26" s="19">
        <f t="shared" ref="G26:G44" si="4">SUM(E26:F26)</f>
        <v>1195.2684854010331</v>
      </c>
    </row>
    <row r="27" spans="1:8" x14ac:dyDescent="0.25">
      <c r="A27">
        <v>3</v>
      </c>
      <c r="B27" s="17">
        <f t="shared" si="0"/>
        <v>3125</v>
      </c>
      <c r="C27" s="17">
        <f>C26</f>
        <v>-1807.216494845361</v>
      </c>
      <c r="D27" s="17">
        <f t="shared" si="3"/>
        <v>1317.783505154639</v>
      </c>
      <c r="E27" s="19">
        <f t="shared" si="1"/>
        <v>2699.4924954108624</v>
      </c>
      <c r="F27" s="19">
        <f t="shared" si="2"/>
        <v>-1561.1415569336882</v>
      </c>
      <c r="G27" s="19">
        <f t="shared" si="4"/>
        <v>1138.3509384771742</v>
      </c>
    </row>
    <row r="28" spans="1:8" x14ac:dyDescent="0.25">
      <c r="A28">
        <v>4</v>
      </c>
      <c r="B28" s="17">
        <f t="shared" si="0"/>
        <v>3125</v>
      </c>
      <c r="C28" s="17">
        <f t="shared" ref="C28:C44" si="5">C27</f>
        <v>-1807.216494845361</v>
      </c>
      <c r="D28" s="17">
        <f t="shared" si="3"/>
        <v>1317.783505154639</v>
      </c>
      <c r="E28" s="19">
        <f t="shared" si="1"/>
        <v>2570.9452337246312</v>
      </c>
      <c r="F28" s="19">
        <f t="shared" si="2"/>
        <v>-1486.801482793989</v>
      </c>
      <c r="G28" s="19">
        <f t="shared" si="4"/>
        <v>1084.1437509306422</v>
      </c>
    </row>
    <row r="29" spans="1:8" x14ac:dyDescent="0.25">
      <c r="A29">
        <v>5</v>
      </c>
      <c r="B29" s="17">
        <f t="shared" si="0"/>
        <v>3125</v>
      </c>
      <c r="C29" s="17">
        <f t="shared" si="5"/>
        <v>-1807.216494845361</v>
      </c>
      <c r="D29" s="17">
        <f t="shared" si="3"/>
        <v>1317.783505154639</v>
      </c>
      <c r="E29" s="19">
        <f t="shared" si="1"/>
        <v>2448.5192702139343</v>
      </c>
      <c r="F29" s="19">
        <f t="shared" si="2"/>
        <v>-1416.0014121847512</v>
      </c>
      <c r="G29" s="19">
        <f t="shared" si="4"/>
        <v>1032.5178580291831</v>
      </c>
    </row>
    <row r="30" spans="1:8" x14ac:dyDescent="0.25">
      <c r="A30">
        <v>6</v>
      </c>
      <c r="B30" s="17">
        <f t="shared" si="0"/>
        <v>3125</v>
      </c>
      <c r="C30" s="17">
        <f t="shared" si="5"/>
        <v>-1807.216494845361</v>
      </c>
      <c r="D30" s="17">
        <f t="shared" si="3"/>
        <v>1317.783505154639</v>
      </c>
      <c r="E30" s="19">
        <f t="shared" si="1"/>
        <v>2331.9231144894616</v>
      </c>
      <c r="F30" s="19">
        <f t="shared" si="2"/>
        <v>-1348.5727735092871</v>
      </c>
      <c r="G30" s="19">
        <f t="shared" si="4"/>
        <v>983.35034098017445</v>
      </c>
    </row>
    <row r="31" spans="1:8" x14ac:dyDescent="0.25">
      <c r="A31">
        <v>7</v>
      </c>
      <c r="B31" s="17">
        <f t="shared" si="0"/>
        <v>3125</v>
      </c>
      <c r="C31" s="17">
        <f t="shared" si="5"/>
        <v>-1807.216494845361</v>
      </c>
      <c r="D31" s="17">
        <f t="shared" si="3"/>
        <v>1317.783505154639</v>
      </c>
      <c r="E31" s="19">
        <f t="shared" si="1"/>
        <v>2220.8791566566297</v>
      </c>
      <c r="F31" s="19">
        <f t="shared" si="2"/>
        <v>-1284.3550223897969</v>
      </c>
      <c r="G31" s="19">
        <f t="shared" si="4"/>
        <v>936.52413426683279</v>
      </c>
    </row>
    <row r="32" spans="1:8" x14ac:dyDescent="0.25">
      <c r="A32">
        <v>8</v>
      </c>
      <c r="B32" s="17">
        <f t="shared" si="0"/>
        <v>3125</v>
      </c>
      <c r="C32" s="17">
        <f t="shared" si="5"/>
        <v>-1807.216494845361</v>
      </c>
      <c r="D32" s="17">
        <f t="shared" si="3"/>
        <v>1317.783505154639</v>
      </c>
      <c r="E32" s="19">
        <f t="shared" si="1"/>
        <v>2115.1230063396474</v>
      </c>
      <c r="F32" s="19">
        <f t="shared" si="2"/>
        <v>-1223.1952594188544</v>
      </c>
      <c r="G32" s="19">
        <f t="shared" si="4"/>
        <v>891.92774692079297</v>
      </c>
    </row>
    <row r="33" spans="1:7" x14ac:dyDescent="0.25">
      <c r="A33">
        <v>9</v>
      </c>
      <c r="B33" s="17">
        <f t="shared" si="0"/>
        <v>3125</v>
      </c>
      <c r="C33" s="17">
        <f t="shared" si="5"/>
        <v>-1807.216494845361</v>
      </c>
      <c r="D33" s="17">
        <f t="shared" si="3"/>
        <v>1317.783505154639</v>
      </c>
      <c r="E33" s="19">
        <f t="shared" si="1"/>
        <v>2014.4028631806166</v>
      </c>
      <c r="F33" s="19">
        <f t="shared" si="2"/>
        <v>-1164.9478661131946</v>
      </c>
      <c r="G33" s="19">
        <f t="shared" si="4"/>
        <v>849.45499706742203</v>
      </c>
    </row>
    <row r="34" spans="1:7" x14ac:dyDescent="0.25">
      <c r="A34">
        <v>10</v>
      </c>
      <c r="B34" s="17">
        <f t="shared" si="0"/>
        <v>3125</v>
      </c>
      <c r="C34" s="17">
        <f t="shared" si="5"/>
        <v>-1807.216494845361</v>
      </c>
      <c r="D34" s="17">
        <f t="shared" si="3"/>
        <v>1317.783505154639</v>
      </c>
      <c r="E34" s="19">
        <f t="shared" si="1"/>
        <v>1918.4789173148729</v>
      </c>
      <c r="F34" s="19">
        <f t="shared" si="2"/>
        <v>-1109.4741582030424</v>
      </c>
      <c r="G34" s="19">
        <f t="shared" si="4"/>
        <v>809.00475911183048</v>
      </c>
    </row>
    <row r="35" spans="1:7" x14ac:dyDescent="0.25">
      <c r="A35">
        <v>11</v>
      </c>
      <c r="B35" s="17">
        <f t="shared" si="0"/>
        <v>3125</v>
      </c>
      <c r="C35" s="17">
        <f t="shared" si="5"/>
        <v>-1807.216494845361</v>
      </c>
      <c r="D35" s="17">
        <f t="shared" si="3"/>
        <v>1317.783505154639</v>
      </c>
      <c r="E35" s="19">
        <f t="shared" si="1"/>
        <v>1827.1227783951169</v>
      </c>
      <c r="F35" s="19">
        <f t="shared" si="2"/>
        <v>-1056.6420554314689</v>
      </c>
      <c r="G35" s="19">
        <f t="shared" si="4"/>
        <v>770.48072296364808</v>
      </c>
    </row>
    <row r="36" spans="1:7" x14ac:dyDescent="0.25">
      <c r="A36">
        <v>12</v>
      </c>
      <c r="B36" s="17">
        <f t="shared" si="0"/>
        <v>3125</v>
      </c>
      <c r="C36" s="17">
        <f t="shared" si="5"/>
        <v>-1807.216494845361</v>
      </c>
      <c r="D36" s="17">
        <f t="shared" si="3"/>
        <v>1317.783505154639</v>
      </c>
      <c r="E36" s="19">
        <f t="shared" si="1"/>
        <v>1740.1169318048735</v>
      </c>
      <c r="F36" s="19">
        <f t="shared" si="2"/>
        <v>-1006.3257670775896</v>
      </c>
      <c r="G36" s="19">
        <f t="shared" si="4"/>
        <v>733.7911647272839</v>
      </c>
    </row>
    <row r="37" spans="1:7" x14ac:dyDescent="0.25">
      <c r="A37">
        <v>13</v>
      </c>
      <c r="B37" s="17">
        <f t="shared" si="0"/>
        <v>3125</v>
      </c>
      <c r="C37" s="17">
        <f t="shared" si="5"/>
        <v>-1807.216494845361</v>
      </c>
      <c r="D37" s="17">
        <f t="shared" si="3"/>
        <v>1317.783505154639</v>
      </c>
      <c r="E37" s="19">
        <f t="shared" si="1"/>
        <v>1657.2542207665458</v>
      </c>
      <c r="F37" s="19">
        <f t="shared" si="2"/>
        <v>-958.40549245484704</v>
      </c>
      <c r="G37" s="19">
        <f t="shared" si="4"/>
        <v>698.84872831169878</v>
      </c>
    </row>
    <row r="38" spans="1:7" x14ac:dyDescent="0.25">
      <c r="A38">
        <v>14</v>
      </c>
      <c r="B38" s="17">
        <f t="shared" si="0"/>
        <v>3125</v>
      </c>
      <c r="C38" s="17">
        <f t="shared" si="5"/>
        <v>-1807.216494845361</v>
      </c>
      <c r="D38" s="17">
        <f t="shared" si="3"/>
        <v>1317.783505154639</v>
      </c>
      <c r="E38" s="19">
        <f t="shared" si="1"/>
        <v>1578.3373531109964</v>
      </c>
      <c r="F38" s="19">
        <f t="shared" si="2"/>
        <v>-912.76713567128309</v>
      </c>
      <c r="G38" s="19">
        <f t="shared" si="4"/>
        <v>665.57021743971336</v>
      </c>
    </row>
    <row r="39" spans="1:7" x14ac:dyDescent="0.25">
      <c r="A39">
        <v>15</v>
      </c>
      <c r="B39" s="17">
        <f t="shared" si="0"/>
        <v>3125</v>
      </c>
      <c r="C39" s="17">
        <f t="shared" si="5"/>
        <v>-1807.216494845361</v>
      </c>
      <c r="D39" s="17">
        <f t="shared" si="3"/>
        <v>1317.783505154639</v>
      </c>
      <c r="E39" s="19">
        <f t="shared" si="1"/>
        <v>1503.1784315342818</v>
      </c>
      <c r="F39" s="19">
        <f t="shared" si="2"/>
        <v>-869.30203397265029</v>
      </c>
      <c r="G39" s="19">
        <f t="shared" si="4"/>
        <v>633.87639756163151</v>
      </c>
    </row>
    <row r="40" spans="1:7" x14ac:dyDescent="0.25">
      <c r="A40">
        <v>16</v>
      </c>
      <c r="B40" s="17">
        <f t="shared" si="0"/>
        <v>3125</v>
      </c>
      <c r="C40" s="17">
        <f t="shared" si="5"/>
        <v>-1807.216494845361</v>
      </c>
      <c r="D40" s="17">
        <f t="shared" si="3"/>
        <v>1317.783505154639</v>
      </c>
      <c r="E40" s="19">
        <f t="shared" si="1"/>
        <v>1431.5985062231257</v>
      </c>
      <c r="F40" s="19">
        <f t="shared" si="2"/>
        <v>-827.90669902157185</v>
      </c>
      <c r="G40" s="19">
        <f t="shared" si="4"/>
        <v>603.69180720155384</v>
      </c>
    </row>
    <row r="41" spans="1:7" x14ac:dyDescent="0.25">
      <c r="A41">
        <v>17</v>
      </c>
      <c r="B41" s="17">
        <f t="shared" si="0"/>
        <v>3125</v>
      </c>
      <c r="C41" s="17">
        <f t="shared" si="5"/>
        <v>-1807.216494845361</v>
      </c>
      <c r="D41" s="17">
        <f t="shared" si="3"/>
        <v>1317.783505154639</v>
      </c>
      <c r="E41" s="19">
        <f t="shared" si="1"/>
        <v>1363.4271487839289</v>
      </c>
      <c r="F41" s="19">
        <f t="shared" si="2"/>
        <v>-788.48257049673498</v>
      </c>
      <c r="G41" s="19">
        <f t="shared" si="4"/>
        <v>574.94457828719396</v>
      </c>
    </row>
    <row r="42" spans="1:7" x14ac:dyDescent="0.25">
      <c r="A42">
        <v>18</v>
      </c>
      <c r="B42" s="17">
        <f t="shared" si="0"/>
        <v>3125</v>
      </c>
      <c r="C42" s="17">
        <f t="shared" si="5"/>
        <v>-1807.216494845361</v>
      </c>
      <c r="D42" s="17">
        <f t="shared" si="3"/>
        <v>1317.783505154639</v>
      </c>
      <c r="E42" s="19">
        <f t="shared" si="1"/>
        <v>1298.5020464608849</v>
      </c>
      <c r="F42" s="19">
        <f t="shared" si="2"/>
        <v>-750.93578142546187</v>
      </c>
      <c r="G42" s="19">
        <f t="shared" si="4"/>
        <v>547.56626503542304</v>
      </c>
    </row>
    <row r="43" spans="1:7" x14ac:dyDescent="0.25">
      <c r="A43">
        <v>19</v>
      </c>
      <c r="B43" s="17">
        <f t="shared" si="0"/>
        <v>3125</v>
      </c>
      <c r="C43" s="17">
        <f t="shared" si="5"/>
        <v>-1807.216494845361</v>
      </c>
      <c r="D43" s="17">
        <f t="shared" si="3"/>
        <v>1317.783505154639</v>
      </c>
      <c r="E43" s="19">
        <f t="shared" si="1"/>
        <v>1236.6686156770331</v>
      </c>
      <c r="F43" s="19">
        <f t="shared" si="2"/>
        <v>-715.17693469091603</v>
      </c>
      <c r="G43" s="19">
        <f t="shared" si="4"/>
        <v>521.4916809861171</v>
      </c>
    </row>
    <row r="44" spans="1:7" x14ac:dyDescent="0.25">
      <c r="A44" s="13">
        <v>20</v>
      </c>
      <c r="B44" s="18">
        <f t="shared" si="0"/>
        <v>3125</v>
      </c>
      <c r="C44" s="18">
        <f t="shared" si="5"/>
        <v>-1807.216494845361</v>
      </c>
      <c r="D44" s="18">
        <f t="shared" si="3"/>
        <v>1317.783505154639</v>
      </c>
      <c r="E44" s="20">
        <f t="shared" si="1"/>
        <v>1177.7796339781269</v>
      </c>
      <c r="F44" s="20">
        <f t="shared" si="2"/>
        <v>-681.12089018182485</v>
      </c>
      <c r="G44" s="20">
        <f t="shared" si="4"/>
        <v>496.65874379630202</v>
      </c>
    </row>
    <row r="45" spans="1:7" x14ac:dyDescent="0.25">
      <c r="A45" s="21" t="s">
        <v>69</v>
      </c>
      <c r="B45" s="22">
        <f t="shared" ref="B45:G45" si="6">SUM(B25:B44)</f>
        <v>62500</v>
      </c>
      <c r="C45" s="22">
        <f t="shared" si="6"/>
        <v>-47893.314619129407</v>
      </c>
      <c r="D45" s="22">
        <f t="shared" si="6"/>
        <v>14606.685380870558</v>
      </c>
      <c r="E45" s="23">
        <f t="shared" si="6"/>
        <v>38944.407320437451</v>
      </c>
      <c r="F45" s="23">
        <f t="shared" si="6"/>
        <v>-33711.421352529971</v>
      </c>
      <c r="G45" s="23">
        <f t="shared" si="6"/>
        <v>5232.9859679074762</v>
      </c>
    </row>
  </sheetData>
  <mergeCells count="4">
    <mergeCell ref="F2:F3"/>
    <mergeCell ref="G2:H2"/>
    <mergeCell ref="B23:D23"/>
    <mergeCell ref="E23:G23"/>
  </mergeCells>
  <hyperlinks>
    <hyperlink ref="D8" r:id="rId1"/>
    <hyperlink ref="D12" r:id="rId2"/>
    <hyperlink ref="D14" r:id="rId3"/>
    <hyperlink ref="D18" r:id="rId4"/>
    <hyperlink ref="D17" r:id="rId5"/>
  </hyperlinks>
  <pageMargins left="0.7" right="0.7" top="0.75" bottom="0.75" header="0.3" footer="0.3"/>
  <pageSetup orientation="portrait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I46"/>
  <sheetViews>
    <sheetView topLeftCell="A13" zoomScale="80" zoomScaleNormal="80" workbookViewId="0">
      <selection activeCell="D16" sqref="D16"/>
    </sheetView>
  </sheetViews>
  <sheetFormatPr defaultRowHeight="15" x14ac:dyDescent="0.25"/>
  <cols>
    <col min="1" max="1" width="45.85546875" bestFit="1" customWidth="1"/>
    <col min="2" max="2" width="19.85546875" customWidth="1"/>
    <col min="3" max="3" width="17.85546875" customWidth="1"/>
    <col min="4" max="4" width="43.85546875" customWidth="1"/>
    <col min="5" max="5" width="15.42578125" customWidth="1"/>
    <col min="6" max="6" width="22.85546875" bestFit="1" customWidth="1"/>
    <col min="8" max="8" width="11.7109375" customWidth="1"/>
    <col min="9" max="9" width="10.5703125" bestFit="1" customWidth="1"/>
  </cols>
  <sheetData>
    <row r="1" spans="1:8" x14ac:dyDescent="0.25">
      <c r="A1" s="5" t="s">
        <v>4</v>
      </c>
      <c r="B1" s="5" t="s">
        <v>9</v>
      </c>
      <c r="C1" s="8" t="s">
        <v>10</v>
      </c>
      <c r="D1" s="8" t="s">
        <v>16</v>
      </c>
    </row>
    <row r="2" spans="1:8" x14ac:dyDescent="0.25">
      <c r="A2" t="s">
        <v>2</v>
      </c>
      <c r="B2">
        <v>4</v>
      </c>
      <c r="C2" s="3" t="s">
        <v>11</v>
      </c>
      <c r="D2" t="s">
        <v>31</v>
      </c>
      <c r="F2" s="53" t="s">
        <v>28</v>
      </c>
      <c r="G2" s="51" t="s">
        <v>27</v>
      </c>
      <c r="H2" s="51"/>
    </row>
    <row r="3" spans="1:8" x14ac:dyDescent="0.25">
      <c r="A3" t="s">
        <v>0</v>
      </c>
      <c r="B3">
        <v>20</v>
      </c>
      <c r="C3" s="3" t="s">
        <v>11</v>
      </c>
      <c r="D3" t="s">
        <v>18</v>
      </c>
      <c r="F3" s="49"/>
      <c r="G3" s="12" t="s">
        <v>32</v>
      </c>
      <c r="H3" s="12" t="s">
        <v>33</v>
      </c>
    </row>
    <row r="4" spans="1:8" x14ac:dyDescent="0.25">
      <c r="A4" t="s">
        <v>3</v>
      </c>
      <c r="B4" s="2">
        <v>0.05</v>
      </c>
      <c r="C4" s="3" t="s">
        <v>11</v>
      </c>
      <c r="D4" t="s">
        <v>19</v>
      </c>
      <c r="F4" t="s">
        <v>23</v>
      </c>
      <c r="G4" s="4">
        <f>NPV($B$4,B26:B45)</f>
        <v>38944.407320437444</v>
      </c>
      <c r="H4" s="4">
        <f>G4*$B$2</f>
        <v>155777.62928174977</v>
      </c>
    </row>
    <row r="5" spans="1:8" x14ac:dyDescent="0.25">
      <c r="A5" t="s">
        <v>50</v>
      </c>
      <c r="B5" s="4">
        <v>2500</v>
      </c>
      <c r="C5" s="3" t="s">
        <v>11</v>
      </c>
      <c r="D5" t="s">
        <v>44</v>
      </c>
      <c r="F5" t="s">
        <v>24</v>
      </c>
      <c r="G5" s="4">
        <f>NPV($B$4,C26:C45)</f>
        <v>-32816.885638244261</v>
      </c>
      <c r="H5" s="4">
        <f>G5*$B$2</f>
        <v>-131267.54255297704</v>
      </c>
    </row>
    <row r="6" spans="1:8" x14ac:dyDescent="0.25">
      <c r="A6" t="s">
        <v>34</v>
      </c>
      <c r="B6" s="4">
        <v>1500</v>
      </c>
      <c r="C6" s="3" t="s">
        <v>11</v>
      </c>
      <c r="D6" t="s">
        <v>44</v>
      </c>
      <c r="F6" t="s">
        <v>68</v>
      </c>
      <c r="G6" s="4">
        <f>G4+G5</f>
        <v>6127.5216821931826</v>
      </c>
      <c r="H6" s="4">
        <f>H4+H5</f>
        <v>24510.086728772731</v>
      </c>
    </row>
    <row r="7" spans="1:8" x14ac:dyDescent="0.25">
      <c r="A7" t="s">
        <v>51</v>
      </c>
      <c r="B7" s="4">
        <f>B5-B6</f>
        <v>1000</v>
      </c>
      <c r="C7" s="3" t="s">
        <v>11</v>
      </c>
      <c r="D7" t="s">
        <v>30</v>
      </c>
      <c r="F7" s="13" t="s">
        <v>25</v>
      </c>
      <c r="G7" s="14">
        <f>-G4/G5</f>
        <v>1.1867185615886802</v>
      </c>
      <c r="H7" s="14">
        <f>-H4/H5</f>
        <v>1.1867185615886802</v>
      </c>
    </row>
    <row r="8" spans="1:8" x14ac:dyDescent="0.25">
      <c r="A8" s="26" t="s">
        <v>81</v>
      </c>
      <c r="B8">
        <v>8</v>
      </c>
      <c r="C8" s="3" t="s">
        <v>11</v>
      </c>
      <c r="D8" t="s">
        <v>26</v>
      </c>
      <c r="F8" s="29"/>
      <c r="G8" s="30"/>
      <c r="H8" s="30"/>
    </row>
    <row r="9" spans="1:8" x14ac:dyDescent="0.25">
      <c r="A9" s="26" t="s">
        <v>83</v>
      </c>
      <c r="B9">
        <v>2</v>
      </c>
      <c r="C9" s="3" t="s">
        <v>11</v>
      </c>
      <c r="D9" t="s">
        <v>26</v>
      </c>
    </row>
    <row r="10" spans="1:8" x14ac:dyDescent="0.25">
      <c r="A10" s="26" t="s">
        <v>84</v>
      </c>
      <c r="B10" s="6">
        <f>43560/B8</f>
        <v>5445</v>
      </c>
      <c r="C10" s="7">
        <v>1</v>
      </c>
      <c r="D10" t="s">
        <v>37</v>
      </c>
    </row>
    <row r="11" spans="1:8" x14ac:dyDescent="0.25">
      <c r="A11" s="26" t="s">
        <v>82</v>
      </c>
      <c r="B11" s="6">
        <f>IF(B9&gt;0,B10/B9,0)</f>
        <v>2722.5</v>
      </c>
      <c r="C11" s="3">
        <v>1</v>
      </c>
      <c r="D11" t="s">
        <v>37</v>
      </c>
    </row>
    <row r="12" spans="1:8" x14ac:dyDescent="0.25">
      <c r="A12" s="26" t="s">
        <v>85</v>
      </c>
      <c r="B12" s="9">
        <v>0.2</v>
      </c>
      <c r="C12" s="3">
        <v>1</v>
      </c>
      <c r="D12" t="s">
        <v>26</v>
      </c>
    </row>
    <row r="13" spans="1:8" x14ac:dyDescent="0.25">
      <c r="A13" s="26" t="s">
        <v>86</v>
      </c>
      <c r="B13" s="9">
        <v>1</v>
      </c>
      <c r="C13" s="3">
        <v>1</v>
      </c>
      <c r="D13" t="s">
        <v>26</v>
      </c>
    </row>
    <row r="14" spans="1:8" x14ac:dyDescent="0.25">
      <c r="A14" t="s">
        <v>43</v>
      </c>
      <c r="B14" s="6">
        <v>10</v>
      </c>
      <c r="C14" s="7">
        <v>1</v>
      </c>
      <c r="D14" t="s">
        <v>26</v>
      </c>
    </row>
    <row r="15" spans="1:8" x14ac:dyDescent="0.25">
      <c r="A15" t="s">
        <v>41</v>
      </c>
      <c r="B15" s="4">
        <v>709.82222222222219</v>
      </c>
      <c r="C15" s="7">
        <v>1</v>
      </c>
      <c r="D15" s="10" t="s">
        <v>42</v>
      </c>
    </row>
    <row r="16" spans="1:8" x14ac:dyDescent="0.25">
      <c r="A16" t="s">
        <v>63</v>
      </c>
      <c r="B16" s="6">
        <v>8</v>
      </c>
      <c r="C16" s="7" t="s">
        <v>11</v>
      </c>
      <c r="D16" t="s">
        <v>26</v>
      </c>
    </row>
    <row r="17" spans="1:9" x14ac:dyDescent="0.25">
      <c r="A17" t="s">
        <v>66</v>
      </c>
      <c r="B17" s="6">
        <v>90</v>
      </c>
      <c r="C17" s="7" t="s">
        <v>11</v>
      </c>
      <c r="D17" t="s">
        <v>26</v>
      </c>
    </row>
    <row r="18" spans="1:9" x14ac:dyDescent="0.25">
      <c r="A18" t="s">
        <v>62</v>
      </c>
      <c r="B18" s="9">
        <v>3.4</v>
      </c>
      <c r="C18" s="7" t="s">
        <v>11</v>
      </c>
      <c r="D18" s="10" t="s">
        <v>65</v>
      </c>
    </row>
    <row r="19" spans="1:9" x14ac:dyDescent="0.25">
      <c r="A19" t="s">
        <v>64</v>
      </c>
      <c r="B19" s="4">
        <f>(1.15*B18/16.49)*B17*B16*B14</f>
        <v>1707.216494845361</v>
      </c>
      <c r="C19" s="7" t="s">
        <v>11</v>
      </c>
      <c r="D19" s="10" t="s">
        <v>61</v>
      </c>
    </row>
    <row r="20" spans="1:9" x14ac:dyDescent="0.25">
      <c r="A20" t="s">
        <v>55</v>
      </c>
      <c r="B20" s="4">
        <v>100</v>
      </c>
      <c r="C20" s="7" t="s">
        <v>13</v>
      </c>
      <c r="D20" t="s">
        <v>26</v>
      </c>
    </row>
    <row r="21" spans="1:9" x14ac:dyDescent="0.25">
      <c r="A21" s="13" t="s">
        <v>47</v>
      </c>
      <c r="B21" s="31">
        <v>2.25</v>
      </c>
      <c r="C21" s="32" t="s">
        <v>11</v>
      </c>
      <c r="D21" s="13" t="s">
        <v>26</v>
      </c>
    </row>
    <row r="24" spans="1:9" x14ac:dyDescent="0.25">
      <c r="A24" s="11" t="s">
        <v>8</v>
      </c>
      <c r="B24" s="50" t="s">
        <v>67</v>
      </c>
      <c r="C24" s="51"/>
      <c r="D24" s="52"/>
      <c r="E24" s="50" t="s">
        <v>71</v>
      </c>
      <c r="F24" s="51"/>
      <c r="G24" s="52"/>
    </row>
    <row r="25" spans="1:9" s="1" customFormat="1" ht="45" x14ac:dyDescent="0.25">
      <c r="A25" s="5" t="s">
        <v>1</v>
      </c>
      <c r="B25" s="16" t="s">
        <v>73</v>
      </c>
      <c r="C25" s="16" t="s">
        <v>74</v>
      </c>
      <c r="D25" s="16" t="s">
        <v>72</v>
      </c>
      <c r="E25" s="24" t="s">
        <v>75</v>
      </c>
      <c r="F25" s="24" t="s">
        <v>24</v>
      </c>
      <c r="G25" s="24" t="s">
        <v>70</v>
      </c>
      <c r="H25" s="1" t="s">
        <v>88</v>
      </c>
      <c r="I25" s="33">
        <f>B13*B11+B12*B10</f>
        <v>3811.5</v>
      </c>
    </row>
    <row r="26" spans="1:9" x14ac:dyDescent="0.25">
      <c r="A26">
        <v>1</v>
      </c>
      <c r="B26" s="17">
        <f t="shared" ref="B26:B45" si="0">($B$5)*($B$21-1)</f>
        <v>3125</v>
      </c>
      <c r="C26" s="17">
        <f>-B13*B11-B10*B12-B14*B15-B19</f>
        <v>-12616.938717067584</v>
      </c>
      <c r="D26" s="17">
        <f>SUM(B26:C26)</f>
        <v>-9491.9387170675836</v>
      </c>
      <c r="E26" s="19">
        <f t="shared" ref="E26:F45" si="1">B26/(1+$B$4)^$A26</f>
        <v>2976.1904761904761</v>
      </c>
      <c r="F26" s="19">
        <f t="shared" si="1"/>
        <v>-12016.132111492936</v>
      </c>
      <c r="G26" s="19">
        <f>SUM(E26:F26)</f>
        <v>-9039.9416353024608</v>
      </c>
      <c r="H26" s="10" t="s">
        <v>87</v>
      </c>
    </row>
    <row r="27" spans="1:9" x14ac:dyDescent="0.25">
      <c r="A27">
        <v>2</v>
      </c>
      <c r="B27" s="17">
        <f t="shared" si="0"/>
        <v>3125</v>
      </c>
      <c r="C27" s="17">
        <f>-B20-B19</f>
        <v>-1807.216494845361</v>
      </c>
      <c r="D27" s="17">
        <f t="shared" ref="D27:D45" si="2">SUM(B27:C27)</f>
        <v>1317.783505154639</v>
      </c>
      <c r="E27" s="19">
        <f t="shared" si="1"/>
        <v>2834.4671201814058</v>
      </c>
      <c r="F27" s="19">
        <f t="shared" si="1"/>
        <v>-1639.1986347803727</v>
      </c>
      <c r="G27" s="19">
        <f t="shared" ref="G27:G45" si="3">SUM(E27:F27)</f>
        <v>1195.2684854010331</v>
      </c>
    </row>
    <row r="28" spans="1:9" x14ac:dyDescent="0.25">
      <c r="A28">
        <v>3</v>
      </c>
      <c r="B28" s="17">
        <f t="shared" si="0"/>
        <v>3125</v>
      </c>
      <c r="C28" s="17">
        <f>C27</f>
        <v>-1807.216494845361</v>
      </c>
      <c r="D28" s="17">
        <f t="shared" si="2"/>
        <v>1317.783505154639</v>
      </c>
      <c r="E28" s="19">
        <f t="shared" si="1"/>
        <v>2699.4924954108624</v>
      </c>
      <c r="F28" s="19">
        <f t="shared" si="1"/>
        <v>-1561.1415569336882</v>
      </c>
      <c r="G28" s="19">
        <f t="shared" si="3"/>
        <v>1138.3509384771742</v>
      </c>
    </row>
    <row r="29" spans="1:9" x14ac:dyDescent="0.25">
      <c r="A29">
        <v>4</v>
      </c>
      <c r="B29" s="17">
        <f t="shared" si="0"/>
        <v>3125</v>
      </c>
      <c r="C29" s="17">
        <f t="shared" ref="C29:C45" si="4">C28</f>
        <v>-1807.216494845361</v>
      </c>
      <c r="D29" s="17">
        <f t="shared" si="2"/>
        <v>1317.783505154639</v>
      </c>
      <c r="E29" s="19">
        <f t="shared" si="1"/>
        <v>2570.9452337246312</v>
      </c>
      <c r="F29" s="19">
        <f t="shared" si="1"/>
        <v>-1486.801482793989</v>
      </c>
      <c r="G29" s="19">
        <f t="shared" si="3"/>
        <v>1084.1437509306422</v>
      </c>
    </row>
    <row r="30" spans="1:9" x14ac:dyDescent="0.25">
      <c r="A30">
        <v>5</v>
      </c>
      <c r="B30" s="17">
        <f t="shared" si="0"/>
        <v>3125</v>
      </c>
      <c r="C30" s="17">
        <f t="shared" si="4"/>
        <v>-1807.216494845361</v>
      </c>
      <c r="D30" s="17">
        <f t="shared" si="2"/>
        <v>1317.783505154639</v>
      </c>
      <c r="E30" s="19">
        <f t="shared" si="1"/>
        <v>2448.5192702139343</v>
      </c>
      <c r="F30" s="19">
        <f t="shared" si="1"/>
        <v>-1416.0014121847512</v>
      </c>
      <c r="G30" s="19">
        <f t="shared" si="3"/>
        <v>1032.5178580291831</v>
      </c>
    </row>
    <row r="31" spans="1:9" x14ac:dyDescent="0.25">
      <c r="A31">
        <v>6</v>
      </c>
      <c r="B31" s="17">
        <f t="shared" si="0"/>
        <v>3125</v>
      </c>
      <c r="C31" s="17">
        <f t="shared" si="4"/>
        <v>-1807.216494845361</v>
      </c>
      <c r="D31" s="17">
        <f t="shared" si="2"/>
        <v>1317.783505154639</v>
      </c>
      <c r="E31" s="19">
        <f t="shared" si="1"/>
        <v>2331.9231144894616</v>
      </c>
      <c r="F31" s="19">
        <f t="shared" si="1"/>
        <v>-1348.5727735092871</v>
      </c>
      <c r="G31" s="19">
        <f t="shared" si="3"/>
        <v>983.35034098017445</v>
      </c>
    </row>
    <row r="32" spans="1:9" x14ac:dyDescent="0.25">
      <c r="A32">
        <v>7</v>
      </c>
      <c r="B32" s="17">
        <f t="shared" si="0"/>
        <v>3125</v>
      </c>
      <c r="C32" s="17">
        <f t="shared" si="4"/>
        <v>-1807.216494845361</v>
      </c>
      <c r="D32" s="17">
        <f t="shared" si="2"/>
        <v>1317.783505154639</v>
      </c>
      <c r="E32" s="19">
        <f t="shared" si="1"/>
        <v>2220.8791566566297</v>
      </c>
      <c r="F32" s="19">
        <f t="shared" si="1"/>
        <v>-1284.3550223897969</v>
      </c>
      <c r="G32" s="19">
        <f t="shared" si="3"/>
        <v>936.52413426683279</v>
      </c>
    </row>
    <row r="33" spans="1:7" x14ac:dyDescent="0.25">
      <c r="A33">
        <v>8</v>
      </c>
      <c r="B33" s="17">
        <f t="shared" si="0"/>
        <v>3125</v>
      </c>
      <c r="C33" s="17">
        <f t="shared" si="4"/>
        <v>-1807.216494845361</v>
      </c>
      <c r="D33" s="17">
        <f t="shared" si="2"/>
        <v>1317.783505154639</v>
      </c>
      <c r="E33" s="19">
        <f t="shared" si="1"/>
        <v>2115.1230063396474</v>
      </c>
      <c r="F33" s="19">
        <f t="shared" si="1"/>
        <v>-1223.1952594188544</v>
      </c>
      <c r="G33" s="19">
        <f t="shared" si="3"/>
        <v>891.92774692079297</v>
      </c>
    </row>
    <row r="34" spans="1:7" x14ac:dyDescent="0.25">
      <c r="A34">
        <v>9</v>
      </c>
      <c r="B34" s="17">
        <f t="shared" si="0"/>
        <v>3125</v>
      </c>
      <c r="C34" s="17">
        <f t="shared" si="4"/>
        <v>-1807.216494845361</v>
      </c>
      <c r="D34" s="17">
        <f t="shared" si="2"/>
        <v>1317.783505154639</v>
      </c>
      <c r="E34" s="19">
        <f t="shared" si="1"/>
        <v>2014.4028631806166</v>
      </c>
      <c r="F34" s="19">
        <f t="shared" si="1"/>
        <v>-1164.9478661131946</v>
      </c>
      <c r="G34" s="19">
        <f t="shared" si="3"/>
        <v>849.45499706742203</v>
      </c>
    </row>
    <row r="35" spans="1:7" x14ac:dyDescent="0.25">
      <c r="A35">
        <v>10</v>
      </c>
      <c r="B35" s="17">
        <f t="shared" si="0"/>
        <v>3125</v>
      </c>
      <c r="C35" s="17">
        <f t="shared" si="4"/>
        <v>-1807.216494845361</v>
      </c>
      <c r="D35" s="17">
        <f t="shared" si="2"/>
        <v>1317.783505154639</v>
      </c>
      <c r="E35" s="19">
        <f t="shared" si="1"/>
        <v>1918.4789173148729</v>
      </c>
      <c r="F35" s="19">
        <f t="shared" si="1"/>
        <v>-1109.4741582030424</v>
      </c>
      <c r="G35" s="19">
        <f t="shared" si="3"/>
        <v>809.00475911183048</v>
      </c>
    </row>
    <row r="36" spans="1:7" x14ac:dyDescent="0.25">
      <c r="A36">
        <v>11</v>
      </c>
      <c r="B36" s="17">
        <f t="shared" si="0"/>
        <v>3125</v>
      </c>
      <c r="C36" s="17">
        <f t="shared" si="4"/>
        <v>-1807.216494845361</v>
      </c>
      <c r="D36" s="17">
        <f t="shared" si="2"/>
        <v>1317.783505154639</v>
      </c>
      <c r="E36" s="19">
        <f t="shared" si="1"/>
        <v>1827.1227783951169</v>
      </c>
      <c r="F36" s="19">
        <f t="shared" si="1"/>
        <v>-1056.6420554314689</v>
      </c>
      <c r="G36" s="19">
        <f t="shared" si="3"/>
        <v>770.48072296364808</v>
      </c>
    </row>
    <row r="37" spans="1:7" x14ac:dyDescent="0.25">
      <c r="A37">
        <v>12</v>
      </c>
      <c r="B37" s="17">
        <f t="shared" si="0"/>
        <v>3125</v>
      </c>
      <c r="C37" s="17">
        <f t="shared" si="4"/>
        <v>-1807.216494845361</v>
      </c>
      <c r="D37" s="17">
        <f t="shared" si="2"/>
        <v>1317.783505154639</v>
      </c>
      <c r="E37" s="19">
        <f t="shared" si="1"/>
        <v>1740.1169318048735</v>
      </c>
      <c r="F37" s="19">
        <f t="shared" si="1"/>
        <v>-1006.3257670775896</v>
      </c>
      <c r="G37" s="19">
        <f t="shared" si="3"/>
        <v>733.7911647272839</v>
      </c>
    </row>
    <row r="38" spans="1:7" x14ac:dyDescent="0.25">
      <c r="A38">
        <v>13</v>
      </c>
      <c r="B38" s="17">
        <f t="shared" si="0"/>
        <v>3125</v>
      </c>
      <c r="C38" s="17">
        <f t="shared" si="4"/>
        <v>-1807.216494845361</v>
      </c>
      <c r="D38" s="17">
        <f t="shared" si="2"/>
        <v>1317.783505154639</v>
      </c>
      <c r="E38" s="19">
        <f t="shared" si="1"/>
        <v>1657.2542207665458</v>
      </c>
      <c r="F38" s="19">
        <f t="shared" si="1"/>
        <v>-958.40549245484704</v>
      </c>
      <c r="G38" s="19">
        <f t="shared" si="3"/>
        <v>698.84872831169878</v>
      </c>
    </row>
    <row r="39" spans="1:7" x14ac:dyDescent="0.25">
      <c r="A39">
        <v>14</v>
      </c>
      <c r="B39" s="17">
        <f t="shared" si="0"/>
        <v>3125</v>
      </c>
      <c r="C39" s="17">
        <f t="shared" si="4"/>
        <v>-1807.216494845361</v>
      </c>
      <c r="D39" s="17">
        <f t="shared" si="2"/>
        <v>1317.783505154639</v>
      </c>
      <c r="E39" s="19">
        <f t="shared" si="1"/>
        <v>1578.3373531109964</v>
      </c>
      <c r="F39" s="19">
        <f t="shared" si="1"/>
        <v>-912.76713567128309</v>
      </c>
      <c r="G39" s="19">
        <f t="shared" si="3"/>
        <v>665.57021743971336</v>
      </c>
    </row>
    <row r="40" spans="1:7" x14ac:dyDescent="0.25">
      <c r="A40">
        <v>15</v>
      </c>
      <c r="B40" s="17">
        <f t="shared" si="0"/>
        <v>3125</v>
      </c>
      <c r="C40" s="17">
        <f t="shared" si="4"/>
        <v>-1807.216494845361</v>
      </c>
      <c r="D40" s="17">
        <f t="shared" si="2"/>
        <v>1317.783505154639</v>
      </c>
      <c r="E40" s="19">
        <f t="shared" si="1"/>
        <v>1503.1784315342818</v>
      </c>
      <c r="F40" s="19">
        <f t="shared" si="1"/>
        <v>-869.30203397265029</v>
      </c>
      <c r="G40" s="19">
        <f t="shared" si="3"/>
        <v>633.87639756163151</v>
      </c>
    </row>
    <row r="41" spans="1:7" x14ac:dyDescent="0.25">
      <c r="A41">
        <v>16</v>
      </c>
      <c r="B41" s="17">
        <f t="shared" si="0"/>
        <v>3125</v>
      </c>
      <c r="C41" s="17">
        <f t="shared" si="4"/>
        <v>-1807.216494845361</v>
      </c>
      <c r="D41" s="17">
        <f t="shared" si="2"/>
        <v>1317.783505154639</v>
      </c>
      <c r="E41" s="19">
        <f t="shared" si="1"/>
        <v>1431.5985062231257</v>
      </c>
      <c r="F41" s="19">
        <f t="shared" si="1"/>
        <v>-827.90669902157185</v>
      </c>
      <c r="G41" s="19">
        <f t="shared" si="3"/>
        <v>603.69180720155384</v>
      </c>
    </row>
    <row r="42" spans="1:7" x14ac:dyDescent="0.25">
      <c r="A42">
        <v>17</v>
      </c>
      <c r="B42" s="17">
        <f t="shared" si="0"/>
        <v>3125</v>
      </c>
      <c r="C42" s="17">
        <f t="shared" si="4"/>
        <v>-1807.216494845361</v>
      </c>
      <c r="D42" s="17">
        <f t="shared" si="2"/>
        <v>1317.783505154639</v>
      </c>
      <c r="E42" s="19">
        <f t="shared" si="1"/>
        <v>1363.4271487839289</v>
      </c>
      <c r="F42" s="19">
        <f t="shared" si="1"/>
        <v>-788.48257049673498</v>
      </c>
      <c r="G42" s="19">
        <f t="shared" si="3"/>
        <v>574.94457828719396</v>
      </c>
    </row>
    <row r="43" spans="1:7" x14ac:dyDescent="0.25">
      <c r="A43">
        <v>18</v>
      </c>
      <c r="B43" s="17">
        <f t="shared" si="0"/>
        <v>3125</v>
      </c>
      <c r="C43" s="17">
        <f t="shared" si="4"/>
        <v>-1807.216494845361</v>
      </c>
      <c r="D43" s="17">
        <f t="shared" si="2"/>
        <v>1317.783505154639</v>
      </c>
      <c r="E43" s="19">
        <f t="shared" si="1"/>
        <v>1298.5020464608849</v>
      </c>
      <c r="F43" s="19">
        <f t="shared" si="1"/>
        <v>-750.93578142546187</v>
      </c>
      <c r="G43" s="19">
        <f t="shared" si="3"/>
        <v>547.56626503542304</v>
      </c>
    </row>
    <row r="44" spans="1:7" x14ac:dyDescent="0.25">
      <c r="A44">
        <v>19</v>
      </c>
      <c r="B44" s="17">
        <f t="shared" si="0"/>
        <v>3125</v>
      </c>
      <c r="C44" s="17">
        <f t="shared" si="4"/>
        <v>-1807.216494845361</v>
      </c>
      <c r="D44" s="17">
        <f t="shared" si="2"/>
        <v>1317.783505154639</v>
      </c>
      <c r="E44" s="19">
        <f t="shared" si="1"/>
        <v>1236.6686156770331</v>
      </c>
      <c r="F44" s="19">
        <f t="shared" si="1"/>
        <v>-715.17693469091603</v>
      </c>
      <c r="G44" s="19">
        <f t="shared" si="3"/>
        <v>521.4916809861171</v>
      </c>
    </row>
    <row r="45" spans="1:7" x14ac:dyDescent="0.25">
      <c r="A45" s="13">
        <v>20</v>
      </c>
      <c r="B45" s="18">
        <f t="shared" si="0"/>
        <v>3125</v>
      </c>
      <c r="C45" s="18">
        <f t="shared" si="4"/>
        <v>-1807.216494845361</v>
      </c>
      <c r="D45" s="18">
        <f t="shared" si="2"/>
        <v>1317.783505154639</v>
      </c>
      <c r="E45" s="20">
        <f t="shared" si="1"/>
        <v>1177.7796339781269</v>
      </c>
      <c r="F45" s="20">
        <f t="shared" si="1"/>
        <v>-681.12089018182485</v>
      </c>
      <c r="G45" s="20">
        <f t="shared" si="3"/>
        <v>496.65874379630202</v>
      </c>
    </row>
    <row r="46" spans="1:7" x14ac:dyDescent="0.25">
      <c r="A46" s="21" t="s">
        <v>69</v>
      </c>
      <c r="B46" s="22">
        <f t="shared" ref="B46:G46" si="5">SUM(B26:B45)</f>
        <v>62500</v>
      </c>
      <c r="C46" s="22">
        <f t="shared" si="5"/>
        <v>-46954.052119129425</v>
      </c>
      <c r="D46" s="22">
        <f t="shared" si="5"/>
        <v>15545.947880870557</v>
      </c>
      <c r="E46" s="23">
        <f t="shared" si="5"/>
        <v>38944.407320437451</v>
      </c>
      <c r="F46" s="23">
        <f t="shared" si="5"/>
        <v>-32816.885638244261</v>
      </c>
      <c r="G46" s="23">
        <f t="shared" si="5"/>
        <v>6127.5216821931899</v>
      </c>
    </row>
  </sheetData>
  <mergeCells count="4">
    <mergeCell ref="F2:F3"/>
    <mergeCell ref="G2:H2"/>
    <mergeCell ref="B24:D24"/>
    <mergeCell ref="E24:G24"/>
  </mergeCells>
  <hyperlinks>
    <hyperlink ref="D15" r:id="rId1"/>
    <hyperlink ref="D19" r:id="rId2"/>
    <hyperlink ref="D18" r:id="rId3"/>
    <hyperlink ref="H26" r:id="rId4" display="&lt;-- NRCS Practice 441, scenario #9-10 estimated cost is $3480-5251/ac for all materials (w/o cost share) and $710/hp for the pump"/>
  </hyperlinks>
  <pageMargins left="0.7" right="0.7" top="0.75" bottom="0.75" header="0.3" footer="0.3"/>
  <pageSetup orientation="portrait" r:id="rId5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H50"/>
  <sheetViews>
    <sheetView tabSelected="1" zoomScale="70" zoomScaleNormal="70" workbookViewId="0">
      <selection activeCell="B18" sqref="B18"/>
    </sheetView>
  </sheetViews>
  <sheetFormatPr defaultRowHeight="15" x14ac:dyDescent="0.25"/>
  <cols>
    <col min="1" max="1" width="51.5703125" bestFit="1" customWidth="1"/>
    <col min="2" max="2" width="19.85546875" customWidth="1"/>
    <col min="3" max="3" width="21.28515625" customWidth="1"/>
    <col min="4" max="4" width="43.85546875" customWidth="1"/>
    <col min="5" max="5" width="15.42578125" customWidth="1"/>
    <col min="6" max="6" width="22.85546875" bestFit="1" customWidth="1"/>
    <col min="8" max="8" width="11.7109375" customWidth="1"/>
  </cols>
  <sheetData>
    <row r="1" spans="1:8" x14ac:dyDescent="0.25">
      <c r="A1" s="5" t="s">
        <v>4</v>
      </c>
      <c r="B1" s="5" t="s">
        <v>9</v>
      </c>
      <c r="C1" s="8" t="s">
        <v>10</v>
      </c>
      <c r="D1" s="8" t="s">
        <v>16</v>
      </c>
    </row>
    <row r="2" spans="1:8" x14ac:dyDescent="0.25">
      <c r="A2" t="s">
        <v>2</v>
      </c>
      <c r="B2">
        <v>0.5</v>
      </c>
      <c r="C2" s="3" t="s">
        <v>11</v>
      </c>
      <c r="D2" t="s">
        <v>31</v>
      </c>
      <c r="F2" s="53" t="s">
        <v>28</v>
      </c>
      <c r="G2" s="51" t="s">
        <v>27</v>
      </c>
      <c r="H2" s="51"/>
    </row>
    <row r="3" spans="1:8" x14ac:dyDescent="0.25">
      <c r="A3" t="s">
        <v>0</v>
      </c>
      <c r="B3">
        <v>20</v>
      </c>
      <c r="C3" s="3" t="s">
        <v>11</v>
      </c>
      <c r="D3" t="s">
        <v>18</v>
      </c>
      <c r="F3" s="49"/>
      <c r="G3" s="12" t="s">
        <v>32</v>
      </c>
      <c r="H3" s="12" t="s">
        <v>33</v>
      </c>
    </row>
    <row r="4" spans="1:8" x14ac:dyDescent="0.25">
      <c r="A4" t="s">
        <v>3</v>
      </c>
      <c r="B4" s="2">
        <v>0.05</v>
      </c>
      <c r="C4" s="3" t="s">
        <v>11</v>
      </c>
      <c r="D4" t="s">
        <v>19</v>
      </c>
      <c r="F4" t="s">
        <v>23</v>
      </c>
      <c r="G4" s="4">
        <f>NPV($B$4,B22:B41)</f>
        <v>6231.1051712699882</v>
      </c>
      <c r="H4" s="4">
        <f>G4*$B$2</f>
        <v>3115.5525856349941</v>
      </c>
    </row>
    <row r="5" spans="1:8" x14ac:dyDescent="0.25">
      <c r="A5" t="s">
        <v>50</v>
      </c>
      <c r="B5" s="4">
        <v>2500</v>
      </c>
      <c r="C5" s="3" t="s">
        <v>11</v>
      </c>
      <c r="D5" t="s">
        <v>44</v>
      </c>
      <c r="F5" t="s">
        <v>24</v>
      </c>
      <c r="G5" s="4">
        <f>NPV($B$4,C22:C41)</f>
        <v>-5830.6506941172529</v>
      </c>
      <c r="H5" s="4">
        <f>G5*$B$2</f>
        <v>-2915.3253470586264</v>
      </c>
    </row>
    <row r="6" spans="1:8" x14ac:dyDescent="0.25">
      <c r="A6" t="s">
        <v>34</v>
      </c>
      <c r="B6" s="4">
        <v>1500</v>
      </c>
      <c r="C6" s="3" t="s">
        <v>11</v>
      </c>
      <c r="D6" t="s">
        <v>44</v>
      </c>
      <c r="F6" t="s">
        <v>68</v>
      </c>
      <c r="G6" s="4">
        <f>G4+G5</f>
        <v>400.45447715273531</v>
      </c>
      <c r="H6" s="4">
        <f>H4+H5</f>
        <v>200.22723857636765</v>
      </c>
    </row>
    <row r="7" spans="1:8" x14ac:dyDescent="0.25">
      <c r="A7" t="s">
        <v>51</v>
      </c>
      <c r="B7" s="34">
        <f>B5-B6</f>
        <v>1000</v>
      </c>
      <c r="C7" s="3" t="s">
        <v>11</v>
      </c>
      <c r="D7" t="s">
        <v>30</v>
      </c>
      <c r="F7" s="13" t="s">
        <v>25</v>
      </c>
      <c r="G7" s="14">
        <f>-G4/G5</f>
        <v>1.0686809239930575</v>
      </c>
      <c r="H7" s="14">
        <f>-H4/H5</f>
        <v>1.0686809239930575</v>
      </c>
    </row>
    <row r="8" spans="1:8" x14ac:dyDescent="0.25">
      <c r="A8" s="35" t="s">
        <v>90</v>
      </c>
      <c r="B8" s="40">
        <v>0.5</v>
      </c>
      <c r="C8" s="37" t="s">
        <v>11</v>
      </c>
      <c r="D8" s="35" t="s">
        <v>31</v>
      </c>
    </row>
    <row r="9" spans="1:8" x14ac:dyDescent="0.25">
      <c r="A9" s="35" t="s">
        <v>77</v>
      </c>
      <c r="B9" s="41">
        <f>43560*B8</f>
        <v>21780</v>
      </c>
      <c r="C9" s="37" t="s">
        <v>11</v>
      </c>
      <c r="D9" s="35" t="s">
        <v>37</v>
      </c>
    </row>
    <row r="10" spans="1:8" x14ac:dyDescent="0.25">
      <c r="A10" s="35" t="s">
        <v>76</v>
      </c>
      <c r="B10" s="42">
        <v>7.0000000000000007E-2</v>
      </c>
      <c r="C10" s="37" t="s">
        <v>89</v>
      </c>
      <c r="D10" s="38" t="s">
        <v>26</v>
      </c>
    </row>
    <row r="11" spans="1:8" x14ac:dyDescent="0.25">
      <c r="A11" s="35" t="s">
        <v>59</v>
      </c>
      <c r="B11" s="35">
        <v>4</v>
      </c>
      <c r="C11" s="37" t="s">
        <v>56</v>
      </c>
      <c r="D11" s="35" t="s">
        <v>26</v>
      </c>
    </row>
    <row r="12" spans="1:8" x14ac:dyDescent="0.25">
      <c r="A12" s="35" t="s">
        <v>60</v>
      </c>
      <c r="B12" s="36">
        <v>20</v>
      </c>
      <c r="C12" s="37" t="str">
        <f>C11</f>
        <v>Every other</v>
      </c>
      <c r="D12" s="35" t="s">
        <v>26</v>
      </c>
    </row>
    <row r="13" spans="1:8" x14ac:dyDescent="0.25">
      <c r="A13" s="26" t="s">
        <v>96</v>
      </c>
      <c r="B13" s="27">
        <v>25</v>
      </c>
      <c r="C13" s="28" t="s">
        <v>89</v>
      </c>
      <c r="D13" s="26" t="s">
        <v>26</v>
      </c>
    </row>
    <row r="14" spans="1:8" x14ac:dyDescent="0.25">
      <c r="A14" s="35" t="s">
        <v>78</v>
      </c>
      <c r="B14" s="35">
        <v>5</v>
      </c>
      <c r="C14" s="37" t="s">
        <v>80</v>
      </c>
      <c r="D14" s="35" t="s">
        <v>79</v>
      </c>
    </row>
    <row r="15" spans="1:8" x14ac:dyDescent="0.25">
      <c r="A15" s="35" t="s">
        <v>46</v>
      </c>
      <c r="B15" s="34">
        <v>150</v>
      </c>
      <c r="C15" s="39" t="s">
        <v>56</v>
      </c>
      <c r="D15" s="38" t="s">
        <v>49</v>
      </c>
    </row>
    <row r="16" spans="1:8" x14ac:dyDescent="0.25">
      <c r="A16" t="s">
        <v>54</v>
      </c>
      <c r="B16" s="4">
        <v>50</v>
      </c>
      <c r="C16" s="7" t="s">
        <v>56</v>
      </c>
      <c r="D16" t="s">
        <v>26</v>
      </c>
    </row>
    <row r="17" spans="1:7" x14ac:dyDescent="0.25">
      <c r="A17" t="s">
        <v>48</v>
      </c>
      <c r="B17" s="2">
        <v>1.2</v>
      </c>
      <c r="C17" s="3" t="s">
        <v>11</v>
      </c>
      <c r="D17" t="s">
        <v>26</v>
      </c>
    </row>
    <row r="20" spans="1:7" x14ac:dyDescent="0.25">
      <c r="A20" s="11" t="s">
        <v>8</v>
      </c>
      <c r="B20" s="50" t="s">
        <v>67</v>
      </c>
      <c r="C20" s="51"/>
      <c r="D20" s="52"/>
      <c r="E20" s="50" t="s">
        <v>71</v>
      </c>
      <c r="F20" s="51"/>
      <c r="G20" s="52"/>
    </row>
    <row r="21" spans="1:7" s="1" customFormat="1" ht="45" x14ac:dyDescent="0.25">
      <c r="A21" s="5" t="s">
        <v>1</v>
      </c>
      <c r="B21" s="16" t="s">
        <v>73</v>
      </c>
      <c r="C21" s="16" t="s">
        <v>74</v>
      </c>
      <c r="D21" s="16" t="s">
        <v>72</v>
      </c>
      <c r="E21" s="24" t="s">
        <v>75</v>
      </c>
      <c r="F21" s="24" t="s">
        <v>24</v>
      </c>
      <c r="G21" s="24" t="s">
        <v>70</v>
      </c>
    </row>
    <row r="22" spans="1:7" x14ac:dyDescent="0.25">
      <c r="A22">
        <v>1</v>
      </c>
      <c r="B22" s="17">
        <f>$B$5*($B$17-1)</f>
        <v>499.99999999999989</v>
      </c>
      <c r="C22" s="17">
        <f>-B10*B9-B11*B12-B13</f>
        <v>-1629.6000000000001</v>
      </c>
      <c r="D22" s="17">
        <f>SUM(B22:C22)</f>
        <v>-1129.6000000000004</v>
      </c>
      <c r="E22" s="19">
        <f>B22/(1+$B$4)^$A22</f>
        <v>476.19047619047609</v>
      </c>
      <c r="F22" s="19">
        <f t="shared" ref="F22:F41" si="0">C22/(1+$B$4)^$A22</f>
        <v>-1552</v>
      </c>
      <c r="G22" s="19">
        <f>SUM(E22:F22)</f>
        <v>-1075.8095238095239</v>
      </c>
    </row>
    <row r="23" spans="1:7" x14ac:dyDescent="0.25">
      <c r="A23">
        <v>2</v>
      </c>
      <c r="B23" s="17">
        <f>$B$5*($B$17-1)</f>
        <v>499.99999999999989</v>
      </c>
      <c r="C23" s="17">
        <f>-B15</f>
        <v>-150</v>
      </c>
      <c r="D23" s="17">
        <f t="shared" ref="D23:D41" si="1">SUM(B23:C23)</f>
        <v>349.99999999999989</v>
      </c>
      <c r="E23" s="19">
        <f t="shared" ref="E23:E41" si="2">B23/(1+$B$4)^$A23</f>
        <v>453.51473922902483</v>
      </c>
      <c r="F23" s="19">
        <f t="shared" si="0"/>
        <v>-136.05442176870747</v>
      </c>
      <c r="G23" s="19">
        <f t="shared" ref="G23:G41" si="3">SUM(E23:F23)</f>
        <v>317.46031746031736</v>
      </c>
    </row>
    <row r="24" spans="1:7" x14ac:dyDescent="0.25">
      <c r="A24">
        <v>3</v>
      </c>
      <c r="B24" s="17">
        <f>$B$5*($B$17-1)</f>
        <v>499.99999999999989</v>
      </c>
      <c r="C24" s="17">
        <f>-B16-B12*B11</f>
        <v>-130</v>
      </c>
      <c r="D24" s="17">
        <f t="shared" si="1"/>
        <v>369.99999999999989</v>
      </c>
      <c r="E24" s="19">
        <f t="shared" si="2"/>
        <v>431.9187992657379</v>
      </c>
      <c r="F24" s="19">
        <f t="shared" si="0"/>
        <v>-112.29888780909188</v>
      </c>
      <c r="G24" s="19">
        <f t="shared" si="3"/>
        <v>319.61991145664604</v>
      </c>
    </row>
    <row r="25" spans="1:7" x14ac:dyDescent="0.25">
      <c r="A25">
        <v>4</v>
      </c>
      <c r="B25" s="17">
        <f>$B$5*($B$17-1)</f>
        <v>499.99999999999989</v>
      </c>
      <c r="C25" s="17">
        <f>C23</f>
        <v>-150</v>
      </c>
      <c r="D25" s="17">
        <f t="shared" si="1"/>
        <v>349.99999999999989</v>
      </c>
      <c r="E25" s="19">
        <f t="shared" si="2"/>
        <v>411.35123739594087</v>
      </c>
      <c r="F25" s="19">
        <f t="shared" si="0"/>
        <v>-123.40537121878229</v>
      </c>
      <c r="G25" s="19">
        <f t="shared" si="3"/>
        <v>287.94586617715856</v>
      </c>
    </row>
    <row r="26" spans="1:7" x14ac:dyDescent="0.25">
      <c r="A26">
        <v>5</v>
      </c>
      <c r="B26" s="17">
        <f>$B$5*($B$17-1)</f>
        <v>499.99999999999989</v>
      </c>
      <c r="C26" s="17">
        <f>C24</f>
        <v>-130</v>
      </c>
      <c r="D26" s="17">
        <f t="shared" si="1"/>
        <v>369.99999999999989</v>
      </c>
      <c r="E26" s="19">
        <f t="shared" si="2"/>
        <v>391.76308323422938</v>
      </c>
      <c r="F26" s="19">
        <f t="shared" si="0"/>
        <v>-101.85840164089966</v>
      </c>
      <c r="G26" s="19">
        <f t="shared" si="3"/>
        <v>289.90468159332971</v>
      </c>
    </row>
    <row r="27" spans="1:7" x14ac:dyDescent="0.25">
      <c r="A27">
        <v>6</v>
      </c>
      <c r="B27" s="17">
        <f>$B$5*($B$17-1)</f>
        <v>499.99999999999989</v>
      </c>
      <c r="C27" s="17">
        <f>C22</f>
        <v>-1629.6000000000001</v>
      </c>
      <c r="D27" s="17">
        <f t="shared" si="1"/>
        <v>-1129.6000000000004</v>
      </c>
      <c r="E27" s="19">
        <f t="shared" si="2"/>
        <v>373.10769831831374</v>
      </c>
      <c r="F27" s="19">
        <f t="shared" si="0"/>
        <v>-1216.0326103590485</v>
      </c>
      <c r="G27" s="19">
        <f t="shared" si="3"/>
        <v>-842.92491204073474</v>
      </c>
    </row>
    <row r="28" spans="1:7" x14ac:dyDescent="0.25">
      <c r="A28">
        <v>7</v>
      </c>
      <c r="B28" s="17">
        <f>$B$5*($B$17-1)</f>
        <v>499.99999999999989</v>
      </c>
      <c r="C28" s="17">
        <f t="shared" ref="C28:C41" si="4">C23</f>
        <v>-150</v>
      </c>
      <c r="D28" s="17">
        <f t="shared" si="1"/>
        <v>349.99999999999989</v>
      </c>
      <c r="E28" s="19">
        <f t="shared" si="2"/>
        <v>355.34066506506065</v>
      </c>
      <c r="F28" s="19">
        <f t="shared" si="0"/>
        <v>-106.60219951951822</v>
      </c>
      <c r="G28" s="19">
        <f t="shared" si="3"/>
        <v>248.73846554554243</v>
      </c>
    </row>
    <row r="29" spans="1:7" x14ac:dyDescent="0.25">
      <c r="A29">
        <v>8</v>
      </c>
      <c r="B29" s="17">
        <f>$B$5*($B$17-1)</f>
        <v>499.99999999999989</v>
      </c>
      <c r="C29" s="17">
        <f t="shared" si="4"/>
        <v>-130</v>
      </c>
      <c r="D29" s="17">
        <f t="shared" si="1"/>
        <v>369.99999999999989</v>
      </c>
      <c r="E29" s="19">
        <f t="shared" si="2"/>
        <v>338.4196810143435</v>
      </c>
      <c r="F29" s="19">
        <f t="shared" si="0"/>
        <v>-87.989117063729338</v>
      </c>
      <c r="G29" s="19">
        <f t="shared" si="3"/>
        <v>250.43056395061416</v>
      </c>
    </row>
    <row r="30" spans="1:7" x14ac:dyDescent="0.25">
      <c r="A30">
        <v>9</v>
      </c>
      <c r="B30" s="17">
        <f>$B$5*($B$17-1)</f>
        <v>499.99999999999989</v>
      </c>
      <c r="C30" s="17">
        <f t="shared" si="4"/>
        <v>-150</v>
      </c>
      <c r="D30" s="17">
        <f t="shared" si="1"/>
        <v>349.99999999999989</v>
      </c>
      <c r="E30" s="19">
        <f t="shared" si="2"/>
        <v>322.30445810889859</v>
      </c>
      <c r="F30" s="19">
        <f t="shared" si="0"/>
        <v>-96.691337432669599</v>
      </c>
      <c r="G30" s="19">
        <f t="shared" si="3"/>
        <v>225.61312067622899</v>
      </c>
    </row>
    <row r="31" spans="1:7" x14ac:dyDescent="0.25">
      <c r="A31">
        <v>10</v>
      </c>
      <c r="B31" s="17">
        <f>$B$5*($B$17-1)</f>
        <v>499.99999999999989</v>
      </c>
      <c r="C31" s="17">
        <f t="shared" si="4"/>
        <v>-130</v>
      </c>
      <c r="D31" s="17">
        <f t="shared" si="1"/>
        <v>369.99999999999989</v>
      </c>
      <c r="E31" s="19">
        <f t="shared" si="2"/>
        <v>306.95662677037961</v>
      </c>
      <c r="F31" s="19">
        <f t="shared" si="0"/>
        <v>-79.808722960298709</v>
      </c>
      <c r="G31" s="19">
        <f t="shared" si="3"/>
        <v>227.14790381008089</v>
      </c>
    </row>
    <row r="32" spans="1:7" x14ac:dyDescent="0.25">
      <c r="A32">
        <v>11</v>
      </c>
      <c r="B32" s="17">
        <f>$B$5*($B$17-1)</f>
        <v>499.99999999999989</v>
      </c>
      <c r="C32" s="17">
        <f t="shared" si="4"/>
        <v>-1629.6000000000001</v>
      </c>
      <c r="D32" s="17">
        <f t="shared" si="1"/>
        <v>-1129.6000000000004</v>
      </c>
      <c r="E32" s="19">
        <f t="shared" si="2"/>
        <v>292.33964454321864</v>
      </c>
      <c r="F32" s="19">
        <f t="shared" si="0"/>
        <v>-952.7933694952585</v>
      </c>
      <c r="G32" s="19">
        <f t="shared" si="3"/>
        <v>-660.45372495203992</v>
      </c>
    </row>
    <row r="33" spans="1:7" x14ac:dyDescent="0.25">
      <c r="A33">
        <v>12</v>
      </c>
      <c r="B33" s="17">
        <f>$B$5*($B$17-1)</f>
        <v>499.99999999999989</v>
      </c>
      <c r="C33" s="17">
        <f t="shared" si="4"/>
        <v>-150</v>
      </c>
      <c r="D33" s="17">
        <f t="shared" si="1"/>
        <v>349.99999999999989</v>
      </c>
      <c r="E33" s="19">
        <f t="shared" si="2"/>
        <v>278.41870908877968</v>
      </c>
      <c r="F33" s="19">
        <f t="shared" si="0"/>
        <v>-83.525612726633923</v>
      </c>
      <c r="G33" s="19">
        <f t="shared" si="3"/>
        <v>194.89309636214574</v>
      </c>
    </row>
    <row r="34" spans="1:7" x14ac:dyDescent="0.25">
      <c r="A34">
        <v>13</v>
      </c>
      <c r="B34" s="17">
        <f>$B$5*($B$17-1)</f>
        <v>499.99999999999989</v>
      </c>
      <c r="C34" s="17">
        <f t="shared" si="4"/>
        <v>-130</v>
      </c>
      <c r="D34" s="17">
        <f t="shared" si="1"/>
        <v>369.99999999999989</v>
      </c>
      <c r="E34" s="19">
        <f t="shared" si="2"/>
        <v>265.16067532264725</v>
      </c>
      <c r="F34" s="19">
        <f t="shared" si="0"/>
        <v>-68.941775583888301</v>
      </c>
      <c r="G34" s="19">
        <f t="shared" si="3"/>
        <v>196.21889973875895</v>
      </c>
    </row>
    <row r="35" spans="1:7" x14ac:dyDescent="0.25">
      <c r="A35">
        <v>14</v>
      </c>
      <c r="B35" s="17">
        <f>$B$5*($B$17-1)</f>
        <v>499.99999999999989</v>
      </c>
      <c r="C35" s="17">
        <f t="shared" si="4"/>
        <v>-150</v>
      </c>
      <c r="D35" s="17">
        <f t="shared" si="1"/>
        <v>349.99999999999989</v>
      </c>
      <c r="E35" s="19">
        <f t="shared" si="2"/>
        <v>252.53397649775937</v>
      </c>
      <c r="F35" s="19">
        <f t="shared" si="0"/>
        <v>-75.760192949327831</v>
      </c>
      <c r="G35" s="19">
        <f t="shared" si="3"/>
        <v>176.77378354843154</v>
      </c>
    </row>
    <row r="36" spans="1:7" x14ac:dyDescent="0.25">
      <c r="A36">
        <v>15</v>
      </c>
      <c r="B36" s="17">
        <f>$B$5*($B$17-1)</f>
        <v>499.99999999999989</v>
      </c>
      <c r="C36" s="17">
        <f t="shared" si="4"/>
        <v>-130</v>
      </c>
      <c r="D36" s="17">
        <f t="shared" si="1"/>
        <v>369.99999999999989</v>
      </c>
      <c r="E36" s="19">
        <f t="shared" si="2"/>
        <v>240.50854904548504</v>
      </c>
      <c r="F36" s="19">
        <f t="shared" si="0"/>
        <v>-62.532222751826126</v>
      </c>
      <c r="G36" s="19">
        <f t="shared" si="3"/>
        <v>177.97632629365893</v>
      </c>
    </row>
    <row r="37" spans="1:7" x14ac:dyDescent="0.25">
      <c r="A37">
        <v>16</v>
      </c>
      <c r="B37" s="17">
        <f>$B$5*($B$17-1)</f>
        <v>499.99999999999989</v>
      </c>
      <c r="C37" s="17">
        <f t="shared" si="4"/>
        <v>-1629.6000000000001</v>
      </c>
      <c r="D37" s="17">
        <f t="shared" si="1"/>
        <v>-1129.6000000000004</v>
      </c>
      <c r="E37" s="19">
        <f t="shared" si="2"/>
        <v>229.05576099570007</v>
      </c>
      <c r="F37" s="19">
        <f t="shared" si="0"/>
        <v>-746.53853623718589</v>
      </c>
      <c r="G37" s="19">
        <f t="shared" si="3"/>
        <v>-517.4827752414858</v>
      </c>
    </row>
    <row r="38" spans="1:7" x14ac:dyDescent="0.25">
      <c r="A38">
        <v>17</v>
      </c>
      <c r="B38" s="17">
        <f>$B$5*($B$17-1)</f>
        <v>499.99999999999989</v>
      </c>
      <c r="C38" s="17">
        <f t="shared" si="4"/>
        <v>-150</v>
      </c>
      <c r="D38" s="17">
        <f t="shared" si="1"/>
        <v>349.99999999999989</v>
      </c>
      <c r="E38" s="19">
        <f t="shared" si="2"/>
        <v>218.1483438054286</v>
      </c>
      <c r="F38" s="19">
        <f t="shared" si="0"/>
        <v>-65.444503141628587</v>
      </c>
      <c r="G38" s="19">
        <f t="shared" si="3"/>
        <v>152.70384066380001</v>
      </c>
    </row>
    <row r="39" spans="1:7" x14ac:dyDescent="0.25">
      <c r="A39">
        <v>18</v>
      </c>
      <c r="B39" s="17">
        <f>$B$5*($B$17-1)</f>
        <v>499.99999999999989</v>
      </c>
      <c r="C39" s="17">
        <f t="shared" si="4"/>
        <v>-130</v>
      </c>
      <c r="D39" s="17">
        <f t="shared" si="1"/>
        <v>369.99999999999989</v>
      </c>
      <c r="E39" s="19">
        <f t="shared" si="2"/>
        <v>207.76032743374154</v>
      </c>
      <c r="F39" s="19">
        <f t="shared" si="0"/>
        <v>-54.017685132772812</v>
      </c>
      <c r="G39" s="19">
        <f t="shared" si="3"/>
        <v>153.74264230096873</v>
      </c>
    </row>
    <row r="40" spans="1:7" x14ac:dyDescent="0.25">
      <c r="A40">
        <v>19</v>
      </c>
      <c r="B40" s="17">
        <f>$B$5*($B$17-1)</f>
        <v>499.99999999999989</v>
      </c>
      <c r="C40" s="17">
        <f t="shared" si="4"/>
        <v>-150</v>
      </c>
      <c r="D40" s="17">
        <f t="shared" si="1"/>
        <v>349.99999999999989</v>
      </c>
      <c r="E40" s="19">
        <f t="shared" si="2"/>
        <v>197.86697850832527</v>
      </c>
      <c r="F40" s="19">
        <f t="shared" si="0"/>
        <v>-59.360093552497595</v>
      </c>
      <c r="G40" s="19">
        <f t="shared" si="3"/>
        <v>138.50688495582767</v>
      </c>
    </row>
    <row r="41" spans="1:7" x14ac:dyDescent="0.25">
      <c r="A41">
        <v>20</v>
      </c>
      <c r="B41" s="18">
        <f>$B$5*($B$17-1)</f>
        <v>499.99999999999989</v>
      </c>
      <c r="C41" s="17">
        <f t="shared" si="4"/>
        <v>-130</v>
      </c>
      <c r="D41" s="18">
        <f t="shared" si="1"/>
        <v>369.99999999999989</v>
      </c>
      <c r="E41" s="20">
        <f t="shared" si="2"/>
        <v>188.44474143650027</v>
      </c>
      <c r="F41" s="20">
        <f t="shared" si="0"/>
        <v>-48.99563277349008</v>
      </c>
      <c r="G41" s="20">
        <f t="shared" si="3"/>
        <v>139.44910866301018</v>
      </c>
    </row>
    <row r="42" spans="1:7" x14ac:dyDescent="0.25">
      <c r="A42" s="21" t="s">
        <v>69</v>
      </c>
      <c r="B42" s="22">
        <f t="shared" ref="B42:G42" si="5">SUM(B22:B41)</f>
        <v>9999.9999999999982</v>
      </c>
      <c r="C42" s="22">
        <f t="shared" si="5"/>
        <v>-8758.4000000000015</v>
      </c>
      <c r="D42" s="22">
        <f t="shared" si="5"/>
        <v>1241.5999999999967</v>
      </c>
      <c r="E42" s="23">
        <f t="shared" si="5"/>
        <v>6231.1051712699918</v>
      </c>
      <c r="F42" s="23">
        <f t="shared" si="5"/>
        <v>-5830.6506941172556</v>
      </c>
      <c r="G42" s="23">
        <f t="shared" si="5"/>
        <v>400.45447715273554</v>
      </c>
    </row>
    <row r="48" spans="1:7" x14ac:dyDescent="0.25">
      <c r="F48">
        <v>250</v>
      </c>
    </row>
    <row r="49" spans="3:6" x14ac:dyDescent="0.25">
      <c r="C49">
        <f>32*100</f>
        <v>3200</v>
      </c>
      <c r="D49">
        <f>260/C49</f>
        <v>8.1250000000000003E-2</v>
      </c>
      <c r="F49">
        <f>32*100</f>
        <v>3200</v>
      </c>
    </row>
    <row r="50" spans="3:6" x14ac:dyDescent="0.25">
      <c r="F50" s="25">
        <f>F48/F49</f>
        <v>7.8125E-2</v>
      </c>
    </row>
  </sheetData>
  <mergeCells count="4">
    <mergeCell ref="F2:F3"/>
    <mergeCell ref="G2:H2"/>
    <mergeCell ref="B20:D20"/>
    <mergeCell ref="E20:G20"/>
  </mergeCells>
  <hyperlinks>
    <hyperlink ref="D15" r:id="rId1" display="Based on NRCS Practice 442, Scenario #6: Solid Set Sprinkler System"/>
    <hyperlink ref="D10" r:id="rId2"/>
  </hyperlinks>
  <pageMargins left="0.7" right="0.7" top="0.75" bottom="0.75" header="0.3" footer="0.3"/>
  <pageSetup orientation="portrait" r:id="rId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5F75FF0955454CB692721FD1901FA8" ma:contentTypeVersion="12" ma:contentTypeDescription="Create a new document." ma:contentTypeScope="" ma:versionID="d24a2e80cf9164136a9229755220914a">
  <xsd:schema xmlns:xsd="http://www.w3.org/2001/XMLSchema" xmlns:xs="http://www.w3.org/2001/XMLSchema" xmlns:p="http://schemas.microsoft.com/office/2006/metadata/properties" xmlns:ns3="aabf565a-0a22-4f0e-b9e1-fdc4dd97e5fd" xmlns:ns4="db192b12-0875-4e3d-a7d9-8659e07ada27" targetNamespace="http://schemas.microsoft.com/office/2006/metadata/properties" ma:root="true" ma:fieldsID="393f3c6400a95a0706fd3a5aa51ba7f0" ns3:_="" ns4:_="">
    <xsd:import namespace="aabf565a-0a22-4f0e-b9e1-fdc4dd97e5fd"/>
    <xsd:import namespace="db192b12-0875-4e3d-a7d9-8659e07ada2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bf565a-0a22-4f0e-b9e1-fdc4dd97e5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192b12-0875-4e3d-a7d9-8659e07ada27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2B6322A-3343-4198-BBCD-E76A4DBD0E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bf565a-0a22-4f0e-b9e1-fdc4dd97e5fd"/>
    <ds:schemaRef ds:uri="db192b12-0875-4e3d-a7d9-8659e07ada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BDD9A3A-8D95-44A1-9AE0-8E8BAB659A41}">
  <ds:schemaRefs>
    <ds:schemaRef ds:uri="http://schemas.microsoft.com/office/2006/documentManagement/types"/>
    <ds:schemaRef ds:uri="db192b12-0875-4e3d-a7d9-8659e07ada27"/>
    <ds:schemaRef ds:uri="http://purl.org/dc/elements/1.1/"/>
    <ds:schemaRef ds:uri="http://schemas.microsoft.com/office/2006/metadata/properties"/>
    <ds:schemaRef ds:uri="aabf565a-0a22-4f0e-b9e1-fdc4dd97e5fd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8482930-1295-4587-A0E1-FE4BFA6E3F0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Silvopasture-CropTrees</vt:lpstr>
      <vt:lpstr>Irrigation_Spray</vt:lpstr>
      <vt:lpstr>Irrigation_Drip</vt:lpstr>
      <vt:lpstr>Tarp&amp;CoverCrop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Daigneault</dc:creator>
  <cp:lastModifiedBy>Adam J Daigneault</cp:lastModifiedBy>
  <dcterms:created xsi:type="dcterms:W3CDTF">2021-09-30T14:24:01Z</dcterms:created>
  <dcterms:modified xsi:type="dcterms:W3CDTF">2022-04-21T20:22:18Z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0x010100B65F75FF0955454CB692721FD1901FA8</vt:lpwstr>
  </property>
</Properties>
</file>