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https://dtudk-my.sharepoint.com/personal/ojoll_dtu_dk/Documents/Jolliet UM/Teaching/MOOCs serie/Course 3 material/Case studies material/Electric versus hybrid car/"/>
    </mc:Choice>
  </mc:AlternateContent>
  <xr:revisionPtr revIDLastSave="1" documentId="11_2DEAA0B3FBACF13773B975768130F833D4F90FB4" xr6:coauthVersionLast="47" xr6:coauthVersionMax="47" xr10:uidLastSave="{F40F9773-5CD0-4D17-AD43-E25310F5FF47}"/>
  <bookViews>
    <workbookView xWindow="0" yWindow="-3366" windowWidth="23040" windowHeight="15726" activeTab="3" xr2:uid="{00000000-000D-0000-FFFF-FFFF00000000}"/>
  </bookViews>
  <sheets>
    <sheet name="Gasoline and electric vehicles" sheetId="1" r:id="rId1"/>
    <sheet name="Processes" sheetId="2" r:id="rId2"/>
    <sheet name="Midpoint results" sheetId="3" r:id="rId3"/>
    <sheet name="Input for Studen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5" i="1" l="1"/>
  <c r="AF15" i="1"/>
  <c r="AL3" i="1" l="1"/>
  <c r="K71" i="1"/>
  <c r="L71" i="1" s="1"/>
  <c r="AL12" i="1" s="1"/>
  <c r="G71" i="1"/>
  <c r="H71" i="1" s="1"/>
  <c r="AA12" i="1" s="1"/>
  <c r="D71" i="1"/>
  <c r="E71" i="1" s="1"/>
  <c r="T12" i="1" s="1"/>
  <c r="J71" i="1" l="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H3" i="1" l="1"/>
  <c r="AJ3" i="1"/>
  <c r="AF3" i="1"/>
  <c r="L72" i="1"/>
  <c r="L79" i="1"/>
  <c r="K78" i="1"/>
  <c r="K77" i="1"/>
  <c r="K76" i="1"/>
  <c r="K75" i="1"/>
  <c r="K74" i="1"/>
  <c r="K73" i="1"/>
  <c r="K70" i="1"/>
  <c r="L70" i="1" s="1"/>
  <c r="K69" i="1"/>
  <c r="L69" i="1" s="1"/>
  <c r="AH10" i="1" s="1"/>
  <c r="K68" i="1"/>
  <c r="L68" i="1" s="1"/>
  <c r="K66" i="1"/>
  <c r="K65" i="1"/>
  <c r="K64" i="1"/>
  <c r="K62" i="1"/>
  <c r="K61" i="1"/>
  <c r="K60" i="1"/>
  <c r="K59" i="1"/>
  <c r="K58" i="1"/>
  <c r="K57" i="1"/>
  <c r="K56" i="1"/>
  <c r="K55" i="1"/>
  <c r="K54" i="1"/>
  <c r="K53" i="1"/>
  <c r="K52" i="1"/>
  <c r="K51" i="1"/>
  <c r="K50" i="1"/>
  <c r="K49" i="1"/>
  <c r="AF9" i="1" l="1"/>
  <c r="AJ11" i="1"/>
  <c r="K41" i="1" l="1"/>
  <c r="K40" i="1"/>
  <c r="K39" i="1"/>
  <c r="K38" i="1"/>
  <c r="K37" i="1"/>
  <c r="K35" i="1"/>
  <c r="L35" i="1" s="1"/>
  <c r="K34" i="1"/>
  <c r="L34" i="1" s="1"/>
  <c r="AD8" i="1" s="1"/>
  <c r="K32" i="1"/>
  <c r="K31" i="1"/>
  <c r="K30" i="1"/>
  <c r="K28" i="1"/>
  <c r="K27" i="1"/>
  <c r="K26" i="1"/>
  <c r="K25" i="1"/>
  <c r="K24" i="1"/>
  <c r="K23" i="1"/>
  <c r="K22" i="1"/>
  <c r="K21" i="1"/>
  <c r="K20" i="1"/>
  <c r="K19" i="1"/>
  <c r="K18" i="1"/>
  <c r="K17" i="1"/>
  <c r="K16" i="1"/>
  <c r="K15" i="1"/>
  <c r="K14" i="1"/>
  <c r="K13" i="1"/>
  <c r="K12" i="1"/>
  <c r="K11" i="1"/>
  <c r="K10" i="1"/>
  <c r="K9" i="1"/>
  <c r="K8" i="1"/>
  <c r="K7" i="1"/>
  <c r="K6" i="1"/>
  <c r="G35" i="1" l="1"/>
  <c r="H35" i="1" s="1"/>
  <c r="T16" i="1"/>
  <c r="E35" i="1"/>
  <c r="D11" i="1" l="1"/>
  <c r="G70" i="1"/>
  <c r="H70" i="1" s="1"/>
  <c r="G69" i="1"/>
  <c r="H69" i="1" s="1"/>
  <c r="G78" i="1"/>
  <c r="G77" i="1"/>
  <c r="G76" i="1"/>
  <c r="G75" i="1"/>
  <c r="G74" i="1"/>
  <c r="G73" i="1"/>
  <c r="G68" i="1"/>
  <c r="H68" i="1" s="1"/>
  <c r="G66" i="1"/>
  <c r="G65" i="1"/>
  <c r="G64" i="1"/>
  <c r="G62" i="1"/>
  <c r="G61" i="1"/>
  <c r="G60" i="1"/>
  <c r="G59" i="1"/>
  <c r="G58" i="1"/>
  <c r="G57" i="1"/>
  <c r="G56" i="1"/>
  <c r="G55" i="1"/>
  <c r="G54" i="1"/>
  <c r="G53" i="1"/>
  <c r="G52" i="1"/>
  <c r="G51" i="1"/>
  <c r="G50" i="1"/>
  <c r="G49" i="1"/>
  <c r="Y10" i="1" l="1"/>
  <c r="Z11" i="1"/>
  <c r="Q106" i="1"/>
  <c r="D70" i="1"/>
  <c r="E70" i="1" s="1"/>
  <c r="D69" i="1"/>
  <c r="E69" i="1" s="1"/>
  <c r="D68" i="1"/>
  <c r="E68" i="1" s="1"/>
  <c r="D66" i="1"/>
  <c r="D65" i="1"/>
  <c r="D64" i="1"/>
  <c r="D78" i="1"/>
  <c r="D75" i="1"/>
  <c r="D76" i="1"/>
  <c r="D77" i="1"/>
  <c r="D74" i="1"/>
  <c r="D73" i="1"/>
  <c r="D62" i="1"/>
  <c r="D61" i="1"/>
  <c r="D60" i="1"/>
  <c r="D59" i="1"/>
  <c r="D58" i="1"/>
  <c r="D57" i="1"/>
  <c r="D56" i="1"/>
  <c r="D55" i="1"/>
  <c r="I27" i="2"/>
  <c r="D54" i="1"/>
  <c r="M27" i="2"/>
  <c r="D53" i="1"/>
  <c r="D52" i="1"/>
  <c r="D51" i="1"/>
  <c r="D50" i="1"/>
  <c r="D49" i="1"/>
  <c r="B73" i="1"/>
  <c r="B62" i="1"/>
  <c r="B61" i="1"/>
  <c r="B60" i="1"/>
  <c r="B59" i="1"/>
  <c r="B58" i="1"/>
  <c r="B57" i="1"/>
  <c r="B56" i="1"/>
  <c r="L56" i="1" s="1"/>
  <c r="B55" i="1"/>
  <c r="B54" i="1"/>
  <c r="B53" i="1"/>
  <c r="B52" i="1"/>
  <c r="B51" i="1"/>
  <c r="B50" i="1"/>
  <c r="B49" i="1"/>
  <c r="B66" i="1"/>
  <c r="B65" i="1"/>
  <c r="B64" i="1"/>
  <c r="G38" i="1"/>
  <c r="G39" i="1"/>
  <c r="G40" i="1"/>
  <c r="G41" i="1"/>
  <c r="G37" i="1"/>
  <c r="G34" i="1"/>
  <c r="H34" i="1" s="1"/>
  <c r="W8" i="1" s="1"/>
  <c r="G31" i="1"/>
  <c r="G32" i="1"/>
  <c r="G30" i="1"/>
  <c r="G28" i="1"/>
  <c r="G7" i="1"/>
  <c r="G8" i="1"/>
  <c r="G9" i="1"/>
  <c r="G10" i="1"/>
  <c r="G11" i="1"/>
  <c r="G12" i="1"/>
  <c r="G13" i="1"/>
  <c r="G14" i="1"/>
  <c r="G15" i="1"/>
  <c r="G16" i="1"/>
  <c r="G17" i="1"/>
  <c r="G18" i="1"/>
  <c r="G19" i="1"/>
  <c r="G20" i="1"/>
  <c r="G21" i="1"/>
  <c r="G22" i="1"/>
  <c r="G23" i="1"/>
  <c r="G24" i="1"/>
  <c r="G25" i="1"/>
  <c r="G26" i="1"/>
  <c r="G27" i="1"/>
  <c r="G6" i="1"/>
  <c r="B39" i="1"/>
  <c r="L39" i="1" s="1"/>
  <c r="D38" i="1"/>
  <c r="D39" i="1"/>
  <c r="D40" i="1"/>
  <c r="D41" i="1"/>
  <c r="D37" i="1"/>
  <c r="D34" i="1"/>
  <c r="E34" i="1" s="1"/>
  <c r="D31" i="1"/>
  <c r="D32" i="1"/>
  <c r="D30" i="1"/>
  <c r="D28" i="1"/>
  <c r="D7" i="1"/>
  <c r="D8" i="1"/>
  <c r="D9" i="1"/>
  <c r="D10" i="1"/>
  <c r="D12" i="1"/>
  <c r="D13" i="1"/>
  <c r="D14" i="1"/>
  <c r="D15" i="1"/>
  <c r="D16" i="1"/>
  <c r="D17" i="1"/>
  <c r="D18" i="1"/>
  <c r="D19" i="1"/>
  <c r="D20" i="1"/>
  <c r="D21" i="1"/>
  <c r="D22" i="1"/>
  <c r="D23" i="1"/>
  <c r="D24" i="1"/>
  <c r="D25" i="1"/>
  <c r="D26" i="1"/>
  <c r="D27" i="1"/>
  <c r="D6" i="1"/>
  <c r="B28" i="1"/>
  <c r="L28" i="1" s="1"/>
  <c r="H56" i="1" l="1"/>
  <c r="H66" i="1"/>
  <c r="L66" i="1"/>
  <c r="H49" i="1"/>
  <c r="L49" i="1"/>
  <c r="H58" i="1"/>
  <c r="L58" i="1"/>
  <c r="H50" i="1"/>
  <c r="L50" i="1"/>
  <c r="H51" i="1"/>
  <c r="L51" i="1"/>
  <c r="H59" i="1"/>
  <c r="L59" i="1"/>
  <c r="H52" i="1"/>
  <c r="L52" i="1"/>
  <c r="H60" i="1"/>
  <c r="L60" i="1"/>
  <c r="H55" i="1"/>
  <c r="L55" i="1"/>
  <c r="Q9" i="1"/>
  <c r="H53" i="1"/>
  <c r="L53" i="1"/>
  <c r="H61" i="1"/>
  <c r="L61" i="1"/>
  <c r="H73" i="1"/>
  <c r="L73" i="1"/>
  <c r="B78" i="1"/>
  <c r="L78" i="1" s="1"/>
  <c r="L57" i="1"/>
  <c r="H64" i="1"/>
  <c r="AA6" i="1" s="1"/>
  <c r="L64" i="1"/>
  <c r="AL6" i="1" s="1"/>
  <c r="H54" i="1"/>
  <c r="L54" i="1"/>
  <c r="H62" i="1"/>
  <c r="L62" i="1"/>
  <c r="H65" i="1"/>
  <c r="L65" i="1"/>
  <c r="H57" i="1"/>
  <c r="E54" i="1"/>
  <c r="P8" i="1"/>
  <c r="J35" i="1"/>
  <c r="E53" i="1"/>
  <c r="J69" i="1"/>
  <c r="R10" i="1"/>
  <c r="J70" i="1"/>
  <c r="S11" i="1"/>
  <c r="E78" i="1"/>
  <c r="B74" i="1"/>
  <c r="B75" i="1"/>
  <c r="B76" i="1"/>
  <c r="B77" i="1"/>
  <c r="E60" i="1"/>
  <c r="E62" i="1"/>
  <c r="E49" i="1"/>
  <c r="E51" i="1"/>
  <c r="E52" i="1"/>
  <c r="E61" i="1"/>
  <c r="E50" i="1"/>
  <c r="E58" i="1"/>
  <c r="E66" i="1"/>
  <c r="E55" i="1"/>
  <c r="E57" i="1"/>
  <c r="E64" i="1"/>
  <c r="E59" i="1"/>
  <c r="E65" i="1"/>
  <c r="E56" i="1"/>
  <c r="E73" i="1"/>
  <c r="J34" i="1"/>
  <c r="E39" i="1"/>
  <c r="AL5" i="1" l="1"/>
  <c r="AT5" i="1" s="1"/>
  <c r="BA5" i="1" s="1"/>
  <c r="AA5" i="1"/>
  <c r="T6" i="1"/>
  <c r="T5" i="1"/>
  <c r="H78" i="1"/>
  <c r="J78" i="1" s="1"/>
  <c r="AH5" i="1"/>
  <c r="AJ5" i="1"/>
  <c r="AF5" i="1"/>
  <c r="J53" i="1"/>
  <c r="AJ6" i="1"/>
  <c r="AH6" i="1"/>
  <c r="AF6" i="1"/>
  <c r="J58" i="1"/>
  <c r="H77" i="1"/>
  <c r="L77" i="1"/>
  <c r="H76" i="1"/>
  <c r="L76" i="1"/>
  <c r="H75" i="1"/>
  <c r="L75" i="1"/>
  <c r="J62" i="1"/>
  <c r="J50" i="1"/>
  <c r="J61" i="1"/>
  <c r="J59" i="1"/>
  <c r="J52" i="1"/>
  <c r="J51" i="1"/>
  <c r="H74" i="1"/>
  <c r="L74" i="1"/>
  <c r="E77" i="1"/>
  <c r="E74" i="1"/>
  <c r="X5" i="1"/>
  <c r="Z5" i="1"/>
  <c r="Y5" i="1"/>
  <c r="Y6" i="1"/>
  <c r="Z6" i="1"/>
  <c r="X6" i="1"/>
  <c r="S6" i="1"/>
  <c r="Q6" i="1"/>
  <c r="R6" i="1"/>
  <c r="J73" i="1"/>
  <c r="E75" i="1"/>
  <c r="E76" i="1"/>
  <c r="J57" i="1"/>
  <c r="J56" i="1"/>
  <c r="J60" i="1"/>
  <c r="J55" i="1"/>
  <c r="J66" i="1"/>
  <c r="J49" i="1"/>
  <c r="J65" i="1"/>
  <c r="J64" i="1"/>
  <c r="AT7" i="1" l="1"/>
  <c r="BA7" i="1" s="1"/>
  <c r="AT15" i="1"/>
  <c r="BA15" i="1" s="1"/>
  <c r="AT23" i="1"/>
  <c r="BA23" i="1" s="1"/>
  <c r="AT31" i="1"/>
  <c r="BA31" i="1" s="1"/>
  <c r="AT39" i="1"/>
  <c r="BA39" i="1" s="1"/>
  <c r="AT8" i="1"/>
  <c r="BA8" i="1" s="1"/>
  <c r="AT16" i="1"/>
  <c r="BA16" i="1" s="1"/>
  <c r="AT24" i="1"/>
  <c r="BA24" i="1" s="1"/>
  <c r="AT32" i="1"/>
  <c r="BA32" i="1" s="1"/>
  <c r="AT40" i="1"/>
  <c r="BA40" i="1" s="1"/>
  <c r="AT27" i="1"/>
  <c r="BA27" i="1" s="1"/>
  <c r="AT20" i="1"/>
  <c r="BA20" i="1" s="1"/>
  <c r="AT13" i="1"/>
  <c r="BA13" i="1" s="1"/>
  <c r="AT37" i="1"/>
  <c r="BA37" i="1" s="1"/>
  <c r="AT22" i="1"/>
  <c r="BA22" i="1" s="1"/>
  <c r="AT38" i="1"/>
  <c r="BA38" i="1" s="1"/>
  <c r="AT9" i="1"/>
  <c r="BA9" i="1" s="1"/>
  <c r="AT17" i="1"/>
  <c r="BA17" i="1" s="1"/>
  <c r="AT25" i="1"/>
  <c r="BA25" i="1" s="1"/>
  <c r="AT33" i="1"/>
  <c r="BA33" i="1" s="1"/>
  <c r="AT41" i="1"/>
  <c r="BA41" i="1" s="1"/>
  <c r="AT19" i="1"/>
  <c r="BA19" i="1" s="1"/>
  <c r="AT35" i="1"/>
  <c r="BA35" i="1" s="1"/>
  <c r="AT28" i="1"/>
  <c r="BA28" i="1" s="1"/>
  <c r="AT44" i="1"/>
  <c r="BA44" i="1" s="1"/>
  <c r="AT21" i="1"/>
  <c r="BA21" i="1" s="1"/>
  <c r="AT14" i="1"/>
  <c r="BA14" i="1" s="1"/>
  <c r="AT6" i="1"/>
  <c r="BA6" i="1" s="1"/>
  <c r="AT10" i="1"/>
  <c r="BA10" i="1" s="1"/>
  <c r="AT18" i="1"/>
  <c r="BA18" i="1" s="1"/>
  <c r="AT26" i="1"/>
  <c r="BA26" i="1" s="1"/>
  <c r="AT34" i="1"/>
  <c r="BA34" i="1" s="1"/>
  <c r="AT42" i="1"/>
  <c r="BA42" i="1" s="1"/>
  <c r="AT11" i="1"/>
  <c r="BA11" i="1" s="1"/>
  <c r="AT43" i="1"/>
  <c r="BA43" i="1" s="1"/>
  <c r="AT12" i="1"/>
  <c r="BA12" i="1" s="1"/>
  <c r="AT36" i="1"/>
  <c r="BA36" i="1" s="1"/>
  <c r="AT29" i="1"/>
  <c r="BA29" i="1" s="1"/>
  <c r="AT45" i="1"/>
  <c r="BA45" i="1" s="1"/>
  <c r="AT30" i="1"/>
  <c r="BA30" i="1" s="1"/>
  <c r="AL7" i="1"/>
  <c r="AL13" i="1" s="1"/>
  <c r="AA7" i="1"/>
  <c r="AA13" i="1" s="1"/>
  <c r="L81" i="1"/>
  <c r="E83" i="1"/>
  <c r="F71" i="1" s="1"/>
  <c r="T7" i="1"/>
  <c r="T13" i="1" s="1"/>
  <c r="H83" i="1"/>
  <c r="L82" i="1"/>
  <c r="L83" i="1"/>
  <c r="L80" i="1"/>
  <c r="M69" i="1" s="1"/>
  <c r="AH7" i="1"/>
  <c r="AH13" i="1" s="1"/>
  <c r="AR5" i="1"/>
  <c r="X7" i="1"/>
  <c r="J76" i="1"/>
  <c r="J77" i="1"/>
  <c r="H81" i="1"/>
  <c r="I69" i="1" s="1"/>
  <c r="AF7" i="1"/>
  <c r="AF13" i="1" s="1"/>
  <c r="AQ5" i="1"/>
  <c r="Z7" i="1"/>
  <c r="Z13" i="1" s="1"/>
  <c r="J75" i="1"/>
  <c r="Y7" i="1"/>
  <c r="Y13" i="1" s="1"/>
  <c r="H82" i="1"/>
  <c r="I70" i="1" s="1"/>
  <c r="AJ7" i="1"/>
  <c r="AJ13" i="1" s="1"/>
  <c r="AS5" i="1"/>
  <c r="E82" i="1"/>
  <c r="F70" i="1" s="1"/>
  <c r="E80" i="1"/>
  <c r="F75" i="1" s="1"/>
  <c r="E81" i="1"/>
  <c r="F69" i="1" s="1"/>
  <c r="S7" i="1"/>
  <c r="R7" i="1"/>
  <c r="J74" i="1"/>
  <c r="Q7" i="1"/>
  <c r="F83" i="1" l="1"/>
  <c r="J83" i="1"/>
  <c r="I71" i="1"/>
  <c r="M66" i="1"/>
  <c r="M49" i="1"/>
  <c r="M73" i="1"/>
  <c r="M58" i="1"/>
  <c r="M56" i="1"/>
  <c r="M83" i="1"/>
  <c r="M64" i="1"/>
  <c r="M50" i="1"/>
  <c r="M74" i="1"/>
  <c r="M76" i="1"/>
  <c r="M62" i="1"/>
  <c r="M68" i="1"/>
  <c r="M55" i="1"/>
  <c r="M70" i="1"/>
  <c r="M75" i="1"/>
  <c r="M51" i="1"/>
  <c r="M60" i="1"/>
  <c r="M71" i="1"/>
  <c r="M65" i="1"/>
  <c r="M54" i="1"/>
  <c r="M59" i="1"/>
  <c r="M77" i="1"/>
  <c r="M78" i="1"/>
  <c r="M61" i="1"/>
  <c r="M81" i="1"/>
  <c r="M53" i="1"/>
  <c r="M57" i="1"/>
  <c r="M82" i="1"/>
  <c r="M52" i="1"/>
  <c r="F74" i="1"/>
  <c r="F77" i="1"/>
  <c r="F68" i="1"/>
  <c r="F49" i="1"/>
  <c r="F56" i="1"/>
  <c r="F51" i="1"/>
  <c r="F65" i="1"/>
  <c r="F58" i="1"/>
  <c r="F73" i="1"/>
  <c r="F66" i="1"/>
  <c r="F55" i="1"/>
  <c r="F57" i="1"/>
  <c r="F54" i="1"/>
  <c r="F53" i="1"/>
  <c r="F50" i="1"/>
  <c r="F59" i="1"/>
  <c r="F52" i="1"/>
  <c r="F78" i="1"/>
  <c r="F62" i="1"/>
  <c r="F64" i="1"/>
  <c r="F61" i="1"/>
  <c r="F60" i="1"/>
  <c r="F76" i="1"/>
  <c r="AZ5" i="1"/>
  <c r="AS9" i="1"/>
  <c r="AZ9" i="1" s="1"/>
  <c r="AS17" i="1"/>
  <c r="AZ17" i="1" s="1"/>
  <c r="AS25" i="1"/>
  <c r="AZ25" i="1" s="1"/>
  <c r="AS33" i="1"/>
  <c r="AZ33" i="1" s="1"/>
  <c r="AS41" i="1"/>
  <c r="AZ41" i="1" s="1"/>
  <c r="AS27" i="1"/>
  <c r="AZ27" i="1" s="1"/>
  <c r="AS12" i="1"/>
  <c r="AZ12" i="1" s="1"/>
  <c r="AS20" i="1"/>
  <c r="AZ20" i="1" s="1"/>
  <c r="AS28" i="1"/>
  <c r="AZ28" i="1" s="1"/>
  <c r="AS36" i="1"/>
  <c r="AZ36" i="1" s="1"/>
  <c r="AS44" i="1"/>
  <c r="AZ44" i="1" s="1"/>
  <c r="AS43" i="1"/>
  <c r="AZ43" i="1" s="1"/>
  <c r="AS7" i="1"/>
  <c r="AZ7" i="1" s="1"/>
  <c r="AS15" i="1"/>
  <c r="AZ15" i="1" s="1"/>
  <c r="AS23" i="1"/>
  <c r="AZ23" i="1" s="1"/>
  <c r="AS31" i="1"/>
  <c r="AZ31" i="1" s="1"/>
  <c r="AS39" i="1"/>
  <c r="AZ39" i="1" s="1"/>
  <c r="AS10" i="1"/>
  <c r="AZ10" i="1" s="1"/>
  <c r="AS18" i="1"/>
  <c r="AZ18" i="1" s="1"/>
  <c r="AS26" i="1"/>
  <c r="AZ26" i="1" s="1"/>
  <c r="AS34" i="1"/>
  <c r="AZ34" i="1" s="1"/>
  <c r="AS42" i="1"/>
  <c r="AZ42" i="1" s="1"/>
  <c r="AS11" i="1"/>
  <c r="AZ11" i="1" s="1"/>
  <c r="AS35" i="1"/>
  <c r="AZ35" i="1" s="1"/>
  <c r="AS13" i="1"/>
  <c r="AZ13" i="1" s="1"/>
  <c r="AS21" i="1"/>
  <c r="AZ21" i="1" s="1"/>
  <c r="AS29" i="1"/>
  <c r="AZ29" i="1" s="1"/>
  <c r="AS37" i="1"/>
  <c r="AZ37" i="1" s="1"/>
  <c r="AS45" i="1"/>
  <c r="AZ45" i="1" s="1"/>
  <c r="AS8" i="1"/>
  <c r="AZ8" i="1" s="1"/>
  <c r="AS16" i="1"/>
  <c r="AZ16" i="1" s="1"/>
  <c r="AS24" i="1"/>
  <c r="AZ24" i="1" s="1"/>
  <c r="AS32" i="1"/>
  <c r="AZ32" i="1" s="1"/>
  <c r="AS40" i="1"/>
  <c r="AZ40" i="1" s="1"/>
  <c r="AS6" i="1"/>
  <c r="AZ6" i="1" s="1"/>
  <c r="AS19" i="1"/>
  <c r="AZ19" i="1" s="1"/>
  <c r="AS14" i="1"/>
  <c r="AZ14" i="1" s="1"/>
  <c r="AS22" i="1"/>
  <c r="AZ22" i="1" s="1"/>
  <c r="AS30" i="1"/>
  <c r="AZ30" i="1" s="1"/>
  <c r="AS38" i="1"/>
  <c r="AZ38" i="1" s="1"/>
  <c r="AX5" i="1"/>
  <c r="AQ7" i="1"/>
  <c r="AX7" i="1" s="1"/>
  <c r="AQ15" i="1"/>
  <c r="AX15" i="1" s="1"/>
  <c r="AQ23" i="1"/>
  <c r="AX23" i="1" s="1"/>
  <c r="AQ31" i="1"/>
  <c r="AX31" i="1" s="1"/>
  <c r="AQ39" i="1"/>
  <c r="AX39" i="1" s="1"/>
  <c r="AQ10" i="1"/>
  <c r="AX10" i="1" s="1"/>
  <c r="AQ18" i="1"/>
  <c r="AX18" i="1" s="1"/>
  <c r="AQ26" i="1"/>
  <c r="AX26" i="1" s="1"/>
  <c r="AQ34" i="1"/>
  <c r="AX34" i="1" s="1"/>
  <c r="AQ42" i="1"/>
  <c r="AX42" i="1" s="1"/>
  <c r="AQ9" i="1"/>
  <c r="AX9" i="1" s="1"/>
  <c r="AQ25" i="1"/>
  <c r="AX25" i="1" s="1"/>
  <c r="AQ13" i="1"/>
  <c r="AX13" i="1" s="1"/>
  <c r="AQ21" i="1"/>
  <c r="AX21" i="1" s="1"/>
  <c r="AQ29" i="1"/>
  <c r="AX29" i="1" s="1"/>
  <c r="AQ37" i="1"/>
  <c r="AX37" i="1" s="1"/>
  <c r="AQ45" i="1"/>
  <c r="AX45" i="1" s="1"/>
  <c r="AQ17" i="1"/>
  <c r="AX17" i="1" s="1"/>
  <c r="AQ8" i="1"/>
  <c r="AX8" i="1" s="1"/>
  <c r="AQ16" i="1"/>
  <c r="AX16" i="1" s="1"/>
  <c r="AQ24" i="1"/>
  <c r="AX24" i="1" s="1"/>
  <c r="AQ32" i="1"/>
  <c r="AX32" i="1" s="1"/>
  <c r="AQ40" i="1"/>
  <c r="AX40" i="1" s="1"/>
  <c r="AQ41" i="1"/>
  <c r="AX41" i="1" s="1"/>
  <c r="AQ11" i="1"/>
  <c r="AX11" i="1" s="1"/>
  <c r="AQ19" i="1"/>
  <c r="AX19" i="1" s="1"/>
  <c r="AQ27" i="1"/>
  <c r="AX27" i="1" s="1"/>
  <c r="AQ35" i="1"/>
  <c r="AX35" i="1" s="1"/>
  <c r="AQ43" i="1"/>
  <c r="AX43" i="1" s="1"/>
  <c r="AQ14" i="1"/>
  <c r="AX14" i="1" s="1"/>
  <c r="AQ22" i="1"/>
  <c r="AX22" i="1" s="1"/>
  <c r="AQ30" i="1"/>
  <c r="AX30" i="1" s="1"/>
  <c r="AQ38" i="1"/>
  <c r="AX38" i="1" s="1"/>
  <c r="AQ12" i="1"/>
  <c r="AX12" i="1" s="1"/>
  <c r="AQ20" i="1"/>
  <c r="AX20" i="1" s="1"/>
  <c r="AQ28" i="1"/>
  <c r="AX28" i="1" s="1"/>
  <c r="AQ36" i="1"/>
  <c r="AX36" i="1" s="1"/>
  <c r="AQ44" i="1"/>
  <c r="AX44" i="1" s="1"/>
  <c r="AQ6" i="1"/>
  <c r="AX6" i="1" s="1"/>
  <c r="AQ33" i="1"/>
  <c r="AX33" i="1" s="1"/>
  <c r="AY5" i="1"/>
  <c r="AR12" i="1"/>
  <c r="AY12" i="1" s="1"/>
  <c r="AR20" i="1"/>
  <c r="AY20" i="1" s="1"/>
  <c r="AR28" i="1"/>
  <c r="AY28" i="1" s="1"/>
  <c r="AR36" i="1"/>
  <c r="AY36" i="1" s="1"/>
  <c r="AR44" i="1"/>
  <c r="AY44" i="1" s="1"/>
  <c r="AR7" i="1"/>
  <c r="AY7" i="1" s="1"/>
  <c r="AR15" i="1"/>
  <c r="AY15" i="1" s="1"/>
  <c r="AR23" i="1"/>
  <c r="AY23" i="1" s="1"/>
  <c r="AR31" i="1"/>
  <c r="AY31" i="1" s="1"/>
  <c r="AR39" i="1"/>
  <c r="AY39" i="1" s="1"/>
  <c r="AR30" i="1"/>
  <c r="AY30" i="1" s="1"/>
  <c r="AR38" i="1"/>
  <c r="AY38" i="1" s="1"/>
  <c r="AR10" i="1"/>
  <c r="AY10" i="1" s="1"/>
  <c r="AR18" i="1"/>
  <c r="AY18" i="1" s="1"/>
  <c r="AR26" i="1"/>
  <c r="AY26" i="1" s="1"/>
  <c r="AR34" i="1"/>
  <c r="AY34" i="1" s="1"/>
  <c r="AR42" i="1"/>
  <c r="AY42" i="1" s="1"/>
  <c r="AR13" i="1"/>
  <c r="AY13" i="1" s="1"/>
  <c r="AR21" i="1"/>
  <c r="AY21" i="1" s="1"/>
  <c r="AR29" i="1"/>
  <c r="AY29" i="1" s="1"/>
  <c r="AR37" i="1"/>
  <c r="AY37" i="1" s="1"/>
  <c r="AR45" i="1"/>
  <c r="AY45" i="1" s="1"/>
  <c r="AR22" i="1"/>
  <c r="AY22" i="1" s="1"/>
  <c r="AR8" i="1"/>
  <c r="AY8" i="1" s="1"/>
  <c r="AR16" i="1"/>
  <c r="AY16" i="1" s="1"/>
  <c r="AR24" i="1"/>
  <c r="AY24" i="1" s="1"/>
  <c r="AR32" i="1"/>
  <c r="AY32" i="1" s="1"/>
  <c r="AR40" i="1"/>
  <c r="AY40" i="1" s="1"/>
  <c r="AR14" i="1"/>
  <c r="AY14" i="1" s="1"/>
  <c r="AR6" i="1"/>
  <c r="AY6" i="1" s="1"/>
  <c r="AR11" i="1"/>
  <c r="AY11" i="1" s="1"/>
  <c r="AR19" i="1"/>
  <c r="AY19" i="1" s="1"/>
  <c r="AR27" i="1"/>
  <c r="AY27" i="1" s="1"/>
  <c r="AR35" i="1"/>
  <c r="AY35" i="1" s="1"/>
  <c r="AR43" i="1"/>
  <c r="AY43" i="1" s="1"/>
  <c r="AR9" i="1"/>
  <c r="AY9" i="1" s="1"/>
  <c r="AR17" i="1"/>
  <c r="AY17" i="1" s="1"/>
  <c r="AR25" i="1"/>
  <c r="AY25" i="1" s="1"/>
  <c r="AR33" i="1"/>
  <c r="AY33" i="1" s="1"/>
  <c r="AR41" i="1"/>
  <c r="AY41" i="1" s="1"/>
  <c r="B32" i="1"/>
  <c r="B31" i="1"/>
  <c r="L31" i="1" s="1"/>
  <c r="B30" i="1"/>
  <c r="L30" i="1" s="1"/>
  <c r="E32" i="1" l="1"/>
  <c r="L32" i="1"/>
  <c r="AD6" i="1" s="1"/>
  <c r="H31" i="1"/>
  <c r="E31" i="1"/>
  <c r="B27" i="1"/>
  <c r="B26" i="1"/>
  <c r="L26" i="1" s="1"/>
  <c r="B25" i="1"/>
  <c r="L25" i="1" s="1"/>
  <c r="B24" i="1"/>
  <c r="L24" i="1" s="1"/>
  <c r="B23" i="1"/>
  <c r="L23" i="1" s="1"/>
  <c r="B22" i="1"/>
  <c r="L22" i="1" s="1"/>
  <c r="B21" i="1"/>
  <c r="L21" i="1" s="1"/>
  <c r="B20" i="1"/>
  <c r="L20" i="1" s="1"/>
  <c r="B19" i="1"/>
  <c r="L19" i="1" s="1"/>
  <c r="B18" i="1"/>
  <c r="L18" i="1" s="1"/>
  <c r="B17" i="1"/>
  <c r="L17" i="1" s="1"/>
  <c r="B16" i="1"/>
  <c r="L16" i="1" s="1"/>
  <c r="B15" i="1"/>
  <c r="L15" i="1" s="1"/>
  <c r="B14" i="1"/>
  <c r="L14" i="1" s="1"/>
  <c r="B13" i="1"/>
  <c r="B12" i="1"/>
  <c r="L12" i="1" s="1"/>
  <c r="B11" i="1"/>
  <c r="L11" i="1" s="1"/>
  <c r="B10" i="1"/>
  <c r="L10" i="1" s="1"/>
  <c r="B9" i="1"/>
  <c r="L9" i="1" s="1"/>
  <c r="B8" i="1"/>
  <c r="L8" i="1" s="1"/>
  <c r="B7" i="1"/>
  <c r="L7" i="1" s="1"/>
  <c r="B6" i="1"/>
  <c r="B40" i="1" l="1"/>
  <c r="L27" i="1"/>
  <c r="B37" i="1"/>
  <c r="L37" i="1" s="1"/>
  <c r="L6" i="1"/>
  <c r="B38" i="1"/>
  <c r="L38" i="1" s="1"/>
  <c r="L13" i="1"/>
  <c r="B41" i="1"/>
  <c r="H37" i="1"/>
  <c r="J31" i="1"/>
  <c r="H8" i="1"/>
  <c r="H7" i="1"/>
  <c r="H9" i="1"/>
  <c r="H10" i="1"/>
  <c r="H11" i="1"/>
  <c r="H12" i="1"/>
  <c r="H13" i="1"/>
  <c r="H14" i="1"/>
  <c r="H15" i="1"/>
  <c r="H16" i="1"/>
  <c r="H17" i="1"/>
  <c r="H18" i="1"/>
  <c r="H19" i="1"/>
  <c r="H20" i="1"/>
  <c r="H21" i="1"/>
  <c r="H22" i="1"/>
  <c r="H23" i="1"/>
  <c r="H24" i="1"/>
  <c r="H25" i="1"/>
  <c r="H26" i="1"/>
  <c r="H27" i="1"/>
  <c r="H28" i="1"/>
  <c r="E7" i="1"/>
  <c r="E8" i="1"/>
  <c r="E9" i="1"/>
  <c r="E10" i="1"/>
  <c r="E11" i="1"/>
  <c r="E12" i="1"/>
  <c r="E13" i="1"/>
  <c r="E14" i="1"/>
  <c r="E15" i="1"/>
  <c r="E16" i="1"/>
  <c r="E17" i="1"/>
  <c r="E18" i="1"/>
  <c r="E19" i="1"/>
  <c r="E20" i="1"/>
  <c r="E21" i="1"/>
  <c r="E22" i="1"/>
  <c r="E23" i="1"/>
  <c r="E24" i="1"/>
  <c r="E25" i="1"/>
  <c r="E26" i="1"/>
  <c r="E27" i="1"/>
  <c r="E28" i="1"/>
  <c r="AD5" i="1" l="1"/>
  <c r="H38" i="1"/>
  <c r="E38" i="1"/>
  <c r="E37" i="1"/>
  <c r="J37" i="1" s="1"/>
  <c r="E40" i="1"/>
  <c r="L40" i="1"/>
  <c r="E41" i="1"/>
  <c r="L41" i="1"/>
  <c r="J22" i="1"/>
  <c r="J21" i="1"/>
  <c r="J18" i="1"/>
  <c r="J16" i="1"/>
  <c r="J12" i="1"/>
  <c r="J19" i="1"/>
  <c r="J11" i="1"/>
  <c r="J8" i="1"/>
  <c r="J20" i="1"/>
  <c r="J17" i="1"/>
  <c r="J14" i="1"/>
  <c r="J28" i="1"/>
  <c r="J27" i="1"/>
  <c r="J26" i="1"/>
  <c r="J10" i="1"/>
  <c r="J9" i="1"/>
  <c r="J23" i="1"/>
  <c r="J15" i="1"/>
  <c r="J13" i="1"/>
  <c r="J25" i="1"/>
  <c r="J24" i="1"/>
  <c r="J7" i="1"/>
  <c r="Q97" i="1"/>
  <c r="M48" i="2"/>
  <c r="M47" i="2"/>
  <c r="M46" i="2"/>
  <c r="M45" i="2"/>
  <c r="M44" i="2"/>
  <c r="M43" i="2"/>
  <c r="M42" i="2"/>
  <c r="M41" i="2"/>
  <c r="M40" i="2"/>
  <c r="M39" i="2"/>
  <c r="M38" i="2"/>
  <c r="M37" i="2"/>
  <c r="M36" i="2"/>
  <c r="M35" i="2"/>
  <c r="M34" i="2"/>
  <c r="M33" i="2"/>
  <c r="M32" i="2"/>
  <c r="M31" i="2"/>
  <c r="M30" i="2"/>
  <c r="M29" i="2"/>
  <c r="M28" i="2"/>
  <c r="M26" i="2"/>
  <c r="M25" i="2"/>
  <c r="M24" i="2"/>
  <c r="M23" i="2"/>
  <c r="M22" i="2"/>
  <c r="M21" i="2"/>
  <c r="M20" i="2"/>
  <c r="M19" i="2"/>
  <c r="M18" i="2"/>
  <c r="M17" i="2"/>
  <c r="M16" i="2"/>
  <c r="M15" i="2"/>
  <c r="M14" i="2"/>
  <c r="M13" i="2"/>
  <c r="M12" i="2"/>
  <c r="M11" i="2"/>
  <c r="M10" i="2"/>
  <c r="M9" i="2"/>
  <c r="M8" i="2"/>
  <c r="M7" i="2"/>
  <c r="M6" i="2"/>
  <c r="M5" i="2"/>
  <c r="I48" i="2"/>
  <c r="I47" i="2"/>
  <c r="I46" i="2"/>
  <c r="I45" i="2"/>
  <c r="I44" i="2"/>
  <c r="I43" i="2"/>
  <c r="I42" i="2"/>
  <c r="I41" i="2"/>
  <c r="I40" i="2"/>
  <c r="I39" i="2"/>
  <c r="I38" i="2"/>
  <c r="I37" i="2"/>
  <c r="I36" i="2"/>
  <c r="I35" i="2"/>
  <c r="I34" i="2"/>
  <c r="I33" i="2"/>
  <c r="I32" i="2"/>
  <c r="I31" i="2"/>
  <c r="I30" i="2"/>
  <c r="I29" i="2"/>
  <c r="I28" i="2"/>
  <c r="I26" i="2"/>
  <c r="I25" i="2"/>
  <c r="I24" i="2"/>
  <c r="I23" i="2"/>
  <c r="I22" i="2"/>
  <c r="I21" i="2"/>
  <c r="I20" i="2"/>
  <c r="I19" i="2"/>
  <c r="I18" i="2"/>
  <c r="I17" i="2"/>
  <c r="I16" i="2"/>
  <c r="I15" i="2"/>
  <c r="I14" i="2"/>
  <c r="I13" i="2"/>
  <c r="I12" i="2"/>
  <c r="I11" i="2"/>
  <c r="I10" i="2"/>
  <c r="I9" i="2"/>
  <c r="I8" i="2"/>
  <c r="I7" i="2"/>
  <c r="I6" i="2"/>
  <c r="I5" i="2"/>
  <c r="M4" i="2"/>
  <c r="I4" i="2"/>
  <c r="J38" i="1" l="1"/>
  <c r="AD7" i="1"/>
  <c r="AD13" i="1" s="1"/>
  <c r="AP5" i="1"/>
  <c r="P7" i="1"/>
  <c r="L43" i="1"/>
  <c r="Q124" i="1"/>
  <c r="Q122" i="1"/>
  <c r="Q120" i="1"/>
  <c r="Q116" i="1"/>
  <c r="Q115" i="1"/>
  <c r="Q108" i="1"/>
  <c r="Q107" i="1"/>
  <c r="Q102" i="1"/>
  <c r="Q101" i="1"/>
  <c r="Q96" i="1"/>
  <c r="AW5" i="1" l="1"/>
  <c r="AP7" i="1"/>
  <c r="AW7" i="1" s="1"/>
  <c r="AP15" i="1"/>
  <c r="AW15" i="1" s="1"/>
  <c r="AP23" i="1"/>
  <c r="AW23" i="1" s="1"/>
  <c r="AP31" i="1"/>
  <c r="AW31" i="1" s="1"/>
  <c r="AP39" i="1"/>
  <c r="AW39" i="1" s="1"/>
  <c r="AP45" i="1"/>
  <c r="AW45" i="1" s="1"/>
  <c r="AP8" i="1"/>
  <c r="AW8" i="1" s="1"/>
  <c r="AP16" i="1"/>
  <c r="AW16" i="1" s="1"/>
  <c r="AP24" i="1"/>
  <c r="AW24" i="1" s="1"/>
  <c r="AP32" i="1"/>
  <c r="AW32" i="1" s="1"/>
  <c r="AP40" i="1"/>
  <c r="AW40" i="1" s="1"/>
  <c r="AP29" i="1"/>
  <c r="AW29" i="1" s="1"/>
  <c r="AP9" i="1"/>
  <c r="AW9" i="1" s="1"/>
  <c r="AP17" i="1"/>
  <c r="AW17" i="1" s="1"/>
  <c r="AP25" i="1"/>
  <c r="AW25" i="1" s="1"/>
  <c r="AP33" i="1"/>
  <c r="AW33" i="1" s="1"/>
  <c r="AP41" i="1"/>
  <c r="AW41" i="1" s="1"/>
  <c r="AP21" i="1"/>
  <c r="AW21" i="1" s="1"/>
  <c r="AP10" i="1"/>
  <c r="AW10" i="1" s="1"/>
  <c r="AP18" i="1"/>
  <c r="AW18" i="1" s="1"/>
  <c r="AP26" i="1"/>
  <c r="AW26" i="1" s="1"/>
  <c r="AP34" i="1"/>
  <c r="AW34" i="1" s="1"/>
  <c r="AP42" i="1"/>
  <c r="AW42" i="1" s="1"/>
  <c r="AP13" i="1"/>
  <c r="AW13" i="1" s="1"/>
  <c r="AP11" i="1"/>
  <c r="AW11" i="1" s="1"/>
  <c r="AP19" i="1"/>
  <c r="AW19" i="1" s="1"/>
  <c r="AP27" i="1"/>
  <c r="AW27" i="1" s="1"/>
  <c r="AP35" i="1"/>
  <c r="AW35" i="1" s="1"/>
  <c r="AP43" i="1"/>
  <c r="AW43" i="1" s="1"/>
  <c r="AP12" i="1"/>
  <c r="AW12" i="1" s="1"/>
  <c r="AP20" i="1"/>
  <c r="AW20" i="1" s="1"/>
  <c r="AP28" i="1"/>
  <c r="AW28" i="1" s="1"/>
  <c r="AP36" i="1"/>
  <c r="AW36" i="1" s="1"/>
  <c r="AP44" i="1"/>
  <c r="AW44" i="1" s="1"/>
  <c r="AP37" i="1"/>
  <c r="AW37" i="1" s="1"/>
  <c r="AP14" i="1"/>
  <c r="AW14" i="1" s="1"/>
  <c r="AP22" i="1"/>
  <c r="AW22" i="1" s="1"/>
  <c r="AP30" i="1"/>
  <c r="AW30" i="1" s="1"/>
  <c r="AP38" i="1"/>
  <c r="AW38" i="1" s="1"/>
  <c r="AP6" i="1"/>
  <c r="AW6" i="1" s="1"/>
  <c r="L44" i="1"/>
  <c r="M79" i="1"/>
  <c r="M80" i="1"/>
  <c r="M35" i="1"/>
  <c r="M34" i="1"/>
  <c r="M43" i="1"/>
  <c r="M28" i="1"/>
  <c r="M39" i="1"/>
  <c r="M31" i="1"/>
  <c r="M30" i="1"/>
  <c r="M10" i="1"/>
  <c r="M21" i="1"/>
  <c r="M11" i="1"/>
  <c r="M17" i="1"/>
  <c r="M20" i="1"/>
  <c r="M14" i="1"/>
  <c r="M23" i="1"/>
  <c r="M12" i="1"/>
  <c r="M18" i="1"/>
  <c r="M25" i="1"/>
  <c r="M7" i="1"/>
  <c r="M24" i="1"/>
  <c r="M19" i="1"/>
  <c r="M22" i="1"/>
  <c r="M15" i="1"/>
  <c r="M26" i="1"/>
  <c r="M9" i="1"/>
  <c r="M8" i="1"/>
  <c r="M16" i="1"/>
  <c r="M32" i="1"/>
  <c r="M27" i="1"/>
  <c r="M13" i="1"/>
  <c r="M6" i="1"/>
  <c r="M38" i="1"/>
  <c r="M37" i="1"/>
  <c r="M41" i="1"/>
  <c r="M40" i="1"/>
  <c r="E6" i="1"/>
  <c r="H80" i="1"/>
  <c r="I83" i="1" s="1"/>
  <c r="H32" i="1"/>
  <c r="H40" i="1"/>
  <c r="J40" i="1" s="1"/>
  <c r="H6" i="1"/>
  <c r="W5" i="1" s="1"/>
  <c r="H41" i="1"/>
  <c r="J41" i="1" s="1"/>
  <c r="H39" i="1"/>
  <c r="H30" i="1"/>
  <c r="I56" i="1" l="1"/>
  <c r="I53" i="1"/>
  <c r="I57" i="1"/>
  <c r="I73" i="1"/>
  <c r="I64" i="1"/>
  <c r="I51" i="1"/>
  <c r="I54" i="1"/>
  <c r="I50" i="1"/>
  <c r="I55" i="1"/>
  <c r="I62" i="1"/>
  <c r="I66" i="1"/>
  <c r="I58" i="1"/>
  <c r="I78" i="1"/>
  <c r="I65" i="1"/>
  <c r="I52" i="1"/>
  <c r="I61" i="1"/>
  <c r="I59" i="1"/>
  <c r="I60" i="1"/>
  <c r="I77" i="1"/>
  <c r="I76" i="1"/>
  <c r="I75" i="1"/>
  <c r="I74" i="1"/>
  <c r="P5" i="1"/>
  <c r="W6" i="1"/>
  <c r="I82" i="1"/>
  <c r="I81" i="1"/>
  <c r="X9" i="1"/>
  <c r="X13" i="1" s="1"/>
  <c r="J39" i="1"/>
  <c r="W7" i="1"/>
  <c r="J32" i="1"/>
  <c r="E30" i="1"/>
  <c r="P6" i="1" s="1"/>
  <c r="J68" i="1"/>
  <c r="W13" i="1" l="1"/>
  <c r="P13" i="1"/>
  <c r="J6" i="1"/>
  <c r="I80" i="1" l="1"/>
  <c r="I68" i="1"/>
  <c r="J30" i="1"/>
  <c r="H43" i="1" l="1"/>
  <c r="E43" i="1"/>
  <c r="F6" i="1" s="1"/>
  <c r="F35" i="1" l="1"/>
  <c r="I35" i="1"/>
  <c r="I49" i="1"/>
  <c r="I39" i="1"/>
  <c r="I31" i="1"/>
  <c r="I38" i="1"/>
  <c r="I37" i="1"/>
  <c r="I15" i="1"/>
  <c r="I21" i="1"/>
  <c r="I17" i="1"/>
  <c r="I24" i="1"/>
  <c r="I19" i="1"/>
  <c r="I14" i="1"/>
  <c r="I13" i="1"/>
  <c r="I27" i="1"/>
  <c r="I18" i="1"/>
  <c r="I25" i="1"/>
  <c r="I12" i="1"/>
  <c r="I26" i="1"/>
  <c r="I20" i="1"/>
  <c r="I28" i="1"/>
  <c r="I16" i="1"/>
  <c r="I22" i="1"/>
  <c r="I7" i="1"/>
  <c r="I23" i="1"/>
  <c r="I11" i="1"/>
  <c r="I10" i="1"/>
  <c r="I9" i="1"/>
  <c r="I8" i="1"/>
  <c r="I32" i="1"/>
  <c r="F37" i="1"/>
  <c r="F31" i="1"/>
  <c r="F38" i="1"/>
  <c r="F16" i="1"/>
  <c r="F17" i="1"/>
  <c r="F18" i="1"/>
  <c r="F19" i="1"/>
  <c r="F24" i="1"/>
  <c r="F10" i="1"/>
  <c r="F12" i="1"/>
  <c r="F13" i="1"/>
  <c r="F15" i="1"/>
  <c r="F20" i="1"/>
  <c r="F21" i="1"/>
  <c r="F8" i="1"/>
  <c r="F26" i="1"/>
  <c r="F28" i="1"/>
  <c r="F22" i="1"/>
  <c r="F7" i="1"/>
  <c r="F23" i="1"/>
  <c r="F25" i="1"/>
  <c r="F11" i="1"/>
  <c r="F27" i="1"/>
  <c r="F14" i="1"/>
  <c r="F9" i="1"/>
  <c r="F43" i="1"/>
  <c r="I43" i="1"/>
  <c r="F32" i="1"/>
  <c r="F39" i="1"/>
  <c r="J43" i="1"/>
  <c r="I40" i="1"/>
  <c r="I41" i="1"/>
  <c r="I34" i="1"/>
  <c r="I6" i="1"/>
  <c r="I30" i="1"/>
  <c r="F34" i="1"/>
  <c r="F30" i="1"/>
  <c r="F41" i="1"/>
  <c r="F40" i="1"/>
  <c r="J81" i="1" l="1"/>
  <c r="J54" i="1"/>
  <c r="R5" i="1"/>
  <c r="R13" i="1" s="1"/>
  <c r="J82" i="1"/>
  <c r="Q5" i="1"/>
  <c r="Q13" i="1" s="1"/>
  <c r="S5" i="1"/>
  <c r="S13" i="1" s="1"/>
  <c r="F82" i="1" l="1"/>
  <c r="F80" i="1"/>
  <c r="J80" i="1"/>
  <c r="F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Neil</author>
  </authors>
  <commentList>
    <comment ref="B30" authorId="0" shapeId="0" xr:uid="{00000000-0006-0000-0000-000001000000}">
      <text>
        <r>
          <rPr>
            <b/>
            <sz val="9"/>
            <color indexed="81"/>
            <rFont val="Tahoma"/>
            <family val="2"/>
          </rPr>
          <t>Neil:</t>
        </r>
        <r>
          <rPr>
            <sz val="9"/>
            <color indexed="81"/>
            <rFont val="Tahoma"/>
            <family val="2"/>
          </rPr>
          <t xml:space="preserve">
These do not add up to the exact manufacturing amounts, but are kept consistent for comparison. </t>
        </r>
      </text>
    </comment>
    <comment ref="A63" authorId="0" shapeId="0" xr:uid="{00000000-0006-0000-0000-000002000000}">
      <text>
        <r>
          <rPr>
            <b/>
            <sz val="9"/>
            <color indexed="81"/>
            <rFont val="Tahoma"/>
            <family val="2"/>
          </rPr>
          <t>Neil:</t>
        </r>
        <r>
          <rPr>
            <sz val="9"/>
            <color indexed="81"/>
            <rFont val="Tahoma"/>
            <family val="2"/>
          </rPr>
          <t xml:space="preserve">
These do not add up to the exact manufacturing amounts, but are kept consistent for comparison. </t>
        </r>
      </text>
    </comment>
    <comment ref="B64" authorId="0" shapeId="0" xr:uid="{00000000-0006-0000-0000-000003000000}">
      <text>
        <r>
          <rPr>
            <b/>
            <sz val="9"/>
            <color indexed="81"/>
            <rFont val="Tahoma"/>
            <family val="2"/>
          </rPr>
          <t>Neil:</t>
        </r>
        <r>
          <rPr>
            <sz val="9"/>
            <color indexed="81"/>
            <rFont val="Tahoma"/>
            <family val="2"/>
          </rPr>
          <t xml:space="preserve">
These do not add up to the exact manufacturing amounts, but are kept consistent for comparison. </t>
        </r>
      </text>
    </comment>
    <comment ref="A69" authorId="0" shapeId="0" xr:uid="{00000000-0006-0000-0000-000004000000}">
      <text>
        <r>
          <rPr>
            <b/>
            <sz val="9"/>
            <color indexed="81"/>
            <rFont val="Tahoma"/>
            <family val="2"/>
          </rPr>
          <t>Neil:</t>
        </r>
        <r>
          <rPr>
            <sz val="9"/>
            <color indexed="81"/>
            <rFont val="Tahoma"/>
            <family val="2"/>
          </rPr>
          <t xml:space="preserve">
Sensitibity Analyses with sustainable sources of energy</t>
        </r>
      </text>
    </comment>
    <comment ref="B73" authorId="0" shapeId="0" xr:uid="{00000000-0006-0000-0000-000005000000}">
      <text>
        <r>
          <rPr>
            <b/>
            <sz val="9"/>
            <color indexed="81"/>
            <rFont val="Tahoma"/>
            <family val="2"/>
          </rPr>
          <t>Neil:</t>
        </r>
        <r>
          <rPr>
            <sz val="9"/>
            <color indexed="81"/>
            <rFont val="Tahoma"/>
            <family val="2"/>
          </rPr>
          <t xml:space="preserve">
Steel + small amount of iron 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Neil</author>
  </authors>
  <commentList>
    <comment ref="A29" authorId="0" shapeId="0" xr:uid="{00000000-0006-0000-0300-000001000000}">
      <text>
        <r>
          <rPr>
            <b/>
            <sz val="9"/>
            <color indexed="81"/>
            <rFont val="Tahoma"/>
            <family val="2"/>
          </rPr>
          <t>Neil:</t>
        </r>
        <r>
          <rPr>
            <sz val="9"/>
            <color indexed="81"/>
            <rFont val="Tahoma"/>
            <family val="2"/>
          </rPr>
          <t xml:space="preserve">
</t>
        </r>
        <r>
          <rPr>
            <sz val="18"/>
            <color indexed="81"/>
            <rFont val="Tahoma"/>
            <family val="2"/>
          </rPr>
          <t xml:space="preserve">*Note: Directly use these amounts adapted from Ecovinent. For comparison, we assume the same weight and distances divided by a different lifespan. The exact numbers calculated would be different for transportation. </t>
        </r>
      </text>
    </comment>
    <comment ref="B30" authorId="0" shapeId="0" xr:uid="{00000000-0006-0000-0300-000002000000}">
      <text>
        <r>
          <rPr>
            <b/>
            <sz val="9"/>
            <color indexed="81"/>
            <rFont val="Tahoma"/>
            <family val="2"/>
          </rPr>
          <t>Neil:</t>
        </r>
        <r>
          <rPr>
            <sz val="9"/>
            <color indexed="81"/>
            <rFont val="Tahoma"/>
            <family val="2"/>
          </rPr>
          <t xml:space="preserve">
These do not add up to the exact manufacturing amounts, but are kept consistent for comparison. </t>
        </r>
      </text>
    </comment>
    <comment ref="A33" authorId="0" shapeId="0" xr:uid="{00000000-0006-0000-0300-000003000000}">
      <text>
        <r>
          <rPr>
            <b/>
            <sz val="9"/>
            <color indexed="81"/>
            <rFont val="Tahoma"/>
            <family val="2"/>
          </rPr>
          <t>Neil:</t>
        </r>
        <r>
          <rPr>
            <sz val="9"/>
            <color indexed="81"/>
            <rFont val="Tahoma"/>
            <family val="2"/>
          </rPr>
          <t xml:space="preserve">
</t>
        </r>
        <r>
          <rPr>
            <sz val="16"/>
            <color indexed="81"/>
            <rFont val="Tahoma"/>
            <family val="2"/>
          </rPr>
          <t xml:space="preserve">*Note: Directly use these amounts adapted from Ecovinent. </t>
        </r>
      </text>
    </comment>
    <comment ref="A59" authorId="0" shapeId="0" xr:uid="{00000000-0006-0000-0300-000004000000}">
      <text>
        <r>
          <rPr>
            <b/>
            <sz val="9"/>
            <color indexed="81"/>
            <rFont val="Tahoma"/>
            <family val="2"/>
          </rPr>
          <t>Neil:</t>
        </r>
        <r>
          <rPr>
            <sz val="9"/>
            <color indexed="81"/>
            <rFont val="Tahoma"/>
            <family val="2"/>
          </rPr>
          <t xml:space="preserve">
</t>
        </r>
        <r>
          <rPr>
            <sz val="18"/>
            <color indexed="81"/>
            <rFont val="Tahoma"/>
            <family val="2"/>
          </rPr>
          <t xml:space="preserve">*Note: Directly use these amounts adapted from Ecovinent. For comparison, we assume the same weight and distances divided by a different lifespan. The exact numbers calculated would be different for transportation. </t>
        </r>
      </text>
    </comment>
    <comment ref="B60" authorId="0" shapeId="0" xr:uid="{00000000-0006-0000-0300-000005000000}">
      <text>
        <r>
          <rPr>
            <b/>
            <sz val="9"/>
            <color indexed="81"/>
            <rFont val="Tahoma"/>
            <family val="2"/>
          </rPr>
          <t>Neil:</t>
        </r>
        <r>
          <rPr>
            <sz val="9"/>
            <color indexed="81"/>
            <rFont val="Tahoma"/>
            <family val="2"/>
          </rPr>
          <t xml:space="preserve">
These do not add up to the exact manufacturing amounts, but are kept consistent for comparison. </t>
        </r>
      </text>
    </comment>
    <comment ref="A63" authorId="0" shapeId="0" xr:uid="{00000000-0006-0000-0300-000006000000}">
      <text>
        <r>
          <rPr>
            <b/>
            <sz val="9"/>
            <color indexed="81"/>
            <rFont val="Tahoma"/>
            <family val="2"/>
          </rPr>
          <t>Neil:</t>
        </r>
        <r>
          <rPr>
            <sz val="9"/>
            <color indexed="81"/>
            <rFont val="Tahoma"/>
            <family val="2"/>
          </rPr>
          <t xml:space="preserve">
</t>
        </r>
        <r>
          <rPr>
            <sz val="16"/>
            <color indexed="81"/>
            <rFont val="Tahoma"/>
            <family val="2"/>
          </rPr>
          <t xml:space="preserve">*Note: Directly use these amounts adapted from Ecovinent. </t>
        </r>
      </text>
    </comment>
    <comment ref="A66" authorId="0" shapeId="0" xr:uid="{00000000-0006-0000-0300-000007000000}">
      <text>
        <r>
          <rPr>
            <b/>
            <sz val="9"/>
            <color indexed="81"/>
            <rFont val="Tahoma"/>
            <family val="2"/>
          </rPr>
          <t>Neil:</t>
        </r>
        <r>
          <rPr>
            <sz val="9"/>
            <color indexed="81"/>
            <rFont val="Tahoma"/>
            <family val="2"/>
          </rPr>
          <t xml:space="preserve">
Sensitibity Analyses with sustainable sources of energy</t>
        </r>
      </text>
    </comment>
    <comment ref="B70" authorId="0" shapeId="0" xr:uid="{00000000-0006-0000-0300-000008000000}">
      <text>
        <r>
          <rPr>
            <b/>
            <sz val="9"/>
            <color indexed="81"/>
            <rFont val="Tahoma"/>
            <family val="2"/>
          </rPr>
          <t>Neil:</t>
        </r>
        <r>
          <rPr>
            <sz val="9"/>
            <color indexed="81"/>
            <rFont val="Tahoma"/>
            <family val="2"/>
          </rPr>
          <t xml:space="preserve">
Steel + small amount of iron scrap</t>
        </r>
      </text>
    </comment>
  </commentList>
</comments>
</file>

<file path=xl/sharedStrings.xml><?xml version="1.0" encoding="utf-8"?>
<sst xmlns="http://schemas.openxmlformats.org/spreadsheetml/2006/main" count="655" uniqueCount="269">
  <si>
    <t>Unit</t>
  </si>
  <si>
    <t>kg</t>
  </si>
  <si>
    <t>kWh</t>
  </si>
  <si>
    <t>Energy/Unit  [MJ/Unit]</t>
  </si>
  <si>
    <t>Use phase</t>
  </si>
  <si>
    <t>Disposal</t>
  </si>
  <si>
    <t>Total</t>
  </si>
  <si>
    <t>kg/t conversion factor</t>
  </si>
  <si>
    <t>fraction</t>
  </si>
  <si>
    <t>Transportation</t>
  </si>
  <si>
    <t>Energy per FU [MJ/FU]</t>
  </si>
  <si>
    <t>Check g CO2/MJ</t>
  </si>
  <si>
    <t>g/kg</t>
  </si>
  <si>
    <t>-</t>
  </si>
  <si>
    <t>t-km</t>
  </si>
  <si>
    <t>Quantity per FU</t>
  </si>
  <si>
    <t xml:space="preserve">Result discussion </t>
  </si>
  <si>
    <t>3c. Comparison between scenarios</t>
  </si>
  <si>
    <t xml:space="preserve">4. Interpretation of ratios gCO2/MJ </t>
  </si>
  <si>
    <t>CO2/Unit [kg/unit]</t>
  </si>
  <si>
    <t>CO2/FU</t>
  </si>
  <si>
    <t>fraction2</t>
  </si>
  <si>
    <t>RER</t>
  </si>
  <si>
    <t>Category</t>
  </si>
  <si>
    <t>air</t>
  </si>
  <si>
    <t>fossil+nuclear+primary forest</t>
  </si>
  <si>
    <t>CO2 fossil/total non renewable energy</t>
  </si>
  <si>
    <t>climate change</t>
  </si>
  <si>
    <t>Indicator</t>
  </si>
  <si>
    <t>CO2, fossil</t>
  </si>
  <si>
    <t>non-renewable energy resources</t>
  </si>
  <si>
    <t>Check combustion included</t>
  </si>
  <si>
    <t>GWP 100a</t>
  </si>
  <si>
    <t>renewable energy resources, total</t>
  </si>
  <si>
    <t>Non-renewable  + renewable energy resources, total</t>
  </si>
  <si>
    <t>Activity Name</t>
  </si>
  <si>
    <t>Geography</t>
  </si>
  <si>
    <t>Reference Product Name</t>
  </si>
  <si>
    <t>Reference Product Unit</t>
  </si>
  <si>
    <t>Reference Product Amount</t>
  </si>
  <si>
    <t>MJ-Eq</t>
  </si>
  <si>
    <t>gCO2/MJ</t>
  </si>
  <si>
    <t>kg CO2-Eq</t>
  </si>
  <si>
    <t>polypropylene production, granulate</t>
  </si>
  <si>
    <t>polypropylene, granulate</t>
  </si>
  <si>
    <t>electricity, low voltage</t>
  </si>
  <si>
    <t>metric ton*km</t>
  </si>
  <si>
    <t>Europe without Switzerland</t>
  </si>
  <si>
    <t>CH</t>
  </si>
  <si>
    <t>conversion kg_to_g</t>
  </si>
  <si>
    <t>CO2 fossil/FU</t>
  </si>
  <si>
    <t>metal working, average for steel product manufacturing</t>
  </si>
  <si>
    <t>Net value</t>
  </si>
  <si>
    <t>Fossil CO2
 kgCO2/FU</t>
  </si>
  <si>
    <t>Energy
MJ/FU</t>
  </si>
  <si>
    <t>alkyd paint production, white, solvent-based, product in 60% solution state</t>
  </si>
  <si>
    <t>alkyd paint, white, without solvent, in 60% solution state</t>
  </si>
  <si>
    <t>aluminium production, primary, ingot</t>
  </si>
  <si>
    <t>RoW</t>
  </si>
  <si>
    <t>aluminium, primary, ingot</t>
  </si>
  <si>
    <t>chromium oxide production, flakes</t>
  </si>
  <si>
    <t>chromium oxide, flakes</t>
  </si>
  <si>
    <t>sheet rolling, copper</t>
  </si>
  <si>
    <t>electronics production, for control units</t>
  </si>
  <si>
    <t>electronics, for control units</t>
  </si>
  <si>
    <t>ethylene production, average</t>
  </si>
  <si>
    <t>ethylene</t>
  </si>
  <si>
    <t>ethylene glycol production</t>
  </si>
  <si>
    <t>ethylene glycol</t>
  </si>
  <si>
    <t>market for flat glass, uncoated</t>
  </si>
  <si>
    <t>flat glass, uncoated</t>
  </si>
  <si>
    <t>market for heat, district or industrial, natural gas</t>
  </si>
  <si>
    <t>heat, district or industrial, natural gas</t>
  </si>
  <si>
    <t>MJ</t>
  </si>
  <si>
    <t>market for lead</t>
  </si>
  <si>
    <t>GLO</t>
  </si>
  <si>
    <t>lead</t>
  </si>
  <si>
    <t>market for nickel, class 1</t>
  </si>
  <si>
    <t>nickel, class 1</t>
  </si>
  <si>
    <t>market for polyethylene, high density, granulate</t>
  </si>
  <si>
    <t>polyethylene, high density, granulate</t>
  </si>
  <si>
    <t>market for polyvinylchloride, suspension polymerised</t>
  </si>
  <si>
    <t>polyvinylchloride, suspension polymerised</t>
  </si>
  <si>
    <t>section bar rolling, steel</t>
  </si>
  <si>
    <t>sheet rolling, steel</t>
  </si>
  <si>
    <t>steel production, low-alloyed, hot rolled</t>
  </si>
  <si>
    <t>steel, low-alloyed, hot rolled</t>
  </si>
  <si>
    <t>market for sulfuric acid</t>
  </si>
  <si>
    <t>sulfuric acid</t>
  </si>
  <si>
    <t>market for synthetic rubber</t>
  </si>
  <si>
    <t>synthetic rubber</t>
  </si>
  <si>
    <t>tap water production, conventional treatment</t>
  </si>
  <si>
    <t>tap water</t>
  </si>
  <si>
    <t>market group for transport, freight train</t>
  </si>
  <si>
    <t>transport, freight train</t>
  </si>
  <si>
    <t>market for transport, freight, lorry 16-32 metric ton, EURO4</t>
  </si>
  <si>
    <t>transport, freight, lorry 16-32 metric ton, EURO4</t>
  </si>
  <si>
    <t>transport, freight, sea, container ship</t>
  </si>
  <si>
    <t>market for zinc</t>
  </si>
  <si>
    <t>zinc</t>
  </si>
  <si>
    <t>light fuel oil, burned in industrial furnace 1MW, non-modulating</t>
  </si>
  <si>
    <t>Light fuel oil, burned in furnace 1MW of greenhouse/MJ - RER</t>
  </si>
  <si>
    <t>*</t>
  </si>
  <si>
    <t>market group for electricity, medium voltage</t>
  </si>
  <si>
    <t>UCTE</t>
  </si>
  <si>
    <t>electricity, medium voltage</t>
  </si>
  <si>
    <t>treatment of waste emulsion paint, municipal incineration</t>
  </si>
  <si>
    <t>waste emulsion paint</t>
  </si>
  <si>
    <t>treatment of waste glass, municipal incineration</t>
  </si>
  <si>
    <t>waste glass</t>
  </si>
  <si>
    <t>treatment of waste plastic, mixture, municipal incineration</t>
  </si>
  <si>
    <t>waste plastic, mixture</t>
  </si>
  <si>
    <t>treatment of zinc in car shredder residue, municipal incineration</t>
  </si>
  <si>
    <t>zinc in car shredder residue</t>
  </si>
  <si>
    <t>Transport</t>
  </si>
  <si>
    <t>Manufacturing (Materials + Processing)</t>
  </si>
  <si>
    <t>Operation/Use</t>
  </si>
  <si>
    <t>market for petrol, low-sulfur</t>
  </si>
  <si>
    <t>petrol, low-sulfur</t>
  </si>
  <si>
    <t>treatment of aluminium scrap, post-consumer, prepared for recycling, at remelter</t>
  </si>
  <si>
    <t>aluminium, wrought alloy</t>
  </si>
  <si>
    <t>battery production, Li-ion, rechargeable, prismatic</t>
  </si>
  <si>
    <t>battery, Li-ion, rechargeable, prismatic</t>
  </si>
  <si>
    <t>lubricating oil production</t>
  </si>
  <si>
    <t>lubricating oil</t>
  </si>
  <si>
    <t>market for metal working, average for aluminium product manufacturing</t>
  </si>
  <si>
    <t>metal working, average for aluminium product manufacturing</t>
  </si>
  <si>
    <t>market for polyurethane, rigid foam</t>
  </si>
  <si>
    <t>polyurethane, rigid foam</t>
  </si>
  <si>
    <t>treatment of metal scrap, mixed, for recycling, unsorted, sorting</t>
  </si>
  <si>
    <t>iron scrap, sorted, pressed</t>
  </si>
  <si>
    <t>treatment of waste glass, inert material landfill</t>
  </si>
  <si>
    <t>treatment of waste mineral oil, hazardous waste incineration</t>
  </si>
  <si>
    <t>waste mineral oil</t>
  </si>
  <si>
    <t>treatment of waste plastic, mixture, sanitary landfill</t>
  </si>
  <si>
    <t>market for waste polyurethane foam</t>
  </si>
  <si>
    <t>waste polyurethane foam</t>
  </si>
  <si>
    <t>electricity production, wind, 1-3MW turbine, onshore</t>
  </si>
  <si>
    <t>electricity, high voltage</t>
  </si>
  <si>
    <t>electricity production, photovoltaic, 570kWp open ground installation, multi-Si</t>
  </si>
  <si>
    <t>Light fuel oil, burned in furnace 1MW of greenhouse/MJ</t>
  </si>
  <si>
    <t>transport, freight, lorry 16-32 metric ton</t>
  </si>
  <si>
    <t>aluminium recycling</t>
  </si>
  <si>
    <t>emulsion paint incineration</t>
  </si>
  <si>
    <t>glass incineration</t>
  </si>
  <si>
    <t>plastic mixture incineration</t>
  </si>
  <si>
    <t>zinc in car shredder residue incineration</t>
  </si>
  <si>
    <t>Battery, Li-ion, rechargeable, prismatic</t>
  </si>
  <si>
    <t>Copper</t>
  </si>
  <si>
    <t>Electronics, for control units</t>
  </si>
  <si>
    <t>extruded and thermoformed plastic sheets</t>
  </si>
  <si>
    <t>Metal working, average for aluminium product manufacturing</t>
  </si>
  <si>
    <t>Metal working, average for steel product manufacturing</t>
  </si>
  <si>
    <t>Polypropylene, granulate</t>
  </si>
  <si>
    <t>Polyurethane, rigid foam</t>
  </si>
  <si>
    <t>Recyling of iron and mixed metal scrap</t>
  </si>
  <si>
    <t>glass at landfill</t>
  </si>
  <si>
    <t>mineral oil incineration</t>
  </si>
  <si>
    <t>plastic, mixture at landfill</t>
  </si>
  <si>
    <t>*also used in manufacturing for gas vehicle</t>
  </si>
  <si>
    <t>electricity, wind, 1-3MW turbine, onshore</t>
  </si>
  <si>
    <t>electricity, photovoltaic, 
570kWp open ground installation</t>
  </si>
  <si>
    <t>extrusion of plastic sheets and thermoforming, inline</t>
  </si>
  <si>
    <t>Transportation by Gas Vehicle
FU= 1 vehicle km
Life Cycle stage  (150,000 km lifespan)</t>
  </si>
  <si>
    <t>Transportation by Electric Vehicle
FU= 1 vehicle km
Life Cycle stage (225,000 km lifespan)</t>
  </si>
  <si>
    <t>Gas Vehicle</t>
  </si>
  <si>
    <t>Electric Vehicle</t>
  </si>
  <si>
    <t>Car manufacturing</t>
  </si>
  <si>
    <t>Car transportation</t>
  </si>
  <si>
    <t>Car disposal</t>
  </si>
  <si>
    <t xml:space="preserve">Petrol gas </t>
  </si>
  <si>
    <t>Electric charging - photovoltaic</t>
  </si>
  <si>
    <t>Electric charging - wind</t>
  </si>
  <si>
    <t>Electric Vehicle - Wind</t>
  </si>
  <si>
    <t>Electric Vehicle - Photovoltaic</t>
  </si>
  <si>
    <t xml:space="preserve">3a. Gas vehicle - dominant contributions </t>
  </si>
  <si>
    <t>Not taking aluminum recycling into account, the use phase operations for petrol is the dominant process at 87.2% for both energy use and 53.9% for CO2 eq emissions</t>
  </si>
  <si>
    <t>3b.Electric vehicle- dominant contributions</t>
  </si>
  <si>
    <t>The electricity use during charging of the use phase operations are the dominant source of energy use (84.5%) and  CO2 eq emissions (80.6%)</t>
  </si>
  <si>
    <t>5. Importance of wind and photovolatic sourcing and electricity substitution related to use phase</t>
  </si>
  <si>
    <t>Supply chain petrol, low-sulfur</t>
  </si>
  <si>
    <t>Total EU electricity grid</t>
  </si>
  <si>
    <t>Electric charging - RER</t>
  </si>
  <si>
    <t>Total EU electricity wind</t>
  </si>
  <si>
    <t>Total EU electricity photovoltaic</t>
  </si>
  <si>
    <t>Direct combustion</t>
  </si>
  <si>
    <t>electricity, medium voltage RER</t>
  </si>
  <si>
    <t>CO2equ/Unit [kg/unit]2</t>
  </si>
  <si>
    <t>CO2equ./FU</t>
  </si>
  <si>
    <t>fraction3</t>
  </si>
  <si>
    <t>DALY/kgCO2e</t>
  </si>
  <si>
    <t>DALY/FU</t>
  </si>
  <si>
    <t>GHG CO2equ.
 kgCO2equ/FU</t>
  </si>
  <si>
    <t>Lifetime distance km</t>
  </si>
  <si>
    <t>Cumulative graph</t>
  </si>
  <si>
    <t>Graph per FU</t>
  </si>
  <si>
    <t>Distance over Lifetime</t>
  </si>
  <si>
    <t>GHG CO2equ.
 kgCO2equ over lifetime</t>
  </si>
  <si>
    <t>Electric</t>
  </si>
  <si>
    <t>Gas</t>
  </si>
  <si>
    <t>Photovoltaic</t>
  </si>
  <si>
    <t>Wind</t>
  </si>
  <si>
    <t>Climate change, long term</t>
  </si>
  <si>
    <t>kg CO2 eq (long)</t>
  </si>
  <si>
    <t>Climate change, short term</t>
  </si>
  <si>
    <t>kg CO2 eq (short)</t>
  </si>
  <si>
    <t>Fossil and nuclear energy use</t>
  </si>
  <si>
    <t>MJ deprived</t>
  </si>
  <si>
    <t>Freshwater acidification</t>
  </si>
  <si>
    <t>kg SO2 eq</t>
  </si>
  <si>
    <t>Freshwater ecotoxicity</t>
  </si>
  <si>
    <t>CTUe</t>
  </si>
  <si>
    <t>Freshwater eutrophication</t>
  </si>
  <si>
    <t>kg PO4 P-lim eq</t>
  </si>
  <si>
    <t>Human toxicity cancer</t>
  </si>
  <si>
    <t>CTUh</t>
  </si>
  <si>
    <t>Human toxicity non cancer</t>
  </si>
  <si>
    <t>Ionizing radiations</t>
  </si>
  <si>
    <t>Bq C-14 eq</t>
  </si>
  <si>
    <t>Land occupation, biodiversity</t>
  </si>
  <si>
    <t>m2 arable land eq .yr</t>
  </si>
  <si>
    <t>Land transformation, biodiversity</t>
  </si>
  <si>
    <t>m2 arable land eq</t>
  </si>
  <si>
    <t>Marine eutrophication</t>
  </si>
  <si>
    <t>kg N N-lim eq</t>
  </si>
  <si>
    <t>Mineral resources use</t>
  </si>
  <si>
    <t>kg deprived</t>
  </si>
  <si>
    <t>Ozone Layer Depletion</t>
  </si>
  <si>
    <t>kg CFC-11 eq</t>
  </si>
  <si>
    <t>Particulate matter formation</t>
  </si>
  <si>
    <t>kg PM2.5 eq</t>
  </si>
  <si>
    <t>Photochemical oxidant formation</t>
  </si>
  <si>
    <t>kg NMVOC eq</t>
  </si>
  <si>
    <t>Terrestrial acidification</t>
  </si>
  <si>
    <t>Water scarcity</t>
  </si>
  <si>
    <t>m3 world-eq</t>
  </si>
  <si>
    <t>Impact world+ results midpoint</t>
  </si>
  <si>
    <t>from open LCA in kgCO2equ short per FU</t>
  </si>
  <si>
    <t>Gas Vehicle spreadsheet calculations</t>
  </si>
  <si>
    <t>Gas Vehicle Open LCA</t>
  </si>
  <si>
    <t>Electric Vehicle spreadsheet calculations</t>
  </si>
  <si>
    <t>Electric Vehicle - Wind  spreadsheet calculations</t>
  </si>
  <si>
    <t>Electric Vehicle - Photovoltaic  spreadsheet calculations</t>
  </si>
  <si>
    <t>Electric Vehicle Open LCA</t>
  </si>
  <si>
    <t>Electric Vehicle-Wind Open LCA</t>
  </si>
  <si>
    <t>Electric Vehicle  - Photovoltaic Open LCA</t>
  </si>
  <si>
    <t>Climate change, short term - Open LCA</t>
  </si>
  <si>
    <t>electricity production, hard coal</t>
  </si>
  <si>
    <t>electricity, hard coal</t>
  </si>
  <si>
    <t>Total EU electricity hard coal</t>
  </si>
  <si>
    <t>Electric Vehicle - 
hard coal</t>
  </si>
  <si>
    <t>Electric charging - hard coal</t>
  </si>
  <si>
    <t>Electric Vehicle - Hard coal  spreadsheet calculations</t>
  </si>
  <si>
    <t>The gas vehicle scenario generates higher environmental impacts in terms of energy use and carbon footprint compared to the electric vehicle with UCTE electricity, medium voltage production mix.  However, the electric vehicle scenario with hard coal generates higher environmental impacts in terms of carbon footprint compared to the gas vehicle. The performance of electric vehicles drastically improves (impacts are further reduced) when charging energy is sourced via wind or photovoltaic during the use phase and are sufficient to make them the best scenarios.</t>
  </si>
  <si>
    <t>The ratios of gCO2/MJ fall within expected limits for plastics in the ~25s range (petroleum-based products) and transport by train and freight in the ~60-70s range. Metal products unexpectedly fall in the +80 range and incineration is magnitudes higher. The low values for ethylene Glycol implies that there is no combustion for these compounds.</t>
  </si>
  <si>
    <t>Being able to source energy through wind or solar power is crucial towards absolute sustainability as it can reduce total energy use and fossil emissions by 63%.</t>
  </si>
  <si>
    <t>Electric Vehicle - Hard coal</t>
  </si>
  <si>
    <t>Electric Vehicle - EU mix</t>
  </si>
  <si>
    <t>Transportation
*Please see note in top-corner*</t>
  </si>
  <si>
    <t>Directly Use Numbers Below</t>
  </si>
  <si>
    <t>Use phase
*Please see note in top-corner*</t>
  </si>
  <si>
    <t>Determine using given information</t>
  </si>
  <si>
    <t xml:space="preserve">For use phase sensitivity analyses: </t>
  </si>
  <si>
    <r>
      <t xml:space="preserve">Disposal
</t>
    </r>
    <r>
      <rPr>
        <b/>
        <sz val="14"/>
        <rFont val="Arial"/>
        <family val="2"/>
      </rPr>
      <t>Determine using given information</t>
    </r>
  </si>
  <si>
    <t>Transportation by Electric Vehicle</t>
  </si>
  <si>
    <t>Transportation by Gas Vehicle</t>
  </si>
  <si>
    <t>Use phase  (per V-km)
*Please see note in top-corner*</t>
  </si>
  <si>
    <t>Manufacturing (Materials + Processing) per Vehicule</t>
  </si>
  <si>
    <t>Transportation per vehicle
*Please see note in top-corner*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</si>
</sst>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0.0"/>
    <numFmt numFmtId="167" formatCode="0.00000"/>
    <numFmt numFmtId="168" formatCode="_ &quot;CHF&quot;\ * #,##0.00_ ;_ &quot;CHF&quot;\ * \-#,##0.00_ ;_ &quot;CHF&quot;\ * &quot;-&quot;??_ ;_ @_ "/>
    <numFmt numFmtId="169" formatCode="0.0000"/>
    <numFmt numFmtId="170" formatCode="0.000%"/>
  </numFmts>
  <fonts count="17">
    <font>
      <sz val="11"/>
      <color theme="1"/>
      <name val="Calibri"/>
      <family val="2"/>
      <scheme val="minor"/>
    </font>
    <font>
      <sz val="16"/>
      <color theme="1"/>
      <name val="Arial"/>
      <family val="2"/>
    </font>
    <font>
      <sz val="16"/>
      <color rgb="FFFF0000"/>
      <name val="Arial"/>
      <family val="2"/>
    </font>
    <font>
      <b/>
      <sz val="16"/>
      <color theme="1"/>
      <name val="Arial"/>
      <family val="2"/>
    </font>
    <font>
      <sz val="11"/>
      <color theme="1"/>
      <name val="Calibri Light"/>
      <family val="2"/>
      <scheme val="major"/>
    </font>
    <font>
      <b/>
      <sz val="11"/>
      <color theme="0"/>
      <name val="Calibri Light"/>
      <family val="2"/>
      <scheme val="major"/>
    </font>
    <font>
      <b/>
      <sz val="9"/>
      <color indexed="81"/>
      <name val="Tahoma"/>
      <family val="2"/>
    </font>
    <font>
      <sz val="9"/>
      <color indexed="81"/>
      <name val="Tahoma"/>
      <family val="2"/>
    </font>
    <font>
      <u/>
      <sz val="11"/>
      <color theme="10"/>
      <name val="Calibri"/>
      <family val="2"/>
    </font>
    <font>
      <sz val="11"/>
      <color theme="1"/>
      <name val="Helvetica LT Pro"/>
      <family val="2"/>
    </font>
    <font>
      <sz val="16"/>
      <color theme="1"/>
      <name val="Arial"/>
      <family val="2"/>
    </font>
    <font>
      <sz val="16"/>
      <color theme="1"/>
      <name val="Arial"/>
      <family val="2"/>
    </font>
    <font>
      <b/>
      <sz val="11"/>
      <color theme="1"/>
      <name val="Calibri"/>
      <family val="2"/>
      <scheme val="minor"/>
    </font>
    <font>
      <sz val="16"/>
      <color indexed="81"/>
      <name val="Tahoma"/>
      <family val="2"/>
    </font>
    <font>
      <sz val="18"/>
      <color indexed="81"/>
      <name val="Tahoma"/>
      <family val="2"/>
    </font>
    <font>
      <b/>
      <sz val="14"/>
      <color theme="1"/>
      <name val="Arial"/>
      <family val="2"/>
    </font>
    <font>
      <b/>
      <sz val="14"/>
      <name val="Arial"/>
      <family val="2"/>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tint="-0.14999847407452621"/>
        <bgColor indexed="64"/>
      </patternFill>
    </fill>
  </fills>
  <borders count="53">
    <border>
      <left/>
      <right/>
      <top/>
      <bottom/>
      <diagonal/>
    </border>
    <border>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bottom/>
      <diagonal/>
    </border>
    <border>
      <left/>
      <right style="thin">
        <color auto="1"/>
      </right>
      <top/>
      <bottom style="medium">
        <color auto="1"/>
      </bottom>
      <diagonal/>
    </border>
    <border>
      <left/>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medium">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medium">
        <color auto="1"/>
      </right>
      <top style="thin">
        <color auto="1"/>
      </top>
      <bottom/>
      <diagonal/>
    </border>
    <border>
      <left/>
      <right style="medium">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bottom style="thin">
        <color auto="1"/>
      </bottom>
      <diagonal/>
    </border>
    <border>
      <left style="medium">
        <color indexed="64"/>
      </left>
      <right style="thin">
        <color auto="1"/>
      </right>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bottom style="medium">
        <color indexed="64"/>
      </bottom>
      <diagonal/>
    </border>
    <border>
      <left style="medium">
        <color indexed="64"/>
      </left>
      <right style="thin">
        <color auto="1"/>
      </right>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auto="1"/>
      </left>
      <right/>
      <top/>
      <bottom/>
      <diagonal/>
    </border>
    <border>
      <left/>
      <right style="thin">
        <color indexed="64"/>
      </right>
      <top/>
      <bottom style="thin">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top style="medium">
        <color auto="1"/>
      </top>
      <bottom/>
      <diagonal/>
    </border>
    <border>
      <left style="medium">
        <color auto="1"/>
      </left>
      <right/>
      <top/>
      <bottom style="medium">
        <color auto="1"/>
      </bottom>
      <diagonal/>
    </border>
    <border>
      <left style="medium">
        <color auto="1"/>
      </left>
      <right/>
      <top style="medium">
        <color auto="1"/>
      </top>
      <bottom/>
      <diagonal/>
    </border>
    <border>
      <left/>
      <right/>
      <top style="thin">
        <color indexed="64"/>
      </top>
      <bottom style="medium">
        <color auto="1"/>
      </bottom>
      <diagonal/>
    </border>
    <border>
      <left/>
      <right style="thin">
        <color indexed="64"/>
      </right>
      <top style="thin">
        <color indexed="64"/>
      </top>
      <bottom style="medium">
        <color auto="1"/>
      </bottom>
      <diagonal/>
    </border>
  </borders>
  <cellStyleXfs count="3">
    <xf numFmtId="0" fontId="0" fillId="0" borderId="0"/>
    <xf numFmtId="0" fontId="8" fillId="0" borderId="0" applyNumberFormat="0" applyFill="0" applyBorder="0" applyAlignment="0" applyProtection="0">
      <alignment vertical="top"/>
      <protection locked="0"/>
    </xf>
    <xf numFmtId="168" fontId="9" fillId="0" borderId="0"/>
  </cellStyleXfs>
  <cellXfs count="222">
    <xf numFmtId="0" fontId="0" fillId="0" borderId="0" xfId="0"/>
    <xf numFmtId="0" fontId="1" fillId="0" borderId="0" xfId="0" applyFont="1"/>
    <xf numFmtId="0" fontId="1" fillId="0" borderId="0" xfId="0" applyFont="1" applyAlignment="1">
      <alignment vertical="top" wrapText="1"/>
    </xf>
    <xf numFmtId="0" fontId="1" fillId="0" borderId="0" xfId="0" applyFont="1" applyAlignment="1">
      <alignment horizontal="center"/>
    </xf>
    <xf numFmtId="0" fontId="2" fillId="2" borderId="0" xfId="0" applyFont="1" applyFill="1"/>
    <xf numFmtId="0" fontId="1" fillId="2" borderId="0" xfId="0" applyFont="1" applyFill="1" applyAlignment="1">
      <alignment horizontal="center"/>
    </xf>
    <xf numFmtId="0" fontId="2" fillId="2" borderId="2" xfId="0" applyFont="1" applyFill="1" applyBorder="1"/>
    <xf numFmtId="0" fontId="1" fillId="0" borderId="2" xfId="0" applyFont="1" applyBorder="1"/>
    <xf numFmtId="0" fontId="2" fillId="2" borderId="4" xfId="0" applyFont="1" applyFill="1" applyBorder="1"/>
    <xf numFmtId="0" fontId="1" fillId="0" borderId="4" xfId="0" applyFont="1" applyBorder="1" applyAlignment="1">
      <alignment horizontal="center"/>
    </xf>
    <xf numFmtId="0" fontId="1" fillId="2" borderId="4" xfId="0" applyFont="1" applyFill="1" applyBorder="1" applyAlignment="1">
      <alignment horizontal="center"/>
    </xf>
    <xf numFmtId="164" fontId="1" fillId="0" borderId="4" xfId="0" applyNumberFormat="1" applyFont="1" applyBorder="1" applyAlignment="1">
      <alignment horizontal="center"/>
    </xf>
    <xf numFmtId="0" fontId="2" fillId="2" borderId="7" xfId="0" applyFont="1" applyFill="1" applyBorder="1"/>
    <xf numFmtId="165" fontId="1" fillId="0" borderId="7" xfId="0" applyNumberFormat="1" applyFont="1" applyBorder="1" applyAlignment="1">
      <alignment horizontal="center"/>
    </xf>
    <xf numFmtId="0" fontId="1" fillId="2" borderId="7" xfId="0" applyFont="1" applyFill="1" applyBorder="1" applyAlignment="1">
      <alignment horizontal="center"/>
    </xf>
    <xf numFmtId="1" fontId="1" fillId="0" borderId="0" xfId="0" applyNumberFormat="1" applyFont="1"/>
    <xf numFmtId="0" fontId="1" fillId="3" borderId="0" xfId="0" applyFont="1" applyFill="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0" borderId="13" xfId="0" applyFont="1" applyBorder="1"/>
    <xf numFmtId="0" fontId="1" fillId="0" borderId="14" xfId="0" applyFont="1" applyBorder="1"/>
    <xf numFmtId="0" fontId="1" fillId="0" borderId="14" xfId="0" applyFont="1" applyBorder="1" applyAlignment="1">
      <alignment horizontal="center"/>
    </xf>
    <xf numFmtId="0" fontId="1" fillId="0" borderId="0" xfId="0" applyFont="1" applyAlignment="1">
      <alignment wrapText="1"/>
    </xf>
    <xf numFmtId="0" fontId="3" fillId="0" borderId="0" xfId="0" applyFont="1"/>
    <xf numFmtId="0" fontId="1" fillId="0" borderId="14" xfId="0" applyFont="1" applyBorder="1" applyAlignment="1">
      <alignment wrapText="1"/>
    </xf>
    <xf numFmtId="1" fontId="2" fillId="2" borderId="15" xfId="0" applyNumberFormat="1" applyFont="1" applyFill="1" applyBorder="1"/>
    <xf numFmtId="1" fontId="1" fillId="0" borderId="15" xfId="0" applyNumberFormat="1" applyFont="1" applyBorder="1" applyAlignment="1">
      <alignment horizontal="center"/>
    </xf>
    <xf numFmtId="1" fontId="1" fillId="2" borderId="15" xfId="0" applyNumberFormat="1" applyFont="1" applyFill="1" applyBorder="1" applyAlignment="1">
      <alignment horizontal="center"/>
    </xf>
    <xf numFmtId="0" fontId="1" fillId="0" borderId="3" xfId="0" applyFont="1" applyBorder="1" applyAlignment="1">
      <alignmen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1" fillId="0" borderId="8" xfId="0" applyFont="1" applyBorder="1" applyAlignment="1">
      <alignment vertical="top" wrapText="1"/>
    </xf>
    <xf numFmtId="1" fontId="1" fillId="0" borderId="16" xfId="0" applyNumberFormat="1" applyFont="1" applyBorder="1" applyAlignment="1">
      <alignment vertical="top" wrapText="1"/>
    </xf>
    <xf numFmtId="0" fontId="1" fillId="0" borderId="4" xfId="0" quotePrefix="1" applyFont="1" applyBorder="1" applyAlignment="1">
      <alignment horizontal="center"/>
    </xf>
    <xf numFmtId="2" fontId="1" fillId="0" borderId="0" xfId="0" applyNumberFormat="1" applyFont="1" applyAlignment="1">
      <alignment horizontal="center"/>
    </xf>
    <xf numFmtId="0" fontId="4" fillId="0" borderId="0" xfId="0" applyFont="1"/>
    <xf numFmtId="0" fontId="5" fillId="4" borderId="14" xfId="0" applyFont="1" applyFill="1" applyBorder="1" applyAlignment="1">
      <alignment vertical="top" wrapText="1"/>
    </xf>
    <xf numFmtId="164" fontId="5" fillId="4" borderId="14" xfId="0" applyNumberFormat="1" applyFont="1" applyFill="1" applyBorder="1" applyAlignment="1">
      <alignment vertical="top" wrapText="1"/>
    </xf>
    <xf numFmtId="2" fontId="5" fillId="4" borderId="14" xfId="0" applyNumberFormat="1" applyFont="1" applyFill="1" applyBorder="1" applyAlignment="1">
      <alignment vertical="top" wrapText="1"/>
    </xf>
    <xf numFmtId="166" fontId="5" fillId="4" borderId="14" xfId="0" applyNumberFormat="1" applyFont="1" applyFill="1" applyBorder="1" applyAlignment="1">
      <alignment vertical="top" wrapText="1"/>
    </xf>
    <xf numFmtId="11" fontId="1" fillId="0" borderId="0" xfId="0" applyNumberFormat="1" applyFont="1" applyAlignment="1">
      <alignment horizontal="center"/>
    </xf>
    <xf numFmtId="11" fontId="1" fillId="2" borderId="0" xfId="0" applyNumberFormat="1" applyFont="1" applyFill="1" applyAlignment="1">
      <alignment horizontal="center"/>
    </xf>
    <xf numFmtId="164" fontId="1" fillId="0" borderId="0" xfId="0" applyNumberFormat="1" applyFont="1"/>
    <xf numFmtId="164" fontId="1" fillId="0" borderId="5" xfId="0" applyNumberFormat="1" applyFont="1" applyBorder="1" applyAlignment="1">
      <alignment vertical="top" wrapText="1"/>
    </xf>
    <xf numFmtId="164" fontId="2" fillId="2" borderId="4" xfId="0" applyNumberFormat="1" applyFont="1" applyFill="1" applyBorder="1"/>
    <xf numFmtId="164" fontId="1" fillId="2" borderId="4" xfId="0" applyNumberFormat="1" applyFont="1" applyFill="1" applyBorder="1" applyAlignment="1">
      <alignment horizontal="center"/>
    </xf>
    <xf numFmtId="164" fontId="1" fillId="2" borderId="10" xfId="0" applyNumberFormat="1" applyFont="1" applyFill="1" applyBorder="1" applyAlignment="1">
      <alignment horizontal="center"/>
    </xf>
    <xf numFmtId="164" fontId="3" fillId="0" borderId="4" xfId="0" applyNumberFormat="1" applyFont="1" applyBorder="1" applyAlignment="1">
      <alignment horizontal="center"/>
    </xf>
    <xf numFmtId="164" fontId="1" fillId="0" borderId="0" xfId="0" applyNumberFormat="1" applyFont="1" applyAlignment="1">
      <alignment horizontal="center"/>
    </xf>
    <xf numFmtId="2" fontId="1" fillId="3" borderId="0" xfId="0" applyNumberFormat="1" applyFont="1" applyFill="1" applyAlignment="1">
      <alignment horizontal="center"/>
    </xf>
    <xf numFmtId="167" fontId="1" fillId="0" borderId="0" xfId="0" applyNumberFormat="1" applyFont="1"/>
    <xf numFmtId="0" fontId="1" fillId="0" borderId="21" xfId="0" applyFont="1" applyBorder="1"/>
    <xf numFmtId="0" fontId="1" fillId="3" borderId="21" xfId="0" applyFont="1" applyFill="1" applyBorder="1"/>
    <xf numFmtId="164" fontId="1" fillId="3" borderId="21" xfId="0" applyNumberFormat="1" applyFont="1" applyFill="1" applyBorder="1"/>
    <xf numFmtId="167" fontId="1" fillId="0" borderId="21" xfId="0" applyNumberFormat="1" applyFont="1" applyBorder="1"/>
    <xf numFmtId="164" fontId="1" fillId="0" borderId="21" xfId="0" applyNumberFormat="1" applyFont="1" applyBorder="1"/>
    <xf numFmtId="0" fontId="1" fillId="0" borderId="20" xfId="0" applyFont="1" applyBorder="1"/>
    <xf numFmtId="0" fontId="1" fillId="0" borderId="14" xfId="0" applyFont="1" applyBorder="1" applyAlignment="1">
      <alignment vertical="top" wrapText="1"/>
    </xf>
    <xf numFmtId="0" fontId="0" fillId="0" borderId="0" xfId="0" applyAlignment="1">
      <alignment wrapText="1"/>
    </xf>
    <xf numFmtId="0" fontId="0" fillId="0" borderId="14" xfId="0" applyBorder="1"/>
    <xf numFmtId="2" fontId="0" fillId="0" borderId="20" xfId="0" applyNumberFormat="1" applyBorder="1"/>
    <xf numFmtId="2" fontId="0" fillId="0" borderId="14" xfId="0" applyNumberFormat="1" applyBorder="1"/>
    <xf numFmtId="166" fontId="0" fillId="0" borderId="20" xfId="0" applyNumberFormat="1" applyBorder="1"/>
    <xf numFmtId="166" fontId="0" fillId="0" borderId="14" xfId="0" applyNumberFormat="1" applyBorder="1"/>
    <xf numFmtId="164" fontId="0" fillId="0" borderId="14" xfId="0" applyNumberFormat="1" applyBorder="1"/>
    <xf numFmtId="0" fontId="5" fillId="4" borderId="22" xfId="0" applyFont="1" applyFill="1" applyBorder="1" applyAlignment="1">
      <alignment horizontal="left" vertical="top" wrapText="1"/>
    </xf>
    <xf numFmtId="164" fontId="5" fillId="4" borderId="22" xfId="0" applyNumberFormat="1" applyFont="1" applyFill="1" applyBorder="1" applyAlignment="1">
      <alignment vertical="top" wrapText="1"/>
    </xf>
    <xf numFmtId="2" fontId="5" fillId="4" borderId="22" xfId="0" applyNumberFormat="1" applyFont="1" applyFill="1" applyBorder="1" applyAlignment="1">
      <alignment vertical="top" wrapText="1"/>
    </xf>
    <xf numFmtId="166" fontId="5" fillId="4" borderId="22" xfId="0" applyNumberFormat="1" applyFont="1" applyFill="1" applyBorder="1" applyAlignment="1">
      <alignment vertical="top" wrapText="1"/>
    </xf>
    <xf numFmtId="0" fontId="5" fillId="4" borderId="22" xfId="0" applyFont="1" applyFill="1" applyBorder="1" applyAlignment="1">
      <alignment vertical="top" wrapText="1"/>
    </xf>
    <xf numFmtId="0" fontId="0" fillId="0" borderId="23" xfId="0" applyBorder="1"/>
    <xf numFmtId="0" fontId="0" fillId="0" borderId="24" xfId="0" applyBorder="1"/>
    <xf numFmtId="164" fontId="0" fillId="0" borderId="24" xfId="0" applyNumberFormat="1" applyBorder="1"/>
    <xf numFmtId="2" fontId="0" fillId="0" borderId="24" xfId="0" applyNumberFormat="1" applyBorder="1"/>
    <xf numFmtId="166" fontId="0" fillId="0" borderId="24" xfId="0" applyNumberFormat="1" applyBorder="1"/>
    <xf numFmtId="2" fontId="0" fillId="0" borderId="25" xfId="0" applyNumberFormat="1" applyBorder="1"/>
    <xf numFmtId="0" fontId="0" fillId="0" borderId="26" xfId="0" applyBorder="1"/>
    <xf numFmtId="2" fontId="0" fillId="0" borderId="27" xfId="0" applyNumberFormat="1" applyBorder="1"/>
    <xf numFmtId="0" fontId="0" fillId="0" borderId="28" xfId="0" applyBorder="1"/>
    <xf numFmtId="0" fontId="0" fillId="0" borderId="30" xfId="0" applyBorder="1"/>
    <xf numFmtId="164" fontId="0" fillId="0" borderId="30" xfId="0" applyNumberFormat="1" applyBorder="1"/>
    <xf numFmtId="2" fontId="0" fillId="0" borderId="31" xfId="0" applyNumberFormat="1" applyBorder="1"/>
    <xf numFmtId="166" fontId="0" fillId="0" borderId="31" xfId="0" applyNumberFormat="1" applyBorder="1"/>
    <xf numFmtId="2" fontId="0" fillId="0" borderId="8" xfId="0" applyNumberFormat="1" applyBorder="1"/>
    <xf numFmtId="0" fontId="0" fillId="0" borderId="32" xfId="0" applyBorder="1"/>
    <xf numFmtId="0" fontId="0" fillId="6" borderId="14" xfId="0" applyFill="1" applyBorder="1"/>
    <xf numFmtId="164" fontId="0" fillId="6" borderId="14" xfId="0" applyNumberFormat="1" applyFill="1" applyBorder="1"/>
    <xf numFmtId="0" fontId="0" fillId="6" borderId="22" xfId="0" applyFill="1" applyBorder="1"/>
    <xf numFmtId="164" fontId="0" fillId="6" borderId="22" xfId="0" applyNumberFormat="1" applyFill="1" applyBorder="1"/>
    <xf numFmtId="0" fontId="0" fillId="7" borderId="14" xfId="0" applyFill="1" applyBorder="1"/>
    <xf numFmtId="164" fontId="0" fillId="7" borderId="14" xfId="0" applyNumberFormat="1" applyFill="1" applyBorder="1"/>
    <xf numFmtId="0" fontId="0" fillId="6" borderId="26" xfId="0" applyFill="1" applyBorder="1"/>
    <xf numFmtId="0" fontId="0" fillId="7" borderId="26" xfId="0" applyFill="1" applyBorder="1"/>
    <xf numFmtId="0" fontId="0" fillId="5" borderId="30" xfId="0" applyFill="1" applyBorder="1"/>
    <xf numFmtId="164" fontId="0" fillId="5" borderId="30" xfId="0" applyNumberFormat="1" applyFill="1" applyBorder="1"/>
    <xf numFmtId="2" fontId="0" fillId="6" borderId="14" xfId="0" applyNumberFormat="1" applyFill="1" applyBorder="1"/>
    <xf numFmtId="166" fontId="0" fillId="6" borderId="14" xfId="0" applyNumberFormat="1" applyFill="1" applyBorder="1"/>
    <xf numFmtId="2" fontId="0" fillId="7" borderId="14" xfId="0" applyNumberFormat="1" applyFill="1" applyBorder="1"/>
    <xf numFmtId="166" fontId="0" fillId="7" borderId="14" xfId="0" applyNumberFormat="1" applyFill="1" applyBorder="1"/>
    <xf numFmtId="2" fontId="0" fillId="0" borderId="34" xfId="0" applyNumberFormat="1" applyBorder="1"/>
    <xf numFmtId="2" fontId="0" fillId="6" borderId="34" xfId="0" applyNumberFormat="1" applyFill="1" applyBorder="1"/>
    <xf numFmtId="2" fontId="0" fillId="7" borderId="34" xfId="0" applyNumberFormat="1" applyFill="1" applyBorder="1"/>
    <xf numFmtId="0" fontId="0" fillId="5" borderId="29" xfId="0" applyFill="1" applyBorder="1"/>
    <xf numFmtId="2" fontId="0" fillId="5" borderId="30" xfId="0" applyNumberFormat="1" applyFill="1" applyBorder="1"/>
    <xf numFmtId="166" fontId="0" fillId="5" borderId="30" xfId="0" applyNumberFormat="1" applyFill="1" applyBorder="1"/>
    <xf numFmtId="2" fontId="0" fillId="5" borderId="35" xfId="0" applyNumberFormat="1" applyFill="1" applyBorder="1"/>
    <xf numFmtId="0" fontId="0" fillId="6" borderId="33" xfId="0" applyFill="1" applyBorder="1"/>
    <xf numFmtId="2" fontId="0" fillId="6" borderId="22" xfId="0" applyNumberFormat="1" applyFill="1" applyBorder="1"/>
    <xf numFmtId="166" fontId="0" fillId="6" borderId="22" xfId="0" applyNumberFormat="1" applyFill="1" applyBorder="1"/>
    <xf numFmtId="2" fontId="0" fillId="6" borderId="12" xfId="0" applyNumberFormat="1" applyFill="1" applyBorder="1"/>
    <xf numFmtId="11" fontId="10" fillId="0" borderId="0" xfId="0" applyNumberFormat="1" applyFont="1" applyAlignment="1">
      <alignment horizontal="center"/>
    </xf>
    <xf numFmtId="2" fontId="10" fillId="0" borderId="0" xfId="0" applyNumberFormat="1" applyFont="1" applyAlignment="1">
      <alignment horizontal="center"/>
    </xf>
    <xf numFmtId="165" fontId="10" fillId="0" borderId="7" xfId="0" applyNumberFormat="1" applyFont="1" applyBorder="1" applyAlignment="1">
      <alignment horizontal="center"/>
    </xf>
    <xf numFmtId="11" fontId="1" fillId="0" borderId="4" xfId="0" applyNumberFormat="1" applyFont="1" applyBorder="1" applyAlignment="1">
      <alignment horizontal="center"/>
    </xf>
    <xf numFmtId="2" fontId="10" fillId="0" borderId="36" xfId="0" applyNumberFormat="1" applyFont="1" applyBorder="1" applyAlignment="1">
      <alignment horizontal="center"/>
    </xf>
    <xf numFmtId="0" fontId="1" fillId="2" borderId="36" xfId="0" applyFont="1" applyFill="1" applyBorder="1" applyAlignment="1">
      <alignment horizontal="center"/>
    </xf>
    <xf numFmtId="2" fontId="1" fillId="0" borderId="21" xfId="0" applyNumberFormat="1" applyFont="1" applyBorder="1" applyAlignment="1">
      <alignment horizontal="center"/>
    </xf>
    <xf numFmtId="10" fontId="1" fillId="0" borderId="15" xfId="0" applyNumberFormat="1" applyFont="1" applyBorder="1" applyAlignment="1">
      <alignment horizontal="center"/>
    </xf>
    <xf numFmtId="2" fontId="1" fillId="0" borderId="15" xfId="0" applyNumberFormat="1" applyFont="1" applyBorder="1" applyAlignment="1">
      <alignment horizontal="center"/>
    </xf>
    <xf numFmtId="2" fontId="1" fillId="0" borderId="36" xfId="0" applyNumberFormat="1" applyFont="1" applyBorder="1" applyAlignment="1">
      <alignment horizontal="center"/>
    </xf>
    <xf numFmtId="1" fontId="1" fillId="0" borderId="4" xfId="0" applyNumberFormat="1" applyFont="1" applyBorder="1" applyAlignment="1">
      <alignment horizontal="center"/>
    </xf>
    <xf numFmtId="1" fontId="1" fillId="0" borderId="2" xfId="0" applyNumberFormat="1" applyFont="1" applyBorder="1" applyAlignment="1">
      <alignment horizontal="center"/>
    </xf>
    <xf numFmtId="2" fontId="0" fillId="6" borderId="20" xfId="0" applyNumberFormat="1" applyFill="1" applyBorder="1"/>
    <xf numFmtId="166" fontId="0" fillId="6" borderId="20" xfId="0" applyNumberFormat="1" applyFill="1" applyBorder="1"/>
    <xf numFmtId="11" fontId="1" fillId="0" borderId="37" xfId="0" applyNumberFormat="1" applyFont="1" applyBorder="1" applyAlignment="1">
      <alignment horizontal="center"/>
    </xf>
    <xf numFmtId="164" fontId="1" fillId="0" borderId="21" xfId="0" applyNumberFormat="1" applyFont="1" applyBorder="1" applyAlignment="1">
      <alignment horizontal="center"/>
    </xf>
    <xf numFmtId="164" fontId="3" fillId="0" borderId="21" xfId="0" applyNumberFormat="1" applyFont="1" applyBorder="1" applyAlignment="1">
      <alignment horizontal="center"/>
    </xf>
    <xf numFmtId="11" fontId="1" fillId="0" borderId="21" xfId="0" applyNumberFormat="1" applyFont="1" applyBorder="1" applyAlignment="1">
      <alignment horizontal="center"/>
    </xf>
    <xf numFmtId="11" fontId="1" fillId="2" borderId="4" xfId="0" applyNumberFormat="1" applyFont="1" applyFill="1" applyBorder="1" applyAlignment="1">
      <alignment horizontal="center"/>
    </xf>
    <xf numFmtId="11" fontId="1" fillId="3" borderId="21" xfId="0" applyNumberFormat="1" applyFont="1" applyFill="1" applyBorder="1"/>
    <xf numFmtId="11" fontId="1" fillId="0" borderId="21" xfId="0" applyNumberFormat="1" applyFont="1" applyBorder="1"/>
    <xf numFmtId="2" fontId="1" fillId="0" borderId="20" xfId="0" applyNumberFormat="1" applyFont="1" applyBorder="1"/>
    <xf numFmtId="2" fontId="1" fillId="0" borderId="21" xfId="0" applyNumberFormat="1" applyFont="1" applyBorder="1"/>
    <xf numFmtId="169" fontId="1" fillId="0" borderId="21" xfId="0" applyNumberFormat="1" applyFont="1" applyBorder="1"/>
    <xf numFmtId="165" fontId="1" fillId="0" borderId="0" xfId="0" applyNumberFormat="1" applyFont="1"/>
    <xf numFmtId="0" fontId="1" fillId="0" borderId="44" xfId="0" applyFont="1" applyBorder="1"/>
    <xf numFmtId="164" fontId="3" fillId="0" borderId="0" xfId="0" applyNumberFormat="1" applyFont="1" applyAlignment="1">
      <alignment horizontal="center"/>
    </xf>
    <xf numFmtId="1" fontId="1" fillId="0" borderId="0" xfId="0" applyNumberFormat="1" applyFont="1" applyAlignment="1">
      <alignment horizontal="center"/>
    </xf>
    <xf numFmtId="0" fontId="1" fillId="0" borderId="3" xfId="0" applyFont="1" applyBorder="1"/>
    <xf numFmtId="0" fontId="1" fillId="0" borderId="1" xfId="0" applyFont="1" applyBorder="1" applyAlignment="1">
      <alignment horizontal="center"/>
    </xf>
    <xf numFmtId="0" fontId="1" fillId="0" borderId="5" xfId="0" quotePrefix="1" applyFont="1" applyBorder="1" applyAlignment="1">
      <alignment horizontal="center"/>
    </xf>
    <xf numFmtId="165" fontId="1" fillId="0" borderId="8" xfId="0" applyNumberFormat="1" applyFont="1" applyBorder="1" applyAlignment="1">
      <alignment horizontal="center"/>
    </xf>
    <xf numFmtId="2" fontId="1" fillId="0" borderId="1" xfId="0" applyNumberFormat="1" applyFont="1" applyBorder="1" applyAlignment="1">
      <alignment horizontal="center"/>
    </xf>
    <xf numFmtId="1" fontId="1" fillId="0" borderId="8" xfId="0" applyNumberFormat="1" applyFont="1" applyBorder="1" applyAlignment="1">
      <alignment horizontal="center"/>
    </xf>
    <xf numFmtId="0" fontId="1" fillId="0" borderId="38" xfId="0" applyFont="1" applyBorder="1"/>
    <xf numFmtId="0" fontId="1" fillId="0" borderId="40" xfId="0" applyFont="1" applyBorder="1" applyAlignment="1">
      <alignment horizontal="center"/>
    </xf>
    <xf numFmtId="0" fontId="1" fillId="0" borderId="41" xfId="0" quotePrefix="1" applyFont="1" applyBorder="1" applyAlignment="1">
      <alignment horizontal="center"/>
    </xf>
    <xf numFmtId="164" fontId="3" fillId="0" borderId="41" xfId="0" applyNumberFormat="1" applyFont="1" applyBorder="1" applyAlignment="1">
      <alignment horizontal="center"/>
    </xf>
    <xf numFmtId="165" fontId="1" fillId="0" borderId="42" xfId="0" applyNumberFormat="1" applyFont="1" applyBorder="1" applyAlignment="1">
      <alignment horizontal="center"/>
    </xf>
    <xf numFmtId="2" fontId="1" fillId="0" borderId="40" xfId="0" applyNumberFormat="1" applyFont="1" applyBorder="1" applyAlignment="1">
      <alignment horizontal="center"/>
    </xf>
    <xf numFmtId="1" fontId="1" fillId="0" borderId="42" xfId="0" applyNumberFormat="1" applyFont="1" applyBorder="1" applyAlignment="1">
      <alignment horizontal="center"/>
    </xf>
    <xf numFmtId="0" fontId="1" fillId="0" borderId="45" xfId="0" applyFont="1" applyBorder="1"/>
    <xf numFmtId="0" fontId="1" fillId="0" borderId="39" xfId="0" applyFont="1" applyBorder="1" applyAlignment="1">
      <alignment horizontal="center"/>
    </xf>
    <xf numFmtId="0" fontId="1" fillId="0" borderId="46" xfId="0" quotePrefix="1" applyFont="1" applyBorder="1" applyAlignment="1">
      <alignment horizontal="center"/>
    </xf>
    <xf numFmtId="164" fontId="3" fillId="0" borderId="46" xfId="0" applyNumberFormat="1" applyFont="1" applyBorder="1" applyAlignment="1">
      <alignment horizontal="center"/>
    </xf>
    <xf numFmtId="165" fontId="1" fillId="0" borderId="47" xfId="0" applyNumberFormat="1" applyFont="1" applyBorder="1" applyAlignment="1">
      <alignment horizontal="center"/>
    </xf>
    <xf numFmtId="2" fontId="1" fillId="0" borderId="39" xfId="0" applyNumberFormat="1" applyFont="1" applyBorder="1" applyAlignment="1">
      <alignment horizontal="center"/>
    </xf>
    <xf numFmtId="1" fontId="1" fillId="8" borderId="4" xfId="0" applyNumberFormat="1" applyFont="1" applyFill="1" applyBorder="1" applyAlignment="1">
      <alignment horizontal="center"/>
    </xf>
    <xf numFmtId="164" fontId="3" fillId="8" borderId="21" xfId="0" applyNumberFormat="1" applyFont="1" applyFill="1" applyBorder="1" applyAlignment="1">
      <alignment horizontal="center"/>
    </xf>
    <xf numFmtId="0" fontId="11" fillId="0" borderId="4" xfId="0" applyFont="1" applyBorder="1" applyAlignment="1">
      <alignment horizontal="center"/>
    </xf>
    <xf numFmtId="164" fontId="11" fillId="0" borderId="4" xfId="0" applyNumberFormat="1" applyFont="1" applyBorder="1" applyAlignment="1">
      <alignment horizontal="center"/>
    </xf>
    <xf numFmtId="165" fontId="11" fillId="0" borderId="7" xfId="0" applyNumberFormat="1" applyFont="1" applyBorder="1" applyAlignment="1">
      <alignment horizontal="center"/>
    </xf>
    <xf numFmtId="1" fontId="11" fillId="0" borderId="15" xfId="0" applyNumberFormat="1" applyFont="1" applyBorder="1" applyAlignment="1">
      <alignment horizontal="center"/>
    </xf>
    <xf numFmtId="0" fontId="11" fillId="0" borderId="2" xfId="0" applyFont="1" applyBorder="1"/>
    <xf numFmtId="0" fontId="11" fillId="0" borderId="0" xfId="0" applyFont="1" applyAlignment="1">
      <alignment horizontal="center"/>
    </xf>
    <xf numFmtId="11" fontId="11" fillId="0" borderId="0" xfId="0" applyNumberFormat="1" applyFont="1" applyAlignment="1">
      <alignment horizontal="center"/>
    </xf>
    <xf numFmtId="1" fontId="1" fillId="2" borderId="0" xfId="0" applyNumberFormat="1" applyFont="1" applyFill="1" applyAlignment="1">
      <alignment horizontal="center"/>
    </xf>
    <xf numFmtId="1" fontId="11" fillId="0" borderId="0" xfId="0" applyNumberFormat="1" applyFont="1" applyAlignment="1">
      <alignment horizontal="center"/>
    </xf>
    <xf numFmtId="0" fontId="1" fillId="0" borderId="43" xfId="0" applyFont="1" applyBorder="1" applyAlignment="1">
      <alignment vertical="top" wrapText="1"/>
    </xf>
    <xf numFmtId="11" fontId="1" fillId="8" borderId="0" xfId="0" applyNumberFormat="1" applyFont="1" applyFill="1" applyAlignment="1">
      <alignment horizontal="center"/>
    </xf>
    <xf numFmtId="170" fontId="1" fillId="0" borderId="7" xfId="0" applyNumberFormat="1" applyFont="1" applyBorder="1" applyAlignment="1">
      <alignment horizontal="center"/>
    </xf>
    <xf numFmtId="1" fontId="2" fillId="2" borderId="46" xfId="0" applyNumberFormat="1" applyFont="1" applyFill="1" applyBorder="1"/>
    <xf numFmtId="1" fontId="2" fillId="2" borderId="48" xfId="0" applyNumberFormat="1" applyFont="1" applyFill="1" applyBorder="1"/>
    <xf numFmtId="1" fontId="1" fillId="2" borderId="4" xfId="0" applyNumberFormat="1" applyFont="1" applyFill="1" applyBorder="1" applyAlignment="1">
      <alignment horizontal="center"/>
    </xf>
    <xf numFmtId="165" fontId="1" fillId="2" borderId="15" xfId="0" applyNumberFormat="1" applyFont="1" applyFill="1" applyBorder="1" applyAlignment="1">
      <alignment horizontal="center"/>
    </xf>
    <xf numFmtId="1" fontId="1" fillId="2" borderId="5" xfId="0" applyNumberFormat="1" applyFont="1" applyFill="1" applyBorder="1" applyAlignment="1">
      <alignment horizontal="center"/>
    </xf>
    <xf numFmtId="1" fontId="1" fillId="2" borderId="16" xfId="0" applyNumberFormat="1" applyFont="1" applyFill="1" applyBorder="1" applyAlignment="1">
      <alignment horizontal="center"/>
    </xf>
    <xf numFmtId="0" fontId="1" fillId="2" borderId="49" xfId="0" applyFont="1" applyFill="1" applyBorder="1" applyAlignment="1">
      <alignment horizontal="center"/>
    </xf>
    <xf numFmtId="1" fontId="2" fillId="2" borderId="50" xfId="0" applyNumberFormat="1" applyFont="1" applyFill="1" applyBorder="1"/>
    <xf numFmtId="0" fontId="1" fillId="0" borderId="22" xfId="0" applyFont="1" applyBorder="1"/>
    <xf numFmtId="11" fontId="1" fillId="0" borderId="20" xfId="0" applyNumberFormat="1" applyFont="1" applyBorder="1"/>
    <xf numFmtId="164" fontId="1" fillId="0" borderId="20" xfId="0" applyNumberFormat="1" applyFont="1" applyBorder="1"/>
    <xf numFmtId="11" fontId="1" fillId="3" borderId="0" xfId="0" applyNumberFormat="1" applyFont="1" applyFill="1"/>
    <xf numFmtId="11" fontId="1" fillId="0" borderId="0" xfId="0" applyNumberFormat="1" applyFont="1"/>
    <xf numFmtId="2" fontId="1" fillId="0" borderId="0" xfId="0" applyNumberFormat="1" applyFont="1"/>
    <xf numFmtId="0" fontId="12" fillId="0" borderId="0" xfId="0" applyFont="1" applyAlignment="1">
      <alignment horizontal="center" vertical="center" wrapText="1"/>
    </xf>
    <xf numFmtId="0" fontId="0" fillId="0" borderId="0" xfId="0" applyAlignment="1">
      <alignment vertical="center" wrapText="1"/>
    </xf>
    <xf numFmtId="11" fontId="0" fillId="0" borderId="0" xfId="0" applyNumberFormat="1" applyAlignment="1">
      <alignment vertical="center" wrapText="1"/>
    </xf>
    <xf numFmtId="0" fontId="0" fillId="9" borderId="29" xfId="0" applyFill="1" applyBorder="1"/>
    <xf numFmtId="0" fontId="0" fillId="9" borderId="30" xfId="0" applyFill="1" applyBorder="1"/>
    <xf numFmtId="164" fontId="0" fillId="9" borderId="30" xfId="0" applyNumberFormat="1" applyFill="1" applyBorder="1"/>
    <xf numFmtId="2" fontId="0" fillId="9" borderId="30" xfId="0" applyNumberFormat="1" applyFill="1" applyBorder="1"/>
    <xf numFmtId="166" fontId="0" fillId="9" borderId="30" xfId="0" applyNumberFormat="1" applyFill="1" applyBorder="1"/>
    <xf numFmtId="2" fontId="0" fillId="9" borderId="35" xfId="0" applyNumberFormat="1" applyFill="1" applyBorder="1"/>
    <xf numFmtId="0" fontId="1" fillId="0" borderId="13" xfId="0" applyFont="1" applyBorder="1" applyAlignment="1">
      <alignment wrapText="1"/>
    </xf>
    <xf numFmtId="1" fontId="1" fillId="0" borderId="45" xfId="0" applyNumberFormat="1" applyFont="1" applyBorder="1" applyAlignment="1">
      <alignment horizontal="center"/>
    </xf>
    <xf numFmtId="11" fontId="15" fillId="2" borderId="0" xfId="0" applyNumberFormat="1" applyFont="1" applyFill="1" applyAlignment="1">
      <alignment horizontal="center" wrapText="1"/>
    </xf>
    <xf numFmtId="0" fontId="1" fillId="0" borderId="2" xfId="0" applyFont="1" applyBorder="1" applyAlignment="1">
      <alignment vertical="top" wrapText="1"/>
    </xf>
    <xf numFmtId="0" fontId="1" fillId="0" borderId="4" xfId="0" applyFont="1" applyBorder="1" applyAlignment="1">
      <alignment vertical="top" wrapText="1"/>
    </xf>
    <xf numFmtId="0" fontId="2" fillId="2" borderId="12" xfId="0" applyFont="1" applyFill="1" applyBorder="1"/>
    <xf numFmtId="0" fontId="2" fillId="2" borderId="11" xfId="0" applyFont="1" applyFill="1" applyBorder="1"/>
    <xf numFmtId="0" fontId="2" fillId="2" borderId="10" xfId="0" applyFont="1" applyFill="1" applyBorder="1"/>
    <xf numFmtId="0" fontId="1" fillId="0" borderId="7" xfId="0" applyFont="1" applyBorder="1"/>
    <xf numFmtId="0" fontId="1" fillId="0" borderId="27" xfId="0" applyFont="1" applyBorder="1"/>
    <xf numFmtId="11" fontId="1" fillId="0" borderId="6" xfId="0" applyNumberFormat="1" applyFont="1" applyBorder="1" applyAlignment="1">
      <alignment horizontal="center"/>
    </xf>
    <xf numFmtId="0" fontId="2" fillId="2" borderId="12" xfId="0" applyFont="1" applyFill="1" applyBorder="1" applyAlignment="1">
      <alignment wrapText="1"/>
    </xf>
    <xf numFmtId="11" fontId="15" fillId="2" borderId="11" xfId="0" applyNumberFormat="1" applyFont="1" applyFill="1" applyBorder="1" applyAlignment="1">
      <alignment horizontal="center" wrapText="1"/>
    </xf>
    <xf numFmtId="0" fontId="1" fillId="0" borderId="37" xfId="0" applyFont="1" applyBorder="1" applyAlignment="1">
      <alignment horizontal="center"/>
    </xf>
    <xf numFmtId="0" fontId="1" fillId="0" borderId="35" xfId="0" applyFont="1" applyBorder="1" applyAlignment="1">
      <alignment vertical="top" wrapText="1"/>
    </xf>
    <xf numFmtId="0" fontId="1" fillId="0" borderId="51" xfId="0" applyFont="1" applyBorder="1" applyAlignment="1">
      <alignment vertical="top" wrapText="1"/>
    </xf>
    <xf numFmtId="0" fontId="1" fillId="0" borderId="52" xfId="0" applyFont="1" applyBorder="1" applyAlignment="1">
      <alignment vertical="top" wrapText="1"/>
    </xf>
    <xf numFmtId="0" fontId="1" fillId="0" borderId="27" xfId="0" applyFont="1" applyBorder="1" applyAlignment="1">
      <alignment wrapText="1"/>
    </xf>
    <xf numFmtId="0" fontId="1" fillId="0" borderId="6" xfId="0" applyFont="1" applyBorder="1" applyAlignment="1">
      <alignment horizontal="center"/>
    </xf>
    <xf numFmtId="0" fontId="1" fillId="0" borderId="0" xfId="0" applyFont="1" applyAlignment="1">
      <alignment wrapText="1"/>
    </xf>
    <xf numFmtId="0" fontId="0" fillId="0" borderId="0" xfId="0" applyAlignment="1">
      <alignment wrapText="1"/>
    </xf>
    <xf numFmtId="0" fontId="1" fillId="0" borderId="6" xfId="0" applyFont="1" applyBorder="1"/>
    <xf numFmtId="0" fontId="0" fillId="0" borderId="6" xfId="0" applyBorder="1"/>
    <xf numFmtId="0" fontId="1" fillId="0" borderId="17" xfId="0" applyFont="1" applyBorder="1" applyAlignment="1">
      <alignment wrapText="1"/>
    </xf>
    <xf numFmtId="0" fontId="0" fillId="0" borderId="18" xfId="0" applyBorder="1" applyAlignment="1">
      <alignment wrapText="1"/>
    </xf>
    <xf numFmtId="0" fontId="0" fillId="0" borderId="19" xfId="0" applyBorder="1" applyAlignment="1">
      <alignment wrapText="1"/>
    </xf>
  </cellXfs>
  <cellStyles count="3">
    <cellStyle name="ecoinvent 1" xfId="2" xr:uid="{00000000-0005-0000-0000-000000000000}"/>
    <cellStyle name="Hyperlink 2" xfId="1" xr:uid="{00000000-0005-0000-0000-000001000000}"/>
    <cellStyle name="Normal" xfId="0" builtinId="0"/>
  </cellStyles>
  <dxfs count="71">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6"/>
        <color theme="1"/>
        <name val="Arial"/>
        <scheme val="none"/>
      </font>
      <border diagonalUp="0" diagonalDown="0">
        <left/>
        <right style="medium">
          <color auto="1"/>
        </right>
        <top/>
        <bottom/>
        <vertical/>
        <horizontal/>
      </border>
    </dxf>
    <dxf>
      <border outline="0">
        <right style="medium">
          <color auto="1"/>
        </right>
        <top style="medium">
          <color auto="1"/>
        </top>
        <bottom style="medium">
          <color auto="1"/>
        </bottom>
      </border>
    </dxf>
    <dxf>
      <border outline="0">
        <bottom style="medium">
          <color auto="1"/>
        </bottom>
      </border>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border diagonalUp="0" diagonalDown="0">
        <left style="medium">
          <color auto="1"/>
        </left>
        <right style="medium">
          <color auto="1"/>
        </right>
        <top/>
        <bottom style="thin">
          <color auto="1"/>
        </bottom>
        <vertical/>
        <horizontal/>
      </border>
    </dxf>
    <dxf>
      <border outline="0">
        <right style="medium">
          <color auto="1"/>
        </right>
        <top style="medium">
          <color auto="1"/>
        </top>
        <bottom style="medium">
          <color auto="1"/>
        </bottom>
      </border>
    </dxf>
    <dxf>
      <border outline="0">
        <bottom style="medium">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6"/>
        <color theme="1"/>
        <name val="Arial"/>
        <scheme val="none"/>
      </font>
      <numFmt numFmtId="165" formatCode="0.0%"/>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numFmt numFmtId="15" formatCode="0.00E+00"/>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numFmt numFmtId="1" formatCode="0"/>
      <alignment horizontal="center" vertical="bottom" textRotation="0" wrapText="0" indent="0" justifyLastLine="0" shrinkToFit="0" readingOrder="0"/>
      <border diagonalUp="0" diagonalDown="0">
        <left style="thin">
          <color auto="1"/>
        </left>
        <right/>
        <top/>
        <bottom/>
        <vertical/>
        <horizontal/>
      </border>
    </dxf>
    <dxf>
      <numFmt numFmtId="164" formatCode="0.000"/>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6"/>
        <color theme="1"/>
        <name val="Arial"/>
        <scheme val="none"/>
      </font>
      <border diagonalUp="0" diagonalDown="0">
        <left/>
        <right style="medium">
          <color auto="1"/>
        </right>
        <top/>
        <bottom/>
        <vertical/>
        <horizontal/>
      </border>
    </dxf>
    <dxf>
      <border outline="0">
        <right style="medium">
          <color auto="1"/>
        </right>
        <top style="medium">
          <color auto="1"/>
        </top>
        <bottom style="medium">
          <color auto="1"/>
        </bottom>
      </border>
    </dxf>
    <dxf>
      <border outline="0">
        <bottom style="medium">
          <color auto="1"/>
        </bottom>
      </border>
    </dxf>
    <dxf>
      <font>
        <b val="0"/>
        <i val="0"/>
        <strike val="0"/>
        <condense val="0"/>
        <extend val="0"/>
        <outline val="0"/>
        <shadow val="0"/>
        <u val="none"/>
        <vertAlign val="baseline"/>
        <sz val="16"/>
        <color theme="1"/>
        <name val="Arial"/>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numFmt numFmtId="1" formatCode="0"/>
      <alignment horizontal="center" vertical="bottom" textRotation="0" wrapText="0" indent="0" justifyLastLine="0" shrinkToFit="0" readingOrder="0"/>
      <border diagonalUp="0" diagonalDown="0">
        <left style="thin">
          <color auto="1"/>
        </left>
        <right/>
        <top/>
        <bottom/>
        <vertical/>
        <horizontal/>
      </border>
    </dxf>
    <dxf>
      <font>
        <b val="0"/>
        <i val="0"/>
        <strike val="0"/>
        <condense val="0"/>
        <extend val="0"/>
        <outline val="0"/>
        <shadow val="0"/>
        <u val="none"/>
        <vertAlign val="baseline"/>
        <sz val="16"/>
        <color theme="1"/>
        <name val="Arial"/>
        <scheme val="none"/>
      </font>
      <numFmt numFmtId="165" formatCode="0.0%"/>
      <alignment horizontal="center" vertical="bottom"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border diagonalUp="0" diagonalDown="0">
        <left/>
        <right/>
        <top/>
        <bottom style="thin">
          <color auto="1"/>
        </bottom>
        <vertical/>
        <horizontal/>
      </border>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border diagonalUp="0" diagonalDown="0">
        <left/>
        <right/>
        <top/>
        <bottom style="thin">
          <color auto="1"/>
        </bottom>
        <vertical/>
        <horizontal/>
      </border>
    </dxf>
    <dxf>
      <font>
        <b val="0"/>
        <i val="0"/>
        <strike val="0"/>
        <condense val="0"/>
        <extend val="0"/>
        <outline val="0"/>
        <shadow val="0"/>
        <u val="none"/>
        <vertAlign val="baseline"/>
        <sz val="16"/>
        <color theme="1"/>
        <name val="Arial"/>
        <scheme val="none"/>
      </font>
      <numFmt numFmtId="165" formatCode="0.0%"/>
      <alignment horizontal="center" vertical="bottom"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6"/>
        <color theme="1"/>
        <name val="Arial"/>
        <scheme val="none"/>
      </font>
      <numFmt numFmtId="164" formatCode="0.000"/>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border diagonalUp="0" diagonalDown="0">
        <left/>
        <right style="thin">
          <color auto="1"/>
        </right>
        <top/>
        <bottom/>
        <vertical/>
        <horizontal/>
      </border>
    </dxf>
    <dxf>
      <font>
        <b val="0"/>
        <i val="0"/>
        <strike val="0"/>
        <condense val="0"/>
        <extend val="0"/>
        <outline val="0"/>
        <shadow val="0"/>
        <u val="none"/>
        <vertAlign val="baseline"/>
        <sz val="16"/>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Arial"/>
        <scheme val="none"/>
      </font>
      <border diagonalUp="0" diagonalDown="0">
        <left style="medium">
          <color auto="1"/>
        </left>
        <right style="medium">
          <color auto="1"/>
        </right>
        <top/>
        <bottom style="thin">
          <color auto="1"/>
        </bottom>
        <vertical/>
        <horizontal/>
      </border>
    </dxf>
    <dxf>
      <border outline="0">
        <right style="medium">
          <color auto="1"/>
        </right>
        <top style="medium">
          <color auto="1"/>
        </top>
        <bottom style="medium">
          <color auto="1"/>
        </bottom>
      </border>
    </dxf>
    <dxf>
      <border outline="0">
        <bottom style="medium">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Comparison of non-renewable primary energy</a:t>
            </a:r>
          </a:p>
        </c:rich>
      </c:tx>
      <c:layout>
        <c:manualLayout>
          <c:xMode val="edge"/>
          <c:yMode val="edge"/>
          <c:x val="0.3459255439011083"/>
          <c:y val="2.682073778336393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1226096737907"/>
          <c:y val="8.5538003514023561E-2"/>
          <c:w val="0.8049463067116609"/>
          <c:h val="0.62405090634331861"/>
        </c:manualLayout>
      </c:layout>
      <c:barChart>
        <c:barDir val="col"/>
        <c:grouping val="stacked"/>
        <c:varyColors val="0"/>
        <c:ser>
          <c:idx val="0"/>
          <c:order val="0"/>
          <c:tx>
            <c:strRef>
              <c:f>'Gasoline and electric vehicles'!$O$5</c:f>
              <c:strCache>
                <c:ptCount val="1"/>
                <c:pt idx="0">
                  <c:v>Car manufacturing</c:v>
                </c:pt>
              </c:strCache>
            </c:strRef>
          </c:tx>
          <c:spPr>
            <a:solidFill>
              <a:schemeClr val="accent1"/>
            </a:solidFill>
            <a:ln>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vehicles'!$P$5:$T$5</c:f>
              <c:numCache>
                <c:formatCode>0.000</c:formatCode>
                <c:ptCount val="5"/>
                <c:pt idx="0">
                  <c:v>0.4799337107332749</c:v>
                </c:pt>
                <c:pt idx="1">
                  <c:v>0.42510436614157837</c:v>
                </c:pt>
                <c:pt idx="2">
                  <c:v>0.42510436614157837</c:v>
                </c:pt>
                <c:pt idx="3">
                  <c:v>0.42510436614157837</c:v>
                </c:pt>
                <c:pt idx="4">
                  <c:v>0.42510436614157837</c:v>
                </c:pt>
              </c:numCache>
            </c:numRef>
          </c:val>
          <c:extLst>
            <c:ext xmlns:c16="http://schemas.microsoft.com/office/drawing/2014/chart" uri="{C3380CC4-5D6E-409C-BE32-E72D297353CC}">
              <c16:uniqueId val="{00000000-E99F-4665-AB87-81CDB0B17A30}"/>
            </c:ext>
          </c:extLst>
        </c:ser>
        <c:ser>
          <c:idx val="1"/>
          <c:order val="1"/>
          <c:tx>
            <c:strRef>
              <c:f>'Gasoline and electric vehicles'!$O$6</c:f>
              <c:strCache>
                <c:ptCount val="1"/>
                <c:pt idx="0">
                  <c:v>Car transportation</c:v>
                </c:pt>
              </c:strCache>
            </c:strRef>
          </c:tx>
          <c:spPr>
            <a:solidFill>
              <a:schemeClr val="accent2"/>
            </a:solidFill>
            <a:ln>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vehicles'!$P$6:$T$6</c:f>
              <c:numCache>
                <c:formatCode>0.000</c:formatCode>
                <c:ptCount val="5"/>
                <c:pt idx="0">
                  <c:v>1.2538468824901691E-2</c:v>
                </c:pt>
                <c:pt idx="1">
                  <c:v>7.8668731386355838E-3</c:v>
                </c:pt>
                <c:pt idx="2">
                  <c:v>7.8668731386355838E-3</c:v>
                </c:pt>
                <c:pt idx="3">
                  <c:v>7.8668731386355838E-3</c:v>
                </c:pt>
                <c:pt idx="4">
                  <c:v>7.8668731386355838E-3</c:v>
                </c:pt>
              </c:numCache>
            </c:numRef>
          </c:val>
          <c:extLst>
            <c:ext xmlns:c16="http://schemas.microsoft.com/office/drawing/2014/chart" uri="{C3380CC4-5D6E-409C-BE32-E72D297353CC}">
              <c16:uniqueId val="{00000001-E99F-4665-AB87-81CDB0B17A30}"/>
            </c:ext>
          </c:extLst>
        </c:ser>
        <c:ser>
          <c:idx val="2"/>
          <c:order val="2"/>
          <c:tx>
            <c:strRef>
              <c:f>'Gasoline and electric vehicles'!$O$7</c:f>
              <c:strCache>
                <c:ptCount val="1"/>
                <c:pt idx="0">
                  <c:v>Car disposal</c:v>
                </c:pt>
              </c:strCache>
            </c:strRef>
          </c:tx>
          <c:spPr>
            <a:solidFill>
              <a:schemeClr val="accent3"/>
            </a:solidFill>
            <a:ln>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vehicles'!$P$7:$T$7</c:f>
              <c:numCache>
                <c:formatCode>0.0000</c:formatCode>
                <c:ptCount val="5"/>
                <c:pt idx="0">
                  <c:v>3.670611088506321E-3</c:v>
                </c:pt>
                <c:pt idx="1">
                  <c:v>6.4037260113115942E-3</c:v>
                </c:pt>
                <c:pt idx="2">
                  <c:v>6.4037260113115942E-3</c:v>
                </c:pt>
                <c:pt idx="3">
                  <c:v>6.4037260113115942E-3</c:v>
                </c:pt>
                <c:pt idx="4">
                  <c:v>6.4037260113115942E-3</c:v>
                </c:pt>
              </c:numCache>
            </c:numRef>
          </c:val>
          <c:extLst>
            <c:ext xmlns:c16="http://schemas.microsoft.com/office/drawing/2014/chart" uri="{C3380CC4-5D6E-409C-BE32-E72D297353CC}">
              <c16:uniqueId val="{00000002-E99F-4665-AB87-81CDB0B17A30}"/>
            </c:ext>
          </c:extLst>
        </c:ser>
        <c:ser>
          <c:idx val="5"/>
          <c:order val="3"/>
          <c:tx>
            <c:strRef>
              <c:f>'Gasoline and electric vehicles'!$O$8</c:f>
              <c:strCache>
                <c:ptCount val="1"/>
                <c:pt idx="0">
                  <c:v>Petrol gas </c:v>
                </c:pt>
              </c:strCache>
            </c:strRef>
          </c:tx>
          <c:spPr>
            <a:solidFill>
              <a:schemeClr val="accent6"/>
            </a:solidFill>
            <a:ln>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vehicles'!$P$8:$T$8</c:f>
              <c:numCache>
                <c:formatCode>0.000</c:formatCode>
                <c:ptCount val="5"/>
                <c:pt idx="0">
                  <c:v>3.3676643136561903</c:v>
                </c:pt>
              </c:numCache>
            </c:numRef>
          </c:val>
          <c:extLst>
            <c:ext xmlns:c16="http://schemas.microsoft.com/office/drawing/2014/chart" uri="{C3380CC4-5D6E-409C-BE32-E72D297353CC}">
              <c16:uniqueId val="{00000005-E99F-4665-AB87-81CDB0B17A30}"/>
            </c:ext>
          </c:extLst>
        </c:ser>
        <c:ser>
          <c:idx val="6"/>
          <c:order val="4"/>
          <c:tx>
            <c:strRef>
              <c:f>'Gasoline and electric vehicles'!$O$9</c:f>
              <c:strCache>
                <c:ptCount val="1"/>
                <c:pt idx="0">
                  <c:v>Electric charging - RER</c:v>
                </c:pt>
              </c:strCache>
            </c:strRef>
          </c:tx>
          <c:spPr>
            <a:solidFill>
              <a:schemeClr val="accent1">
                <a:lumMod val="60000"/>
              </a:schemeClr>
            </a:solidFill>
            <a:ln>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vehicles'!$P$9:$T$9</c:f>
              <c:numCache>
                <c:formatCode>0.00</c:formatCode>
                <c:ptCount val="5"/>
                <c:pt idx="1">
                  <c:v>2.3577678925736003</c:v>
                </c:pt>
              </c:numCache>
            </c:numRef>
          </c:val>
          <c:extLst>
            <c:ext xmlns:c16="http://schemas.microsoft.com/office/drawing/2014/chart" uri="{C3380CC4-5D6E-409C-BE32-E72D297353CC}">
              <c16:uniqueId val="{00000006-E99F-4665-AB87-81CDB0B17A30}"/>
            </c:ext>
          </c:extLst>
        </c:ser>
        <c:ser>
          <c:idx val="7"/>
          <c:order val="5"/>
          <c:tx>
            <c:strRef>
              <c:f>'Gasoline and electric vehicles'!$O$10</c:f>
              <c:strCache>
                <c:ptCount val="1"/>
                <c:pt idx="0">
                  <c:v>Electric charging - wind</c:v>
                </c:pt>
              </c:strCache>
            </c:strRef>
          </c:tx>
          <c:spPr>
            <a:solidFill>
              <a:schemeClr val="accent2">
                <a:lumMod val="60000"/>
              </a:schemeClr>
            </a:solidFill>
            <a:ln w="25400">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vehicles'!$P$10:$T$10</c:f>
              <c:numCache>
                <c:formatCode>0.00</c:formatCode>
                <c:ptCount val="5"/>
                <c:pt idx="2">
                  <c:v>5.07162009939E-2</c:v>
                </c:pt>
              </c:numCache>
            </c:numRef>
          </c:val>
          <c:extLst>
            <c:ext xmlns:c16="http://schemas.microsoft.com/office/drawing/2014/chart" uri="{C3380CC4-5D6E-409C-BE32-E72D297353CC}">
              <c16:uniqueId val="{00000007-E99F-4665-AB87-81CDB0B17A30}"/>
            </c:ext>
          </c:extLst>
        </c:ser>
        <c:ser>
          <c:idx val="3"/>
          <c:order val="6"/>
          <c:tx>
            <c:strRef>
              <c:f>'Gasoline and electric vehicles'!$O$11</c:f>
              <c:strCache>
                <c:ptCount val="1"/>
                <c:pt idx="0">
                  <c:v>Electric charging - photovoltaic</c:v>
                </c:pt>
              </c:strCache>
            </c:strRef>
          </c:tx>
          <c:spPr>
            <a:solidFill>
              <a:schemeClr val="accent4"/>
            </a:solidFill>
            <a:ln w="25400">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vehicles'!$P$11:$T$11</c:f>
              <c:numCache>
                <c:formatCode>0.00</c:formatCode>
                <c:ptCount val="5"/>
                <c:pt idx="3">
                  <c:v>0.26680557414420003</c:v>
                </c:pt>
              </c:numCache>
            </c:numRef>
          </c:val>
          <c:extLst>
            <c:ext xmlns:c16="http://schemas.microsoft.com/office/drawing/2014/chart" uri="{C3380CC4-5D6E-409C-BE32-E72D297353CC}">
              <c16:uniqueId val="{00000000-BF2F-46D5-91B2-6E9DC20E9263}"/>
            </c:ext>
          </c:extLst>
        </c:ser>
        <c:ser>
          <c:idx val="4"/>
          <c:order val="7"/>
          <c:tx>
            <c:strRef>
              <c:f>'Gasoline and electric vehicles'!$O$12</c:f>
              <c:strCache>
                <c:ptCount val="1"/>
                <c:pt idx="0">
                  <c:v>Electric charging - hard coal</c:v>
                </c:pt>
              </c:strCache>
            </c:strRef>
          </c:tx>
          <c:spPr>
            <a:solidFill>
              <a:schemeClr val="accent5"/>
            </a:solidFill>
            <a:ln>
              <a:noFill/>
            </a:ln>
            <a:effectLst/>
          </c:spPr>
          <c:invertIfNegative val="0"/>
          <c:cat>
            <c:strRef>
              <c:f>'Gasoline and electric vehicles'!$P$4:$T$4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vehicles'!$P$12:$T$12</c:f>
              <c:numCache>
                <c:formatCode>0.00</c:formatCode>
                <c:ptCount val="5"/>
                <c:pt idx="4">
                  <c:v>2.6881507061032002</c:v>
                </c:pt>
              </c:numCache>
            </c:numRef>
          </c:val>
          <c:extLst>
            <c:ext xmlns:c16="http://schemas.microsoft.com/office/drawing/2014/chart" uri="{C3380CC4-5D6E-409C-BE32-E72D297353CC}">
              <c16:uniqueId val="{00000000-2427-4B0B-B78C-E1CE8C9FDE5B}"/>
            </c:ext>
          </c:extLst>
        </c:ser>
        <c:dLbls>
          <c:showLegendKey val="0"/>
          <c:showVal val="0"/>
          <c:showCatName val="0"/>
          <c:showSerName val="0"/>
          <c:showPercent val="0"/>
          <c:showBubbleSize val="0"/>
        </c:dLbls>
        <c:gapWidth val="150"/>
        <c:overlap val="100"/>
        <c:axId val="1003427504"/>
        <c:axId val="1272768928"/>
      </c:barChart>
      <c:catAx>
        <c:axId val="100342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72768928"/>
        <c:crossesAt val="-5.000000000000001E-2"/>
        <c:auto val="1"/>
        <c:lblAlgn val="ctr"/>
        <c:lblOffset val="100"/>
        <c:noMultiLvlLbl val="0"/>
      </c:catAx>
      <c:valAx>
        <c:axId val="127276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primary energy [MJ/FU]</a:t>
                </a:r>
              </a:p>
            </c:rich>
          </c:tx>
          <c:layout>
            <c:manualLayout>
              <c:xMode val="edge"/>
              <c:yMode val="edge"/>
              <c:x val="2.903989501312336E-2"/>
              <c:y val="0.25130619003203114"/>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003427504"/>
        <c:crosses val="autoZero"/>
        <c:crossBetween val="between"/>
      </c:valAx>
      <c:spPr>
        <a:noFill/>
        <a:ln>
          <a:noFill/>
        </a:ln>
        <a:effectLst/>
      </c:spPr>
    </c:plotArea>
    <c:legend>
      <c:legendPos val="b"/>
      <c:layout>
        <c:manualLayout>
          <c:xMode val="edge"/>
          <c:yMode val="edge"/>
          <c:x val="0.15841065300416785"/>
          <c:y val="0.81904920335662268"/>
          <c:w val="0.75075511497941483"/>
          <c:h val="0.15725840901342733"/>
        </c:manualLayout>
      </c:layout>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Comparison of fossil CO2</a:t>
            </a:r>
          </a:p>
        </c:rich>
      </c:tx>
      <c:layout>
        <c:manualLayout>
          <c:xMode val="edge"/>
          <c:yMode val="edge"/>
          <c:x val="0.3994698717728693"/>
          <c:y val="3.22968995485046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602071176274534"/>
          <c:y val="9.1387917297558213E-2"/>
          <c:w val="0.77970455119221105"/>
          <c:h val="0.61863963424651325"/>
        </c:manualLayout>
      </c:layout>
      <c:barChart>
        <c:barDir val="col"/>
        <c:grouping val="stacked"/>
        <c:varyColors val="0"/>
        <c:ser>
          <c:idx val="0"/>
          <c:order val="0"/>
          <c:tx>
            <c:strRef>
              <c:f>'Gasoline and electric vehicles'!$V$5</c:f>
              <c:strCache>
                <c:ptCount val="1"/>
                <c:pt idx="0">
                  <c:v>Car manufacturing</c:v>
                </c:pt>
              </c:strCache>
            </c:strRef>
          </c:tx>
          <c:spPr>
            <a:solidFill>
              <a:schemeClr val="accent1"/>
            </a:solidFill>
            <a:ln>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vehicles'!$W$5:$AA$5</c:f>
              <c:numCache>
                <c:formatCode>0.00E+00</c:formatCode>
                <c:ptCount val="5"/>
                <c:pt idx="0">
                  <c:v>2.8882903351271666E-2</c:v>
                </c:pt>
                <c:pt idx="1">
                  <c:v>2.4551481568462222E-2</c:v>
                </c:pt>
                <c:pt idx="2">
                  <c:v>2.4551481568462222E-2</c:v>
                </c:pt>
                <c:pt idx="3">
                  <c:v>2.4551481568462222E-2</c:v>
                </c:pt>
                <c:pt idx="4">
                  <c:v>2.4551481568462222E-2</c:v>
                </c:pt>
              </c:numCache>
            </c:numRef>
          </c:val>
          <c:extLst>
            <c:ext xmlns:c16="http://schemas.microsoft.com/office/drawing/2014/chart" uri="{C3380CC4-5D6E-409C-BE32-E72D297353CC}">
              <c16:uniqueId val="{00000000-E99F-4665-AB87-81CDB0B17A30}"/>
            </c:ext>
          </c:extLst>
        </c:ser>
        <c:ser>
          <c:idx val="1"/>
          <c:order val="1"/>
          <c:tx>
            <c:strRef>
              <c:f>'Gasoline and electric vehicles'!$V$6</c:f>
              <c:strCache>
                <c:ptCount val="1"/>
                <c:pt idx="0">
                  <c:v>Car transportation</c:v>
                </c:pt>
              </c:strCache>
            </c:strRef>
          </c:tx>
          <c:spPr>
            <a:solidFill>
              <a:schemeClr val="accent2"/>
            </a:solidFill>
            <a:ln>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vehicles'!$W$6:$AA$6</c:f>
              <c:numCache>
                <c:formatCode>0.00E+00</c:formatCode>
                <c:ptCount val="5"/>
                <c:pt idx="0">
                  <c:v>8.5105607962060003E-4</c:v>
                </c:pt>
                <c:pt idx="1">
                  <c:v>5.3235739984840006E-4</c:v>
                </c:pt>
                <c:pt idx="2">
                  <c:v>5.3235739984840006E-4</c:v>
                </c:pt>
                <c:pt idx="3">
                  <c:v>5.3235739984840006E-4</c:v>
                </c:pt>
                <c:pt idx="4">
                  <c:v>5.3235739984840006E-4</c:v>
                </c:pt>
              </c:numCache>
            </c:numRef>
          </c:val>
          <c:extLst>
            <c:ext xmlns:c16="http://schemas.microsoft.com/office/drawing/2014/chart" uri="{C3380CC4-5D6E-409C-BE32-E72D297353CC}">
              <c16:uniqueId val="{00000001-E99F-4665-AB87-81CDB0B17A30}"/>
            </c:ext>
          </c:extLst>
        </c:ser>
        <c:ser>
          <c:idx val="2"/>
          <c:order val="2"/>
          <c:tx>
            <c:strRef>
              <c:f>'Gasoline and electric vehicles'!$V$7</c:f>
              <c:strCache>
                <c:ptCount val="1"/>
                <c:pt idx="0">
                  <c:v>Car disposal</c:v>
                </c:pt>
              </c:strCache>
            </c:strRef>
          </c:tx>
          <c:spPr>
            <a:solidFill>
              <a:schemeClr val="accent3"/>
            </a:solidFill>
            <a:ln>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vehicles'!$W$7:$AA$7</c:f>
              <c:numCache>
                <c:formatCode>0.00E+00</c:formatCode>
                <c:ptCount val="5"/>
                <c:pt idx="0">
                  <c:v>1.3704848761820999E-3</c:v>
                </c:pt>
                <c:pt idx="1">
                  <c:v>5.4632507604044441E-4</c:v>
                </c:pt>
                <c:pt idx="2">
                  <c:v>5.4632507604044441E-4</c:v>
                </c:pt>
                <c:pt idx="3">
                  <c:v>5.4632507604044441E-4</c:v>
                </c:pt>
                <c:pt idx="4">
                  <c:v>5.4632507604044441E-4</c:v>
                </c:pt>
              </c:numCache>
            </c:numRef>
          </c:val>
          <c:extLst>
            <c:ext xmlns:c16="http://schemas.microsoft.com/office/drawing/2014/chart" uri="{C3380CC4-5D6E-409C-BE32-E72D297353CC}">
              <c16:uniqueId val="{00000002-E99F-4665-AB87-81CDB0B17A30}"/>
            </c:ext>
          </c:extLst>
        </c:ser>
        <c:ser>
          <c:idx val="5"/>
          <c:order val="3"/>
          <c:tx>
            <c:strRef>
              <c:f>'Gasoline and electric vehicles'!$V$8</c:f>
              <c:strCache>
                <c:ptCount val="1"/>
                <c:pt idx="0">
                  <c:v>Petrol gas </c:v>
                </c:pt>
              </c:strCache>
            </c:strRef>
          </c:tx>
          <c:spPr>
            <a:solidFill>
              <a:schemeClr val="accent6"/>
            </a:solidFill>
            <a:ln>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vehicles'!$W$8:$AA$8</c:f>
              <c:numCache>
                <c:formatCode>0.00000</c:formatCode>
                <c:ptCount val="5"/>
                <c:pt idx="0" formatCode="0.000">
                  <c:v>0.22884764399999999</c:v>
                </c:pt>
              </c:numCache>
            </c:numRef>
          </c:val>
          <c:extLst>
            <c:ext xmlns:c16="http://schemas.microsoft.com/office/drawing/2014/chart" uri="{C3380CC4-5D6E-409C-BE32-E72D297353CC}">
              <c16:uniqueId val="{00000005-E99F-4665-AB87-81CDB0B17A30}"/>
            </c:ext>
          </c:extLst>
        </c:ser>
        <c:ser>
          <c:idx val="6"/>
          <c:order val="4"/>
          <c:tx>
            <c:strRef>
              <c:f>'Gasoline and electric vehicles'!$V$9</c:f>
              <c:strCache>
                <c:ptCount val="1"/>
                <c:pt idx="0">
                  <c:v>Electric charging - RER</c:v>
                </c:pt>
              </c:strCache>
            </c:strRef>
          </c:tx>
          <c:spPr>
            <a:solidFill>
              <a:schemeClr val="accent1">
                <a:lumMod val="60000"/>
              </a:schemeClr>
            </a:solidFill>
            <a:ln>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vehicles'!$W$9:$AA$9</c:f>
              <c:numCache>
                <c:formatCode>0.000</c:formatCode>
                <c:ptCount val="5"/>
                <c:pt idx="1">
                  <c:v>0.10403524560000001</c:v>
                </c:pt>
              </c:numCache>
            </c:numRef>
          </c:val>
          <c:extLst>
            <c:ext xmlns:c16="http://schemas.microsoft.com/office/drawing/2014/chart" uri="{C3380CC4-5D6E-409C-BE32-E72D297353CC}">
              <c16:uniqueId val="{00000006-E99F-4665-AB87-81CDB0B17A30}"/>
            </c:ext>
          </c:extLst>
        </c:ser>
        <c:ser>
          <c:idx val="3"/>
          <c:order val="6"/>
          <c:tx>
            <c:strRef>
              <c:f>'Gasoline and electric vehicles'!$V$11</c:f>
              <c:strCache>
                <c:ptCount val="1"/>
                <c:pt idx="0">
                  <c:v>Electric charging - photovoltaic</c:v>
                </c:pt>
              </c:strCache>
            </c:strRef>
          </c:tx>
          <c:spPr>
            <a:solidFill>
              <a:schemeClr val="accent4"/>
            </a:solidFill>
            <a:ln w="25400">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vehicles'!$W$11:$AA$11</c:f>
              <c:numCache>
                <c:formatCode>0.000</c:formatCode>
                <c:ptCount val="5"/>
                <c:pt idx="3">
                  <c:v>1.777043788E-2</c:v>
                </c:pt>
              </c:numCache>
            </c:numRef>
          </c:val>
          <c:extLst>
            <c:ext xmlns:c16="http://schemas.microsoft.com/office/drawing/2014/chart" uri="{C3380CC4-5D6E-409C-BE32-E72D297353CC}">
              <c16:uniqueId val="{00000000-FCBA-47DC-8880-7D3C9DD5C64C}"/>
            </c:ext>
          </c:extLst>
        </c:ser>
        <c:ser>
          <c:idx val="7"/>
          <c:order val="5"/>
          <c:tx>
            <c:strRef>
              <c:f>'Gasoline and electric vehicles'!$V$10</c:f>
              <c:strCache>
                <c:ptCount val="1"/>
                <c:pt idx="0">
                  <c:v>Electric charging - wind</c:v>
                </c:pt>
              </c:strCache>
            </c:strRef>
          </c:tx>
          <c:spPr>
            <a:solidFill>
              <a:schemeClr val="accent2">
                <a:lumMod val="60000"/>
              </a:schemeClr>
            </a:solidFill>
            <a:ln w="25400">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vehicles'!$W$10:$AA$10</c:f>
              <c:numCache>
                <c:formatCode>0.000</c:formatCode>
                <c:ptCount val="5"/>
                <c:pt idx="2" formatCode="0.0000">
                  <c:v>3.3340684000000005E-3</c:v>
                </c:pt>
              </c:numCache>
            </c:numRef>
          </c:val>
          <c:extLst>
            <c:ext xmlns:c16="http://schemas.microsoft.com/office/drawing/2014/chart" uri="{C3380CC4-5D6E-409C-BE32-E72D297353CC}">
              <c16:uniqueId val="{00000007-E99F-4665-AB87-81CDB0B17A30}"/>
            </c:ext>
          </c:extLst>
        </c:ser>
        <c:ser>
          <c:idx val="4"/>
          <c:order val="7"/>
          <c:tx>
            <c:strRef>
              <c:f>'Gasoline and electric vehicles'!$V$12</c:f>
              <c:strCache>
                <c:ptCount val="1"/>
                <c:pt idx="0">
                  <c:v>Electric charging - hard coal</c:v>
                </c:pt>
              </c:strCache>
            </c:strRef>
          </c:tx>
          <c:spPr>
            <a:solidFill>
              <a:schemeClr val="accent5"/>
            </a:solidFill>
            <a:ln>
              <a:noFill/>
            </a:ln>
            <a:effectLst/>
          </c:spPr>
          <c:invertIfNegative val="0"/>
          <c:cat>
            <c:strRef>
              <c:f>'Gasoline and electric vehicles'!$W$4:$AA$4</c:f>
              <c:strCache>
                <c:ptCount val="5"/>
                <c:pt idx="0">
                  <c:v>Gas Vehicle</c:v>
                </c:pt>
                <c:pt idx="1">
                  <c:v>Electric Vehicle</c:v>
                </c:pt>
                <c:pt idx="2">
                  <c:v>Electric Vehicle - Wind</c:v>
                </c:pt>
                <c:pt idx="3">
                  <c:v>Electric Vehicle - Photovoltaic</c:v>
                </c:pt>
                <c:pt idx="4">
                  <c:v>Electric Vehicle - 
hard coal</c:v>
                </c:pt>
              </c:strCache>
            </c:strRef>
          </c:cat>
          <c:val>
            <c:numRef>
              <c:f>'Gasoline and electric vehicles'!$W$12:$AA$12</c:f>
              <c:numCache>
                <c:formatCode>0.000</c:formatCode>
                <c:ptCount val="5"/>
                <c:pt idx="4">
                  <c:v>0.25785832800000003</c:v>
                </c:pt>
              </c:numCache>
            </c:numRef>
          </c:val>
          <c:extLst xmlns:c15="http://schemas.microsoft.com/office/drawing/2012/chart">
            <c:ext xmlns:c16="http://schemas.microsoft.com/office/drawing/2014/chart" uri="{C3380CC4-5D6E-409C-BE32-E72D297353CC}">
              <c16:uniqueId val="{00000001-FCBA-47DC-8880-7D3C9DD5C64C}"/>
            </c:ext>
          </c:extLst>
        </c:ser>
        <c:dLbls>
          <c:showLegendKey val="0"/>
          <c:showVal val="0"/>
          <c:showCatName val="0"/>
          <c:showSerName val="0"/>
          <c:showPercent val="0"/>
          <c:showBubbleSize val="0"/>
        </c:dLbls>
        <c:gapWidth val="150"/>
        <c:overlap val="100"/>
        <c:axId val="1272768384"/>
        <c:axId val="1272761856"/>
        <c:extLst/>
      </c:barChart>
      <c:catAx>
        <c:axId val="127276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72761856"/>
        <c:crossesAt val="-5.000000000000001E-2"/>
        <c:auto val="1"/>
        <c:lblAlgn val="ctr"/>
        <c:lblOffset val="100"/>
        <c:noMultiLvlLbl val="0"/>
      </c:catAx>
      <c:valAx>
        <c:axId val="127276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Fossi CO2[kg</a:t>
                </a:r>
                <a:r>
                  <a:rPr lang="en-US" sz="2400" baseline="-25000"/>
                  <a:t>CO2</a:t>
                </a:r>
                <a:r>
                  <a:rPr lang="en-US" sz="2400"/>
                  <a:t>/FU]</a:t>
                </a:r>
              </a:p>
            </c:rich>
          </c:tx>
          <c:layout>
            <c:manualLayout>
              <c:xMode val="edge"/>
              <c:yMode val="edge"/>
              <c:x val="3.3485796791450716E-2"/>
              <c:y val="0.22604594907872463"/>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272768384"/>
        <c:crosses val="autoZero"/>
        <c:crossBetween val="between"/>
      </c:valAx>
      <c:spPr>
        <a:noFill/>
        <a:ln>
          <a:noFill/>
        </a:ln>
        <a:effectLst/>
      </c:spPr>
    </c:plotArea>
    <c:legend>
      <c:legendPos val="b"/>
      <c:layout>
        <c:manualLayout>
          <c:xMode val="edge"/>
          <c:yMode val="edge"/>
          <c:x val="8.1040438386661653E-2"/>
          <c:y val="0.81023175949948456"/>
          <c:w val="0.84653634542946776"/>
          <c:h val="0.15345035152759251"/>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Global Warming</a:t>
            </a:r>
            <a:r>
              <a:rPr lang="en-US" baseline="0"/>
              <a:t> score kgCO2equ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328673973390214"/>
          <c:y val="0.13793833666559704"/>
          <c:w val="0.69516983218493889"/>
          <c:h val="0.52304079763048894"/>
        </c:manualLayout>
      </c:layout>
      <c:barChart>
        <c:barDir val="col"/>
        <c:grouping val="stacked"/>
        <c:varyColors val="0"/>
        <c:ser>
          <c:idx val="0"/>
          <c:order val="0"/>
          <c:tx>
            <c:strRef>
              <c:f>'Gasoline and electric vehicles'!$AC$5</c:f>
              <c:strCache>
                <c:ptCount val="1"/>
                <c:pt idx="0">
                  <c:v>Car manufacturing</c:v>
                </c:pt>
              </c:strCache>
            </c:strRef>
          </c:tx>
          <c:spPr>
            <a:solidFill>
              <a:schemeClr val="accent1"/>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vehicles'!$AD$5:$AL$5</c15:sqref>
                  </c15:fullRef>
                </c:ext>
              </c:extLst>
              <c:f>('Gasoline and electric vehicles'!$AD$5,'Gasoline and electric vehicles'!$AF$5,'Gasoline and electric vehicles'!$AH$5,'Gasoline and electric vehicles'!$AJ$5,'Gasoline and electric vehicles'!$AL$5)</c:f>
              <c:numCache>
                <c:formatCode>0.00E+00</c:formatCode>
                <c:ptCount val="5"/>
                <c:pt idx="0">
                  <c:v>3.2715835106938825E-2</c:v>
                </c:pt>
                <c:pt idx="1">
                  <c:v>2.813817619115111E-2</c:v>
                </c:pt>
                <c:pt idx="2">
                  <c:v>2.813817619115111E-2</c:v>
                </c:pt>
                <c:pt idx="3">
                  <c:v>2.813817619115111E-2</c:v>
                </c:pt>
                <c:pt idx="4">
                  <c:v>2.813817619115111E-2</c:v>
                </c:pt>
              </c:numCache>
            </c:numRef>
          </c:val>
          <c:extLst>
            <c:ext xmlns:c16="http://schemas.microsoft.com/office/drawing/2014/chart" uri="{C3380CC4-5D6E-409C-BE32-E72D297353CC}">
              <c16:uniqueId val="{00000000-C2B8-45B8-A831-F3402C69166D}"/>
            </c:ext>
          </c:extLst>
        </c:ser>
        <c:ser>
          <c:idx val="1"/>
          <c:order val="1"/>
          <c:tx>
            <c:strRef>
              <c:f>'Gasoline and electric vehicles'!$AC$6</c:f>
              <c:strCache>
                <c:ptCount val="1"/>
                <c:pt idx="0">
                  <c:v>Car transportation</c:v>
                </c:pt>
              </c:strCache>
            </c:strRef>
          </c:tx>
          <c:spPr>
            <a:solidFill>
              <a:schemeClr val="accent2"/>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vehicles'!$AD$6:$AL$6</c15:sqref>
                  </c15:fullRef>
                </c:ext>
              </c:extLst>
              <c:f>('Gasoline and electric vehicles'!$AD$6,'Gasoline and electric vehicles'!$AF$6,'Gasoline and electric vehicles'!$AH$6,'Gasoline and electric vehicles'!$AJ$6,'Gasoline and electric vehicles'!$AL$6)</c:f>
              <c:numCache>
                <c:formatCode>0.00E+00</c:formatCode>
                <c:ptCount val="5"/>
                <c:pt idx="0">
                  <c:v>8.8597412222393332E-4</c:v>
                </c:pt>
                <c:pt idx="1">
                  <c:v>5.5445068255640002E-4</c:v>
                </c:pt>
                <c:pt idx="2">
                  <c:v>5.5445068255640002E-4</c:v>
                </c:pt>
                <c:pt idx="3">
                  <c:v>5.5445068255640002E-4</c:v>
                </c:pt>
                <c:pt idx="4">
                  <c:v>5.5445068255640002E-4</c:v>
                </c:pt>
              </c:numCache>
            </c:numRef>
          </c:val>
          <c:extLst>
            <c:ext xmlns:c16="http://schemas.microsoft.com/office/drawing/2014/chart" uri="{C3380CC4-5D6E-409C-BE32-E72D297353CC}">
              <c16:uniqueId val="{00000001-C2B8-45B8-A831-F3402C69166D}"/>
            </c:ext>
          </c:extLst>
        </c:ser>
        <c:ser>
          <c:idx val="2"/>
          <c:order val="2"/>
          <c:tx>
            <c:strRef>
              <c:f>'Gasoline and electric vehicles'!$AC$7</c:f>
              <c:strCache>
                <c:ptCount val="1"/>
                <c:pt idx="0">
                  <c:v>Car disposal</c:v>
                </c:pt>
              </c:strCache>
            </c:strRef>
          </c:tx>
          <c:spPr>
            <a:solidFill>
              <a:schemeClr val="accent3"/>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vehicles'!$AD$7:$AL$7</c15:sqref>
                  </c15:fullRef>
                </c:ext>
              </c:extLst>
              <c:f>('Gasoline and electric vehicles'!$AD$7,'Gasoline and electric vehicles'!$AF$7,'Gasoline and electric vehicles'!$AH$7,'Gasoline and electric vehicles'!$AJ$7,'Gasoline and electric vehicles'!$AL$7)</c:f>
              <c:numCache>
                <c:formatCode>0.00E+00</c:formatCode>
                <c:ptCount val="5"/>
                <c:pt idx="0">
                  <c:v>1.4025446354822002E-3</c:v>
                </c:pt>
                <c:pt idx="1">
                  <c:v>7.930798874666667E-4</c:v>
                </c:pt>
                <c:pt idx="2">
                  <c:v>7.930798874666667E-4</c:v>
                </c:pt>
                <c:pt idx="3">
                  <c:v>7.930798874666667E-4</c:v>
                </c:pt>
                <c:pt idx="4">
                  <c:v>7.930798874666667E-4</c:v>
                </c:pt>
              </c:numCache>
            </c:numRef>
          </c:val>
          <c:extLst>
            <c:ext xmlns:c16="http://schemas.microsoft.com/office/drawing/2014/chart" uri="{C3380CC4-5D6E-409C-BE32-E72D297353CC}">
              <c16:uniqueId val="{00000002-C2B8-45B8-A831-F3402C69166D}"/>
            </c:ext>
          </c:extLst>
        </c:ser>
        <c:ser>
          <c:idx val="5"/>
          <c:order val="3"/>
          <c:tx>
            <c:strRef>
              <c:f>'Gasoline and electric vehicles'!$AC$8</c:f>
              <c:strCache>
                <c:ptCount val="1"/>
                <c:pt idx="0">
                  <c:v>Petrol gas </c:v>
                </c:pt>
              </c:strCache>
            </c:strRef>
          </c:tx>
          <c:spPr>
            <a:solidFill>
              <a:schemeClr val="accent6"/>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vehicles'!$AD$8:$AL$8</c15:sqref>
                  </c15:fullRef>
                </c:ext>
              </c:extLst>
              <c:f>('Gasoline and electric vehicles'!$AD$8,'Gasoline and electric vehicles'!$AF$8,'Gasoline and electric vehicles'!$AH$8,'Gasoline and electric vehicles'!$AJ$8,'Gasoline and electric vehicles'!$AL$8)</c:f>
              <c:numCache>
                <c:formatCode>0.000</c:formatCode>
                <c:ptCount val="5"/>
                <c:pt idx="0">
                  <c:v>0.23210109519047617</c:v>
                </c:pt>
              </c:numCache>
            </c:numRef>
          </c:val>
          <c:extLst>
            <c:ext xmlns:c16="http://schemas.microsoft.com/office/drawing/2014/chart" uri="{C3380CC4-5D6E-409C-BE32-E72D297353CC}">
              <c16:uniqueId val="{00000003-C2B8-45B8-A831-F3402C69166D}"/>
            </c:ext>
          </c:extLst>
        </c:ser>
        <c:ser>
          <c:idx val="6"/>
          <c:order val="4"/>
          <c:tx>
            <c:strRef>
              <c:f>'Gasoline and electric vehicles'!$AC$9</c:f>
              <c:strCache>
                <c:ptCount val="1"/>
                <c:pt idx="0">
                  <c:v>Electric charging - RER</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vehicles'!$AD$9:$AL$9</c15:sqref>
                  </c15:fullRef>
                </c:ext>
              </c:extLst>
              <c:f>('Gasoline and electric vehicles'!$AD$9,'Gasoline and electric vehicles'!$AF$9,'Gasoline and electric vehicles'!$AH$9,'Gasoline and electric vehicles'!$AJ$9,'Gasoline and electric vehicles'!$AL$9)</c:f>
              <c:numCache>
                <c:formatCode>General</c:formatCode>
                <c:ptCount val="5"/>
                <c:pt idx="1" formatCode="0.000">
                  <c:v>0.11140719460000001</c:v>
                </c:pt>
              </c:numCache>
            </c:numRef>
          </c:val>
          <c:extLst>
            <c:ext xmlns:c16="http://schemas.microsoft.com/office/drawing/2014/chart" uri="{C3380CC4-5D6E-409C-BE32-E72D297353CC}">
              <c16:uniqueId val="{00000004-C2B8-45B8-A831-F3402C69166D}"/>
            </c:ext>
          </c:extLst>
        </c:ser>
        <c:ser>
          <c:idx val="3"/>
          <c:order val="6"/>
          <c:tx>
            <c:strRef>
              <c:f>'Gasoline and electric vehicles'!$AC$11</c:f>
              <c:strCache>
                <c:ptCount val="1"/>
                <c:pt idx="0">
                  <c:v>Electric charging - photovoltaic</c:v>
                </c:pt>
              </c:strCache>
            </c:strRef>
          </c:tx>
          <c:spPr>
            <a:solidFill>
              <a:schemeClr val="accent4"/>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vehicles'!$AD$11:$AL$11</c15:sqref>
                  </c15:fullRef>
                </c:ext>
              </c:extLst>
              <c:f>('Gasoline and electric vehicles'!$AD$11,'Gasoline and electric vehicles'!$AF$11,'Gasoline and electric vehicles'!$AH$11,'Gasoline and electric vehicles'!$AJ$11,'Gasoline and electric vehicles'!$AL$11)</c:f>
              <c:numCache>
                <c:formatCode>General</c:formatCode>
                <c:ptCount val="5"/>
                <c:pt idx="3" formatCode="0.000">
                  <c:v>2.0308718819999998E-2</c:v>
                </c:pt>
              </c:numCache>
            </c:numRef>
          </c:val>
          <c:extLst>
            <c:ext xmlns:c16="http://schemas.microsoft.com/office/drawing/2014/chart" uri="{C3380CC4-5D6E-409C-BE32-E72D297353CC}">
              <c16:uniqueId val="{00000005-C2B8-45B8-A831-F3402C69166D}"/>
            </c:ext>
          </c:extLst>
        </c:ser>
        <c:ser>
          <c:idx val="7"/>
          <c:order val="5"/>
          <c:tx>
            <c:strRef>
              <c:f>'Gasoline and electric vehicles'!$AC$10</c:f>
              <c:strCache>
                <c:ptCount val="1"/>
                <c:pt idx="0">
                  <c:v>Electric charging - wind</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vehicles'!$AD$10:$AL$10</c15:sqref>
                  </c15:fullRef>
                </c:ext>
              </c:extLst>
              <c:f>('Gasoline and electric vehicles'!$AD$10,'Gasoline and electric vehicles'!$AF$10,'Gasoline and electric vehicles'!$AH$10,'Gasoline and electric vehicles'!$AJ$10,'Gasoline and electric vehicles'!$AL$10)</c:f>
              <c:numCache>
                <c:formatCode>General</c:formatCode>
                <c:ptCount val="5"/>
                <c:pt idx="2" formatCode="0.0000">
                  <c:v>3.7652069E-3</c:v>
                </c:pt>
              </c:numCache>
            </c:numRef>
          </c:val>
          <c:extLst>
            <c:ext xmlns:c16="http://schemas.microsoft.com/office/drawing/2014/chart" uri="{C3380CC4-5D6E-409C-BE32-E72D297353CC}">
              <c16:uniqueId val="{00000006-C2B8-45B8-A831-F3402C69166D}"/>
            </c:ext>
          </c:extLst>
        </c:ser>
        <c:ser>
          <c:idx val="4"/>
          <c:order val="7"/>
          <c:tx>
            <c:strRef>
              <c:f>'Gasoline and electric vehicles'!$AC$12</c:f>
              <c:strCache>
                <c:ptCount val="1"/>
                <c:pt idx="0">
                  <c:v>Electric charging - hard coal</c:v>
                </c:pt>
              </c:strCache>
            </c:strRef>
          </c:tx>
          <c:spPr>
            <a:solidFill>
              <a:schemeClr val="accent5"/>
            </a:solidFill>
            <a:ln>
              <a:noFill/>
            </a:ln>
            <a:effectLst/>
          </c:spPr>
          <c:invertIfNegative val="0"/>
          <c:cat>
            <c:strRef>
              <c:extLst>
                <c:ext xmlns:c15="http://schemas.microsoft.com/office/drawing/2012/chart" uri="{02D57815-91ED-43cb-92C2-25804820EDAC}">
                  <c15:fullRef>
                    <c15:sqref>'Gasoline and electric vehicles'!$AD$4:$AL$4</c15:sqref>
                  </c15:fullRef>
                </c:ext>
              </c:extLst>
              <c:f>('Gasoline and electric vehicles'!$AD$4,'Gasoline and electric vehicles'!$AF$4,'Gasoline and electric vehicles'!$AH$4,'Gasoline and electric vehicles'!$AJ$4,'Gasoline and electric vehicles'!$AL$4)</c:f>
              <c:strCache>
                <c:ptCount val="5"/>
                <c:pt idx="0">
                  <c:v>Gas Vehicle</c:v>
                </c:pt>
                <c:pt idx="1">
                  <c:v>Electric Vehicle - EU mix</c:v>
                </c:pt>
                <c:pt idx="2">
                  <c:v>Electric Vehicle - Wind</c:v>
                </c:pt>
                <c:pt idx="3">
                  <c:v>Electric Vehicle - Photovoltaic</c:v>
                </c:pt>
                <c:pt idx="4">
                  <c:v>Electric Vehicle - 
hard coal</c:v>
                </c:pt>
              </c:strCache>
            </c:strRef>
          </c:cat>
          <c:val>
            <c:numRef>
              <c:extLst>
                <c:ext xmlns:c15="http://schemas.microsoft.com/office/drawing/2012/chart" uri="{02D57815-91ED-43cb-92C2-25804820EDAC}">
                  <c15:fullRef>
                    <c15:sqref>'Gasoline and electric vehicles'!$AD$12:$AL$12</c15:sqref>
                  </c15:fullRef>
                </c:ext>
              </c:extLst>
              <c:f>('Gasoline and electric vehicles'!$AD$12,'Gasoline and electric vehicles'!$AF$12,'Gasoline and electric vehicles'!$AH$12,'Gasoline and electric vehicles'!$AJ$12,'Gasoline and electric vehicles'!$AL$12)</c:f>
              <c:numCache>
                <c:formatCode>General</c:formatCode>
                <c:ptCount val="5"/>
                <c:pt idx="4" formatCode="0.000">
                  <c:v>0.26233565799999997</c:v>
                </c:pt>
              </c:numCache>
            </c:numRef>
          </c:val>
          <c:extLst xmlns:c15="http://schemas.microsoft.com/office/drawing/2012/chart">
            <c:ext xmlns:c16="http://schemas.microsoft.com/office/drawing/2014/chart" uri="{C3380CC4-5D6E-409C-BE32-E72D297353CC}">
              <c16:uniqueId val="{00000007-C2B8-45B8-A831-F3402C69166D}"/>
            </c:ext>
          </c:extLst>
        </c:ser>
        <c:dLbls>
          <c:showLegendKey val="0"/>
          <c:showVal val="0"/>
          <c:showCatName val="0"/>
          <c:showSerName val="0"/>
          <c:showPercent val="0"/>
          <c:showBubbleSize val="0"/>
        </c:dLbls>
        <c:gapWidth val="150"/>
        <c:overlap val="100"/>
        <c:axId val="1272758048"/>
        <c:axId val="1272771648"/>
        <c:extLst/>
      </c:barChart>
      <c:catAx>
        <c:axId val="127275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72771648"/>
        <c:crossesAt val="-5.000000000000001E-2"/>
        <c:auto val="1"/>
        <c:lblAlgn val="ctr"/>
        <c:lblOffset val="100"/>
        <c:noMultiLvlLbl val="0"/>
      </c:catAx>
      <c:valAx>
        <c:axId val="127277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GW score [kg</a:t>
                </a:r>
                <a:r>
                  <a:rPr lang="en-US" sz="2400" baseline="-25000"/>
                  <a:t>CO2equ</a:t>
                </a:r>
                <a:r>
                  <a:rPr lang="en-US" sz="2400"/>
                  <a:t>/FU]</a:t>
                </a:r>
              </a:p>
            </c:rich>
          </c:tx>
          <c:layout>
            <c:manualLayout>
              <c:xMode val="edge"/>
              <c:yMode val="edge"/>
              <c:x val="6.0985032850096509E-2"/>
              <c:y val="0.2273378248101153"/>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272758048"/>
        <c:crosses val="autoZero"/>
        <c:crossBetween val="between"/>
      </c:valAx>
      <c:spPr>
        <a:noFill/>
        <a:ln>
          <a:noFill/>
        </a:ln>
        <a:effectLst/>
      </c:spPr>
    </c:plotArea>
    <c:legend>
      <c:legendPos val="b"/>
      <c:layout>
        <c:manualLayout>
          <c:xMode val="edge"/>
          <c:yMode val="edge"/>
          <c:x val="8.1040438386661653E-2"/>
          <c:y val="0.75080550110631161"/>
          <c:w val="0.84653634542946776"/>
          <c:h val="0.21287665742943351"/>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Cumulative global warming score over vehicle lifetime</a:t>
            </a:r>
          </a:p>
        </c:rich>
      </c:tx>
      <c:layout>
        <c:manualLayout>
          <c:xMode val="edge"/>
          <c:yMode val="edge"/>
          <c:x val="0.34256317712965184"/>
          <c:y val="1.9223375624759707E-2"/>
        </c:manualLayout>
      </c:layout>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'Gasoline and electric vehicles'!$AP$4</c:f>
              <c:strCache>
                <c:ptCount val="1"/>
                <c:pt idx="0">
                  <c:v>Gas Vehicle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vehicles'!$AP$5:$AP$45</c:f>
              <c:numCache>
                <c:formatCode>0.00E+00</c:formatCode>
                <c:ptCount val="41"/>
                <c:pt idx="0" formatCode="General">
                  <c:v>5040.2713843744132</c:v>
                </c:pt>
                <c:pt idx="1">
                  <c:v>5272.3724795648895</c:v>
                </c:pt>
                <c:pt idx="2">
                  <c:v>5504.4735747553659</c:v>
                </c:pt>
                <c:pt idx="3">
                  <c:v>5736.5746699458414</c:v>
                </c:pt>
                <c:pt idx="4">
                  <c:v>6200.7768603267941</c:v>
                </c:pt>
                <c:pt idx="5">
                  <c:v>6664.9790507077469</c:v>
                </c:pt>
                <c:pt idx="6">
                  <c:v>7361.2823362791751</c:v>
                </c:pt>
                <c:pt idx="7">
                  <c:v>9682.293288183937</c:v>
                </c:pt>
                <c:pt idx="8">
                  <c:v>12003.304240088699</c:v>
                </c:pt>
                <c:pt idx="9">
                  <c:v>14324.315191993461</c:v>
                </c:pt>
                <c:pt idx="10">
                  <c:v>16645.326143898223</c:v>
                </c:pt>
                <c:pt idx="11">
                  <c:v>18966.337095802985</c:v>
                </c:pt>
                <c:pt idx="12">
                  <c:v>21287.348047707746</c:v>
                </c:pt>
                <c:pt idx="13">
                  <c:v>23608.358999612508</c:v>
                </c:pt>
                <c:pt idx="14">
                  <c:v>25929.36995151727</c:v>
                </c:pt>
                <c:pt idx="15">
                  <c:v>28250.380903422028</c:v>
                </c:pt>
                <c:pt idx="16">
                  <c:v>30571.39185532679</c:v>
                </c:pt>
                <c:pt idx="17">
                  <c:v>32892.402807231556</c:v>
                </c:pt>
                <c:pt idx="18">
                  <c:v>35213.413759136311</c:v>
                </c:pt>
                <c:pt idx="19">
                  <c:v>37534.42471104108</c:v>
                </c:pt>
                <c:pt idx="20">
                  <c:v>39855.435662945842</c:v>
                </c:pt>
                <c:pt idx="21">
                  <c:v>42176.446614850604</c:v>
                </c:pt>
                <c:pt idx="22">
                  <c:v>44497.457566755365</c:v>
                </c:pt>
                <c:pt idx="23">
                  <c:v>46818.468518660127</c:v>
                </c:pt>
                <c:pt idx="24">
                  <c:v>49139.479470564882</c:v>
                </c:pt>
                <c:pt idx="25">
                  <c:v>51460.490422469644</c:v>
                </c:pt>
                <c:pt idx="26">
                  <c:v>53781.501374374406</c:v>
                </c:pt>
                <c:pt idx="27">
                  <c:v>56102.512326279168</c:v>
                </c:pt>
                <c:pt idx="28">
                  <c:v>58423.52327818393</c:v>
                </c:pt>
                <c:pt idx="29">
                  <c:v>60744.534230088691</c:v>
                </c:pt>
                <c:pt idx="30">
                  <c:v>63065.545181993453</c:v>
                </c:pt>
                <c:pt idx="31">
                  <c:v>65386.556133898215</c:v>
                </c:pt>
                <c:pt idx="32">
                  <c:v>67707.567085802977</c:v>
                </c:pt>
                <c:pt idx="33">
                  <c:v>70028.578037707746</c:v>
                </c:pt>
                <c:pt idx="34">
                  <c:v>72349.588989612501</c:v>
                </c:pt>
                <c:pt idx="35">
                  <c:v>74670.59994151727</c:v>
                </c:pt>
                <c:pt idx="36">
                  <c:v>76991.610893422025</c:v>
                </c:pt>
                <c:pt idx="37">
                  <c:v>79312.621845326794</c:v>
                </c:pt>
                <c:pt idx="38">
                  <c:v>81633.632797231548</c:v>
                </c:pt>
                <c:pt idx="39">
                  <c:v>83954.643749136318</c:v>
                </c:pt>
                <c:pt idx="40">
                  <c:v>86275.654701041072</c:v>
                </c:pt>
              </c:numCache>
            </c:numRef>
          </c:yVal>
          <c:smooth val="0"/>
          <c:extLst>
            <c:ext xmlns:c16="http://schemas.microsoft.com/office/drawing/2014/chart" uri="{C3380CC4-5D6E-409C-BE32-E72D297353CC}">
              <c16:uniqueId val="{00000000-C80E-4537-9DCE-049604E25E6A}"/>
            </c:ext>
          </c:extLst>
        </c:ser>
        <c:ser>
          <c:idx val="1"/>
          <c:order val="1"/>
          <c:tx>
            <c:strRef>
              <c:f>'Gasoline and electric vehicles'!$AQ$4</c:f>
              <c:strCache>
                <c:ptCount val="1"/>
                <c:pt idx="0">
                  <c:v>Electric Vehicle - EU mix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vehicles'!$AQ$5:$AQ$45</c:f>
              <c:numCache>
                <c:formatCode>0.00E+00</c:formatCode>
                <c:ptCount val="41"/>
                <c:pt idx="0" formatCode="General">
                  <c:v>6455.8410465841889</c:v>
                </c:pt>
                <c:pt idx="1">
                  <c:v>6567.2482411841893</c:v>
                </c:pt>
                <c:pt idx="2">
                  <c:v>6678.6554357841887</c:v>
                </c:pt>
                <c:pt idx="3">
                  <c:v>6790.0626303841891</c:v>
                </c:pt>
                <c:pt idx="4">
                  <c:v>7012.8770195841889</c:v>
                </c:pt>
                <c:pt idx="5">
                  <c:v>7235.6914087841888</c:v>
                </c:pt>
                <c:pt idx="6">
                  <c:v>7569.9129925841889</c:v>
                </c:pt>
                <c:pt idx="7">
                  <c:v>8683.9849385841881</c:v>
                </c:pt>
                <c:pt idx="8">
                  <c:v>9798.0568845841881</c:v>
                </c:pt>
                <c:pt idx="9">
                  <c:v>10912.128830584188</c:v>
                </c:pt>
                <c:pt idx="10">
                  <c:v>12026.200776584188</c:v>
                </c:pt>
                <c:pt idx="11">
                  <c:v>13140.272722584188</c:v>
                </c:pt>
                <c:pt idx="12">
                  <c:v>14254.34466858419</c:v>
                </c:pt>
                <c:pt idx="13">
                  <c:v>15368.416614584188</c:v>
                </c:pt>
                <c:pt idx="14">
                  <c:v>16482.488560584188</c:v>
                </c:pt>
                <c:pt idx="15">
                  <c:v>17596.560506584188</c:v>
                </c:pt>
                <c:pt idx="16">
                  <c:v>18710.632452584188</c:v>
                </c:pt>
                <c:pt idx="17">
                  <c:v>19824.704398584188</c:v>
                </c:pt>
                <c:pt idx="18">
                  <c:v>20938.776344584188</c:v>
                </c:pt>
                <c:pt idx="19">
                  <c:v>22052.848290584192</c:v>
                </c:pt>
                <c:pt idx="20">
                  <c:v>23166.920236584188</c:v>
                </c:pt>
                <c:pt idx="21">
                  <c:v>24280.992182584188</c:v>
                </c:pt>
                <c:pt idx="22">
                  <c:v>25395.064128584188</c:v>
                </c:pt>
                <c:pt idx="23">
                  <c:v>26509.136074584188</c:v>
                </c:pt>
                <c:pt idx="24">
                  <c:v>27623.208020584188</c:v>
                </c:pt>
                <c:pt idx="25">
                  <c:v>28737.279966584189</c:v>
                </c:pt>
                <c:pt idx="26">
                  <c:v>29851.351912584189</c:v>
                </c:pt>
                <c:pt idx="27">
                  <c:v>30965.423858584189</c:v>
                </c:pt>
                <c:pt idx="28">
                  <c:v>32079.495804584189</c:v>
                </c:pt>
                <c:pt idx="29">
                  <c:v>33193.567750584189</c:v>
                </c:pt>
                <c:pt idx="30">
                  <c:v>34307.639696584192</c:v>
                </c:pt>
                <c:pt idx="31">
                  <c:v>35421.711642584189</c:v>
                </c:pt>
                <c:pt idx="32">
                  <c:v>36535.783588584192</c:v>
                </c:pt>
                <c:pt idx="33">
                  <c:v>37649.855534584196</c:v>
                </c:pt>
                <c:pt idx="34">
                  <c:v>38763.927480584192</c:v>
                </c:pt>
                <c:pt idx="35">
                  <c:v>39877.999426584189</c:v>
                </c:pt>
                <c:pt idx="36">
                  <c:v>40992.071372584192</c:v>
                </c:pt>
                <c:pt idx="37">
                  <c:v>42106.143318584189</c:v>
                </c:pt>
                <c:pt idx="38">
                  <c:v>43220.215264584192</c:v>
                </c:pt>
                <c:pt idx="39">
                  <c:v>44334.287210584189</c:v>
                </c:pt>
                <c:pt idx="40">
                  <c:v>45448.359156584193</c:v>
                </c:pt>
              </c:numCache>
            </c:numRef>
          </c:yVal>
          <c:smooth val="0"/>
          <c:extLst>
            <c:ext xmlns:c16="http://schemas.microsoft.com/office/drawing/2014/chart" uri="{C3380CC4-5D6E-409C-BE32-E72D297353CC}">
              <c16:uniqueId val="{00000001-C80E-4537-9DCE-049604E25E6A}"/>
            </c:ext>
          </c:extLst>
        </c:ser>
        <c:ser>
          <c:idx val="2"/>
          <c:order val="2"/>
          <c:tx>
            <c:strRef>
              <c:f>'Gasoline and electric vehicles'!$AR$4</c:f>
              <c:strCache>
                <c:ptCount val="1"/>
                <c:pt idx="0">
                  <c:v>Electric Vehicle - Wind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vehicles'!$AR$5:$AR$45</c:f>
              <c:numCache>
                <c:formatCode>0.00E+00</c:formatCode>
                <c:ptCount val="41"/>
                <c:pt idx="0" formatCode="General">
                  <c:v>6455.8410465841889</c:v>
                </c:pt>
                <c:pt idx="1">
                  <c:v>6459.6062534841885</c:v>
                </c:pt>
                <c:pt idx="2">
                  <c:v>6463.371460384189</c:v>
                </c:pt>
                <c:pt idx="3">
                  <c:v>6467.1366672841887</c:v>
                </c:pt>
                <c:pt idx="4">
                  <c:v>6474.6670810841888</c:v>
                </c:pt>
                <c:pt idx="5">
                  <c:v>6482.1974948841889</c:v>
                </c:pt>
                <c:pt idx="6">
                  <c:v>6493.4931155841887</c:v>
                </c:pt>
                <c:pt idx="7">
                  <c:v>6531.1451845841893</c:v>
                </c:pt>
                <c:pt idx="8">
                  <c:v>6568.7972535841891</c:v>
                </c:pt>
                <c:pt idx="9">
                  <c:v>6606.4493225841888</c:v>
                </c:pt>
                <c:pt idx="10">
                  <c:v>6644.1013915841886</c:v>
                </c:pt>
                <c:pt idx="11">
                  <c:v>6681.7534605841893</c:v>
                </c:pt>
                <c:pt idx="12">
                  <c:v>6719.405529584189</c:v>
                </c:pt>
                <c:pt idx="13">
                  <c:v>6757.0575985841888</c:v>
                </c:pt>
                <c:pt idx="14">
                  <c:v>6794.7096675841885</c:v>
                </c:pt>
                <c:pt idx="15">
                  <c:v>6832.3617365841892</c:v>
                </c:pt>
                <c:pt idx="16">
                  <c:v>6870.013805584189</c:v>
                </c:pt>
                <c:pt idx="17">
                  <c:v>6907.6658745841887</c:v>
                </c:pt>
                <c:pt idx="18">
                  <c:v>6945.3179435841885</c:v>
                </c:pt>
                <c:pt idx="19">
                  <c:v>6982.9700125841891</c:v>
                </c:pt>
                <c:pt idx="20">
                  <c:v>7020.6220815841889</c:v>
                </c:pt>
                <c:pt idx="21">
                  <c:v>7058.2741505841886</c:v>
                </c:pt>
                <c:pt idx="22">
                  <c:v>7095.9262195841893</c:v>
                </c:pt>
                <c:pt idx="23">
                  <c:v>7133.5782885841891</c:v>
                </c:pt>
                <c:pt idx="24">
                  <c:v>7171.2303575841888</c:v>
                </c:pt>
                <c:pt idx="25">
                  <c:v>7208.8824265841886</c:v>
                </c:pt>
                <c:pt idx="26">
                  <c:v>7246.5344955841892</c:v>
                </c:pt>
                <c:pt idx="27">
                  <c:v>7284.186564584189</c:v>
                </c:pt>
                <c:pt idx="28">
                  <c:v>7321.8386335841888</c:v>
                </c:pt>
                <c:pt idx="29">
                  <c:v>7359.4907025841894</c:v>
                </c:pt>
                <c:pt idx="30">
                  <c:v>7397.1427715841892</c:v>
                </c:pt>
                <c:pt idx="31">
                  <c:v>7434.7948405841889</c:v>
                </c:pt>
                <c:pt idx="32">
                  <c:v>7472.4469095841887</c:v>
                </c:pt>
                <c:pt idx="33">
                  <c:v>7510.0989785841884</c:v>
                </c:pt>
                <c:pt idx="34">
                  <c:v>7547.7510475841891</c:v>
                </c:pt>
                <c:pt idx="35">
                  <c:v>7585.4031165841889</c:v>
                </c:pt>
                <c:pt idx="36">
                  <c:v>7623.0551855841886</c:v>
                </c:pt>
                <c:pt idx="37">
                  <c:v>7660.7072545841893</c:v>
                </c:pt>
                <c:pt idx="38">
                  <c:v>7698.359323584189</c:v>
                </c:pt>
                <c:pt idx="39">
                  <c:v>7736.0113925841888</c:v>
                </c:pt>
                <c:pt idx="40">
                  <c:v>7773.6634615841886</c:v>
                </c:pt>
              </c:numCache>
            </c:numRef>
          </c:yVal>
          <c:smooth val="0"/>
          <c:extLst>
            <c:ext xmlns:c16="http://schemas.microsoft.com/office/drawing/2014/chart" uri="{C3380CC4-5D6E-409C-BE32-E72D297353CC}">
              <c16:uniqueId val="{00000002-C80E-4537-9DCE-049604E25E6A}"/>
            </c:ext>
          </c:extLst>
        </c:ser>
        <c:ser>
          <c:idx val="3"/>
          <c:order val="3"/>
          <c:tx>
            <c:strRef>
              <c:f>'Gasoline and electric vehicles'!$AS$4</c:f>
              <c:strCache>
                <c:ptCount val="1"/>
                <c:pt idx="0">
                  <c:v>Electric Vehicle - Photovoltaic</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vehicles'!$AS$5:$AS$45</c:f>
              <c:numCache>
                <c:formatCode>0.00E+00</c:formatCode>
                <c:ptCount val="41"/>
                <c:pt idx="0" formatCode="General">
                  <c:v>6455.8410465841889</c:v>
                </c:pt>
                <c:pt idx="1">
                  <c:v>6476.1497654041887</c:v>
                </c:pt>
                <c:pt idx="2">
                  <c:v>6496.4584842241893</c:v>
                </c:pt>
                <c:pt idx="3">
                  <c:v>6516.767203044189</c:v>
                </c:pt>
                <c:pt idx="4">
                  <c:v>6557.3846406841885</c:v>
                </c:pt>
                <c:pt idx="5">
                  <c:v>6598.0020783241889</c:v>
                </c:pt>
                <c:pt idx="6">
                  <c:v>6658.928234784189</c:v>
                </c:pt>
                <c:pt idx="7">
                  <c:v>6862.0154229841892</c:v>
                </c:pt>
                <c:pt idx="8">
                  <c:v>7065.1026111841893</c:v>
                </c:pt>
                <c:pt idx="9">
                  <c:v>7268.1897993841885</c:v>
                </c:pt>
                <c:pt idx="10">
                  <c:v>7471.2769875841886</c:v>
                </c:pt>
                <c:pt idx="11">
                  <c:v>7674.3641757841888</c:v>
                </c:pt>
                <c:pt idx="12">
                  <c:v>7877.4513639841889</c:v>
                </c:pt>
                <c:pt idx="13">
                  <c:v>8080.538552184189</c:v>
                </c:pt>
                <c:pt idx="14">
                  <c:v>8283.6257403841882</c:v>
                </c:pt>
                <c:pt idx="15">
                  <c:v>8486.7129285841893</c:v>
                </c:pt>
                <c:pt idx="16">
                  <c:v>8689.8001167841885</c:v>
                </c:pt>
                <c:pt idx="17">
                  <c:v>8892.8873049841895</c:v>
                </c:pt>
                <c:pt idx="18">
                  <c:v>9095.9744931841888</c:v>
                </c:pt>
                <c:pt idx="19">
                  <c:v>9299.061681384188</c:v>
                </c:pt>
                <c:pt idx="20">
                  <c:v>9502.148869584189</c:v>
                </c:pt>
                <c:pt idx="21">
                  <c:v>9705.2360577841882</c:v>
                </c:pt>
                <c:pt idx="22">
                  <c:v>9908.3232459841893</c:v>
                </c:pt>
                <c:pt idx="23">
                  <c:v>10111.410434184188</c:v>
                </c:pt>
                <c:pt idx="24">
                  <c:v>10314.497622384188</c:v>
                </c:pt>
                <c:pt idx="25">
                  <c:v>10517.584810584189</c:v>
                </c:pt>
                <c:pt idx="26">
                  <c:v>10720.67199878419</c:v>
                </c:pt>
                <c:pt idx="27">
                  <c:v>10923.759186984189</c:v>
                </c:pt>
                <c:pt idx="28">
                  <c:v>11126.846375184188</c:v>
                </c:pt>
                <c:pt idx="29">
                  <c:v>11329.933563384187</c:v>
                </c:pt>
                <c:pt idx="30">
                  <c:v>11533.020751584188</c:v>
                </c:pt>
                <c:pt idx="31">
                  <c:v>11736.10793978419</c:v>
                </c:pt>
                <c:pt idx="32">
                  <c:v>11939.195127984189</c:v>
                </c:pt>
                <c:pt idx="33">
                  <c:v>12142.282316184188</c:v>
                </c:pt>
                <c:pt idx="34">
                  <c:v>12345.369504384187</c:v>
                </c:pt>
                <c:pt idx="35">
                  <c:v>12548.456692584188</c:v>
                </c:pt>
                <c:pt idx="36">
                  <c:v>12751.543880784189</c:v>
                </c:pt>
                <c:pt idx="37">
                  <c:v>12954.631068984188</c:v>
                </c:pt>
                <c:pt idx="38">
                  <c:v>13157.718257184188</c:v>
                </c:pt>
                <c:pt idx="39">
                  <c:v>13360.805445384189</c:v>
                </c:pt>
                <c:pt idx="40">
                  <c:v>13563.892633584188</c:v>
                </c:pt>
              </c:numCache>
            </c:numRef>
          </c:yVal>
          <c:smooth val="0"/>
          <c:extLst>
            <c:ext xmlns:c16="http://schemas.microsoft.com/office/drawing/2014/chart" uri="{C3380CC4-5D6E-409C-BE32-E72D297353CC}">
              <c16:uniqueId val="{00000003-C80E-4537-9DCE-049604E25E6A}"/>
            </c:ext>
          </c:extLst>
        </c:ser>
        <c:ser>
          <c:idx val="4"/>
          <c:order val="4"/>
          <c:tx>
            <c:strRef>
              <c:f>'Gasoline and electric vehicles'!$AT$4</c:f>
              <c:strCache>
                <c:ptCount val="1"/>
                <c:pt idx="0">
                  <c:v>Electric Vehicle - Hard coal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vehicles'!$AT$5:$AT$45</c:f>
              <c:numCache>
                <c:formatCode>0.00E+00</c:formatCode>
                <c:ptCount val="41"/>
                <c:pt idx="0" formatCode="General">
                  <c:v>6455.8410465841889</c:v>
                </c:pt>
                <c:pt idx="1">
                  <c:v>6718.1767045841889</c:v>
                </c:pt>
                <c:pt idx="2">
                  <c:v>6980.5123625841888</c:v>
                </c:pt>
                <c:pt idx="3">
                  <c:v>7242.8480205841888</c:v>
                </c:pt>
                <c:pt idx="4">
                  <c:v>7767.5193365841887</c:v>
                </c:pt>
                <c:pt idx="5">
                  <c:v>8292.1906525841878</c:v>
                </c:pt>
                <c:pt idx="6">
                  <c:v>9079.1976265841877</c:v>
                </c:pt>
                <c:pt idx="7">
                  <c:v>11702.554206584187</c:v>
                </c:pt>
                <c:pt idx="8">
                  <c:v>14325.910786584187</c:v>
                </c:pt>
                <c:pt idx="9">
                  <c:v>16949.267366584187</c:v>
                </c:pt>
                <c:pt idx="10">
                  <c:v>19572.623946584186</c:v>
                </c:pt>
                <c:pt idx="11">
                  <c:v>22195.980526584186</c:v>
                </c:pt>
                <c:pt idx="12">
                  <c:v>24819.337106584186</c:v>
                </c:pt>
                <c:pt idx="13">
                  <c:v>27442.693686584185</c:v>
                </c:pt>
                <c:pt idx="14">
                  <c:v>30066.050266584185</c:v>
                </c:pt>
                <c:pt idx="15">
                  <c:v>32689.406846584185</c:v>
                </c:pt>
                <c:pt idx="16">
                  <c:v>35312.763426584184</c:v>
                </c:pt>
                <c:pt idx="17">
                  <c:v>37936.120006584184</c:v>
                </c:pt>
                <c:pt idx="18">
                  <c:v>40559.476586584184</c:v>
                </c:pt>
                <c:pt idx="19">
                  <c:v>43182.833166584183</c:v>
                </c:pt>
                <c:pt idx="20">
                  <c:v>45806.189746584183</c:v>
                </c:pt>
                <c:pt idx="21">
                  <c:v>48429.546326584183</c:v>
                </c:pt>
                <c:pt idx="22">
                  <c:v>51052.902906584182</c:v>
                </c:pt>
                <c:pt idx="23">
                  <c:v>53676.259486584182</c:v>
                </c:pt>
                <c:pt idx="24">
                  <c:v>56299.616066584182</c:v>
                </c:pt>
                <c:pt idx="25">
                  <c:v>58922.972646584181</c:v>
                </c:pt>
                <c:pt idx="26">
                  <c:v>61546.329226584181</c:v>
                </c:pt>
                <c:pt idx="27">
                  <c:v>64169.685806584181</c:v>
                </c:pt>
                <c:pt idx="28">
                  <c:v>66793.042386584188</c:v>
                </c:pt>
                <c:pt idx="29">
                  <c:v>69416.39896658418</c:v>
                </c:pt>
                <c:pt idx="30">
                  <c:v>72039.755546584187</c:v>
                </c:pt>
                <c:pt idx="31">
                  <c:v>74663.112126584179</c:v>
                </c:pt>
                <c:pt idx="32">
                  <c:v>77286.468706584186</c:v>
                </c:pt>
                <c:pt idx="33">
                  <c:v>79909.825286584179</c:v>
                </c:pt>
                <c:pt idx="34">
                  <c:v>82533.181866584186</c:v>
                </c:pt>
                <c:pt idx="35">
                  <c:v>85156.538446584178</c:v>
                </c:pt>
                <c:pt idx="36">
                  <c:v>87779.895026584185</c:v>
                </c:pt>
                <c:pt idx="37">
                  <c:v>90403.251606584177</c:v>
                </c:pt>
                <c:pt idx="38">
                  <c:v>93026.608186584184</c:v>
                </c:pt>
                <c:pt idx="39">
                  <c:v>95649.964766584177</c:v>
                </c:pt>
                <c:pt idx="40">
                  <c:v>98273.321346584184</c:v>
                </c:pt>
              </c:numCache>
            </c:numRef>
          </c:yVal>
          <c:smooth val="0"/>
          <c:extLst>
            <c:ext xmlns:c16="http://schemas.microsoft.com/office/drawing/2014/chart" uri="{C3380CC4-5D6E-409C-BE32-E72D297353CC}">
              <c16:uniqueId val="{00000000-3F92-4599-8961-F4F24CC36D5B}"/>
            </c:ext>
          </c:extLst>
        </c:ser>
        <c:dLbls>
          <c:showLegendKey val="0"/>
          <c:showVal val="0"/>
          <c:showCatName val="0"/>
          <c:showSerName val="0"/>
          <c:showPercent val="0"/>
          <c:showBubbleSize val="0"/>
        </c:dLbls>
        <c:axId val="1272758592"/>
        <c:axId val="1272767840"/>
      </c:scatterChart>
      <c:valAx>
        <c:axId val="1272758592"/>
        <c:scaling>
          <c:orientation val="minMax"/>
          <c:max val="35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Distance over car lifetime</a:t>
                </a:r>
              </a:p>
            </c:rich>
          </c:tx>
          <c:layout>
            <c:manualLayout>
              <c:xMode val="edge"/>
              <c:yMode val="edge"/>
              <c:x val="0.45093736964314057"/>
              <c:y val="0.88696286805549907"/>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767840"/>
        <c:crosses val="autoZero"/>
        <c:crossBetween val="midCat"/>
      </c:valAx>
      <c:valAx>
        <c:axId val="127276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Global warming score [kgCO2equ]</a:t>
                </a:r>
              </a:p>
              <a:p>
                <a:pPr>
                  <a:defRPr/>
                </a:pPr>
                <a:endParaRPr lang="en-US"/>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758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Sensitivity study: kgfossil</a:t>
            </a:r>
            <a:r>
              <a:rPr lang="en-US" baseline="0"/>
              <a:t> </a:t>
            </a:r>
            <a:r>
              <a:rPr lang="en-US"/>
              <a:t>CO2/V-km </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170635145426971E-2"/>
          <c:y val="7.1348083369278101E-2"/>
          <c:w val="0.88598286724950748"/>
          <c:h val="0.7541721403995485"/>
        </c:manualLayout>
      </c:layout>
      <c:scatterChart>
        <c:scatterStyle val="lineMarker"/>
        <c:varyColors val="0"/>
        <c:ser>
          <c:idx val="0"/>
          <c:order val="0"/>
          <c:tx>
            <c:strRef>
              <c:f>'Gasoline and electric vehicles'!$AW$4</c:f>
              <c:strCache>
                <c:ptCount val="1"/>
                <c:pt idx="0">
                  <c:v>Gas Vehicle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'Gasoline and electric vehicles'!$AV$5:$AV$45</c:f>
              <c:numCache>
                <c:formatCode>General</c:formatCode>
                <c:ptCount val="41"/>
                <c:pt idx="0">
                  <c:v>0.01</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vehicles'!$AW$5:$AW$45</c:f>
              <c:numCache>
                <c:formatCode>0.00E+00</c:formatCode>
                <c:ptCount val="41"/>
                <c:pt idx="0" formatCode="General">
                  <c:v>504027.13843744132</c:v>
                </c:pt>
                <c:pt idx="1">
                  <c:v>5.2723724795648899</c:v>
                </c:pt>
                <c:pt idx="2">
                  <c:v>2.752236787377683</c:v>
                </c:pt>
                <c:pt idx="3">
                  <c:v>1.9121915566486138</c:v>
                </c:pt>
                <c:pt idx="4">
                  <c:v>1.2401553720653589</c:v>
                </c:pt>
                <c:pt idx="5">
                  <c:v>0.95213986438682097</c:v>
                </c:pt>
                <c:pt idx="6">
                  <c:v>0.73612823362791746</c:v>
                </c:pt>
                <c:pt idx="7">
                  <c:v>0.48411466440919687</c:v>
                </c:pt>
                <c:pt idx="8">
                  <c:v>0.40011014133628997</c:v>
                </c:pt>
                <c:pt idx="9">
                  <c:v>0.35810787979983649</c:v>
                </c:pt>
                <c:pt idx="10">
                  <c:v>0.33290652287796446</c:v>
                </c:pt>
                <c:pt idx="11">
                  <c:v>0.31610561826338307</c:v>
                </c:pt>
                <c:pt idx="12">
                  <c:v>0.30410497211011067</c:v>
                </c:pt>
                <c:pt idx="13">
                  <c:v>0.29510448749515633</c:v>
                </c:pt>
                <c:pt idx="14">
                  <c:v>0.28810411057241414</c:v>
                </c:pt>
                <c:pt idx="15">
                  <c:v>0.28250380903422029</c:v>
                </c:pt>
                <c:pt idx="16">
                  <c:v>0.27792174413933446</c:v>
                </c:pt>
                <c:pt idx="17">
                  <c:v>0.27410335672692965</c:v>
                </c:pt>
                <c:pt idx="18">
                  <c:v>0.27087241353181779</c:v>
                </c:pt>
                <c:pt idx="19">
                  <c:v>0.26810303365029342</c:v>
                </c:pt>
                <c:pt idx="20">
                  <c:v>0.26570290441963895</c:v>
                </c:pt>
                <c:pt idx="21">
                  <c:v>0.26360279134281628</c:v>
                </c:pt>
                <c:pt idx="22">
                  <c:v>0.26174975039267862</c:v>
                </c:pt>
                <c:pt idx="23">
                  <c:v>0.26010260288144516</c:v>
                </c:pt>
                <c:pt idx="24">
                  <c:v>0.25862883931876252</c:v>
                </c:pt>
                <c:pt idx="25">
                  <c:v>0.2573024521123482</c:v>
                </c:pt>
                <c:pt idx="26">
                  <c:v>0.25610238749702097</c:v>
                </c:pt>
                <c:pt idx="27">
                  <c:v>0.25501141966490531</c:v>
                </c:pt>
                <c:pt idx="28">
                  <c:v>0.25401531860079968</c:v>
                </c:pt>
                <c:pt idx="29">
                  <c:v>0.25310222595870285</c:v>
                </c:pt>
                <c:pt idx="30">
                  <c:v>0.25226218072797379</c:v>
                </c:pt>
                <c:pt idx="31">
                  <c:v>0.25148675436114698</c:v>
                </c:pt>
                <c:pt idx="32">
                  <c:v>0.25076876698445549</c:v>
                </c:pt>
                <c:pt idx="33">
                  <c:v>0.2501020644203848</c:v>
                </c:pt>
                <c:pt idx="34">
                  <c:v>0.24948134134349137</c:v>
                </c:pt>
                <c:pt idx="35">
                  <c:v>0.24890199980505756</c:v>
                </c:pt>
                <c:pt idx="36">
                  <c:v>0.24836003514007104</c:v>
                </c:pt>
                <c:pt idx="37">
                  <c:v>0.24785194326664622</c:v>
                </c:pt>
                <c:pt idx="38">
                  <c:v>0.24737464484009561</c:v>
                </c:pt>
                <c:pt idx="39">
                  <c:v>0.24692542279157739</c:v>
                </c:pt>
                <c:pt idx="40">
                  <c:v>0.24650187057440306</c:v>
                </c:pt>
              </c:numCache>
            </c:numRef>
          </c:yVal>
          <c:smooth val="0"/>
          <c:extLst>
            <c:ext xmlns:c16="http://schemas.microsoft.com/office/drawing/2014/chart" uri="{C3380CC4-5D6E-409C-BE32-E72D297353CC}">
              <c16:uniqueId val="{00000000-2A5C-44D5-8C79-0C27195B01DE}"/>
            </c:ext>
          </c:extLst>
        </c:ser>
        <c:ser>
          <c:idx val="1"/>
          <c:order val="1"/>
          <c:tx>
            <c:strRef>
              <c:f>'Gasoline and electric vehicles'!$AX$4</c:f>
              <c:strCache>
                <c:ptCount val="1"/>
                <c:pt idx="0">
                  <c:v>Electric Vehicle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'Gasoline and electric vehicles'!$AV$5:$AV$45</c:f>
              <c:numCache>
                <c:formatCode>General</c:formatCode>
                <c:ptCount val="41"/>
                <c:pt idx="0">
                  <c:v>0.01</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vehicles'!$AX$5:$AX$45</c:f>
              <c:numCache>
                <c:formatCode>0.00E+00</c:formatCode>
                <c:ptCount val="41"/>
                <c:pt idx="0" formatCode="General">
                  <c:v>645584.10465841892</c:v>
                </c:pt>
                <c:pt idx="1">
                  <c:v>6.5672482411841893</c:v>
                </c:pt>
                <c:pt idx="2">
                  <c:v>3.3393277178920941</c:v>
                </c:pt>
                <c:pt idx="3">
                  <c:v>2.263354210128063</c:v>
                </c:pt>
                <c:pt idx="4">
                  <c:v>1.4025754039168379</c:v>
                </c:pt>
                <c:pt idx="5">
                  <c:v>1.0336702012548842</c:v>
                </c:pt>
                <c:pt idx="6">
                  <c:v>0.7569912992584189</c:v>
                </c:pt>
                <c:pt idx="7">
                  <c:v>0.43419924692920941</c:v>
                </c:pt>
                <c:pt idx="8">
                  <c:v>0.32660189615280627</c:v>
                </c:pt>
                <c:pt idx="9">
                  <c:v>0.27280322076460473</c:v>
                </c:pt>
                <c:pt idx="10">
                  <c:v>0.24052401553168376</c:v>
                </c:pt>
                <c:pt idx="11">
                  <c:v>0.21900454537640313</c:v>
                </c:pt>
                <c:pt idx="12">
                  <c:v>0.20363349526548843</c:v>
                </c:pt>
                <c:pt idx="13">
                  <c:v>0.19210520768230235</c:v>
                </c:pt>
                <c:pt idx="14">
                  <c:v>0.18313876178426874</c:v>
                </c:pt>
                <c:pt idx="15">
                  <c:v>0.17596560506584188</c:v>
                </c:pt>
                <c:pt idx="16">
                  <c:v>0.17009665865985626</c:v>
                </c:pt>
                <c:pt idx="17">
                  <c:v>0.16520586998820158</c:v>
                </c:pt>
                <c:pt idx="18">
                  <c:v>0.1610675103429553</c:v>
                </c:pt>
                <c:pt idx="19">
                  <c:v>0.15752034493274422</c:v>
                </c:pt>
                <c:pt idx="20">
                  <c:v>0.15444613491056125</c:v>
                </c:pt>
                <c:pt idx="21">
                  <c:v>0.15175620114115118</c:v>
                </c:pt>
                <c:pt idx="22">
                  <c:v>0.1493827301681423</c:v>
                </c:pt>
                <c:pt idx="23">
                  <c:v>0.14727297819213439</c:v>
                </c:pt>
                <c:pt idx="24">
                  <c:v>0.14538530537149572</c:v>
                </c:pt>
                <c:pt idx="25">
                  <c:v>0.14368639983292095</c:v>
                </c:pt>
                <c:pt idx="26">
                  <c:v>0.14214929482182947</c:v>
                </c:pt>
                <c:pt idx="27">
                  <c:v>0.14075192662992814</c:v>
                </c:pt>
                <c:pt idx="28">
                  <c:v>0.13947606871558343</c:v>
                </c:pt>
                <c:pt idx="29">
                  <c:v>0.13830653229410078</c:v>
                </c:pt>
                <c:pt idx="30">
                  <c:v>0.13723055878633678</c:v>
                </c:pt>
                <c:pt idx="31">
                  <c:v>0.13623735247147764</c:v>
                </c:pt>
                <c:pt idx="32">
                  <c:v>0.13531771699475625</c:v>
                </c:pt>
                <c:pt idx="33">
                  <c:v>0.13446376976637212</c:v>
                </c:pt>
                <c:pt idx="34">
                  <c:v>0.13366871545029033</c:v>
                </c:pt>
                <c:pt idx="35">
                  <c:v>0.13292666475528062</c:v>
                </c:pt>
                <c:pt idx="36">
                  <c:v>0.13223248829865869</c:v>
                </c:pt>
                <c:pt idx="37">
                  <c:v>0.13158169787057558</c:v>
                </c:pt>
                <c:pt idx="38">
                  <c:v>0.13097034928661877</c:v>
                </c:pt>
                <c:pt idx="39">
                  <c:v>0.13039496238407114</c:v>
                </c:pt>
                <c:pt idx="40">
                  <c:v>0.1298524547330977</c:v>
                </c:pt>
              </c:numCache>
            </c:numRef>
          </c:yVal>
          <c:smooth val="0"/>
          <c:extLst>
            <c:ext xmlns:c16="http://schemas.microsoft.com/office/drawing/2014/chart" uri="{C3380CC4-5D6E-409C-BE32-E72D297353CC}">
              <c16:uniqueId val="{00000001-2A5C-44D5-8C79-0C27195B01DE}"/>
            </c:ext>
          </c:extLst>
        </c:ser>
        <c:ser>
          <c:idx val="2"/>
          <c:order val="2"/>
          <c:tx>
            <c:strRef>
              <c:f>'Gasoline and electric vehicles'!$AY$4</c:f>
              <c:strCache>
                <c:ptCount val="1"/>
                <c:pt idx="0">
                  <c:v>Electric Vehicle - Wind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'Gasoline and electric vehicles'!$AV$5:$AV$45</c:f>
              <c:numCache>
                <c:formatCode>General</c:formatCode>
                <c:ptCount val="41"/>
                <c:pt idx="0">
                  <c:v>0.01</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vehicles'!$AY$5:$AY$45</c:f>
              <c:numCache>
                <c:formatCode>0.00E+00</c:formatCode>
                <c:ptCount val="41"/>
                <c:pt idx="0" formatCode="General">
                  <c:v>645584.10465841892</c:v>
                </c:pt>
                <c:pt idx="1">
                  <c:v>6.4596062534841883</c:v>
                </c:pt>
                <c:pt idx="2">
                  <c:v>3.2316857301920945</c:v>
                </c:pt>
                <c:pt idx="3">
                  <c:v>2.1557122224280629</c:v>
                </c:pt>
                <c:pt idx="4">
                  <c:v>1.2949334162168378</c:v>
                </c:pt>
                <c:pt idx="5">
                  <c:v>0.92602821355488418</c:v>
                </c:pt>
                <c:pt idx="6">
                  <c:v>0.64934931155841891</c:v>
                </c:pt>
                <c:pt idx="7">
                  <c:v>0.32655725922920947</c:v>
                </c:pt>
                <c:pt idx="8">
                  <c:v>0.2189599084528063</c:v>
                </c:pt>
                <c:pt idx="9">
                  <c:v>0.16516123306460473</c:v>
                </c:pt>
                <c:pt idx="10">
                  <c:v>0.13288202783168376</c:v>
                </c:pt>
                <c:pt idx="11">
                  <c:v>0.11136255767640316</c:v>
                </c:pt>
                <c:pt idx="12">
                  <c:v>9.599150756548841E-2</c:v>
                </c:pt>
                <c:pt idx="13">
                  <c:v>8.4463219982302357E-2</c:v>
                </c:pt>
                <c:pt idx="14">
                  <c:v>7.5496774084268761E-2</c:v>
                </c:pt>
                <c:pt idx="15">
                  <c:v>6.8323617365841888E-2</c:v>
                </c:pt>
                <c:pt idx="16">
                  <c:v>6.2454670959856261E-2</c:v>
                </c:pt>
                <c:pt idx="17">
                  <c:v>5.756388228820157E-2</c:v>
                </c:pt>
                <c:pt idx="18">
                  <c:v>5.3425522642955296E-2</c:v>
                </c:pt>
                <c:pt idx="19">
                  <c:v>4.9878357232744211E-2</c:v>
                </c:pt>
                <c:pt idx="20">
                  <c:v>4.680414721056126E-2</c:v>
                </c:pt>
                <c:pt idx="21">
                  <c:v>4.4114213441151177E-2</c:v>
                </c:pt>
                <c:pt idx="22">
                  <c:v>4.1740742468142293E-2</c:v>
                </c:pt>
                <c:pt idx="23">
                  <c:v>3.9630990492134387E-2</c:v>
                </c:pt>
                <c:pt idx="24">
                  <c:v>3.7743317671495732E-2</c:v>
                </c:pt>
                <c:pt idx="25">
                  <c:v>3.6044412132920943E-2</c:v>
                </c:pt>
                <c:pt idx="26">
                  <c:v>3.4507307121829471E-2</c:v>
                </c:pt>
                <c:pt idx="27">
                  <c:v>3.3109938929928133E-2</c:v>
                </c:pt>
                <c:pt idx="28">
                  <c:v>3.1834081015583431E-2</c:v>
                </c:pt>
                <c:pt idx="29">
                  <c:v>3.0664544594100788E-2</c:v>
                </c:pt>
                <c:pt idx="30">
                  <c:v>2.9588571086336758E-2</c:v>
                </c:pt>
                <c:pt idx="31">
                  <c:v>2.8595364771477651E-2</c:v>
                </c:pt>
                <c:pt idx="32">
                  <c:v>2.7675729294756254E-2</c:v>
                </c:pt>
                <c:pt idx="33">
                  <c:v>2.6821782066372101E-2</c:v>
                </c:pt>
                <c:pt idx="34">
                  <c:v>2.6026727750290309E-2</c:v>
                </c:pt>
                <c:pt idx="35">
                  <c:v>2.5284677055280629E-2</c:v>
                </c:pt>
                <c:pt idx="36">
                  <c:v>2.4590500598658672E-2</c:v>
                </c:pt>
                <c:pt idx="37">
                  <c:v>2.3939710170575591E-2</c:v>
                </c:pt>
                <c:pt idx="38">
                  <c:v>2.3328361586618756E-2</c:v>
                </c:pt>
                <c:pt idx="39">
                  <c:v>2.2752974684071142E-2</c:v>
                </c:pt>
                <c:pt idx="40">
                  <c:v>2.2210467033097682E-2</c:v>
                </c:pt>
              </c:numCache>
            </c:numRef>
          </c:yVal>
          <c:smooth val="0"/>
          <c:extLst>
            <c:ext xmlns:c16="http://schemas.microsoft.com/office/drawing/2014/chart" uri="{C3380CC4-5D6E-409C-BE32-E72D297353CC}">
              <c16:uniqueId val="{00000002-2A5C-44D5-8C79-0C27195B01DE}"/>
            </c:ext>
          </c:extLst>
        </c:ser>
        <c:ser>
          <c:idx val="3"/>
          <c:order val="3"/>
          <c:tx>
            <c:strRef>
              <c:f>'Gasoline and electric vehicles'!$AZ$4</c:f>
              <c:strCache>
                <c:ptCount val="1"/>
                <c:pt idx="0">
                  <c:v>Electric Vehicle - Photovoltaic</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'Gasoline and electric vehicles'!$AV$5:$AV$45</c:f>
              <c:numCache>
                <c:formatCode>General</c:formatCode>
                <c:ptCount val="41"/>
                <c:pt idx="0">
                  <c:v>0.01</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vehicles'!$AZ$5:$AZ$45</c:f>
              <c:numCache>
                <c:formatCode>0.00E+00</c:formatCode>
                <c:ptCount val="41"/>
                <c:pt idx="0" formatCode="General">
                  <c:v>645584.10465841892</c:v>
                </c:pt>
                <c:pt idx="1">
                  <c:v>6.4761497654041884</c:v>
                </c:pt>
                <c:pt idx="2">
                  <c:v>3.2482292421120946</c:v>
                </c:pt>
                <c:pt idx="3">
                  <c:v>2.1722557343480631</c:v>
                </c:pt>
                <c:pt idx="4">
                  <c:v>1.3114769281368377</c:v>
                </c:pt>
                <c:pt idx="5">
                  <c:v>0.9425717254748841</c:v>
                </c:pt>
                <c:pt idx="6">
                  <c:v>0.66589282347841894</c:v>
                </c:pt>
                <c:pt idx="7">
                  <c:v>0.34310077114920945</c:v>
                </c:pt>
                <c:pt idx="8">
                  <c:v>0.2355034203728063</c:v>
                </c:pt>
                <c:pt idx="9">
                  <c:v>0.1817047449846047</c:v>
                </c:pt>
                <c:pt idx="10">
                  <c:v>0.14942553975168377</c:v>
                </c:pt>
                <c:pt idx="11">
                  <c:v>0.12790606959640313</c:v>
                </c:pt>
                <c:pt idx="12">
                  <c:v>0.11253501948548841</c:v>
                </c:pt>
                <c:pt idx="13">
                  <c:v>0.10100673190230236</c:v>
                </c:pt>
                <c:pt idx="14">
                  <c:v>9.2040286004268765E-2</c:v>
                </c:pt>
                <c:pt idx="15">
                  <c:v>8.4867129285841891E-2</c:v>
                </c:pt>
                <c:pt idx="16">
                  <c:v>7.8998182879856257E-2</c:v>
                </c:pt>
                <c:pt idx="17">
                  <c:v>7.4107394208201574E-2</c:v>
                </c:pt>
                <c:pt idx="18">
                  <c:v>6.9969034562955293E-2</c:v>
                </c:pt>
                <c:pt idx="19">
                  <c:v>6.6421869152744201E-2</c:v>
                </c:pt>
                <c:pt idx="20">
                  <c:v>6.3347659130561257E-2</c:v>
                </c:pt>
                <c:pt idx="21">
                  <c:v>6.0657725361151174E-2</c:v>
                </c:pt>
                <c:pt idx="22">
                  <c:v>5.828425438814229E-2</c:v>
                </c:pt>
                <c:pt idx="23">
                  <c:v>5.6174502412134383E-2</c:v>
                </c:pt>
                <c:pt idx="24">
                  <c:v>5.4286829591495722E-2</c:v>
                </c:pt>
                <c:pt idx="25">
                  <c:v>5.2587924052920947E-2</c:v>
                </c:pt>
                <c:pt idx="26">
                  <c:v>5.1050819041829475E-2</c:v>
                </c:pt>
                <c:pt idx="27">
                  <c:v>4.965345084992813E-2</c:v>
                </c:pt>
                <c:pt idx="28">
                  <c:v>4.8377592935583427E-2</c:v>
                </c:pt>
                <c:pt idx="29">
                  <c:v>4.7208056514100781E-2</c:v>
                </c:pt>
                <c:pt idx="30">
                  <c:v>4.6132083006336755E-2</c:v>
                </c:pt>
                <c:pt idx="31">
                  <c:v>4.5138876691477654E-2</c:v>
                </c:pt>
                <c:pt idx="32">
                  <c:v>4.4219241214756254E-2</c:v>
                </c:pt>
                <c:pt idx="33">
                  <c:v>4.3365293986372101E-2</c:v>
                </c:pt>
                <c:pt idx="34">
                  <c:v>4.2570239670290298E-2</c:v>
                </c:pt>
                <c:pt idx="35">
                  <c:v>4.1828188975280629E-2</c:v>
                </c:pt>
                <c:pt idx="36">
                  <c:v>4.1134012518658676E-2</c:v>
                </c:pt>
                <c:pt idx="37">
                  <c:v>4.0483222090575588E-2</c:v>
                </c:pt>
                <c:pt idx="38">
                  <c:v>3.9871873506618749E-2</c:v>
                </c:pt>
                <c:pt idx="39">
                  <c:v>3.9296486604071146E-2</c:v>
                </c:pt>
                <c:pt idx="40">
                  <c:v>3.8753978953097679E-2</c:v>
                </c:pt>
              </c:numCache>
            </c:numRef>
          </c:yVal>
          <c:smooth val="0"/>
          <c:extLst>
            <c:ext xmlns:c16="http://schemas.microsoft.com/office/drawing/2014/chart" uri="{C3380CC4-5D6E-409C-BE32-E72D297353CC}">
              <c16:uniqueId val="{00000003-2A5C-44D5-8C79-0C27195B01DE}"/>
            </c:ext>
          </c:extLst>
        </c:ser>
        <c:ser>
          <c:idx val="4"/>
          <c:order val="4"/>
          <c:tx>
            <c:strRef>
              <c:f>'Gasoline and electric vehicles'!$BA$4</c:f>
              <c:strCache>
                <c:ptCount val="1"/>
                <c:pt idx="0">
                  <c:v>Electric Vehicle - Hard coal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'Gasoline and electric vehicles'!$AV$5:$AV$45</c:f>
              <c:numCache>
                <c:formatCode>General</c:formatCode>
                <c:ptCount val="41"/>
                <c:pt idx="0">
                  <c:v>0.01</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vehicles'!$BA$5:$BA$45</c:f>
              <c:numCache>
                <c:formatCode>0.00E+00</c:formatCode>
                <c:ptCount val="41"/>
                <c:pt idx="0" formatCode="General">
                  <c:v>645584.10465841892</c:v>
                </c:pt>
                <c:pt idx="1">
                  <c:v>6.7181767045841889</c:v>
                </c:pt>
                <c:pt idx="2">
                  <c:v>3.4902561812920943</c:v>
                </c:pt>
                <c:pt idx="3">
                  <c:v>2.4142826735280631</c:v>
                </c:pt>
                <c:pt idx="4">
                  <c:v>1.5535038673168378</c:v>
                </c:pt>
                <c:pt idx="5">
                  <c:v>1.1845986646548841</c:v>
                </c:pt>
                <c:pt idx="6">
                  <c:v>0.90791976265841878</c:v>
                </c:pt>
                <c:pt idx="7">
                  <c:v>0.58512771032920941</c:v>
                </c:pt>
                <c:pt idx="8">
                  <c:v>0.47753035955280626</c:v>
                </c:pt>
                <c:pt idx="9">
                  <c:v>0.42373168416460466</c:v>
                </c:pt>
                <c:pt idx="10">
                  <c:v>0.39145247893168372</c:v>
                </c:pt>
                <c:pt idx="11">
                  <c:v>0.36993300877640312</c:v>
                </c:pt>
                <c:pt idx="12">
                  <c:v>0.35456195866548834</c:v>
                </c:pt>
                <c:pt idx="13">
                  <c:v>0.34303367108230232</c:v>
                </c:pt>
                <c:pt idx="14">
                  <c:v>0.33406722518426873</c:v>
                </c:pt>
                <c:pt idx="15">
                  <c:v>0.32689406846584185</c:v>
                </c:pt>
                <c:pt idx="16">
                  <c:v>0.32102512205985623</c:v>
                </c:pt>
                <c:pt idx="17">
                  <c:v>0.31613433338820152</c:v>
                </c:pt>
                <c:pt idx="18">
                  <c:v>0.31199597374295523</c:v>
                </c:pt>
                <c:pt idx="19">
                  <c:v>0.30844880833274418</c:v>
                </c:pt>
                <c:pt idx="20">
                  <c:v>0.30537459831056124</c:v>
                </c:pt>
                <c:pt idx="21">
                  <c:v>0.30268466454115112</c:v>
                </c:pt>
                <c:pt idx="22">
                  <c:v>0.30031119356814223</c:v>
                </c:pt>
                <c:pt idx="23">
                  <c:v>0.29820144159213435</c:v>
                </c:pt>
                <c:pt idx="24">
                  <c:v>0.29631376877149568</c:v>
                </c:pt>
                <c:pt idx="25">
                  <c:v>0.29461486323292091</c:v>
                </c:pt>
                <c:pt idx="26">
                  <c:v>0.29307775822182941</c:v>
                </c:pt>
                <c:pt idx="27">
                  <c:v>0.29168039002992807</c:v>
                </c:pt>
                <c:pt idx="28">
                  <c:v>0.29040453211558342</c:v>
                </c:pt>
                <c:pt idx="29">
                  <c:v>0.28923499569410077</c:v>
                </c:pt>
                <c:pt idx="30">
                  <c:v>0.28815902218633677</c:v>
                </c:pt>
                <c:pt idx="31">
                  <c:v>0.2871658158714776</c:v>
                </c:pt>
                <c:pt idx="32">
                  <c:v>0.28624618039475624</c:v>
                </c:pt>
                <c:pt idx="33">
                  <c:v>0.28539223316637208</c:v>
                </c:pt>
                <c:pt idx="34">
                  <c:v>0.28459717885029029</c:v>
                </c:pt>
                <c:pt idx="35">
                  <c:v>0.28385512815528058</c:v>
                </c:pt>
                <c:pt idx="36">
                  <c:v>0.28316095169865868</c:v>
                </c:pt>
                <c:pt idx="37">
                  <c:v>0.28251016127057554</c:v>
                </c:pt>
                <c:pt idx="38">
                  <c:v>0.28189881268661876</c:v>
                </c:pt>
                <c:pt idx="39">
                  <c:v>0.2813234257840711</c:v>
                </c:pt>
                <c:pt idx="40">
                  <c:v>0.28078091813309769</c:v>
                </c:pt>
              </c:numCache>
            </c:numRef>
          </c:yVal>
          <c:smooth val="0"/>
          <c:extLst>
            <c:ext xmlns:c16="http://schemas.microsoft.com/office/drawing/2014/chart" uri="{C3380CC4-5D6E-409C-BE32-E72D297353CC}">
              <c16:uniqueId val="{00000000-5B6F-44A5-8132-C6EE024945D9}"/>
            </c:ext>
          </c:extLst>
        </c:ser>
        <c:dLbls>
          <c:showLegendKey val="0"/>
          <c:showVal val="0"/>
          <c:showCatName val="0"/>
          <c:showSerName val="0"/>
          <c:showPercent val="0"/>
          <c:showBubbleSize val="0"/>
        </c:dLbls>
        <c:axId val="1272765120"/>
        <c:axId val="1272756960"/>
      </c:scatterChart>
      <c:valAx>
        <c:axId val="1272765120"/>
        <c:scaling>
          <c:orientation val="minMax"/>
          <c:max val="35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Distance over car lifetime</a:t>
                </a:r>
              </a:p>
            </c:rich>
          </c:tx>
          <c:layout>
            <c:manualLayout>
              <c:xMode val="edge"/>
              <c:yMode val="edge"/>
              <c:x val="0.46655525309712603"/>
              <c:y val="0.8857994369874749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756960"/>
        <c:crosses val="autoZero"/>
        <c:crossBetween val="midCat"/>
      </c:valAx>
      <c:valAx>
        <c:axId val="1272756960"/>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r>
                  <a:rPr lang="en-US" sz="1800" b="0" i="0" baseline="0">
                    <a:effectLst/>
                  </a:rPr>
                  <a:t>kg fossil CO2/V-km </a:t>
                </a:r>
                <a:endParaRPr lang="en-US" sz="2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000">
                    <a:solidFill>
                      <a:sysClr val="windowText" lastClr="000000">
                        <a:lumMod val="65000"/>
                        <a:lumOff val="35000"/>
                      </a:sysClr>
                    </a:solidFill>
                  </a:defRPr>
                </a:pPr>
                <a:endParaRPr lang="en-US" sz="2000"/>
              </a:p>
            </c:rich>
          </c:tx>
          <c:layout>
            <c:manualLayout>
              <c:xMode val="edge"/>
              <c:yMode val="edge"/>
              <c:x val="7.9936051159072742E-3"/>
              <c:y val="0.353900425659227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765120"/>
        <c:crosses val="autoZero"/>
        <c:crossBetween val="midCat"/>
      </c:valAx>
      <c:spPr>
        <a:noFill/>
        <a:ln>
          <a:noFill/>
        </a:ln>
        <a:effectLst/>
      </c:spPr>
    </c:plotArea>
    <c:legend>
      <c:legendPos val="b"/>
      <c:layout>
        <c:manualLayout>
          <c:xMode val="edge"/>
          <c:yMode val="edge"/>
          <c:x val="0.11251546794060814"/>
          <c:y val="0.94070009383542075"/>
          <c:w val="0.77337028015382969"/>
          <c:h val="4.8937211864061032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Comparison of Global Warming</a:t>
            </a:r>
            <a:r>
              <a:rPr lang="en-US" sz="2400" baseline="0"/>
              <a:t> score kgCO2equ</a:t>
            </a:r>
            <a:endParaRPr lang="en-US" sz="2400"/>
          </a:p>
        </c:rich>
      </c:tx>
      <c:layout>
        <c:manualLayout>
          <c:xMode val="edge"/>
          <c:yMode val="edge"/>
          <c:x val="0.3803448450824381"/>
          <c:y val="3.1758130081300816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268636914319852"/>
          <c:y val="0.13401987353206865"/>
          <c:w val="0.69516983218493889"/>
          <c:h val="0.52304079763048894"/>
        </c:manualLayout>
      </c:layout>
      <c:barChart>
        <c:barDir val="col"/>
        <c:grouping val="stacked"/>
        <c:varyColors val="0"/>
        <c:ser>
          <c:idx val="0"/>
          <c:order val="0"/>
          <c:tx>
            <c:strRef>
              <c:f>'Gasoline and electric vehicles'!$AC$5</c:f>
              <c:strCache>
                <c:ptCount val="1"/>
                <c:pt idx="0">
                  <c:v>Car manufacturing</c:v>
                </c:pt>
              </c:strCache>
            </c:strRef>
          </c:tx>
          <c:spPr>
            <a:solidFill>
              <a:schemeClr val="accent1"/>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vehicles'!$AD$5:$AL$5</c:f>
              <c:numCache>
                <c:formatCode>0.00E+00</c:formatCode>
                <c:ptCount val="9"/>
                <c:pt idx="0">
                  <c:v>3.2715835106938825E-2</c:v>
                </c:pt>
                <c:pt idx="2">
                  <c:v>2.813817619115111E-2</c:v>
                </c:pt>
                <c:pt idx="4">
                  <c:v>2.813817619115111E-2</c:v>
                </c:pt>
                <c:pt idx="6">
                  <c:v>2.813817619115111E-2</c:v>
                </c:pt>
                <c:pt idx="8">
                  <c:v>2.813817619115111E-2</c:v>
                </c:pt>
              </c:numCache>
            </c:numRef>
          </c:val>
          <c:extLst>
            <c:ext xmlns:c16="http://schemas.microsoft.com/office/drawing/2014/chart" uri="{C3380CC4-5D6E-409C-BE32-E72D297353CC}">
              <c16:uniqueId val="{00000000-87DB-4523-B1A5-3177614F0D97}"/>
            </c:ext>
          </c:extLst>
        </c:ser>
        <c:ser>
          <c:idx val="1"/>
          <c:order val="1"/>
          <c:tx>
            <c:strRef>
              <c:f>'Gasoline and electric vehicles'!$AC$6</c:f>
              <c:strCache>
                <c:ptCount val="1"/>
                <c:pt idx="0">
                  <c:v>Car transportation</c:v>
                </c:pt>
              </c:strCache>
            </c:strRef>
          </c:tx>
          <c:spPr>
            <a:solidFill>
              <a:schemeClr val="accent2"/>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vehicles'!$AD$6:$AL$6</c:f>
              <c:numCache>
                <c:formatCode>0.00E+00</c:formatCode>
                <c:ptCount val="9"/>
                <c:pt idx="0">
                  <c:v>8.8597412222393332E-4</c:v>
                </c:pt>
                <c:pt idx="2">
                  <c:v>5.5445068255640002E-4</c:v>
                </c:pt>
                <c:pt idx="4">
                  <c:v>5.5445068255640002E-4</c:v>
                </c:pt>
                <c:pt idx="6">
                  <c:v>5.5445068255640002E-4</c:v>
                </c:pt>
                <c:pt idx="8">
                  <c:v>5.5445068255640002E-4</c:v>
                </c:pt>
              </c:numCache>
            </c:numRef>
          </c:val>
          <c:extLst>
            <c:ext xmlns:c16="http://schemas.microsoft.com/office/drawing/2014/chart" uri="{C3380CC4-5D6E-409C-BE32-E72D297353CC}">
              <c16:uniqueId val="{00000001-87DB-4523-B1A5-3177614F0D97}"/>
            </c:ext>
          </c:extLst>
        </c:ser>
        <c:ser>
          <c:idx val="2"/>
          <c:order val="2"/>
          <c:tx>
            <c:strRef>
              <c:f>'Gasoline and electric vehicles'!$AC$7</c:f>
              <c:strCache>
                <c:ptCount val="1"/>
                <c:pt idx="0">
                  <c:v>Car disposal</c:v>
                </c:pt>
              </c:strCache>
            </c:strRef>
          </c:tx>
          <c:spPr>
            <a:solidFill>
              <a:schemeClr val="accent3"/>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vehicles'!$AD$7:$AL$7</c:f>
              <c:numCache>
                <c:formatCode>0.00E+00</c:formatCode>
                <c:ptCount val="9"/>
                <c:pt idx="0">
                  <c:v>1.4025446354822002E-3</c:v>
                </c:pt>
                <c:pt idx="2">
                  <c:v>7.930798874666667E-4</c:v>
                </c:pt>
                <c:pt idx="4">
                  <c:v>7.930798874666667E-4</c:v>
                </c:pt>
                <c:pt idx="6">
                  <c:v>7.930798874666667E-4</c:v>
                </c:pt>
                <c:pt idx="8">
                  <c:v>7.930798874666667E-4</c:v>
                </c:pt>
              </c:numCache>
            </c:numRef>
          </c:val>
          <c:extLst>
            <c:ext xmlns:c16="http://schemas.microsoft.com/office/drawing/2014/chart" uri="{C3380CC4-5D6E-409C-BE32-E72D297353CC}">
              <c16:uniqueId val="{00000002-87DB-4523-B1A5-3177614F0D97}"/>
            </c:ext>
          </c:extLst>
        </c:ser>
        <c:ser>
          <c:idx val="5"/>
          <c:order val="3"/>
          <c:tx>
            <c:strRef>
              <c:f>'Gasoline and electric vehicles'!$AC$8</c:f>
              <c:strCache>
                <c:ptCount val="1"/>
                <c:pt idx="0">
                  <c:v>Petrol gas </c:v>
                </c:pt>
              </c:strCache>
            </c:strRef>
          </c:tx>
          <c:spPr>
            <a:solidFill>
              <a:schemeClr val="accent6"/>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vehicles'!$AD$8:$AL$8</c:f>
              <c:numCache>
                <c:formatCode>0.000</c:formatCode>
                <c:ptCount val="9"/>
                <c:pt idx="0">
                  <c:v>0.23210109519047617</c:v>
                </c:pt>
              </c:numCache>
            </c:numRef>
          </c:val>
          <c:extLst>
            <c:ext xmlns:c16="http://schemas.microsoft.com/office/drawing/2014/chart" uri="{C3380CC4-5D6E-409C-BE32-E72D297353CC}">
              <c16:uniqueId val="{00000003-87DB-4523-B1A5-3177614F0D97}"/>
            </c:ext>
          </c:extLst>
        </c:ser>
        <c:ser>
          <c:idx val="6"/>
          <c:order val="4"/>
          <c:tx>
            <c:strRef>
              <c:f>'Gasoline and electric vehicles'!$AC$9</c:f>
              <c:strCache>
                <c:ptCount val="1"/>
                <c:pt idx="0">
                  <c:v>Electric charging - RER</c:v>
                </c:pt>
              </c:strCache>
            </c:strRef>
          </c:tx>
          <c:spPr>
            <a:solidFill>
              <a:schemeClr val="accent1">
                <a:lumMod val="60000"/>
              </a:schemeClr>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vehicles'!$AD$9:$AL$9</c:f>
              <c:numCache>
                <c:formatCode>General</c:formatCode>
                <c:ptCount val="9"/>
                <c:pt idx="2" formatCode="0.000">
                  <c:v>0.11140719460000001</c:v>
                </c:pt>
              </c:numCache>
            </c:numRef>
          </c:val>
          <c:extLst>
            <c:ext xmlns:c16="http://schemas.microsoft.com/office/drawing/2014/chart" uri="{C3380CC4-5D6E-409C-BE32-E72D297353CC}">
              <c16:uniqueId val="{00000004-87DB-4523-B1A5-3177614F0D97}"/>
            </c:ext>
          </c:extLst>
        </c:ser>
        <c:ser>
          <c:idx val="3"/>
          <c:order val="6"/>
          <c:tx>
            <c:strRef>
              <c:f>'Gasoline and electric vehicles'!$AC$11</c:f>
              <c:strCache>
                <c:ptCount val="1"/>
                <c:pt idx="0">
                  <c:v>Electric charging - photovoltaic</c:v>
                </c:pt>
              </c:strCache>
            </c:strRef>
          </c:tx>
          <c:spPr>
            <a:solidFill>
              <a:schemeClr val="accent4"/>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vehicles'!$AD$11:$AL$11</c:f>
              <c:numCache>
                <c:formatCode>General</c:formatCode>
                <c:ptCount val="9"/>
                <c:pt idx="6" formatCode="0.000">
                  <c:v>2.0308718819999998E-2</c:v>
                </c:pt>
              </c:numCache>
            </c:numRef>
          </c:val>
          <c:extLst>
            <c:ext xmlns:c16="http://schemas.microsoft.com/office/drawing/2014/chart" uri="{C3380CC4-5D6E-409C-BE32-E72D297353CC}">
              <c16:uniqueId val="{00000005-87DB-4523-B1A5-3177614F0D97}"/>
            </c:ext>
          </c:extLst>
        </c:ser>
        <c:ser>
          <c:idx val="7"/>
          <c:order val="5"/>
          <c:tx>
            <c:strRef>
              <c:f>'Gasoline and electric vehicles'!$AC$10</c:f>
              <c:strCache>
                <c:ptCount val="1"/>
                <c:pt idx="0">
                  <c:v>Electric charging - wind</c:v>
                </c:pt>
              </c:strCache>
            </c:strRef>
          </c:tx>
          <c:spPr>
            <a:solidFill>
              <a:schemeClr val="accent2">
                <a:lumMod val="60000"/>
              </a:schemeClr>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vehicles'!$AD$10:$AL$10</c:f>
              <c:numCache>
                <c:formatCode>General</c:formatCode>
                <c:ptCount val="9"/>
                <c:pt idx="4" formatCode="0.0000">
                  <c:v>3.7652069E-3</c:v>
                </c:pt>
              </c:numCache>
            </c:numRef>
          </c:val>
          <c:extLst>
            <c:ext xmlns:c16="http://schemas.microsoft.com/office/drawing/2014/chart" uri="{C3380CC4-5D6E-409C-BE32-E72D297353CC}">
              <c16:uniqueId val="{00000006-87DB-4523-B1A5-3177614F0D97}"/>
            </c:ext>
          </c:extLst>
        </c:ser>
        <c:ser>
          <c:idx val="4"/>
          <c:order val="7"/>
          <c:tx>
            <c:strRef>
              <c:f>'Gasoline and electric vehicles'!$AC$12</c:f>
              <c:strCache>
                <c:ptCount val="1"/>
                <c:pt idx="0">
                  <c:v>Electric charging - hard coal</c:v>
                </c:pt>
              </c:strCache>
            </c:strRef>
          </c:tx>
          <c:spPr>
            <a:solidFill>
              <a:schemeClr val="accent5"/>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vehicles'!$AD$12:$AL$12</c:f>
              <c:numCache>
                <c:formatCode>General</c:formatCode>
                <c:ptCount val="9"/>
                <c:pt idx="8" formatCode="0.000">
                  <c:v>0.26233565799999997</c:v>
                </c:pt>
              </c:numCache>
            </c:numRef>
          </c:val>
          <c:extLst xmlns:c15="http://schemas.microsoft.com/office/drawing/2012/chart">
            <c:ext xmlns:c16="http://schemas.microsoft.com/office/drawing/2014/chart" uri="{C3380CC4-5D6E-409C-BE32-E72D297353CC}">
              <c16:uniqueId val="{00000007-87DB-4523-B1A5-3177614F0D97}"/>
            </c:ext>
          </c:extLst>
        </c:ser>
        <c:ser>
          <c:idx val="9"/>
          <c:order val="9"/>
          <c:tx>
            <c:strRef>
              <c:f>'Gasoline and electric vehicles'!$AC$14</c:f>
              <c:strCache>
                <c:ptCount val="1"/>
                <c:pt idx="0">
                  <c:v>Climate change, short term - Open LCA</c:v>
                </c:pt>
              </c:strCache>
            </c:strRef>
          </c:tx>
          <c:spPr>
            <a:solidFill>
              <a:schemeClr val="accent4">
                <a:lumMod val="60000"/>
              </a:schemeClr>
            </a:solidFill>
            <a:ln>
              <a:noFill/>
            </a:ln>
            <a:effectLst/>
          </c:spPr>
          <c:invertIfNegative val="0"/>
          <c:cat>
            <c:strRef>
              <c:f>'Gasoline and electric vehicles'!$AD$4:$AL$4</c:f>
              <c:strCache>
                <c:ptCount val="9"/>
                <c:pt idx="0">
                  <c:v>Gas Vehicle</c:v>
                </c:pt>
                <c:pt idx="2">
                  <c:v>Electric Vehicle - EU mix</c:v>
                </c:pt>
                <c:pt idx="4">
                  <c:v>Electric Vehicle - Wind</c:v>
                </c:pt>
                <c:pt idx="6">
                  <c:v>Electric Vehicle - Photovoltaic</c:v>
                </c:pt>
                <c:pt idx="8">
                  <c:v>Electric Vehicle - 
hard coal</c:v>
                </c:pt>
              </c:strCache>
            </c:strRef>
          </c:cat>
          <c:val>
            <c:numRef>
              <c:f>'Gasoline and electric vehicles'!$AD$14:$AL$14</c:f>
              <c:numCache>
                <c:formatCode>0.000</c:formatCode>
                <c:ptCount val="9"/>
                <c:pt idx="1">
                  <c:v>0.273011</c:v>
                </c:pt>
                <c:pt idx="3">
                  <c:v>0.14781</c:v>
                </c:pt>
                <c:pt idx="5">
                  <c:v>3.1087E-2</c:v>
                </c:pt>
                <c:pt idx="7">
                  <c:v>3.9528199999999999E-2</c:v>
                </c:pt>
              </c:numCache>
            </c:numRef>
          </c:val>
          <c:extLst>
            <c:ext xmlns:c16="http://schemas.microsoft.com/office/drawing/2014/chart" uri="{C3380CC4-5D6E-409C-BE32-E72D297353CC}">
              <c16:uniqueId val="{00000000-EB6B-42AB-95AD-D0CA61FF4B0C}"/>
            </c:ext>
          </c:extLst>
        </c:ser>
        <c:dLbls>
          <c:showLegendKey val="0"/>
          <c:showVal val="0"/>
          <c:showCatName val="0"/>
          <c:showSerName val="0"/>
          <c:showPercent val="0"/>
          <c:showBubbleSize val="0"/>
        </c:dLbls>
        <c:gapWidth val="150"/>
        <c:overlap val="100"/>
        <c:axId val="1272769472"/>
        <c:axId val="1272761312"/>
        <c:extLst>
          <c:ext xmlns:c15="http://schemas.microsoft.com/office/drawing/2012/chart" uri="{02D57815-91ED-43cb-92C2-25804820EDAC}">
            <c15:filteredBarSeries>
              <c15:ser>
                <c:idx val="8"/>
                <c:order val="8"/>
                <c:tx>
                  <c:strRef>
                    <c:extLst>
                      <c:ext uri="{02D57815-91ED-43cb-92C2-25804820EDAC}">
                        <c15:formulaRef>
                          <c15:sqref>'Gasoline and electric vehicles'!$AC$13</c15:sqref>
                        </c15:formulaRef>
                      </c:ext>
                    </c:extLst>
                    <c:strCache>
                      <c:ptCount val="1"/>
                      <c:pt idx="0">
                        <c:v>Net value</c:v>
                      </c:pt>
                    </c:strCache>
                  </c:strRef>
                </c:tx>
                <c:spPr>
                  <a:solidFill>
                    <a:schemeClr val="accent3">
                      <a:lumMod val="60000"/>
                    </a:schemeClr>
                  </a:solidFill>
                  <a:ln>
                    <a:noFill/>
                  </a:ln>
                  <a:effectLst/>
                </c:spPr>
                <c:invertIfNegative val="0"/>
                <c:cat>
                  <c:strRef>
                    <c:extLst>
                      <c:ext uri="{02D57815-91ED-43cb-92C2-25804820EDAC}">
                        <c15:formulaRef>
                          <c15:sqref>'Gasoline and electric vehicles'!$AD$4:$AL$4</c15:sqref>
                        </c15:formulaRef>
                      </c:ext>
                    </c:extLst>
                    <c:strCache>
                      <c:ptCount val="9"/>
                      <c:pt idx="0">
                        <c:v>Gas Vehicle</c:v>
                      </c:pt>
                      <c:pt idx="2">
                        <c:v>Electric Vehicle - EU mix</c:v>
                      </c:pt>
                      <c:pt idx="4">
                        <c:v>Electric Vehicle - Wind</c:v>
                      </c:pt>
                      <c:pt idx="6">
                        <c:v>Electric Vehicle - Photovoltaic</c:v>
                      </c:pt>
                      <c:pt idx="8">
                        <c:v>Electric Vehicle - 
hard coal</c:v>
                      </c:pt>
                    </c:strCache>
                  </c:strRef>
                </c:cat>
                <c:val>
                  <c:numRef>
                    <c:extLst>
                      <c:ext uri="{02D57815-91ED-43cb-92C2-25804820EDAC}">
                        <c15:formulaRef>
                          <c15:sqref>'Gasoline and electric vehicles'!$AD$13:$AL$13</c15:sqref>
                        </c15:formulaRef>
                      </c:ext>
                    </c:extLst>
                    <c:numCache>
                      <c:formatCode>0.000</c:formatCode>
                      <c:ptCount val="9"/>
                      <c:pt idx="0">
                        <c:v>0.26710544905512112</c:v>
                      </c:pt>
                      <c:pt idx="2">
                        <c:v>0.14089290136117419</c:v>
                      </c:pt>
                      <c:pt idx="4">
                        <c:v>3.3250913661174178E-2</c:v>
                      </c:pt>
                      <c:pt idx="6">
                        <c:v>4.9794425581174175E-2</c:v>
                      </c:pt>
                      <c:pt idx="8">
                        <c:v>0.29182136476117415</c:v>
                      </c:pt>
                    </c:numCache>
                  </c:numRef>
                </c:val>
                <c:extLst>
                  <c:ext xmlns:c16="http://schemas.microsoft.com/office/drawing/2014/chart" uri="{C3380CC4-5D6E-409C-BE32-E72D297353CC}">
                    <c16:uniqueId val="{00000008-87DB-4523-B1A5-3177614F0D97}"/>
                  </c:ext>
                </c:extLst>
              </c15:ser>
            </c15:filteredBarSeries>
          </c:ext>
        </c:extLst>
      </c:barChart>
      <c:catAx>
        <c:axId val="12727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72761312"/>
        <c:crossesAt val="-5.000000000000001E-2"/>
        <c:auto val="1"/>
        <c:lblAlgn val="ctr"/>
        <c:lblOffset val="100"/>
        <c:noMultiLvlLbl val="0"/>
      </c:catAx>
      <c:valAx>
        <c:axId val="127276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GW score [kg</a:t>
                </a:r>
                <a:r>
                  <a:rPr lang="en-US" sz="2400" baseline="-25000"/>
                  <a:t>CO2equ</a:t>
                </a:r>
                <a:r>
                  <a:rPr lang="en-US" sz="2400"/>
                  <a:t>/FU]</a:t>
                </a:r>
              </a:p>
            </c:rich>
          </c:tx>
          <c:layout>
            <c:manualLayout>
              <c:xMode val="edge"/>
              <c:yMode val="edge"/>
              <c:x val="6.0985032850096509E-2"/>
              <c:y val="0.2273378248101153"/>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272769472"/>
        <c:crosses val="autoZero"/>
        <c:crossBetween val="between"/>
      </c:valAx>
      <c:spPr>
        <a:noFill/>
        <a:ln>
          <a:noFill/>
        </a:ln>
        <a:effectLst/>
      </c:spPr>
    </c:plotArea>
    <c:legend>
      <c:legendPos val="b"/>
      <c:layout>
        <c:manualLayout>
          <c:xMode val="edge"/>
          <c:yMode val="edge"/>
          <c:x val="8.1040438386661653E-2"/>
          <c:y val="0.75080550110631161"/>
          <c:w val="0.66383706050505153"/>
          <c:h val="0.13148646053389668"/>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Cumulative global warming score over vehicle lifetime</a:t>
            </a:r>
          </a:p>
        </c:rich>
      </c:tx>
      <c:layout>
        <c:manualLayout>
          <c:xMode val="edge"/>
          <c:yMode val="edge"/>
          <c:x val="0.34256317712965184"/>
          <c:y val="1.9223375624759707E-2"/>
        </c:manualLayout>
      </c:layout>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'Gasoline and electric vehicles'!$AP$4</c:f>
              <c:strCache>
                <c:ptCount val="1"/>
                <c:pt idx="0">
                  <c:v>Gas Vehicle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vehicles'!$AP$5:$AP$45</c:f>
              <c:numCache>
                <c:formatCode>0.00E+00</c:formatCode>
                <c:ptCount val="41"/>
                <c:pt idx="0" formatCode="General">
                  <c:v>5040.2713843744132</c:v>
                </c:pt>
                <c:pt idx="1">
                  <c:v>5272.3724795648895</c:v>
                </c:pt>
                <c:pt idx="2">
                  <c:v>5504.4735747553659</c:v>
                </c:pt>
                <c:pt idx="3">
                  <c:v>5736.5746699458414</c:v>
                </c:pt>
                <c:pt idx="4">
                  <c:v>6200.7768603267941</c:v>
                </c:pt>
                <c:pt idx="5">
                  <c:v>6664.9790507077469</c:v>
                </c:pt>
                <c:pt idx="6">
                  <c:v>7361.2823362791751</c:v>
                </c:pt>
                <c:pt idx="7">
                  <c:v>9682.293288183937</c:v>
                </c:pt>
                <c:pt idx="8">
                  <c:v>12003.304240088699</c:v>
                </c:pt>
                <c:pt idx="9">
                  <c:v>14324.315191993461</c:v>
                </c:pt>
                <c:pt idx="10">
                  <c:v>16645.326143898223</c:v>
                </c:pt>
                <c:pt idx="11">
                  <c:v>18966.337095802985</c:v>
                </c:pt>
                <c:pt idx="12">
                  <c:v>21287.348047707746</c:v>
                </c:pt>
                <c:pt idx="13">
                  <c:v>23608.358999612508</c:v>
                </c:pt>
                <c:pt idx="14">
                  <c:v>25929.36995151727</c:v>
                </c:pt>
                <c:pt idx="15">
                  <c:v>28250.380903422028</c:v>
                </c:pt>
                <c:pt idx="16">
                  <c:v>30571.39185532679</c:v>
                </c:pt>
                <c:pt idx="17">
                  <c:v>32892.402807231556</c:v>
                </c:pt>
                <c:pt idx="18">
                  <c:v>35213.413759136311</c:v>
                </c:pt>
                <c:pt idx="19">
                  <c:v>37534.42471104108</c:v>
                </c:pt>
                <c:pt idx="20">
                  <c:v>39855.435662945842</c:v>
                </c:pt>
                <c:pt idx="21">
                  <c:v>42176.446614850604</c:v>
                </c:pt>
                <c:pt idx="22">
                  <c:v>44497.457566755365</c:v>
                </c:pt>
                <c:pt idx="23">
                  <c:v>46818.468518660127</c:v>
                </c:pt>
                <c:pt idx="24">
                  <c:v>49139.479470564882</c:v>
                </c:pt>
                <c:pt idx="25">
                  <c:v>51460.490422469644</c:v>
                </c:pt>
                <c:pt idx="26">
                  <c:v>53781.501374374406</c:v>
                </c:pt>
                <c:pt idx="27">
                  <c:v>56102.512326279168</c:v>
                </c:pt>
                <c:pt idx="28">
                  <c:v>58423.52327818393</c:v>
                </c:pt>
                <c:pt idx="29">
                  <c:v>60744.534230088691</c:v>
                </c:pt>
                <c:pt idx="30">
                  <c:v>63065.545181993453</c:v>
                </c:pt>
                <c:pt idx="31">
                  <c:v>65386.556133898215</c:v>
                </c:pt>
                <c:pt idx="32">
                  <c:v>67707.567085802977</c:v>
                </c:pt>
                <c:pt idx="33">
                  <c:v>70028.578037707746</c:v>
                </c:pt>
                <c:pt idx="34">
                  <c:v>72349.588989612501</c:v>
                </c:pt>
                <c:pt idx="35">
                  <c:v>74670.59994151727</c:v>
                </c:pt>
                <c:pt idx="36">
                  <c:v>76991.610893422025</c:v>
                </c:pt>
                <c:pt idx="37">
                  <c:v>79312.621845326794</c:v>
                </c:pt>
                <c:pt idx="38">
                  <c:v>81633.632797231548</c:v>
                </c:pt>
                <c:pt idx="39">
                  <c:v>83954.643749136318</c:v>
                </c:pt>
                <c:pt idx="40">
                  <c:v>86275.654701041072</c:v>
                </c:pt>
              </c:numCache>
            </c:numRef>
          </c:yVal>
          <c:smooth val="0"/>
          <c:extLst>
            <c:ext xmlns:c16="http://schemas.microsoft.com/office/drawing/2014/chart" uri="{C3380CC4-5D6E-409C-BE32-E72D297353CC}">
              <c16:uniqueId val="{00000000-C80E-4537-9DCE-049604E25E6A}"/>
            </c:ext>
          </c:extLst>
        </c:ser>
        <c:ser>
          <c:idx val="1"/>
          <c:order val="1"/>
          <c:tx>
            <c:strRef>
              <c:f>'Gasoline and electric vehicles'!$AQ$4</c:f>
              <c:strCache>
                <c:ptCount val="1"/>
                <c:pt idx="0">
                  <c:v>Electric Vehicle - EU mix</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vehicles'!$AQ$5:$AQ$45</c:f>
              <c:numCache>
                <c:formatCode>0.00E+00</c:formatCode>
                <c:ptCount val="41"/>
                <c:pt idx="0" formatCode="General">
                  <c:v>6455.8410465841889</c:v>
                </c:pt>
                <c:pt idx="1">
                  <c:v>6567.2482411841893</c:v>
                </c:pt>
                <c:pt idx="2">
                  <c:v>6678.6554357841887</c:v>
                </c:pt>
                <c:pt idx="3">
                  <c:v>6790.0626303841891</c:v>
                </c:pt>
                <c:pt idx="4">
                  <c:v>7012.8770195841889</c:v>
                </c:pt>
                <c:pt idx="5">
                  <c:v>7235.6914087841888</c:v>
                </c:pt>
                <c:pt idx="6">
                  <c:v>7569.9129925841889</c:v>
                </c:pt>
                <c:pt idx="7">
                  <c:v>8683.9849385841881</c:v>
                </c:pt>
                <c:pt idx="8">
                  <c:v>9798.0568845841881</c:v>
                </c:pt>
                <c:pt idx="9">
                  <c:v>10912.128830584188</c:v>
                </c:pt>
                <c:pt idx="10">
                  <c:v>12026.200776584188</c:v>
                </c:pt>
                <c:pt idx="11">
                  <c:v>13140.272722584188</c:v>
                </c:pt>
                <c:pt idx="12">
                  <c:v>14254.34466858419</c:v>
                </c:pt>
                <c:pt idx="13">
                  <c:v>15368.416614584188</c:v>
                </c:pt>
                <c:pt idx="14">
                  <c:v>16482.488560584188</c:v>
                </c:pt>
                <c:pt idx="15">
                  <c:v>17596.560506584188</c:v>
                </c:pt>
                <c:pt idx="16">
                  <c:v>18710.632452584188</c:v>
                </c:pt>
                <c:pt idx="17">
                  <c:v>19824.704398584188</c:v>
                </c:pt>
                <c:pt idx="18">
                  <c:v>20938.776344584188</c:v>
                </c:pt>
                <c:pt idx="19">
                  <c:v>22052.848290584192</c:v>
                </c:pt>
                <c:pt idx="20">
                  <c:v>23166.920236584188</c:v>
                </c:pt>
                <c:pt idx="21">
                  <c:v>24280.992182584188</c:v>
                </c:pt>
                <c:pt idx="22">
                  <c:v>25395.064128584188</c:v>
                </c:pt>
                <c:pt idx="23">
                  <c:v>26509.136074584188</c:v>
                </c:pt>
                <c:pt idx="24">
                  <c:v>27623.208020584188</c:v>
                </c:pt>
                <c:pt idx="25">
                  <c:v>28737.279966584189</c:v>
                </c:pt>
                <c:pt idx="26">
                  <c:v>29851.351912584189</c:v>
                </c:pt>
                <c:pt idx="27">
                  <c:v>30965.423858584189</c:v>
                </c:pt>
                <c:pt idx="28">
                  <c:v>32079.495804584189</c:v>
                </c:pt>
                <c:pt idx="29">
                  <c:v>33193.567750584189</c:v>
                </c:pt>
                <c:pt idx="30">
                  <c:v>34307.639696584192</c:v>
                </c:pt>
                <c:pt idx="31">
                  <c:v>35421.711642584189</c:v>
                </c:pt>
                <c:pt idx="32">
                  <c:v>36535.783588584192</c:v>
                </c:pt>
                <c:pt idx="33">
                  <c:v>37649.855534584196</c:v>
                </c:pt>
                <c:pt idx="34">
                  <c:v>38763.927480584192</c:v>
                </c:pt>
                <c:pt idx="35">
                  <c:v>39877.999426584189</c:v>
                </c:pt>
                <c:pt idx="36">
                  <c:v>40992.071372584192</c:v>
                </c:pt>
                <c:pt idx="37">
                  <c:v>42106.143318584189</c:v>
                </c:pt>
                <c:pt idx="38">
                  <c:v>43220.215264584192</c:v>
                </c:pt>
                <c:pt idx="39">
                  <c:v>44334.287210584189</c:v>
                </c:pt>
                <c:pt idx="40">
                  <c:v>45448.359156584193</c:v>
                </c:pt>
              </c:numCache>
            </c:numRef>
          </c:yVal>
          <c:smooth val="0"/>
          <c:extLst>
            <c:ext xmlns:c16="http://schemas.microsoft.com/office/drawing/2014/chart" uri="{C3380CC4-5D6E-409C-BE32-E72D297353CC}">
              <c16:uniqueId val="{00000001-C80E-4537-9DCE-049604E25E6A}"/>
            </c:ext>
          </c:extLst>
        </c:ser>
        <c:ser>
          <c:idx val="2"/>
          <c:order val="2"/>
          <c:tx>
            <c:strRef>
              <c:f>'Gasoline and electric vehicles'!$AR$4</c:f>
              <c:strCache>
                <c:ptCount val="1"/>
                <c:pt idx="0">
                  <c:v>Electric Vehicle - Wind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vehicles'!$AR$5:$AR$45</c:f>
              <c:numCache>
                <c:formatCode>0.00E+00</c:formatCode>
                <c:ptCount val="41"/>
                <c:pt idx="0" formatCode="General">
                  <c:v>6455.8410465841889</c:v>
                </c:pt>
                <c:pt idx="1">
                  <c:v>6459.6062534841885</c:v>
                </c:pt>
                <c:pt idx="2">
                  <c:v>6463.371460384189</c:v>
                </c:pt>
                <c:pt idx="3">
                  <c:v>6467.1366672841887</c:v>
                </c:pt>
                <c:pt idx="4">
                  <c:v>6474.6670810841888</c:v>
                </c:pt>
                <c:pt idx="5">
                  <c:v>6482.1974948841889</c:v>
                </c:pt>
                <c:pt idx="6">
                  <c:v>6493.4931155841887</c:v>
                </c:pt>
                <c:pt idx="7">
                  <c:v>6531.1451845841893</c:v>
                </c:pt>
                <c:pt idx="8">
                  <c:v>6568.7972535841891</c:v>
                </c:pt>
                <c:pt idx="9">
                  <c:v>6606.4493225841888</c:v>
                </c:pt>
                <c:pt idx="10">
                  <c:v>6644.1013915841886</c:v>
                </c:pt>
                <c:pt idx="11">
                  <c:v>6681.7534605841893</c:v>
                </c:pt>
                <c:pt idx="12">
                  <c:v>6719.405529584189</c:v>
                </c:pt>
                <c:pt idx="13">
                  <c:v>6757.0575985841888</c:v>
                </c:pt>
                <c:pt idx="14">
                  <c:v>6794.7096675841885</c:v>
                </c:pt>
                <c:pt idx="15">
                  <c:v>6832.3617365841892</c:v>
                </c:pt>
                <c:pt idx="16">
                  <c:v>6870.013805584189</c:v>
                </c:pt>
                <c:pt idx="17">
                  <c:v>6907.6658745841887</c:v>
                </c:pt>
                <c:pt idx="18">
                  <c:v>6945.3179435841885</c:v>
                </c:pt>
                <c:pt idx="19">
                  <c:v>6982.9700125841891</c:v>
                </c:pt>
                <c:pt idx="20">
                  <c:v>7020.6220815841889</c:v>
                </c:pt>
                <c:pt idx="21">
                  <c:v>7058.2741505841886</c:v>
                </c:pt>
                <c:pt idx="22">
                  <c:v>7095.9262195841893</c:v>
                </c:pt>
                <c:pt idx="23">
                  <c:v>7133.5782885841891</c:v>
                </c:pt>
                <c:pt idx="24">
                  <c:v>7171.2303575841888</c:v>
                </c:pt>
                <c:pt idx="25">
                  <c:v>7208.8824265841886</c:v>
                </c:pt>
                <c:pt idx="26">
                  <c:v>7246.5344955841892</c:v>
                </c:pt>
                <c:pt idx="27">
                  <c:v>7284.186564584189</c:v>
                </c:pt>
                <c:pt idx="28">
                  <c:v>7321.8386335841888</c:v>
                </c:pt>
                <c:pt idx="29">
                  <c:v>7359.4907025841894</c:v>
                </c:pt>
                <c:pt idx="30">
                  <c:v>7397.1427715841892</c:v>
                </c:pt>
                <c:pt idx="31">
                  <c:v>7434.7948405841889</c:v>
                </c:pt>
                <c:pt idx="32">
                  <c:v>7472.4469095841887</c:v>
                </c:pt>
                <c:pt idx="33">
                  <c:v>7510.0989785841884</c:v>
                </c:pt>
                <c:pt idx="34">
                  <c:v>7547.7510475841891</c:v>
                </c:pt>
                <c:pt idx="35">
                  <c:v>7585.4031165841889</c:v>
                </c:pt>
                <c:pt idx="36">
                  <c:v>7623.0551855841886</c:v>
                </c:pt>
                <c:pt idx="37">
                  <c:v>7660.7072545841893</c:v>
                </c:pt>
                <c:pt idx="38">
                  <c:v>7698.359323584189</c:v>
                </c:pt>
                <c:pt idx="39">
                  <c:v>7736.0113925841888</c:v>
                </c:pt>
                <c:pt idx="40">
                  <c:v>7773.6634615841886</c:v>
                </c:pt>
              </c:numCache>
            </c:numRef>
          </c:yVal>
          <c:smooth val="0"/>
          <c:extLst>
            <c:ext xmlns:c16="http://schemas.microsoft.com/office/drawing/2014/chart" uri="{C3380CC4-5D6E-409C-BE32-E72D297353CC}">
              <c16:uniqueId val="{00000002-C80E-4537-9DCE-049604E25E6A}"/>
            </c:ext>
          </c:extLst>
        </c:ser>
        <c:ser>
          <c:idx val="3"/>
          <c:order val="3"/>
          <c:tx>
            <c:strRef>
              <c:f>'Gasoline and electric vehicles'!$AS$4</c:f>
              <c:strCache>
                <c:ptCount val="1"/>
                <c:pt idx="0">
                  <c:v>Electric Vehicle - Photovoltaic</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vehicles'!$AS$5:$AS$45</c:f>
              <c:numCache>
                <c:formatCode>0.00E+00</c:formatCode>
                <c:ptCount val="41"/>
                <c:pt idx="0" formatCode="General">
                  <c:v>6455.8410465841889</c:v>
                </c:pt>
                <c:pt idx="1">
                  <c:v>6476.1497654041887</c:v>
                </c:pt>
                <c:pt idx="2">
                  <c:v>6496.4584842241893</c:v>
                </c:pt>
                <c:pt idx="3">
                  <c:v>6516.767203044189</c:v>
                </c:pt>
                <c:pt idx="4">
                  <c:v>6557.3846406841885</c:v>
                </c:pt>
                <c:pt idx="5">
                  <c:v>6598.0020783241889</c:v>
                </c:pt>
                <c:pt idx="6">
                  <c:v>6658.928234784189</c:v>
                </c:pt>
                <c:pt idx="7">
                  <c:v>6862.0154229841892</c:v>
                </c:pt>
                <c:pt idx="8">
                  <c:v>7065.1026111841893</c:v>
                </c:pt>
                <c:pt idx="9">
                  <c:v>7268.1897993841885</c:v>
                </c:pt>
                <c:pt idx="10">
                  <c:v>7471.2769875841886</c:v>
                </c:pt>
                <c:pt idx="11">
                  <c:v>7674.3641757841888</c:v>
                </c:pt>
                <c:pt idx="12">
                  <c:v>7877.4513639841889</c:v>
                </c:pt>
                <c:pt idx="13">
                  <c:v>8080.538552184189</c:v>
                </c:pt>
                <c:pt idx="14">
                  <c:v>8283.6257403841882</c:v>
                </c:pt>
                <c:pt idx="15">
                  <c:v>8486.7129285841893</c:v>
                </c:pt>
                <c:pt idx="16">
                  <c:v>8689.8001167841885</c:v>
                </c:pt>
                <c:pt idx="17">
                  <c:v>8892.8873049841895</c:v>
                </c:pt>
                <c:pt idx="18">
                  <c:v>9095.9744931841888</c:v>
                </c:pt>
                <c:pt idx="19">
                  <c:v>9299.061681384188</c:v>
                </c:pt>
                <c:pt idx="20">
                  <c:v>9502.148869584189</c:v>
                </c:pt>
                <c:pt idx="21">
                  <c:v>9705.2360577841882</c:v>
                </c:pt>
                <c:pt idx="22">
                  <c:v>9908.3232459841893</c:v>
                </c:pt>
                <c:pt idx="23">
                  <c:v>10111.410434184188</c:v>
                </c:pt>
                <c:pt idx="24">
                  <c:v>10314.497622384188</c:v>
                </c:pt>
                <c:pt idx="25">
                  <c:v>10517.584810584189</c:v>
                </c:pt>
                <c:pt idx="26">
                  <c:v>10720.67199878419</c:v>
                </c:pt>
                <c:pt idx="27">
                  <c:v>10923.759186984189</c:v>
                </c:pt>
                <c:pt idx="28">
                  <c:v>11126.846375184188</c:v>
                </c:pt>
                <c:pt idx="29">
                  <c:v>11329.933563384187</c:v>
                </c:pt>
                <c:pt idx="30">
                  <c:v>11533.020751584188</c:v>
                </c:pt>
                <c:pt idx="31">
                  <c:v>11736.10793978419</c:v>
                </c:pt>
                <c:pt idx="32">
                  <c:v>11939.195127984189</c:v>
                </c:pt>
                <c:pt idx="33">
                  <c:v>12142.282316184188</c:v>
                </c:pt>
                <c:pt idx="34">
                  <c:v>12345.369504384187</c:v>
                </c:pt>
                <c:pt idx="35">
                  <c:v>12548.456692584188</c:v>
                </c:pt>
                <c:pt idx="36">
                  <c:v>12751.543880784189</c:v>
                </c:pt>
                <c:pt idx="37">
                  <c:v>12954.631068984188</c:v>
                </c:pt>
                <c:pt idx="38">
                  <c:v>13157.718257184188</c:v>
                </c:pt>
                <c:pt idx="39">
                  <c:v>13360.805445384189</c:v>
                </c:pt>
                <c:pt idx="40">
                  <c:v>13563.892633584188</c:v>
                </c:pt>
              </c:numCache>
            </c:numRef>
          </c:yVal>
          <c:smooth val="0"/>
          <c:extLst>
            <c:ext xmlns:c16="http://schemas.microsoft.com/office/drawing/2014/chart" uri="{C3380CC4-5D6E-409C-BE32-E72D297353CC}">
              <c16:uniqueId val="{00000003-C80E-4537-9DCE-049604E25E6A}"/>
            </c:ext>
          </c:extLst>
        </c:ser>
        <c:ser>
          <c:idx val="4"/>
          <c:order val="4"/>
          <c:tx>
            <c:strRef>
              <c:f>'Gasoline and electric vehicles'!$AT$4</c:f>
              <c:strCache>
                <c:ptCount val="1"/>
                <c:pt idx="0">
                  <c:v>Electric Vehicle - Hard coal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'Gasoline and electric vehicles'!$AO$5:$AO$45</c:f>
              <c:numCache>
                <c:formatCode>General</c:formatCode>
                <c:ptCount val="41"/>
                <c:pt idx="0">
                  <c:v>0</c:v>
                </c:pt>
                <c:pt idx="1">
                  <c:v>1000</c:v>
                </c:pt>
                <c:pt idx="2">
                  <c:v>2000</c:v>
                </c:pt>
                <c:pt idx="3">
                  <c:v>3000</c:v>
                </c:pt>
                <c:pt idx="4">
                  <c:v>5000</c:v>
                </c:pt>
                <c:pt idx="5">
                  <c:v>7000</c:v>
                </c:pt>
                <c:pt idx="6">
                  <c:v>10000</c:v>
                </c:pt>
                <c:pt idx="7">
                  <c:v>20000</c:v>
                </c:pt>
                <c:pt idx="8">
                  <c:v>30000</c:v>
                </c:pt>
                <c:pt idx="9">
                  <c:v>40000</c:v>
                </c:pt>
                <c:pt idx="10">
                  <c:v>50000</c:v>
                </c:pt>
                <c:pt idx="11">
                  <c:v>60000</c:v>
                </c:pt>
                <c:pt idx="12">
                  <c:v>70000</c:v>
                </c:pt>
                <c:pt idx="13">
                  <c:v>80000</c:v>
                </c:pt>
                <c:pt idx="14">
                  <c:v>90000</c:v>
                </c:pt>
                <c:pt idx="15">
                  <c:v>100000</c:v>
                </c:pt>
                <c:pt idx="16">
                  <c:v>110000</c:v>
                </c:pt>
                <c:pt idx="17">
                  <c:v>120000</c:v>
                </c:pt>
                <c:pt idx="18">
                  <c:v>130000</c:v>
                </c:pt>
                <c:pt idx="19">
                  <c:v>140000</c:v>
                </c:pt>
                <c:pt idx="20">
                  <c:v>150000</c:v>
                </c:pt>
                <c:pt idx="21">
                  <c:v>160000</c:v>
                </c:pt>
                <c:pt idx="22">
                  <c:v>170000</c:v>
                </c:pt>
                <c:pt idx="23">
                  <c:v>180000</c:v>
                </c:pt>
                <c:pt idx="24">
                  <c:v>190000</c:v>
                </c:pt>
                <c:pt idx="25">
                  <c:v>200000</c:v>
                </c:pt>
                <c:pt idx="26">
                  <c:v>210000</c:v>
                </c:pt>
                <c:pt idx="27">
                  <c:v>220000</c:v>
                </c:pt>
                <c:pt idx="28">
                  <c:v>230000</c:v>
                </c:pt>
                <c:pt idx="29">
                  <c:v>240000</c:v>
                </c:pt>
                <c:pt idx="30">
                  <c:v>250000</c:v>
                </c:pt>
                <c:pt idx="31">
                  <c:v>260000</c:v>
                </c:pt>
                <c:pt idx="32">
                  <c:v>270000</c:v>
                </c:pt>
                <c:pt idx="33">
                  <c:v>280000</c:v>
                </c:pt>
                <c:pt idx="34">
                  <c:v>290000</c:v>
                </c:pt>
                <c:pt idx="35">
                  <c:v>300000</c:v>
                </c:pt>
                <c:pt idx="36">
                  <c:v>310000</c:v>
                </c:pt>
                <c:pt idx="37">
                  <c:v>320000</c:v>
                </c:pt>
                <c:pt idx="38">
                  <c:v>330000</c:v>
                </c:pt>
                <c:pt idx="39">
                  <c:v>340000</c:v>
                </c:pt>
                <c:pt idx="40">
                  <c:v>350000</c:v>
                </c:pt>
              </c:numCache>
            </c:numRef>
          </c:xVal>
          <c:yVal>
            <c:numRef>
              <c:f>'Gasoline and electric vehicles'!$AT$5:$AT$45</c:f>
              <c:numCache>
                <c:formatCode>0.00E+00</c:formatCode>
                <c:ptCount val="41"/>
                <c:pt idx="0" formatCode="General">
                  <c:v>6455.8410465841889</c:v>
                </c:pt>
                <c:pt idx="1">
                  <c:v>6718.1767045841889</c:v>
                </c:pt>
                <c:pt idx="2">
                  <c:v>6980.5123625841888</c:v>
                </c:pt>
                <c:pt idx="3">
                  <c:v>7242.8480205841888</c:v>
                </c:pt>
                <c:pt idx="4">
                  <c:v>7767.5193365841887</c:v>
                </c:pt>
                <c:pt idx="5">
                  <c:v>8292.1906525841878</c:v>
                </c:pt>
                <c:pt idx="6">
                  <c:v>9079.1976265841877</c:v>
                </c:pt>
                <c:pt idx="7">
                  <c:v>11702.554206584187</c:v>
                </c:pt>
                <c:pt idx="8">
                  <c:v>14325.910786584187</c:v>
                </c:pt>
                <c:pt idx="9">
                  <c:v>16949.267366584187</c:v>
                </c:pt>
                <c:pt idx="10">
                  <c:v>19572.623946584186</c:v>
                </c:pt>
                <c:pt idx="11">
                  <c:v>22195.980526584186</c:v>
                </c:pt>
                <c:pt idx="12">
                  <c:v>24819.337106584186</c:v>
                </c:pt>
                <c:pt idx="13">
                  <c:v>27442.693686584185</c:v>
                </c:pt>
                <c:pt idx="14">
                  <c:v>30066.050266584185</c:v>
                </c:pt>
                <c:pt idx="15">
                  <c:v>32689.406846584185</c:v>
                </c:pt>
                <c:pt idx="16">
                  <c:v>35312.763426584184</c:v>
                </c:pt>
                <c:pt idx="17">
                  <c:v>37936.120006584184</c:v>
                </c:pt>
                <c:pt idx="18">
                  <c:v>40559.476586584184</c:v>
                </c:pt>
                <c:pt idx="19">
                  <c:v>43182.833166584183</c:v>
                </c:pt>
                <c:pt idx="20">
                  <c:v>45806.189746584183</c:v>
                </c:pt>
                <c:pt idx="21">
                  <c:v>48429.546326584183</c:v>
                </c:pt>
                <c:pt idx="22">
                  <c:v>51052.902906584182</c:v>
                </c:pt>
                <c:pt idx="23">
                  <c:v>53676.259486584182</c:v>
                </c:pt>
                <c:pt idx="24">
                  <c:v>56299.616066584182</c:v>
                </c:pt>
                <c:pt idx="25">
                  <c:v>58922.972646584181</c:v>
                </c:pt>
                <c:pt idx="26">
                  <c:v>61546.329226584181</c:v>
                </c:pt>
                <c:pt idx="27">
                  <c:v>64169.685806584181</c:v>
                </c:pt>
                <c:pt idx="28">
                  <c:v>66793.042386584188</c:v>
                </c:pt>
                <c:pt idx="29">
                  <c:v>69416.39896658418</c:v>
                </c:pt>
                <c:pt idx="30">
                  <c:v>72039.755546584187</c:v>
                </c:pt>
                <c:pt idx="31">
                  <c:v>74663.112126584179</c:v>
                </c:pt>
                <c:pt idx="32">
                  <c:v>77286.468706584186</c:v>
                </c:pt>
                <c:pt idx="33">
                  <c:v>79909.825286584179</c:v>
                </c:pt>
                <c:pt idx="34">
                  <c:v>82533.181866584186</c:v>
                </c:pt>
                <c:pt idx="35">
                  <c:v>85156.538446584178</c:v>
                </c:pt>
                <c:pt idx="36">
                  <c:v>87779.895026584185</c:v>
                </c:pt>
                <c:pt idx="37">
                  <c:v>90403.251606584177</c:v>
                </c:pt>
                <c:pt idx="38">
                  <c:v>93026.608186584184</c:v>
                </c:pt>
                <c:pt idx="39">
                  <c:v>95649.964766584177</c:v>
                </c:pt>
                <c:pt idx="40">
                  <c:v>98273.321346584184</c:v>
                </c:pt>
              </c:numCache>
            </c:numRef>
          </c:yVal>
          <c:smooth val="0"/>
          <c:extLst>
            <c:ext xmlns:c16="http://schemas.microsoft.com/office/drawing/2014/chart" uri="{C3380CC4-5D6E-409C-BE32-E72D297353CC}">
              <c16:uniqueId val="{00000000-3F92-4599-8961-F4F24CC36D5B}"/>
            </c:ext>
          </c:extLst>
        </c:ser>
        <c:dLbls>
          <c:showLegendKey val="0"/>
          <c:showVal val="0"/>
          <c:showCatName val="0"/>
          <c:showSerName val="0"/>
          <c:showPercent val="0"/>
          <c:showBubbleSize val="0"/>
        </c:dLbls>
        <c:axId val="1272762400"/>
        <c:axId val="1272759136"/>
      </c:scatterChart>
      <c:valAx>
        <c:axId val="1272762400"/>
        <c:scaling>
          <c:orientation val="minMax"/>
          <c:max val="2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Distance over car lifetime</a:t>
                </a:r>
              </a:p>
            </c:rich>
          </c:tx>
          <c:layout>
            <c:manualLayout>
              <c:xMode val="edge"/>
              <c:yMode val="edge"/>
              <c:x val="0.44772213158039931"/>
              <c:y val="0.8097229092501437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759136"/>
        <c:crosses val="autoZero"/>
        <c:crossBetween val="midCat"/>
      </c:valAx>
      <c:valAx>
        <c:axId val="1272759136"/>
        <c:scaling>
          <c:orientation val="minMax"/>
          <c:max val="12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Global warming score [kgCO2equ]</a:t>
                </a:r>
              </a:p>
              <a:p>
                <a:pPr>
                  <a:defRPr/>
                </a:pPr>
                <a:endParaRPr lang="en-US"/>
              </a:p>
            </c:rich>
          </c:tx>
          <c:layout>
            <c:manualLayout>
              <c:xMode val="edge"/>
              <c:yMode val="edge"/>
              <c:x val="1.6266266266266267E-2"/>
              <c:y val="0.2426613254187716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272762400"/>
        <c:crosses val="autoZero"/>
        <c:crossBetween val="midCat"/>
      </c:valAx>
      <c:spPr>
        <a:noFill/>
        <a:ln>
          <a:noFill/>
        </a:ln>
        <a:effectLst/>
      </c:spPr>
    </c:plotArea>
    <c:legend>
      <c:legendPos val="b"/>
      <c:layout>
        <c:manualLayout>
          <c:xMode val="edge"/>
          <c:yMode val="edge"/>
          <c:x val="9.357073609042113E-2"/>
          <c:y val="0.86067749512773306"/>
          <c:w val="0.88668235164298159"/>
          <c:h val="0.1290238436982194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1432560</xdr:colOff>
      <xdr:row>19</xdr:row>
      <xdr:rowOff>137160</xdr:rowOff>
    </xdr:from>
    <xdr:to>
      <xdr:col>19</xdr:col>
      <xdr:colOff>396240</xdr:colOff>
      <xdr:row>54</xdr:row>
      <xdr:rowOff>228600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377884</xdr:colOff>
      <xdr:row>19</xdr:row>
      <xdr:rowOff>96118</xdr:rowOff>
    </xdr:from>
    <xdr:to>
      <xdr:col>24</xdr:col>
      <xdr:colOff>2072640</xdr:colOff>
      <xdr:row>55</xdr:row>
      <xdr:rowOff>20783</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1264920</xdr:colOff>
      <xdr:row>18</xdr:row>
      <xdr:rowOff>121921</xdr:rowOff>
    </xdr:from>
    <xdr:to>
      <xdr:col>35</xdr:col>
      <xdr:colOff>1021080</xdr:colOff>
      <xdr:row>53</xdr:row>
      <xdr:rowOff>106680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167640</xdr:colOff>
      <xdr:row>47</xdr:row>
      <xdr:rowOff>129540</xdr:rowOff>
    </xdr:from>
    <xdr:to>
      <xdr:col>45</xdr:col>
      <xdr:colOff>1524000</xdr:colOff>
      <xdr:row>76</xdr:row>
      <xdr:rowOff>15240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22860</xdr:colOff>
      <xdr:row>48</xdr:row>
      <xdr:rowOff>22860</xdr:rowOff>
    </xdr:from>
    <xdr:to>
      <xdr:col>53</xdr:col>
      <xdr:colOff>487680</xdr:colOff>
      <xdr:row>76</xdr:row>
      <xdr:rowOff>121920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1143000</xdr:colOff>
      <xdr:row>55</xdr:row>
      <xdr:rowOff>0</xdr:rowOff>
    </xdr:from>
    <xdr:to>
      <xdr:col>36</xdr:col>
      <xdr:colOff>1539240</xdr:colOff>
      <xdr:row>86</xdr:row>
      <xdr:rowOff>1173480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1859280</xdr:colOff>
      <xdr:row>78</xdr:row>
      <xdr:rowOff>190500</xdr:rowOff>
    </xdr:from>
    <xdr:to>
      <xdr:col>43</xdr:col>
      <xdr:colOff>1493520</xdr:colOff>
      <xdr:row>91</xdr:row>
      <xdr:rowOff>121920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198120</xdr:colOff>
      <xdr:row>1</xdr:row>
      <xdr:rowOff>15240</xdr:rowOff>
    </xdr:from>
    <xdr:to>
      <xdr:col>19</xdr:col>
      <xdr:colOff>102044</xdr:colOff>
      <xdr:row>21</xdr:row>
      <xdr:rowOff>149996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736080" y="198120"/>
          <a:ext cx="6609524" cy="399047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owel_hand_drying_cycle_stage" displayName="Towel_hand_drying_cycle_stage" ref="A4:M45" totalsRowShown="0" headerRowBorderDxfId="70" tableBorderDxfId="69">
  <autoFilter ref="A4:M45" xr:uid="{00000000-0009-0000-0100-000001000000}"/>
  <tableColumns count="13">
    <tableColumn id="1" xr3:uid="{00000000-0010-0000-0000-000001000000}" name="Transportation by Gas Vehicle_x000a_FU= 1 vehicle km_x000a_Life Cycle stage  (150,000 km lifespan)" dataDxfId="68"/>
    <tableColumn id="2" xr3:uid="{00000000-0010-0000-0000-000002000000}" name="Quantity per FU" dataDxfId="67"/>
    <tableColumn id="3" xr3:uid="{00000000-0010-0000-0000-000003000000}" name="Unit" dataDxfId="66"/>
    <tableColumn id="4" xr3:uid="{00000000-0010-0000-0000-000004000000}" name="Energy/Unit  [MJ/Unit]" dataDxfId="65"/>
    <tableColumn id="5" xr3:uid="{00000000-0010-0000-0000-000005000000}" name="Energy per FU [MJ/FU]" dataDxfId="64"/>
    <tableColumn id="6" xr3:uid="{00000000-0010-0000-0000-000006000000}" name="fraction" dataDxfId="63">
      <calculatedColumnFormula>E5/E$43</calculatedColumnFormula>
    </tableColumn>
    <tableColumn id="7" xr3:uid="{00000000-0010-0000-0000-000007000000}" name="CO2/Unit [kg/unit]" dataDxfId="62"/>
    <tableColumn id="8" xr3:uid="{00000000-0010-0000-0000-000008000000}" name="CO2 fossil/FU" dataDxfId="61"/>
    <tableColumn id="9" xr3:uid="{00000000-0010-0000-0000-000009000000}" name="fraction2" dataDxfId="60"/>
    <tableColumn id="10" xr3:uid="{00000000-0010-0000-0000-00000A000000}" name="Check g CO2/MJ" dataDxfId="59"/>
    <tableColumn id="12" xr3:uid="{00000000-0010-0000-0000-00000C000000}" name="CO2equ/Unit [kg/unit]2" dataDxfId="58"/>
    <tableColumn id="13" xr3:uid="{00000000-0010-0000-0000-00000D000000}" name="CO2equ./FU" dataDxfId="57"/>
    <tableColumn id="14" xr3:uid="{00000000-0010-0000-0000-00000E000000}" name="fraction3" dataDxfId="56"/>
  </tableColumns>
  <tableStyleInfo showFirstColumn="0" showLastColumn="0" showRowStripes="1" showColumnStripes="0"/>
  <extLst>
    <ext xmlns:x14="http://schemas.microsoft.com/office/spreadsheetml/2009/9/main" uri="{504A1905-F514-4f6f-8877-14C23A59335A}">
      <x14:table altTextSummary="This table provides learners with an opportunity to fill in the template for Energy and Carbon Dioxide balance for hands drying with towels. _x000a_"/>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lectric_hand_drying_cycle_stage" displayName="electric_hand_drying_cycle_stage" ref="A47:M80" totalsRowShown="0" headerRowBorderDxfId="55" tableBorderDxfId="54">
  <autoFilter ref="A47:M80" xr:uid="{00000000-0009-0000-0100-000002000000}"/>
  <tableColumns count="13">
    <tableColumn id="1" xr3:uid="{00000000-0010-0000-0100-000001000000}" name="Transportation by Electric Vehicle_x000a_FU= 1 vehicle km_x000a_Life Cycle stage (225,000 km lifespan)" dataDxfId="53"/>
    <tableColumn id="2" xr3:uid="{00000000-0010-0000-0100-000002000000}" name="Quantity per FU"/>
    <tableColumn id="3" xr3:uid="{00000000-0010-0000-0100-000003000000}" name="Unit" dataDxfId="52"/>
    <tableColumn id="4" xr3:uid="{00000000-0010-0000-0100-000004000000}" name="Energy/Unit  [MJ/Unit]" dataDxfId="51"/>
    <tableColumn id="5" xr3:uid="{00000000-0010-0000-0100-000005000000}" name="Energy per FU [MJ/FU]" dataDxfId="50"/>
    <tableColumn id="6" xr3:uid="{00000000-0010-0000-0100-000006000000}" name="fraction"/>
    <tableColumn id="7" xr3:uid="{00000000-0010-0000-0100-000007000000}" name="CO2/Unit [kg/unit]"/>
    <tableColumn id="8" xr3:uid="{00000000-0010-0000-0100-000008000000}" name="CO2/FU"/>
    <tableColumn id="9" xr3:uid="{00000000-0010-0000-0100-000009000000}" name="fraction2"/>
    <tableColumn id="10" xr3:uid="{00000000-0010-0000-0100-00000A000000}" name="Check g CO2/MJ" dataDxfId="49"/>
    <tableColumn id="11" xr3:uid="{00000000-0010-0000-0100-00000B000000}" name="CO2equ/Unit [kg/unit]2" dataDxfId="48"/>
    <tableColumn id="12" xr3:uid="{00000000-0010-0000-0100-00000C000000}" name="CO2equ./FU" dataDxfId="47">
      <calculatedColumnFormula>K48*$B48</calculatedColumnFormula>
    </tableColumn>
    <tableColumn id="13" xr3:uid="{00000000-0010-0000-0100-00000D000000}" name="fraction3" dataDxfId="46">
      <calculatedColumnFormula>L48/L$43</calculatedColumnFormula>
    </tableColumn>
  </tableColumns>
  <tableStyleInfo showFirstColumn="0" showLastColumn="0" showRowStripes="1" showColumnStripes="0"/>
  <extLst>
    <ext xmlns:x14="http://schemas.microsoft.com/office/spreadsheetml/2009/9/main" uri="{504A1905-F514-4f6f-8877-14C23A59335A}">
      <x14:table altTextSummary="This table provides learners with an opportunity to fill in the template for Energy and Carbon Dioxide balance for electric air appliance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owel_hand_drying_cycle_stage4" displayName="Towel_hand_drying_cycle_stage4" ref="A4:C41" totalsRowShown="0" headerRowBorderDxfId="8" tableBorderDxfId="7">
  <autoFilter ref="A4:C41" xr:uid="{00000000-0009-0000-0100-000003000000}"/>
  <tableColumns count="3">
    <tableColumn id="1" xr3:uid="{00000000-0010-0000-0200-000001000000}" name="Transportation by Gas Vehicle" dataDxfId="6"/>
    <tableColumn id="2" xr3:uid="{00000000-0010-0000-0200-000002000000}" name="Reference Product Name" dataDxfId="5"/>
    <tableColumn id="3" xr3:uid="{00000000-0010-0000-0200-000003000000}" name="Reference Product Unit" dataDxfId="4"/>
  </tableColumns>
  <tableStyleInfo showFirstColumn="0" showLastColumn="0" showRowStripes="1" showColumnStripes="0"/>
  <extLst>
    <ext xmlns:x14="http://schemas.microsoft.com/office/spreadsheetml/2009/9/main" uri="{504A1905-F514-4f6f-8877-14C23A59335A}">
      <x14:table altTextSummary="This table provides learners with an opportunity to fill in the template for Energy and Carbon Dioxide balance for hands drying with towels. _x000a_"/>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lectric_hand_drying_cycle_stage5" displayName="electric_hand_drying_cycle_stage5" ref="A43:C76" totalsRowShown="0" headerRowBorderDxfId="3" tableBorderDxfId="2">
  <autoFilter ref="A43:C76" xr:uid="{00000000-0009-0000-0100-000004000000}"/>
  <tableColumns count="3">
    <tableColumn id="1" xr3:uid="{00000000-0010-0000-0300-000001000000}" name="Transportation by Electric Vehicle" dataDxfId="1"/>
    <tableColumn id="2" xr3:uid="{00000000-0010-0000-0300-000002000000}" name="Reference Product Name"/>
    <tableColumn id="3" xr3:uid="{00000000-0010-0000-0300-000003000000}" name="Reference Product Unit" dataDxfId="0"/>
  </tableColumns>
  <tableStyleInfo showFirstColumn="0" showLastColumn="0" showRowStripes="1" showColumnStripes="0"/>
  <extLst>
    <ext xmlns:x14="http://schemas.microsoft.com/office/spreadsheetml/2009/9/main" uri="{504A1905-F514-4f6f-8877-14C23A59335A}">
      <x14:table altTextSummary="This table provides learners with an opportunity to fill in the template for Energy and Carbon Dioxide balance for electric air appliances. "/>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2.v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39"/>
  <sheetViews>
    <sheetView topLeftCell="A43" zoomScale="50" zoomScaleNormal="50" workbookViewId="0">
      <selection activeCell="B78" sqref="B78"/>
    </sheetView>
  </sheetViews>
  <sheetFormatPr defaultColWidth="30.68359375" defaultRowHeight="19.8"/>
  <cols>
    <col min="1" max="1" width="60.5234375" style="1" customWidth="1"/>
    <col min="2" max="2" width="24.3125" style="1" customWidth="1"/>
    <col min="3" max="3" width="13.3125" style="1" customWidth="1"/>
    <col min="4" max="4" width="16.1015625" style="1" customWidth="1"/>
    <col min="5" max="5" width="16.1015625" style="44" customWidth="1"/>
    <col min="6" max="6" width="23.68359375" style="1" customWidth="1"/>
    <col min="7" max="7" width="19.41796875" style="1" customWidth="1"/>
    <col min="8" max="8" width="14.68359375" style="1" customWidth="1"/>
    <col min="9" max="9" width="23.68359375" style="1" customWidth="1"/>
    <col min="10" max="13" width="30.68359375" style="15"/>
    <col min="14" max="14" width="30.68359375" style="1"/>
    <col min="15" max="15" width="42.41796875" style="1" customWidth="1"/>
    <col min="16" max="21" width="30.68359375" style="1"/>
    <col min="22" max="22" width="34.41796875" style="1" customWidth="1"/>
    <col min="23" max="28" width="30.68359375" style="1"/>
    <col min="29" max="29" width="57.3125" style="1" customWidth="1"/>
    <col min="30" max="16384" width="30.68359375" style="1"/>
  </cols>
  <sheetData>
    <row r="1" spans="1:53">
      <c r="A1" s="22" t="s">
        <v>7</v>
      </c>
      <c r="B1" s="23">
        <v>1000</v>
      </c>
    </row>
    <row r="2" spans="1:53" ht="79.2">
      <c r="A2" s="22" t="s">
        <v>12</v>
      </c>
      <c r="B2" s="23">
        <v>1000</v>
      </c>
      <c r="AD2" s="59" t="s">
        <v>238</v>
      </c>
      <c r="AE2" s="59" t="s">
        <v>239</v>
      </c>
      <c r="AF2" s="59" t="s">
        <v>240</v>
      </c>
      <c r="AG2" s="59" t="s">
        <v>243</v>
      </c>
      <c r="AH2" s="59" t="s">
        <v>241</v>
      </c>
      <c r="AI2" s="59" t="s">
        <v>244</v>
      </c>
      <c r="AJ2" s="59" t="s">
        <v>242</v>
      </c>
      <c r="AK2" s="59" t="s">
        <v>245</v>
      </c>
      <c r="AL2" s="59" t="s">
        <v>252</v>
      </c>
      <c r="AM2" s="2"/>
      <c r="AO2" s="59" t="s">
        <v>197</v>
      </c>
      <c r="AP2" s="1" t="s">
        <v>194</v>
      </c>
      <c r="AV2" s="59" t="s">
        <v>192</v>
      </c>
      <c r="AW2" s="1" t="s">
        <v>195</v>
      </c>
    </row>
    <row r="3" spans="1:53">
      <c r="AC3" s="59" t="s">
        <v>193</v>
      </c>
      <c r="AD3" s="59">
        <v>150000</v>
      </c>
      <c r="AE3" s="59"/>
      <c r="AF3" s="59">
        <f>1.5*$AD3</f>
        <v>225000</v>
      </c>
      <c r="AG3" s="59"/>
      <c r="AH3" s="59">
        <f t="shared" ref="AH3:AL3" si="0">1.5*$AD3</f>
        <v>225000</v>
      </c>
      <c r="AI3" s="59"/>
      <c r="AJ3" s="59">
        <f t="shared" si="0"/>
        <v>225000</v>
      </c>
      <c r="AK3" s="59"/>
      <c r="AL3" s="59">
        <f t="shared" si="0"/>
        <v>225000</v>
      </c>
      <c r="AM3" s="2"/>
    </row>
    <row r="4" spans="1:53" s="2" customFormat="1" ht="63" customHeight="1" thickBot="1">
      <c r="A4" s="30" t="s">
        <v>163</v>
      </c>
      <c r="B4" s="31" t="s">
        <v>15</v>
      </c>
      <c r="C4" s="32" t="s">
        <v>0</v>
      </c>
      <c r="D4" s="31" t="s">
        <v>3</v>
      </c>
      <c r="E4" s="45" t="s">
        <v>10</v>
      </c>
      <c r="F4" s="33" t="s">
        <v>8</v>
      </c>
      <c r="G4" s="31" t="s">
        <v>19</v>
      </c>
      <c r="H4" s="31" t="s">
        <v>50</v>
      </c>
      <c r="I4" s="33" t="s">
        <v>21</v>
      </c>
      <c r="J4" s="34" t="s">
        <v>11</v>
      </c>
      <c r="K4" s="31" t="s">
        <v>187</v>
      </c>
      <c r="L4" s="31" t="s">
        <v>188</v>
      </c>
      <c r="M4" s="170" t="s">
        <v>189</v>
      </c>
      <c r="O4" s="59" t="s">
        <v>54</v>
      </c>
      <c r="P4" s="59" t="s">
        <v>165</v>
      </c>
      <c r="Q4" s="59" t="s">
        <v>166</v>
      </c>
      <c r="R4" s="59" t="s">
        <v>173</v>
      </c>
      <c r="S4" s="59" t="s">
        <v>174</v>
      </c>
      <c r="T4" s="59" t="s">
        <v>250</v>
      </c>
      <c r="V4" s="59" t="s">
        <v>53</v>
      </c>
      <c r="W4" s="59" t="s">
        <v>165</v>
      </c>
      <c r="X4" s="59" t="s">
        <v>166</v>
      </c>
      <c r="Y4" s="59" t="s">
        <v>173</v>
      </c>
      <c r="Z4" s="59" t="s">
        <v>174</v>
      </c>
      <c r="AA4" s="59" t="s">
        <v>250</v>
      </c>
      <c r="AB4" s="1"/>
      <c r="AC4" s="59" t="s">
        <v>192</v>
      </c>
      <c r="AD4" s="59" t="s">
        <v>165</v>
      </c>
      <c r="AE4" s="59"/>
      <c r="AF4" s="59" t="s">
        <v>257</v>
      </c>
      <c r="AG4" s="59"/>
      <c r="AH4" s="59" t="s">
        <v>173</v>
      </c>
      <c r="AI4" s="59"/>
      <c r="AJ4" s="59" t="s">
        <v>174</v>
      </c>
      <c r="AK4" s="59"/>
      <c r="AL4" s="59" t="s">
        <v>250</v>
      </c>
      <c r="AO4" s="59" t="s">
        <v>196</v>
      </c>
      <c r="AP4" s="59" t="s">
        <v>165</v>
      </c>
      <c r="AQ4" s="59" t="s">
        <v>257</v>
      </c>
      <c r="AR4" s="59" t="s">
        <v>173</v>
      </c>
      <c r="AS4" s="59" t="s">
        <v>174</v>
      </c>
      <c r="AT4" s="59" t="s">
        <v>256</v>
      </c>
      <c r="AU4" s="59"/>
      <c r="AV4" s="59" t="s">
        <v>196</v>
      </c>
      <c r="AW4" s="59" t="s">
        <v>165</v>
      </c>
      <c r="AX4" s="59" t="s">
        <v>166</v>
      </c>
      <c r="AY4" s="59" t="s">
        <v>173</v>
      </c>
      <c r="AZ4" s="59" t="s">
        <v>174</v>
      </c>
      <c r="BA4" s="59" t="s">
        <v>256</v>
      </c>
    </row>
    <row r="5" spans="1:53">
      <c r="A5" s="6" t="s">
        <v>115</v>
      </c>
      <c r="B5" s="4"/>
      <c r="C5" s="8"/>
      <c r="D5" s="4"/>
      <c r="E5" s="46"/>
      <c r="F5" s="12"/>
      <c r="G5" s="4"/>
      <c r="H5" s="4"/>
      <c r="I5" s="12"/>
      <c r="J5" s="27"/>
      <c r="K5" s="4"/>
      <c r="L5" s="4"/>
      <c r="M5" s="12"/>
      <c r="O5" s="53" t="s">
        <v>167</v>
      </c>
      <c r="P5" s="55">
        <f>SUM(E6:E28)</f>
        <v>0.4799337107332749</v>
      </c>
      <c r="Q5" s="55">
        <f>SUM($E$49:$E$62)</f>
        <v>0.42510436614157837</v>
      </c>
      <c r="R5" s="55">
        <f>SUM($E$49:$E$62)</f>
        <v>0.42510436614157837</v>
      </c>
      <c r="S5" s="55">
        <f>SUM($E$49:$E$62)</f>
        <v>0.42510436614157837</v>
      </c>
      <c r="T5" s="55">
        <f>SUM($E$49:$E$62)</f>
        <v>0.42510436614157837</v>
      </c>
      <c r="V5" s="53" t="s">
        <v>167</v>
      </c>
      <c r="W5" s="131">
        <f>SUM(H6:H28)</f>
        <v>2.8882903351271666E-2</v>
      </c>
      <c r="X5" s="131">
        <f>SUM($H$49:$H$62)</f>
        <v>2.4551481568462222E-2</v>
      </c>
      <c r="Y5" s="131">
        <f>SUM($H$49:$H$62)</f>
        <v>2.4551481568462222E-2</v>
      </c>
      <c r="Z5" s="131">
        <f>SUM($H$49:$H$62)</f>
        <v>2.4551481568462222E-2</v>
      </c>
      <c r="AA5" s="131">
        <f>SUM($H$49:$H$62)</f>
        <v>2.4551481568462222E-2</v>
      </c>
      <c r="AC5" s="53" t="s">
        <v>167</v>
      </c>
      <c r="AD5" s="131">
        <f>SUM(L6:L28)</f>
        <v>3.2715835106938825E-2</v>
      </c>
      <c r="AE5" s="131"/>
      <c r="AF5" s="131">
        <f>SUM($L$49:$L$62)</f>
        <v>2.813817619115111E-2</v>
      </c>
      <c r="AG5" s="131"/>
      <c r="AH5" s="131">
        <f>SUM($L$49:$L$62)</f>
        <v>2.813817619115111E-2</v>
      </c>
      <c r="AI5" s="131"/>
      <c r="AJ5" s="131">
        <f>SUM($L$49:$L$62)</f>
        <v>2.813817619115111E-2</v>
      </c>
      <c r="AK5" s="131"/>
      <c r="AL5" s="131">
        <f>SUM($L$49:$L$62)</f>
        <v>2.813817619115111E-2</v>
      </c>
      <c r="AM5" s="184"/>
      <c r="AO5" s="181">
        <v>0</v>
      </c>
      <c r="AP5" s="181">
        <f>SUM(AD5:AD6)*AD3</f>
        <v>5040.2713843744132</v>
      </c>
      <c r="AQ5" s="181">
        <f>SUM(AF5:AF6)*AF3</f>
        <v>6455.8410465841889</v>
      </c>
      <c r="AR5" s="181">
        <f>SUM(AH5:AH6)*AH3</f>
        <v>6455.8410465841889</v>
      </c>
      <c r="AS5" s="181">
        <f>SUM(AJ5:AJ6)*AJ3</f>
        <v>6455.8410465841889</v>
      </c>
      <c r="AT5" s="181">
        <f>SUM(AL5:AL6)*AL3</f>
        <v>6455.8410465841889</v>
      </c>
      <c r="AU5" s="181"/>
      <c r="AV5" s="181">
        <v>0.01</v>
      </c>
      <c r="AW5" s="181">
        <f t="shared" ref="AW5:AW45" si="1">AP5/$AV5</f>
        <v>504027.13843744132</v>
      </c>
      <c r="AX5" s="181">
        <f t="shared" ref="AX5:AX45" si="2">AQ5/$AV5</f>
        <v>645584.10465841892</v>
      </c>
      <c r="AY5" s="181">
        <f t="shared" ref="AY5:AY45" si="3">AR5/$AV5</f>
        <v>645584.10465841892</v>
      </c>
      <c r="AZ5" s="181">
        <f t="shared" ref="AZ5:AZ45" si="4">AS5/$AV5</f>
        <v>645584.10465841892</v>
      </c>
      <c r="BA5" s="181">
        <f t="shared" ref="BA5:BA45" si="5">AT5/$AV5</f>
        <v>645584.10465841892</v>
      </c>
    </row>
    <row r="6" spans="1:53">
      <c r="A6" s="7" t="s">
        <v>56</v>
      </c>
      <c r="B6" s="42">
        <f>4.368/150000</f>
        <v>2.9120000000000002E-5</v>
      </c>
      <c r="C6" s="42" t="s">
        <v>1</v>
      </c>
      <c r="D6" s="118">
        <f>Processes!H4</f>
        <v>61.912707699999999</v>
      </c>
      <c r="E6" s="42">
        <f t="shared" ref="E6:E32" si="6">D6*$B6</f>
        <v>1.8028980482240001E-3</v>
      </c>
      <c r="F6" s="172">
        <f>E6/E$43</f>
        <v>4.6700718828352822E-4</v>
      </c>
      <c r="G6" s="36">
        <f>Processes!G4</f>
        <v>4.8913827999999997</v>
      </c>
      <c r="H6" s="42">
        <f t="shared" ref="H6:H39" si="7">G6*$B6</f>
        <v>1.42437067136E-4</v>
      </c>
      <c r="I6" s="172">
        <f>H6/H$43</f>
        <v>5.4849373088271605E-4</v>
      </c>
      <c r="J6" s="123">
        <f>H6/E6*$B$2</f>
        <v>79.004504595427335</v>
      </c>
      <c r="K6" s="36">
        <f>Processes!K4</f>
        <v>5.4372182000000002</v>
      </c>
      <c r="L6" s="42">
        <f>K6*$B6</f>
        <v>1.5833179398400002E-4</v>
      </c>
      <c r="M6" s="172">
        <f>L6/L$43</f>
        <v>5.9341325703912034E-4</v>
      </c>
      <c r="O6" s="54" t="s">
        <v>168</v>
      </c>
      <c r="P6" s="55">
        <f>SUM(E30:E32)</f>
        <v>1.2538468824901691E-2</v>
      </c>
      <c r="Q6" s="57">
        <f>SUM($E$64:$E$66)</f>
        <v>7.8668731386355838E-3</v>
      </c>
      <c r="R6" s="57">
        <f>SUM($E$64:$E$66)</f>
        <v>7.8668731386355838E-3</v>
      </c>
      <c r="S6" s="57">
        <f>SUM($E$64:$E$66)</f>
        <v>7.8668731386355838E-3</v>
      </c>
      <c r="T6" s="57">
        <f>SUM($E$64:$E$66)</f>
        <v>7.8668731386355838E-3</v>
      </c>
      <c r="V6" s="54" t="s">
        <v>168</v>
      </c>
      <c r="W6" s="131">
        <f>SUM(H30:H32)</f>
        <v>8.5105607962060003E-4</v>
      </c>
      <c r="X6" s="132">
        <f>SUM($H$64:$H$66)</f>
        <v>5.3235739984840006E-4</v>
      </c>
      <c r="Y6" s="132">
        <f>SUM($H$64:$H$66)</f>
        <v>5.3235739984840006E-4</v>
      </c>
      <c r="Z6" s="132">
        <f>SUM($H$64:$H$66)</f>
        <v>5.3235739984840006E-4</v>
      </c>
      <c r="AA6" s="132">
        <f>SUM($H$64:$H$66)</f>
        <v>5.3235739984840006E-4</v>
      </c>
      <c r="AC6" s="54" t="s">
        <v>168</v>
      </c>
      <c r="AD6" s="131">
        <f>SUM(L30:L32)</f>
        <v>8.8597412222393332E-4</v>
      </c>
      <c r="AE6" s="131"/>
      <c r="AF6" s="132">
        <f>SUM($L$64:$L$66)</f>
        <v>5.5445068255640002E-4</v>
      </c>
      <c r="AG6" s="132"/>
      <c r="AH6" s="132">
        <f>SUM($L$64:$L$66)</f>
        <v>5.5445068255640002E-4</v>
      </c>
      <c r="AI6" s="132"/>
      <c r="AJ6" s="132">
        <f>SUM($L$64:$L$66)</f>
        <v>5.5445068255640002E-4</v>
      </c>
      <c r="AK6" s="132"/>
      <c r="AL6" s="132">
        <f>SUM($L$64:$L$66)</f>
        <v>5.5445068255640002E-4</v>
      </c>
      <c r="AM6" s="185"/>
      <c r="AO6" s="53">
        <v>1000</v>
      </c>
      <c r="AP6" s="132">
        <f>AP$5+AD$8*$AO6</f>
        <v>5272.3724795648895</v>
      </c>
      <c r="AQ6" s="132">
        <f>AQ$5+AF$9*$AO6</f>
        <v>6567.2482411841893</v>
      </c>
      <c r="AR6" s="132">
        <f>AR$5+AH$10*$AO6</f>
        <v>6459.6062534841885</v>
      </c>
      <c r="AS6" s="132">
        <f>AS$5+AJ$11*$AO6</f>
        <v>6476.1497654041887</v>
      </c>
      <c r="AT6" s="132">
        <f t="shared" ref="AT6:AT45" si="8">AT$5+AL$12*$AO6</f>
        <v>6718.1767045841889</v>
      </c>
      <c r="AU6" s="132"/>
      <c r="AV6" s="53">
        <f t="shared" ref="AV6:AV45" si="9">AO6</f>
        <v>1000</v>
      </c>
      <c r="AW6" s="132">
        <f t="shared" si="1"/>
        <v>5.2723724795648899</v>
      </c>
      <c r="AX6" s="132">
        <f t="shared" si="2"/>
        <v>6.5672482411841893</v>
      </c>
      <c r="AY6" s="132">
        <f t="shared" si="3"/>
        <v>6.4596062534841883</v>
      </c>
      <c r="AZ6" s="132">
        <f t="shared" si="4"/>
        <v>6.4761497654041884</v>
      </c>
      <c r="BA6" s="132">
        <f t="shared" si="5"/>
        <v>6.7181767045841889</v>
      </c>
    </row>
    <row r="7" spans="1:53">
      <c r="A7" s="7" t="s">
        <v>59</v>
      </c>
      <c r="B7" s="42">
        <f>54.39/150000</f>
        <v>3.6259999999999998E-4</v>
      </c>
      <c r="C7" s="42" t="s">
        <v>1</v>
      </c>
      <c r="D7" s="118">
        <f>Processes!H5</f>
        <v>218.89577508170001</v>
      </c>
      <c r="E7" s="42">
        <f t="shared" si="6"/>
        <v>7.9371608044624412E-2</v>
      </c>
      <c r="F7" s="13">
        <f t="shared" ref="F7:F28" si="10">E7/E$43</f>
        <v>2.0559737994600643E-2</v>
      </c>
      <c r="G7" s="36">
        <f>Processes!G5</f>
        <v>19.248840000000001</v>
      </c>
      <c r="H7" s="42">
        <f t="shared" si="7"/>
        <v>6.9796293840000004E-3</v>
      </c>
      <c r="I7" s="13">
        <f t="shared" ref="I7:I28" si="11">H7/H$43</f>
        <v>2.6877013392542826E-2</v>
      </c>
      <c r="J7" s="123">
        <f t="shared" ref="J7:J28" si="12">H7/E7*$B$2</f>
        <v>87.936096495309812</v>
      </c>
      <c r="K7" s="36">
        <f>Processes!K5</f>
        <v>20.97429</v>
      </c>
      <c r="L7" s="42">
        <f t="shared" ref="L7:L28" si="13">K7*$B7</f>
        <v>7.6052775539999992E-3</v>
      </c>
      <c r="M7" s="13">
        <f t="shared" ref="M7:M28" si="14">L7/L$43</f>
        <v>2.8503893061817488E-2</v>
      </c>
      <c r="O7" s="53" t="s">
        <v>169</v>
      </c>
      <c r="P7" s="135">
        <f>SUM(E37:E41)</f>
        <v>3.670611088506321E-3</v>
      </c>
      <c r="Q7" s="135">
        <f>SUM($E$73:$E$78)</f>
        <v>6.4037260113115942E-3</v>
      </c>
      <c r="R7" s="135">
        <f>SUM($E$73:$E$78)</f>
        <v>6.4037260113115942E-3</v>
      </c>
      <c r="S7" s="135">
        <f>SUM($E$73:$E$78)</f>
        <v>6.4037260113115942E-3</v>
      </c>
      <c r="T7" s="135">
        <f>SUM($E$73:$E$78)</f>
        <v>6.4037260113115942E-3</v>
      </c>
      <c r="V7" s="53" t="s">
        <v>169</v>
      </c>
      <c r="W7" s="132">
        <f>SUM(H37:H41)</f>
        <v>1.3704848761820999E-3</v>
      </c>
      <c r="X7" s="132">
        <f>SUM($H$73:$H$78)</f>
        <v>5.4632507604044441E-4</v>
      </c>
      <c r="Y7" s="132">
        <f>SUM($H$73:$H$78)</f>
        <v>5.4632507604044441E-4</v>
      </c>
      <c r="Z7" s="132">
        <f>SUM($H$73:$H$78)</f>
        <v>5.4632507604044441E-4</v>
      </c>
      <c r="AA7" s="132">
        <f>SUM($H$73:$H$78)</f>
        <v>5.4632507604044441E-4</v>
      </c>
      <c r="AC7" s="53" t="s">
        <v>169</v>
      </c>
      <c r="AD7" s="132">
        <f>SUM(L37:L41)</f>
        <v>1.4025446354822002E-3</v>
      </c>
      <c r="AE7" s="132"/>
      <c r="AF7" s="132">
        <f>SUM($L$73:$L$78)</f>
        <v>7.930798874666667E-4</v>
      </c>
      <c r="AG7" s="132"/>
      <c r="AH7" s="132">
        <f>SUM($L$73:$L$78)</f>
        <v>7.930798874666667E-4</v>
      </c>
      <c r="AI7" s="132"/>
      <c r="AJ7" s="132">
        <f>SUM($L$73:$L$78)</f>
        <v>7.930798874666667E-4</v>
      </c>
      <c r="AK7" s="132"/>
      <c r="AL7" s="132">
        <f>SUM($L$73:$L$78)</f>
        <v>7.930798874666667E-4</v>
      </c>
      <c r="AM7" s="185"/>
      <c r="AO7" s="53">
        <v>2000</v>
      </c>
      <c r="AP7" s="132">
        <f t="shared" ref="AP7:AP45" si="15">AP$5+AD$8*$AO7</f>
        <v>5504.4735747553659</v>
      </c>
      <c r="AQ7" s="132">
        <f t="shared" ref="AQ7:AQ45" si="16">AQ$5+AF$9*$AO7</f>
        <v>6678.6554357841887</v>
      </c>
      <c r="AR7" s="132">
        <f t="shared" ref="AR7:AR45" si="17">AR$5+AH$10*$AO7</f>
        <v>6463.371460384189</v>
      </c>
      <c r="AS7" s="132">
        <f t="shared" ref="AS7:AS45" si="18">AS$5+AJ$11*$AO7</f>
        <v>6496.4584842241893</v>
      </c>
      <c r="AT7" s="132">
        <f t="shared" si="8"/>
        <v>6980.5123625841888</v>
      </c>
      <c r="AU7" s="132"/>
      <c r="AV7" s="53">
        <f t="shared" si="9"/>
        <v>2000</v>
      </c>
      <c r="AW7" s="132">
        <f t="shared" si="1"/>
        <v>2.752236787377683</v>
      </c>
      <c r="AX7" s="132">
        <f t="shared" si="2"/>
        <v>3.3393277178920941</v>
      </c>
      <c r="AY7" s="132">
        <f t="shared" si="3"/>
        <v>3.2316857301920945</v>
      </c>
      <c r="AZ7" s="132">
        <f t="shared" si="4"/>
        <v>3.2482292421120946</v>
      </c>
      <c r="BA7" s="132">
        <f t="shared" si="5"/>
        <v>3.4902561812920943</v>
      </c>
    </row>
    <row r="8" spans="1:53">
      <c r="A8" s="7" t="s">
        <v>61</v>
      </c>
      <c r="B8" s="42">
        <f>2.52/150000</f>
        <v>1.6800000000000002E-5</v>
      </c>
      <c r="C8" s="42" t="s">
        <v>1</v>
      </c>
      <c r="D8" s="118">
        <f>Processes!H6</f>
        <v>56.396523670499995</v>
      </c>
      <c r="E8" s="42">
        <f t="shared" si="6"/>
        <v>9.4746159766439999E-4</v>
      </c>
      <c r="F8" s="13">
        <f t="shared" si="10"/>
        <v>2.4542229504754355E-4</v>
      </c>
      <c r="G8" s="36">
        <f>Processes!G6</f>
        <v>5.6316442999999996</v>
      </c>
      <c r="H8" s="42">
        <f t="shared" si="7"/>
        <v>9.4611624240000002E-5</v>
      </c>
      <c r="I8" s="13">
        <f t="shared" si="11"/>
        <v>3.6432849824633457E-4</v>
      </c>
      <c r="J8" s="123">
        <f t="shared" si="12"/>
        <v>99.858004243368129</v>
      </c>
      <c r="K8" s="36">
        <f>Processes!K6</f>
        <v>6.0199005000000003</v>
      </c>
      <c r="L8" s="42">
        <f t="shared" si="13"/>
        <v>1.0113432840000002E-4</v>
      </c>
      <c r="M8" s="13">
        <f t="shared" si="14"/>
        <v>3.7904232437594115E-4</v>
      </c>
      <c r="O8" s="53" t="s">
        <v>170</v>
      </c>
      <c r="P8" s="57">
        <f>E34</f>
        <v>3.3676643136561903</v>
      </c>
      <c r="Q8" s="57"/>
      <c r="R8" s="57"/>
      <c r="S8" s="57"/>
      <c r="T8" s="57"/>
      <c r="U8" s="52"/>
      <c r="V8" s="53" t="s">
        <v>170</v>
      </c>
      <c r="W8" s="57">
        <f>H34+H35</f>
        <v>0.22884764399999999</v>
      </c>
      <c r="X8" s="56"/>
      <c r="Y8" s="57"/>
      <c r="Z8" s="57"/>
      <c r="AA8" s="57"/>
      <c r="AC8" s="53" t="s">
        <v>170</v>
      </c>
      <c r="AD8" s="57">
        <f>L34+L35</f>
        <v>0.23210109519047617</v>
      </c>
      <c r="AE8" s="57"/>
      <c r="AF8" s="56"/>
      <c r="AG8" s="56"/>
      <c r="AH8" s="57"/>
      <c r="AI8" s="57"/>
      <c r="AJ8" s="57"/>
      <c r="AK8" s="57"/>
      <c r="AL8" s="57"/>
      <c r="AM8" s="44"/>
      <c r="AO8" s="53">
        <v>3000</v>
      </c>
      <c r="AP8" s="132">
        <f t="shared" si="15"/>
        <v>5736.5746699458414</v>
      </c>
      <c r="AQ8" s="132">
        <f t="shared" si="16"/>
        <v>6790.0626303841891</v>
      </c>
      <c r="AR8" s="132">
        <f t="shared" si="17"/>
        <v>6467.1366672841887</v>
      </c>
      <c r="AS8" s="132">
        <f t="shared" si="18"/>
        <v>6516.767203044189</v>
      </c>
      <c r="AT8" s="132">
        <f t="shared" si="8"/>
        <v>7242.8480205841888</v>
      </c>
      <c r="AU8" s="132"/>
      <c r="AV8" s="53">
        <f t="shared" si="9"/>
        <v>3000</v>
      </c>
      <c r="AW8" s="132">
        <f t="shared" si="1"/>
        <v>1.9121915566486138</v>
      </c>
      <c r="AX8" s="132">
        <f t="shared" si="2"/>
        <v>2.263354210128063</v>
      </c>
      <c r="AY8" s="132">
        <f t="shared" si="3"/>
        <v>2.1557122224280629</v>
      </c>
      <c r="AZ8" s="132">
        <f t="shared" si="4"/>
        <v>2.1722557343480631</v>
      </c>
      <c r="BA8" s="132">
        <f t="shared" si="5"/>
        <v>2.4142826735280631</v>
      </c>
    </row>
    <row r="9" spans="1:53">
      <c r="A9" s="7" t="s">
        <v>62</v>
      </c>
      <c r="B9" s="42">
        <f>21.21/150000</f>
        <v>1.4139999999999999E-4</v>
      </c>
      <c r="C9" s="42" t="s">
        <v>1</v>
      </c>
      <c r="D9" s="118">
        <f>Processes!H7</f>
        <v>7.0186934501599998</v>
      </c>
      <c r="E9" s="42">
        <f t="shared" si="6"/>
        <v>9.9244325385262401E-4</v>
      </c>
      <c r="F9" s="13">
        <f t="shared" si="10"/>
        <v>2.5707395599503424E-4</v>
      </c>
      <c r="G9" s="36">
        <f>Processes!G7</f>
        <v>0.41929312000000002</v>
      </c>
      <c r="H9" s="42">
        <f t="shared" si="7"/>
        <v>5.9288047168000001E-5</v>
      </c>
      <c r="I9" s="13">
        <f t="shared" si="11"/>
        <v>2.2830519359737491E-4</v>
      </c>
      <c r="J9" s="123">
        <f t="shared" si="12"/>
        <v>59.739483278108075</v>
      </c>
      <c r="K9" s="36">
        <f>Processes!K7</f>
        <v>0.47229947</v>
      </c>
      <c r="L9" s="42">
        <f t="shared" si="13"/>
        <v>6.6783145057999996E-5</v>
      </c>
      <c r="M9" s="13">
        <f t="shared" si="14"/>
        <v>2.5029719317263947E-4</v>
      </c>
      <c r="O9" s="53" t="s">
        <v>182</v>
      </c>
      <c r="P9" s="134"/>
      <c r="Q9" s="134">
        <f>E68</f>
        <v>2.3577678925736003</v>
      </c>
      <c r="R9" s="134"/>
      <c r="S9" s="134"/>
      <c r="T9" s="134"/>
      <c r="U9" s="44"/>
      <c r="V9" s="53" t="s">
        <v>182</v>
      </c>
      <c r="W9" s="53"/>
      <c r="X9" s="57">
        <f>H68</f>
        <v>0.10403524560000001</v>
      </c>
      <c r="Y9" s="134"/>
      <c r="Z9" s="134"/>
      <c r="AA9" s="134"/>
      <c r="AC9" s="53" t="s">
        <v>182</v>
      </c>
      <c r="AD9" s="53"/>
      <c r="AE9" s="53"/>
      <c r="AF9" s="57">
        <f>L68</f>
        <v>0.11140719460000001</v>
      </c>
      <c r="AG9" s="57"/>
      <c r="AH9" s="134"/>
      <c r="AI9" s="134"/>
      <c r="AJ9" s="134"/>
      <c r="AK9" s="134"/>
      <c r="AL9" s="134"/>
      <c r="AM9" s="186"/>
      <c r="AO9" s="53">
        <v>5000</v>
      </c>
      <c r="AP9" s="132">
        <f t="shared" si="15"/>
        <v>6200.7768603267941</v>
      </c>
      <c r="AQ9" s="132">
        <f t="shared" si="16"/>
        <v>7012.8770195841889</v>
      </c>
      <c r="AR9" s="132">
        <f t="shared" si="17"/>
        <v>6474.6670810841888</v>
      </c>
      <c r="AS9" s="132">
        <f t="shared" si="18"/>
        <v>6557.3846406841885</v>
      </c>
      <c r="AT9" s="132">
        <f t="shared" si="8"/>
        <v>7767.5193365841887</v>
      </c>
      <c r="AU9" s="132"/>
      <c r="AV9" s="53">
        <f t="shared" si="9"/>
        <v>5000</v>
      </c>
      <c r="AW9" s="132">
        <f t="shared" si="1"/>
        <v>1.2401553720653589</v>
      </c>
      <c r="AX9" s="132">
        <f t="shared" si="2"/>
        <v>1.4025754039168379</v>
      </c>
      <c r="AY9" s="132">
        <f t="shared" si="3"/>
        <v>1.2949334162168378</v>
      </c>
      <c r="AZ9" s="132">
        <f t="shared" si="4"/>
        <v>1.3114769281368377</v>
      </c>
      <c r="BA9" s="132">
        <f t="shared" si="5"/>
        <v>1.5535038673168378</v>
      </c>
    </row>
    <row r="10" spans="1:53">
      <c r="A10" s="7" t="s">
        <v>64</v>
      </c>
      <c r="B10" s="42">
        <f>6.11625/150000</f>
        <v>4.0775000000000002E-5</v>
      </c>
      <c r="C10" s="42" t="s">
        <v>1</v>
      </c>
      <c r="D10" s="118">
        <f>Processes!H8</f>
        <v>448.24729435900002</v>
      </c>
      <c r="E10" s="42">
        <f t="shared" si="6"/>
        <v>1.8277283427488227E-2</v>
      </c>
      <c r="F10" s="13">
        <f t="shared" si="10"/>
        <v>4.7343901399974787E-3</v>
      </c>
      <c r="G10" s="36">
        <f>Processes!G8</f>
        <v>27.933744999999998</v>
      </c>
      <c r="H10" s="42">
        <f t="shared" si="7"/>
        <v>1.1389984523749999E-3</v>
      </c>
      <c r="I10" s="13">
        <f t="shared" si="11"/>
        <v>4.3860318326851182E-3</v>
      </c>
      <c r="J10" s="123">
        <f t="shared" si="12"/>
        <v>62.317710227220999</v>
      </c>
      <c r="K10" s="36">
        <f>Processes!K8</f>
        <v>31.497869999999999</v>
      </c>
      <c r="L10" s="42">
        <f t="shared" si="13"/>
        <v>1.2843256492499999E-3</v>
      </c>
      <c r="M10" s="13">
        <f t="shared" si="14"/>
        <v>4.8135364821126313E-3</v>
      </c>
      <c r="O10" s="53" t="s">
        <v>172</v>
      </c>
      <c r="P10" s="134"/>
      <c r="Q10" s="134"/>
      <c r="R10" s="134">
        <f>E69</f>
        <v>5.07162009939E-2</v>
      </c>
      <c r="S10" s="134"/>
      <c r="T10" s="134"/>
      <c r="U10" s="44"/>
      <c r="V10" s="53" t="s">
        <v>172</v>
      </c>
      <c r="W10" s="53"/>
      <c r="X10" s="57"/>
      <c r="Y10" s="135">
        <f>H69</f>
        <v>3.3340684000000005E-3</v>
      </c>
      <c r="Z10" s="134"/>
      <c r="AA10" s="134"/>
      <c r="AC10" s="53" t="s">
        <v>172</v>
      </c>
      <c r="AD10" s="53"/>
      <c r="AE10" s="53"/>
      <c r="AF10" s="57"/>
      <c r="AG10" s="57"/>
      <c r="AH10" s="135">
        <f>L69</f>
        <v>3.7652069E-3</v>
      </c>
      <c r="AI10" s="135"/>
      <c r="AJ10" s="134"/>
      <c r="AK10" s="135"/>
      <c r="AL10" s="134"/>
      <c r="AM10" s="186"/>
      <c r="AO10" s="53">
        <v>7000</v>
      </c>
      <c r="AP10" s="132">
        <f t="shared" si="15"/>
        <v>6664.9790507077469</v>
      </c>
      <c r="AQ10" s="132">
        <f t="shared" si="16"/>
        <v>7235.6914087841888</v>
      </c>
      <c r="AR10" s="132">
        <f t="shared" si="17"/>
        <v>6482.1974948841889</v>
      </c>
      <c r="AS10" s="132">
        <f t="shared" si="18"/>
        <v>6598.0020783241889</v>
      </c>
      <c r="AT10" s="132">
        <f t="shared" si="8"/>
        <v>8292.1906525841878</v>
      </c>
      <c r="AU10" s="132"/>
      <c r="AV10" s="53">
        <f t="shared" si="9"/>
        <v>7000</v>
      </c>
      <c r="AW10" s="132">
        <f t="shared" si="1"/>
        <v>0.95213986438682097</v>
      </c>
      <c r="AX10" s="132">
        <f t="shared" si="2"/>
        <v>1.0336702012548842</v>
      </c>
      <c r="AY10" s="132">
        <f t="shared" si="3"/>
        <v>0.92602821355488418</v>
      </c>
      <c r="AZ10" s="132">
        <f t="shared" si="4"/>
        <v>0.9425717254748841</v>
      </c>
      <c r="BA10" s="132">
        <f t="shared" si="5"/>
        <v>1.1845986646548841</v>
      </c>
    </row>
    <row r="11" spans="1:53">
      <c r="A11" s="7" t="s">
        <v>66</v>
      </c>
      <c r="B11" s="42">
        <f>19.425/150000</f>
        <v>1.295E-4</v>
      </c>
      <c r="C11" s="42" t="s">
        <v>1</v>
      </c>
      <c r="D11" s="118">
        <f>Processes!H9</f>
        <v>66.770078626074806</v>
      </c>
      <c r="E11" s="42">
        <f t="shared" si="6"/>
        <v>8.646725182076688E-3</v>
      </c>
      <c r="F11" s="13">
        <f t="shared" si="10"/>
        <v>2.239773246812181E-3</v>
      </c>
      <c r="G11" s="36">
        <f>Processes!G9</f>
        <v>1.1303346000000001</v>
      </c>
      <c r="H11" s="42">
        <f t="shared" si="7"/>
        <v>1.463783307E-4</v>
      </c>
      <c r="I11" s="13">
        <f t="shared" si="11"/>
        <v>5.6367066761749455E-4</v>
      </c>
      <c r="J11" s="123">
        <f t="shared" si="12"/>
        <v>16.928759457212706</v>
      </c>
      <c r="K11" s="36">
        <f>Processes!K9</f>
        <v>1.4535583000000001</v>
      </c>
      <c r="L11" s="42">
        <f t="shared" si="13"/>
        <v>1.8823579985000001E-4</v>
      </c>
      <c r="M11" s="13">
        <f t="shared" si="14"/>
        <v>7.0549076890798256E-4</v>
      </c>
      <c r="O11" s="53" t="s">
        <v>171</v>
      </c>
      <c r="P11" s="134"/>
      <c r="Q11" s="134"/>
      <c r="R11" s="134"/>
      <c r="S11" s="134">
        <f>E70</f>
        <v>0.26680557414420003</v>
      </c>
      <c r="T11" s="134"/>
      <c r="U11" s="44"/>
      <c r="V11" s="53" t="s">
        <v>171</v>
      </c>
      <c r="W11" s="53"/>
      <c r="X11" s="57"/>
      <c r="Y11" s="134"/>
      <c r="Z11" s="57">
        <f>H70</f>
        <v>1.777043788E-2</v>
      </c>
      <c r="AA11" s="57"/>
      <c r="AC11" s="53" t="s">
        <v>171</v>
      </c>
      <c r="AD11" s="53"/>
      <c r="AE11" s="53"/>
      <c r="AF11" s="57"/>
      <c r="AG11" s="57"/>
      <c r="AH11" s="134"/>
      <c r="AI11" s="134"/>
      <c r="AJ11" s="57">
        <f>L70</f>
        <v>2.0308718819999998E-2</v>
      </c>
      <c r="AK11" s="134"/>
      <c r="AL11" s="57"/>
      <c r="AM11" s="44"/>
      <c r="AO11" s="53">
        <v>10000</v>
      </c>
      <c r="AP11" s="132">
        <f t="shared" si="15"/>
        <v>7361.2823362791751</v>
      </c>
      <c r="AQ11" s="132">
        <f t="shared" si="16"/>
        <v>7569.9129925841889</v>
      </c>
      <c r="AR11" s="132">
        <f t="shared" si="17"/>
        <v>6493.4931155841887</v>
      </c>
      <c r="AS11" s="132">
        <f t="shared" si="18"/>
        <v>6658.928234784189</v>
      </c>
      <c r="AT11" s="132">
        <f t="shared" si="8"/>
        <v>9079.1976265841877</v>
      </c>
      <c r="AU11" s="132"/>
      <c r="AV11" s="53">
        <f t="shared" si="9"/>
        <v>10000</v>
      </c>
      <c r="AW11" s="132">
        <f t="shared" si="1"/>
        <v>0.73612823362791746</v>
      </c>
      <c r="AX11" s="132">
        <f t="shared" si="2"/>
        <v>0.7569912992584189</v>
      </c>
      <c r="AY11" s="132">
        <f t="shared" si="3"/>
        <v>0.64934931155841891</v>
      </c>
      <c r="AZ11" s="132">
        <f t="shared" si="4"/>
        <v>0.66589282347841894</v>
      </c>
      <c r="BA11" s="132">
        <f t="shared" si="5"/>
        <v>0.90791976265841878</v>
      </c>
    </row>
    <row r="12" spans="1:53">
      <c r="A12" s="7" t="s">
        <v>68</v>
      </c>
      <c r="B12" s="42">
        <f>5.04/150000</f>
        <v>3.3600000000000004E-5</v>
      </c>
      <c r="C12" s="42" t="s">
        <v>1</v>
      </c>
      <c r="D12" s="118">
        <f>Processes!H10</f>
        <v>49.878196202369999</v>
      </c>
      <c r="E12" s="42">
        <f t="shared" si="6"/>
        <v>1.6759073923996322E-3</v>
      </c>
      <c r="F12" s="13">
        <f t="shared" si="10"/>
        <v>4.3411262213030615E-4</v>
      </c>
      <c r="G12" s="36">
        <f>Processes!G10</f>
        <v>1.2878908</v>
      </c>
      <c r="H12" s="42">
        <f t="shared" si="7"/>
        <v>4.3273130880000004E-5</v>
      </c>
      <c r="I12" s="13">
        <f t="shared" si="11"/>
        <v>1.6663528308038576E-4</v>
      </c>
      <c r="J12" s="123">
        <f t="shared" si="12"/>
        <v>25.820717228318792</v>
      </c>
      <c r="K12" s="36">
        <f>Processes!K10</f>
        <v>1.5171342000000001</v>
      </c>
      <c r="L12" s="42">
        <f t="shared" si="13"/>
        <v>5.097570912000001E-5</v>
      </c>
      <c r="M12" s="13">
        <f t="shared" si="14"/>
        <v>1.9105235163213542E-4</v>
      </c>
      <c r="O12" s="53" t="s">
        <v>251</v>
      </c>
      <c r="P12" s="134"/>
      <c r="Q12" s="134"/>
      <c r="R12" s="134"/>
      <c r="S12" s="134"/>
      <c r="T12" s="134">
        <f>E71</f>
        <v>2.6881507061032002</v>
      </c>
      <c r="U12" s="44"/>
      <c r="V12" s="53" t="s">
        <v>251</v>
      </c>
      <c r="W12" s="53"/>
      <c r="X12" s="57"/>
      <c r="Y12" s="134"/>
      <c r="Z12" s="57"/>
      <c r="AA12" s="57">
        <f>H71</f>
        <v>0.25785832800000003</v>
      </c>
      <c r="AC12" s="53" t="s">
        <v>251</v>
      </c>
      <c r="AD12" s="53"/>
      <c r="AE12" s="53"/>
      <c r="AF12" s="57"/>
      <c r="AG12" s="57"/>
      <c r="AH12" s="134"/>
      <c r="AI12" s="134"/>
      <c r="AJ12" s="57"/>
      <c r="AK12" s="134"/>
      <c r="AL12" s="57">
        <f>L71</f>
        <v>0.26233565799999997</v>
      </c>
      <c r="AM12" s="44"/>
      <c r="AO12" s="53">
        <v>20000</v>
      </c>
      <c r="AP12" s="132">
        <f t="shared" si="15"/>
        <v>9682.293288183937</v>
      </c>
      <c r="AQ12" s="132">
        <f t="shared" si="16"/>
        <v>8683.9849385841881</v>
      </c>
      <c r="AR12" s="132">
        <f t="shared" si="17"/>
        <v>6531.1451845841893</v>
      </c>
      <c r="AS12" s="132">
        <f t="shared" si="18"/>
        <v>6862.0154229841892</v>
      </c>
      <c r="AT12" s="132">
        <f t="shared" si="8"/>
        <v>11702.554206584187</v>
      </c>
      <c r="AU12" s="132"/>
      <c r="AV12" s="53">
        <f t="shared" si="9"/>
        <v>20000</v>
      </c>
      <c r="AW12" s="132">
        <f t="shared" si="1"/>
        <v>0.48411466440919687</v>
      </c>
      <c r="AX12" s="132">
        <f t="shared" si="2"/>
        <v>0.43419924692920941</v>
      </c>
      <c r="AY12" s="132">
        <f t="shared" si="3"/>
        <v>0.32655725922920947</v>
      </c>
      <c r="AZ12" s="132">
        <f t="shared" si="4"/>
        <v>0.34310077114920945</v>
      </c>
      <c r="BA12" s="132">
        <f t="shared" si="5"/>
        <v>0.58512771032920941</v>
      </c>
    </row>
    <row r="13" spans="1:53">
      <c r="A13" s="7" t="s">
        <v>70</v>
      </c>
      <c r="B13" s="42">
        <f>31.605/150000</f>
        <v>2.107E-4</v>
      </c>
      <c r="C13" s="42" t="s">
        <v>1</v>
      </c>
      <c r="D13" s="118">
        <f>Processes!H11</f>
        <v>11.436900889899999</v>
      </c>
      <c r="E13" s="42">
        <f t="shared" si="6"/>
        <v>2.4097550175019296E-3</v>
      </c>
      <c r="F13" s="13">
        <f t="shared" si="10"/>
        <v>6.2420219284406203E-4</v>
      </c>
      <c r="G13" s="36">
        <f>Processes!G11</f>
        <v>0.95946891999999995</v>
      </c>
      <c r="H13" s="42">
        <f t="shared" si="7"/>
        <v>2.0216010144399999E-4</v>
      </c>
      <c r="I13" s="13">
        <f t="shared" si="11"/>
        <v>7.7847396401931979E-4</v>
      </c>
      <c r="J13" s="123">
        <f t="shared" si="12"/>
        <v>83.892387390303725</v>
      </c>
      <c r="K13" s="36">
        <f>Processes!K11</f>
        <v>1.0141070999999999</v>
      </c>
      <c r="L13" s="42">
        <f t="shared" si="13"/>
        <v>2.1367236596999997E-4</v>
      </c>
      <c r="M13" s="13">
        <f t="shared" si="14"/>
        <v>8.0082472028533799E-4</v>
      </c>
      <c r="O13" s="58" t="s">
        <v>52</v>
      </c>
      <c r="P13" s="133">
        <f>SUM(P5:P8)</f>
        <v>3.8638071043028734</v>
      </c>
      <c r="Q13" s="133">
        <f>SUM(Q5:Q9)</f>
        <v>2.7971428578651261</v>
      </c>
      <c r="R13" s="133">
        <f>SUM(R5:R7, R10)</f>
        <v>0.49009116628542559</v>
      </c>
      <c r="S13" s="133">
        <f>SUM(S5:S7,S11)</f>
        <v>0.70618053943572567</v>
      </c>
      <c r="T13" s="133">
        <f>SUM(T5:T7,T12)</f>
        <v>3.1275256713947259</v>
      </c>
      <c r="U13" s="52"/>
      <c r="V13" s="58" t="s">
        <v>52</v>
      </c>
      <c r="W13" s="183">
        <f>SUM(W5:W11)</f>
        <v>0.25995208830707434</v>
      </c>
      <c r="X13" s="183">
        <f>SUM(X5:X11)</f>
        <v>0.12966540964435108</v>
      </c>
      <c r="Y13" s="183">
        <f>SUM(Y5:Y11)</f>
        <v>2.8964232444351069E-2</v>
      </c>
      <c r="Z13" s="183">
        <f>SUM(Z5:Z11)</f>
        <v>4.3400601924351065E-2</v>
      </c>
      <c r="AA13" s="183">
        <f>SUM(AA5:AA12)</f>
        <v>0.28348849204435111</v>
      </c>
      <c r="AC13" s="58" t="s">
        <v>52</v>
      </c>
      <c r="AD13" s="183">
        <f>SUM(AD5:AD8)</f>
        <v>0.26710544905512112</v>
      </c>
      <c r="AE13" s="183"/>
      <c r="AF13" s="183">
        <f>SUM(AF5:AF9)</f>
        <v>0.14089290136117419</v>
      </c>
      <c r="AG13" s="183"/>
      <c r="AH13" s="183">
        <f>SUM(AH5:AH7, AH10)</f>
        <v>3.3250913661174178E-2</v>
      </c>
      <c r="AI13" s="183"/>
      <c r="AJ13" s="183">
        <f>SUM(AJ5:AJ7, AJ11)</f>
        <v>4.9794425581174175E-2</v>
      </c>
      <c r="AK13" s="183"/>
      <c r="AL13" s="183">
        <f>SUM(AL5:AL7, AL12)</f>
        <v>0.29182136476117415</v>
      </c>
      <c r="AO13" s="53">
        <v>30000</v>
      </c>
      <c r="AP13" s="132">
        <f t="shared" si="15"/>
        <v>12003.304240088699</v>
      </c>
      <c r="AQ13" s="132">
        <f t="shared" si="16"/>
        <v>9798.0568845841881</v>
      </c>
      <c r="AR13" s="132">
        <f t="shared" si="17"/>
        <v>6568.7972535841891</v>
      </c>
      <c r="AS13" s="132">
        <f t="shared" si="18"/>
        <v>7065.1026111841893</v>
      </c>
      <c r="AT13" s="132">
        <f t="shared" si="8"/>
        <v>14325.910786584187</v>
      </c>
      <c r="AU13" s="132"/>
      <c r="AV13" s="53">
        <f t="shared" si="9"/>
        <v>30000</v>
      </c>
      <c r="AW13" s="132">
        <f t="shared" si="1"/>
        <v>0.40011014133628997</v>
      </c>
      <c r="AX13" s="132">
        <f t="shared" si="2"/>
        <v>0.32660189615280627</v>
      </c>
      <c r="AY13" s="132">
        <f t="shared" si="3"/>
        <v>0.2189599084528063</v>
      </c>
      <c r="AZ13" s="132">
        <f t="shared" si="4"/>
        <v>0.2355034203728063</v>
      </c>
      <c r="BA13" s="132">
        <f t="shared" si="5"/>
        <v>0.47753035955280626</v>
      </c>
    </row>
    <row r="14" spans="1:53">
      <c r="A14" s="7" t="s">
        <v>72</v>
      </c>
      <c r="B14" s="42">
        <f>2331/150000</f>
        <v>1.554E-2</v>
      </c>
      <c r="C14" s="42" t="s">
        <v>73</v>
      </c>
      <c r="D14" s="118">
        <f>Processes!H12</f>
        <v>0.66634296889010003</v>
      </c>
      <c r="E14" s="42">
        <f t="shared" si="6"/>
        <v>1.0354969736552155E-2</v>
      </c>
      <c r="F14" s="13">
        <f t="shared" si="10"/>
        <v>2.6822622089984214E-3</v>
      </c>
      <c r="G14" s="36">
        <f>Processes!G12</f>
        <v>3.3782061000000002E-2</v>
      </c>
      <c r="H14" s="42">
        <f t="shared" si="7"/>
        <v>5.2497322794000008E-4</v>
      </c>
      <c r="I14" s="13">
        <f t="shared" si="11"/>
        <v>2.0215561173512618E-3</v>
      </c>
      <c r="J14" s="123">
        <f t="shared" si="12"/>
        <v>50.697707602842101</v>
      </c>
      <c r="K14" s="36">
        <f>Processes!K12</f>
        <v>3.7879734999999998E-2</v>
      </c>
      <c r="L14" s="42">
        <f t="shared" si="13"/>
        <v>5.8865108189999995E-4</v>
      </c>
      <c r="M14" s="13">
        <f t="shared" si="14"/>
        <v>2.2062110646278682E-3</v>
      </c>
      <c r="AC14" s="58" t="s">
        <v>246</v>
      </c>
      <c r="AD14" s="183"/>
      <c r="AE14" s="183">
        <v>0.273011</v>
      </c>
      <c r="AF14" s="183"/>
      <c r="AG14" s="183">
        <v>0.14781</v>
      </c>
      <c r="AH14" s="183"/>
      <c r="AI14" s="183">
        <v>3.1087E-2</v>
      </c>
      <c r="AJ14" s="183"/>
      <c r="AK14" s="183">
        <v>3.9528199999999999E-2</v>
      </c>
      <c r="AL14" s="183"/>
      <c r="AO14" s="53">
        <v>40000</v>
      </c>
      <c r="AP14" s="132">
        <f t="shared" si="15"/>
        <v>14324.315191993461</v>
      </c>
      <c r="AQ14" s="132">
        <f t="shared" si="16"/>
        <v>10912.128830584188</v>
      </c>
      <c r="AR14" s="132">
        <f t="shared" si="17"/>
        <v>6606.4493225841888</v>
      </c>
      <c r="AS14" s="132">
        <f t="shared" si="18"/>
        <v>7268.1897993841885</v>
      </c>
      <c r="AT14" s="132">
        <f t="shared" si="8"/>
        <v>16949.267366584187</v>
      </c>
      <c r="AU14" s="132"/>
      <c r="AV14" s="53">
        <f t="shared" si="9"/>
        <v>40000</v>
      </c>
      <c r="AW14" s="132">
        <f t="shared" si="1"/>
        <v>0.35810787979983649</v>
      </c>
      <c r="AX14" s="132">
        <f t="shared" si="2"/>
        <v>0.27280322076460473</v>
      </c>
      <c r="AY14" s="132">
        <f t="shared" si="3"/>
        <v>0.16516123306460473</v>
      </c>
      <c r="AZ14" s="132">
        <f t="shared" si="4"/>
        <v>0.1817047449846047</v>
      </c>
      <c r="BA14" s="132">
        <f t="shared" si="5"/>
        <v>0.42373168416460466</v>
      </c>
    </row>
    <row r="15" spans="1:53">
      <c r="A15" s="7" t="s">
        <v>76</v>
      </c>
      <c r="B15" s="42">
        <f>13.65/150000</f>
        <v>9.1000000000000003E-5</v>
      </c>
      <c r="C15" s="42" t="s">
        <v>1</v>
      </c>
      <c r="D15" s="118">
        <f>Processes!H13</f>
        <v>16.665360323799998</v>
      </c>
      <c r="E15" s="42">
        <f t="shared" si="6"/>
        <v>1.5165477894657998E-3</v>
      </c>
      <c r="F15" s="13">
        <f t="shared" si="10"/>
        <v>3.9283348259969305E-4</v>
      </c>
      <c r="G15" s="36">
        <f>Processes!G13</f>
        <v>1.2213615</v>
      </c>
      <c r="H15" s="42">
        <f t="shared" si="7"/>
        <v>1.111438965E-4</v>
      </c>
      <c r="I15" s="13">
        <f t="shared" si="11"/>
        <v>4.2799063250804458E-4</v>
      </c>
      <c r="J15" s="123">
        <f t="shared" si="12"/>
        <v>73.287434311021727</v>
      </c>
      <c r="K15" s="36">
        <f>Processes!K13</f>
        <v>1.3573807</v>
      </c>
      <c r="L15" s="42">
        <f t="shared" si="13"/>
        <v>1.2352164370000001E-4</v>
      </c>
      <c r="M15" s="13">
        <f t="shared" si="14"/>
        <v>4.6294795920931653E-4</v>
      </c>
      <c r="AC15" s="1" t="s">
        <v>237</v>
      </c>
      <c r="AD15" s="1">
        <f>0.000000223314/0.000000083</f>
        <v>2.6905301204819279</v>
      </c>
      <c r="AF15" s="1">
        <f>0.000000120897/0.000000083</f>
        <v>1.4565903614457831</v>
      </c>
      <c r="AO15" s="53">
        <v>50000</v>
      </c>
      <c r="AP15" s="132">
        <f t="shared" si="15"/>
        <v>16645.326143898223</v>
      </c>
      <c r="AQ15" s="132">
        <f t="shared" si="16"/>
        <v>12026.200776584188</v>
      </c>
      <c r="AR15" s="132">
        <f t="shared" si="17"/>
        <v>6644.1013915841886</v>
      </c>
      <c r="AS15" s="132">
        <f t="shared" si="18"/>
        <v>7471.2769875841886</v>
      </c>
      <c r="AT15" s="132">
        <f t="shared" si="8"/>
        <v>19572.623946584186</v>
      </c>
      <c r="AU15" s="132"/>
      <c r="AV15" s="53">
        <f t="shared" si="9"/>
        <v>50000</v>
      </c>
      <c r="AW15" s="132">
        <f t="shared" si="1"/>
        <v>0.33290652287796446</v>
      </c>
      <c r="AX15" s="132">
        <f t="shared" si="2"/>
        <v>0.24052401553168376</v>
      </c>
      <c r="AY15" s="132">
        <f t="shared" si="3"/>
        <v>0.13288202783168376</v>
      </c>
      <c r="AZ15" s="132">
        <f t="shared" si="4"/>
        <v>0.14942553975168377</v>
      </c>
      <c r="BA15" s="132">
        <f t="shared" si="5"/>
        <v>0.39145247893168372</v>
      </c>
    </row>
    <row r="16" spans="1:53">
      <c r="A16" s="7" t="s">
        <v>101</v>
      </c>
      <c r="B16" s="42">
        <f>66.15/150000</f>
        <v>4.4100000000000004E-4</v>
      </c>
      <c r="C16" s="42" t="s">
        <v>73</v>
      </c>
      <c r="D16" s="118">
        <f>Processes!H14</f>
        <v>1.28</v>
      </c>
      <c r="E16" s="42">
        <f t="shared" si="6"/>
        <v>5.6448000000000002E-4</v>
      </c>
      <c r="F16" s="13">
        <f t="shared" si="10"/>
        <v>1.4621803928512167E-4</v>
      </c>
      <c r="G16" s="36">
        <f>Processes!G14</f>
        <v>8.5000000000000006E-2</v>
      </c>
      <c r="H16" s="42">
        <f t="shared" si="7"/>
        <v>3.7485000000000004E-5</v>
      </c>
      <c r="I16" s="13">
        <f t="shared" si="11"/>
        <v>1.4434646764038952E-4</v>
      </c>
      <c r="J16" s="123">
        <f t="shared" si="12"/>
        <v>66.40625</v>
      </c>
      <c r="K16" s="36">
        <f>Processes!K14</f>
        <v>8.659E-2</v>
      </c>
      <c r="L16" s="42">
        <f t="shared" si="13"/>
        <v>3.8186190000000003E-5</v>
      </c>
      <c r="M16" s="13">
        <f t="shared" si="14"/>
        <v>1.431183896274464E-4</v>
      </c>
      <c r="T16" s="1">
        <f>0.024/0.065/55*100</f>
        <v>0.67132867132867136</v>
      </c>
      <c r="AO16" s="53">
        <v>60000</v>
      </c>
      <c r="AP16" s="132">
        <f t="shared" si="15"/>
        <v>18966.337095802985</v>
      </c>
      <c r="AQ16" s="132">
        <f t="shared" si="16"/>
        <v>13140.272722584188</v>
      </c>
      <c r="AR16" s="132">
        <f t="shared" si="17"/>
        <v>6681.7534605841893</v>
      </c>
      <c r="AS16" s="132">
        <f t="shared" si="18"/>
        <v>7674.3641757841888</v>
      </c>
      <c r="AT16" s="132">
        <f t="shared" si="8"/>
        <v>22195.980526584186</v>
      </c>
      <c r="AU16" s="132"/>
      <c r="AV16" s="53">
        <f t="shared" si="9"/>
        <v>60000</v>
      </c>
      <c r="AW16" s="132">
        <f t="shared" si="1"/>
        <v>0.31610561826338307</v>
      </c>
      <c r="AX16" s="132">
        <f t="shared" si="2"/>
        <v>0.21900454537640313</v>
      </c>
      <c r="AY16" s="132">
        <f t="shared" si="3"/>
        <v>0.11136255767640316</v>
      </c>
      <c r="AZ16" s="132">
        <f t="shared" si="4"/>
        <v>0.12790606959640313</v>
      </c>
      <c r="BA16" s="132">
        <f t="shared" si="5"/>
        <v>0.36993300877640312</v>
      </c>
    </row>
    <row r="17" spans="1:53">
      <c r="A17" s="7" t="s">
        <v>78</v>
      </c>
      <c r="B17" s="42">
        <f>1.47/150000</f>
        <v>9.7999999999999993E-6</v>
      </c>
      <c r="C17" s="42" t="s">
        <v>1</v>
      </c>
      <c r="D17" s="118">
        <f>Processes!H15</f>
        <v>275.14105886200002</v>
      </c>
      <c r="E17" s="42">
        <f t="shared" si="6"/>
        <v>2.6963823768476002E-3</v>
      </c>
      <c r="F17" s="13">
        <f t="shared" si="10"/>
        <v>6.9844767627836614E-4</v>
      </c>
      <c r="G17" s="36">
        <f>Processes!G15</f>
        <v>14.802611000000001</v>
      </c>
      <c r="H17" s="42">
        <f t="shared" si="7"/>
        <v>1.4506558779999999E-4</v>
      </c>
      <c r="I17" s="13">
        <f t="shared" si="11"/>
        <v>5.5861558423654211E-4</v>
      </c>
      <c r="J17" s="123">
        <f t="shared" si="12"/>
        <v>53.800080079739786</v>
      </c>
      <c r="K17" s="36">
        <f>Processes!K15</f>
        <v>18.711015</v>
      </c>
      <c r="L17" s="42">
        <f t="shared" si="13"/>
        <v>1.8336794699999999E-4</v>
      </c>
      <c r="M17" s="13">
        <f t="shared" si="14"/>
        <v>6.8724649628389047E-4</v>
      </c>
      <c r="AO17" s="53">
        <v>70000</v>
      </c>
      <c r="AP17" s="132">
        <f t="shared" si="15"/>
        <v>21287.348047707746</v>
      </c>
      <c r="AQ17" s="132">
        <f t="shared" si="16"/>
        <v>14254.34466858419</v>
      </c>
      <c r="AR17" s="132">
        <f t="shared" si="17"/>
        <v>6719.405529584189</v>
      </c>
      <c r="AS17" s="132">
        <f t="shared" si="18"/>
        <v>7877.4513639841889</v>
      </c>
      <c r="AT17" s="132">
        <f t="shared" si="8"/>
        <v>24819.337106584186</v>
      </c>
      <c r="AU17" s="132"/>
      <c r="AV17" s="53">
        <f t="shared" si="9"/>
        <v>70000</v>
      </c>
      <c r="AW17" s="132">
        <f t="shared" si="1"/>
        <v>0.30410497211011067</v>
      </c>
      <c r="AX17" s="132">
        <f t="shared" si="2"/>
        <v>0.20363349526548843</v>
      </c>
      <c r="AY17" s="132">
        <f t="shared" si="3"/>
        <v>9.599150756548841E-2</v>
      </c>
      <c r="AZ17" s="132">
        <f t="shared" si="4"/>
        <v>0.11253501948548841</v>
      </c>
      <c r="BA17" s="132">
        <f t="shared" si="5"/>
        <v>0.35456195866548834</v>
      </c>
    </row>
    <row r="18" spans="1:53">
      <c r="A18" s="7" t="s">
        <v>80</v>
      </c>
      <c r="B18" s="42">
        <f>107.1/150000</f>
        <v>7.1400000000000001E-4</v>
      </c>
      <c r="C18" s="42" t="s">
        <v>1</v>
      </c>
      <c r="D18" s="118">
        <f>Processes!H16</f>
        <v>79.357703812899999</v>
      </c>
      <c r="E18" s="42">
        <f t="shared" si="6"/>
        <v>5.6661400522410602E-2</v>
      </c>
      <c r="F18" s="13">
        <f t="shared" si="10"/>
        <v>1.4677081362556417E-2</v>
      </c>
      <c r="G18" s="36">
        <f>Processes!G16</f>
        <v>1.9192517</v>
      </c>
      <c r="H18" s="42">
        <f t="shared" si="7"/>
        <v>1.3703457138E-3</v>
      </c>
      <c r="I18" s="13">
        <f t="shared" si="11"/>
        <v>5.2768991125297631E-3</v>
      </c>
      <c r="J18" s="123">
        <f t="shared" si="12"/>
        <v>24.184818962567004</v>
      </c>
      <c r="K18" s="36">
        <f>Processes!K16</f>
        <v>2.3153990000000002</v>
      </c>
      <c r="L18" s="42">
        <f t="shared" si="13"/>
        <v>1.6531948860000001E-3</v>
      </c>
      <c r="M18" s="13">
        <f t="shared" si="14"/>
        <v>6.1960250505392091E-3</v>
      </c>
      <c r="AO18" s="53">
        <v>80000</v>
      </c>
      <c r="AP18" s="132">
        <f t="shared" si="15"/>
        <v>23608.358999612508</v>
      </c>
      <c r="AQ18" s="132">
        <f t="shared" si="16"/>
        <v>15368.416614584188</v>
      </c>
      <c r="AR18" s="132">
        <f t="shared" si="17"/>
        <v>6757.0575985841888</v>
      </c>
      <c r="AS18" s="132">
        <f t="shared" si="18"/>
        <v>8080.538552184189</v>
      </c>
      <c r="AT18" s="132">
        <f t="shared" si="8"/>
        <v>27442.693686584185</v>
      </c>
      <c r="AU18" s="132"/>
      <c r="AV18" s="53">
        <f t="shared" si="9"/>
        <v>80000</v>
      </c>
      <c r="AW18" s="132">
        <f t="shared" si="1"/>
        <v>0.29510448749515633</v>
      </c>
      <c r="AX18" s="132">
        <f t="shared" si="2"/>
        <v>0.19210520768230235</v>
      </c>
      <c r="AY18" s="132">
        <f t="shared" si="3"/>
        <v>8.4463219982302357E-2</v>
      </c>
      <c r="AZ18" s="132">
        <f t="shared" si="4"/>
        <v>0.10100673190230236</v>
      </c>
      <c r="BA18" s="132">
        <f t="shared" si="5"/>
        <v>0.34303367108230232</v>
      </c>
    </row>
    <row r="19" spans="1:53">
      <c r="A19" s="7" t="s">
        <v>44</v>
      </c>
      <c r="B19" s="42">
        <f>51.45/150000</f>
        <v>3.4300000000000004E-4</v>
      </c>
      <c r="C19" s="42" t="s">
        <v>1</v>
      </c>
      <c r="D19" s="118">
        <f>Processes!H17</f>
        <v>77.070942857709994</v>
      </c>
      <c r="E19" s="42">
        <f t="shared" si="6"/>
        <v>2.6435333400194532E-2</v>
      </c>
      <c r="F19" s="13">
        <f t="shared" si="10"/>
        <v>6.8475811678446229E-3</v>
      </c>
      <c r="G19" s="36">
        <f>Processes!G17</f>
        <v>1.5167522</v>
      </c>
      <c r="H19" s="42">
        <f t="shared" si="7"/>
        <v>5.202460046000001E-4</v>
      </c>
      <c r="I19" s="13">
        <f t="shared" si="11"/>
        <v>2.0033526228634348E-3</v>
      </c>
      <c r="J19" s="123">
        <f t="shared" si="12"/>
        <v>19.679948677937677</v>
      </c>
      <c r="K19" s="36">
        <f>Processes!K17</f>
        <v>1.9003220999999999</v>
      </c>
      <c r="L19" s="42">
        <f t="shared" si="13"/>
        <v>6.5181048030000003E-4</v>
      </c>
      <c r="M19" s="13">
        <f t="shared" si="14"/>
        <v>2.4429267827669734E-3</v>
      </c>
      <c r="AO19" s="53">
        <v>90000</v>
      </c>
      <c r="AP19" s="132">
        <f t="shared" si="15"/>
        <v>25929.36995151727</v>
      </c>
      <c r="AQ19" s="132">
        <f t="shared" si="16"/>
        <v>16482.488560584188</v>
      </c>
      <c r="AR19" s="132">
        <f t="shared" si="17"/>
        <v>6794.7096675841885</v>
      </c>
      <c r="AS19" s="132">
        <f t="shared" si="18"/>
        <v>8283.6257403841882</v>
      </c>
      <c r="AT19" s="132">
        <f t="shared" si="8"/>
        <v>30066.050266584185</v>
      </c>
      <c r="AU19" s="132"/>
      <c r="AV19" s="53">
        <f t="shared" si="9"/>
        <v>90000</v>
      </c>
      <c r="AW19" s="132">
        <f t="shared" si="1"/>
        <v>0.28810411057241414</v>
      </c>
      <c r="AX19" s="132">
        <f t="shared" si="2"/>
        <v>0.18313876178426874</v>
      </c>
      <c r="AY19" s="132">
        <f t="shared" si="3"/>
        <v>7.5496774084268761E-2</v>
      </c>
      <c r="AZ19" s="132">
        <f t="shared" si="4"/>
        <v>9.2040286004268765E-2</v>
      </c>
      <c r="BA19" s="132">
        <f t="shared" si="5"/>
        <v>0.33406722518426873</v>
      </c>
    </row>
    <row r="20" spans="1:53">
      <c r="A20" s="7" t="s">
        <v>82</v>
      </c>
      <c r="B20" s="42">
        <f>16.8/150000</f>
        <v>1.12E-4</v>
      </c>
      <c r="C20" s="42" t="s">
        <v>1</v>
      </c>
      <c r="D20" s="118">
        <f>Processes!H18</f>
        <v>57.351666661800003</v>
      </c>
      <c r="E20" s="42">
        <f t="shared" si="6"/>
        <v>6.4233866661216003E-3</v>
      </c>
      <c r="F20" s="13">
        <f t="shared" si="10"/>
        <v>1.6638587795679116E-3</v>
      </c>
      <c r="G20" s="36">
        <f>Processes!G18</f>
        <v>2.1136887999999998</v>
      </c>
      <c r="H20" s="42">
        <f t="shared" si="7"/>
        <v>2.3673314559999998E-4</v>
      </c>
      <c r="I20" s="13">
        <f t="shared" si="11"/>
        <v>9.1160713193965629E-4</v>
      </c>
      <c r="J20" s="123">
        <f t="shared" si="12"/>
        <v>36.854880128668626</v>
      </c>
      <c r="K20" s="36">
        <f>Processes!K18</f>
        <v>2.4231058000000001</v>
      </c>
      <c r="L20" s="42">
        <f t="shared" si="13"/>
        <v>2.7138784959999999E-4</v>
      </c>
      <c r="M20" s="13">
        <f t="shared" si="14"/>
        <v>1.0171371377769717E-3</v>
      </c>
      <c r="AO20" s="53">
        <v>100000</v>
      </c>
      <c r="AP20" s="132">
        <f t="shared" si="15"/>
        <v>28250.380903422028</v>
      </c>
      <c r="AQ20" s="132">
        <f t="shared" si="16"/>
        <v>17596.560506584188</v>
      </c>
      <c r="AR20" s="132">
        <f t="shared" si="17"/>
        <v>6832.3617365841892</v>
      </c>
      <c r="AS20" s="132">
        <f t="shared" si="18"/>
        <v>8486.7129285841893</v>
      </c>
      <c r="AT20" s="132">
        <f t="shared" si="8"/>
        <v>32689.406846584185</v>
      </c>
      <c r="AU20" s="132"/>
      <c r="AV20" s="53">
        <f t="shared" si="9"/>
        <v>100000</v>
      </c>
      <c r="AW20" s="132">
        <f t="shared" si="1"/>
        <v>0.28250380903422029</v>
      </c>
      <c r="AX20" s="132">
        <f t="shared" si="2"/>
        <v>0.17596560506584188</v>
      </c>
      <c r="AY20" s="132">
        <f t="shared" si="3"/>
        <v>6.8323617365841888E-2</v>
      </c>
      <c r="AZ20" s="132">
        <f t="shared" si="4"/>
        <v>8.4867129285841891E-2</v>
      </c>
      <c r="BA20" s="132">
        <f t="shared" si="5"/>
        <v>0.32689406846584185</v>
      </c>
    </row>
    <row r="21" spans="1:53">
      <c r="A21" s="7" t="s">
        <v>83</v>
      </c>
      <c r="B21" s="42">
        <f>213.15/150000</f>
        <v>1.421E-3</v>
      </c>
      <c r="C21" s="42" t="s">
        <v>1</v>
      </c>
      <c r="D21" s="118">
        <f>Processes!H19</f>
        <v>1.5173103058000001</v>
      </c>
      <c r="E21" s="42">
        <f t="shared" si="6"/>
        <v>2.1560979445418003E-3</v>
      </c>
      <c r="F21" s="13">
        <f t="shared" si="10"/>
        <v>5.5849704853596759E-4</v>
      </c>
      <c r="G21" s="36">
        <f>Processes!G19</f>
        <v>0.15973424999999999</v>
      </c>
      <c r="H21" s="42">
        <f t="shared" si="7"/>
        <v>2.2698236924999999E-4</v>
      </c>
      <c r="I21" s="13">
        <f t="shared" si="11"/>
        <v>8.7405904276067938E-4</v>
      </c>
      <c r="J21" s="123">
        <f t="shared" si="12"/>
        <v>105.27460954387988</v>
      </c>
      <c r="K21" s="36">
        <f>Processes!K19</f>
        <v>0.17059246</v>
      </c>
      <c r="L21" s="42">
        <f t="shared" si="13"/>
        <v>2.4241188566E-4</v>
      </c>
      <c r="M21" s="13">
        <f t="shared" si="14"/>
        <v>9.0853784318917035E-4</v>
      </c>
      <c r="AO21" s="53">
        <v>110000</v>
      </c>
      <c r="AP21" s="132">
        <f t="shared" si="15"/>
        <v>30571.39185532679</v>
      </c>
      <c r="AQ21" s="132">
        <f t="shared" si="16"/>
        <v>18710.632452584188</v>
      </c>
      <c r="AR21" s="132">
        <f t="shared" si="17"/>
        <v>6870.013805584189</v>
      </c>
      <c r="AS21" s="132">
        <f t="shared" si="18"/>
        <v>8689.8001167841885</v>
      </c>
      <c r="AT21" s="132">
        <f t="shared" si="8"/>
        <v>35312.763426584184</v>
      </c>
      <c r="AU21" s="132"/>
      <c r="AV21" s="53">
        <f t="shared" si="9"/>
        <v>110000</v>
      </c>
      <c r="AW21" s="132">
        <f t="shared" si="1"/>
        <v>0.27792174413933446</v>
      </c>
      <c r="AX21" s="132">
        <f t="shared" si="2"/>
        <v>0.17009665865985626</v>
      </c>
      <c r="AY21" s="132">
        <f t="shared" si="3"/>
        <v>6.2454670959856261E-2</v>
      </c>
      <c r="AZ21" s="132">
        <f t="shared" si="4"/>
        <v>7.8998182879856257E-2</v>
      </c>
      <c r="BA21" s="132">
        <f t="shared" si="5"/>
        <v>0.32102512205985623</v>
      </c>
    </row>
    <row r="22" spans="1:53">
      <c r="A22" s="7" t="s">
        <v>84</v>
      </c>
      <c r="B22" s="42">
        <f>568.05/150000</f>
        <v>3.7869999999999996E-3</v>
      </c>
      <c r="C22" s="42" t="s">
        <v>1</v>
      </c>
      <c r="D22" s="118">
        <f>Processes!H20</f>
        <v>4.9637526903799998</v>
      </c>
      <c r="E22" s="42">
        <f t="shared" si="6"/>
        <v>1.8797731438469058E-2</v>
      </c>
      <c r="F22" s="13">
        <f t="shared" si="10"/>
        <v>4.8692025119423813E-3</v>
      </c>
      <c r="G22" s="36">
        <f>Processes!G20</f>
        <v>0.28371059999999998</v>
      </c>
      <c r="H22" s="42">
        <f t="shared" si="7"/>
        <v>1.0744120421999999E-3</v>
      </c>
      <c r="I22" s="13">
        <f t="shared" si="11"/>
        <v>4.1373238117078052E-3</v>
      </c>
      <c r="J22" s="123">
        <f t="shared" si="12"/>
        <v>57.156473679650738</v>
      </c>
      <c r="K22" s="36">
        <f>Processes!K20</f>
        <v>0.31869152000000001</v>
      </c>
      <c r="L22" s="42">
        <f t="shared" si="13"/>
        <v>1.2068847862399998E-3</v>
      </c>
      <c r="M22" s="13">
        <f t="shared" si="14"/>
        <v>4.5232951250840587E-3</v>
      </c>
      <c r="AO22" s="53">
        <v>120000</v>
      </c>
      <c r="AP22" s="132">
        <f t="shared" si="15"/>
        <v>32892.402807231556</v>
      </c>
      <c r="AQ22" s="132">
        <f t="shared" si="16"/>
        <v>19824.704398584188</v>
      </c>
      <c r="AR22" s="132">
        <f t="shared" si="17"/>
        <v>6907.6658745841887</v>
      </c>
      <c r="AS22" s="132">
        <f t="shared" si="18"/>
        <v>8892.8873049841895</v>
      </c>
      <c r="AT22" s="132">
        <f t="shared" si="8"/>
        <v>37936.120006584184</v>
      </c>
      <c r="AU22" s="132"/>
      <c r="AV22" s="53">
        <f t="shared" si="9"/>
        <v>120000</v>
      </c>
      <c r="AW22" s="132">
        <f t="shared" si="1"/>
        <v>0.27410335672692965</v>
      </c>
      <c r="AX22" s="132">
        <f t="shared" si="2"/>
        <v>0.16520586998820158</v>
      </c>
      <c r="AY22" s="132">
        <f t="shared" si="3"/>
        <v>5.756388228820157E-2</v>
      </c>
      <c r="AZ22" s="132">
        <f t="shared" si="4"/>
        <v>7.4107394208201574E-2</v>
      </c>
      <c r="BA22" s="132">
        <f t="shared" si="5"/>
        <v>0.31613433338820152</v>
      </c>
    </row>
    <row r="23" spans="1:53">
      <c r="A23" s="7" t="s">
        <v>86</v>
      </c>
      <c r="B23" s="42">
        <f>1039.5/150000</f>
        <v>6.9300000000000004E-3</v>
      </c>
      <c r="C23" s="42" t="s">
        <v>1</v>
      </c>
      <c r="D23" s="118">
        <f>Processes!H21</f>
        <v>25.220541009999998</v>
      </c>
      <c r="E23" s="42">
        <f t="shared" si="6"/>
        <v>0.17477834919929999</v>
      </c>
      <c r="F23" s="13">
        <f t="shared" si="10"/>
        <v>4.5273078814859619E-2</v>
      </c>
      <c r="G23" s="36">
        <f>Processes!G21</f>
        <v>1.9191216</v>
      </c>
      <c r="H23" s="42">
        <f t="shared" si="7"/>
        <v>1.3299512688E-2</v>
      </c>
      <c r="I23" s="13">
        <f t="shared" si="11"/>
        <v>5.121349013875795E-2</v>
      </c>
      <c r="J23" s="123">
        <f t="shared" si="12"/>
        <v>76.093593679812983</v>
      </c>
      <c r="K23" s="36">
        <f>Processes!K21</f>
        <v>2.2139538000000001</v>
      </c>
      <c r="L23" s="42">
        <f t="shared" si="13"/>
        <v>1.5342699834000002E-2</v>
      </c>
      <c r="M23" s="13">
        <f t="shared" si="14"/>
        <v>5.7503052616125601E-2</v>
      </c>
      <c r="AO23" s="53">
        <v>130000</v>
      </c>
      <c r="AP23" s="132">
        <f t="shared" si="15"/>
        <v>35213.413759136311</v>
      </c>
      <c r="AQ23" s="132">
        <f t="shared" si="16"/>
        <v>20938.776344584188</v>
      </c>
      <c r="AR23" s="132">
        <f t="shared" si="17"/>
        <v>6945.3179435841885</v>
      </c>
      <c r="AS23" s="132">
        <f t="shared" si="18"/>
        <v>9095.9744931841888</v>
      </c>
      <c r="AT23" s="132">
        <f t="shared" si="8"/>
        <v>40559.476586584184</v>
      </c>
      <c r="AU23" s="132"/>
      <c r="AV23" s="53">
        <f t="shared" si="9"/>
        <v>130000</v>
      </c>
      <c r="AW23" s="132">
        <f t="shared" si="1"/>
        <v>0.27087241353181779</v>
      </c>
      <c r="AX23" s="132">
        <f t="shared" si="2"/>
        <v>0.1610675103429553</v>
      </c>
      <c r="AY23" s="132">
        <f t="shared" si="3"/>
        <v>5.3425522642955296E-2</v>
      </c>
      <c r="AZ23" s="132">
        <f t="shared" si="4"/>
        <v>6.9969034562955293E-2</v>
      </c>
      <c r="BA23" s="132">
        <f t="shared" si="5"/>
        <v>0.31199597374295523</v>
      </c>
    </row>
    <row r="24" spans="1:53">
      <c r="A24" s="7" t="s">
        <v>88</v>
      </c>
      <c r="B24" s="42">
        <f>0.84/150000</f>
        <v>5.5999999999999997E-6</v>
      </c>
      <c r="C24" s="42" t="s">
        <v>1</v>
      </c>
      <c r="D24" s="118">
        <f>Processes!H22</f>
        <v>3.2791276421599997</v>
      </c>
      <c r="E24" s="42">
        <f t="shared" si="6"/>
        <v>1.8363114796095996E-5</v>
      </c>
      <c r="F24" s="13">
        <f t="shared" si="10"/>
        <v>4.756623158752769E-6</v>
      </c>
      <c r="G24" s="36">
        <f>Processes!G22</f>
        <v>9.2734680999999999E-2</v>
      </c>
      <c r="H24" s="42">
        <f t="shared" si="7"/>
        <v>5.1931421359999996E-7</v>
      </c>
      <c r="I24" s="13">
        <f t="shared" si="11"/>
        <v>1.9997645012300044E-6</v>
      </c>
      <c r="J24" s="123">
        <f t="shared" si="12"/>
        <v>28.280290101459602</v>
      </c>
      <c r="K24" s="36">
        <f>Processes!K22</f>
        <v>0.10553827</v>
      </c>
      <c r="L24" s="42">
        <f t="shared" si="13"/>
        <v>5.9101431199999997E-7</v>
      </c>
      <c r="M24" s="13">
        <f t="shared" si="14"/>
        <v>2.2150682375019124E-6</v>
      </c>
      <c r="AO24" s="53">
        <v>140000</v>
      </c>
      <c r="AP24" s="132">
        <f t="shared" si="15"/>
        <v>37534.42471104108</v>
      </c>
      <c r="AQ24" s="132">
        <f t="shared" si="16"/>
        <v>22052.848290584192</v>
      </c>
      <c r="AR24" s="132">
        <f t="shared" si="17"/>
        <v>6982.9700125841891</v>
      </c>
      <c r="AS24" s="132">
        <f t="shared" si="18"/>
        <v>9299.061681384188</v>
      </c>
      <c r="AT24" s="132">
        <f t="shared" si="8"/>
        <v>43182.833166584183</v>
      </c>
      <c r="AU24" s="132"/>
      <c r="AV24" s="53">
        <f t="shared" si="9"/>
        <v>140000</v>
      </c>
      <c r="AW24" s="132">
        <f t="shared" si="1"/>
        <v>0.26810303365029342</v>
      </c>
      <c r="AX24" s="132">
        <f t="shared" si="2"/>
        <v>0.15752034493274422</v>
      </c>
      <c r="AY24" s="132">
        <f t="shared" si="3"/>
        <v>4.9878357232744211E-2</v>
      </c>
      <c r="AZ24" s="132">
        <f t="shared" si="4"/>
        <v>6.6421869152744201E-2</v>
      </c>
      <c r="BA24" s="132">
        <f t="shared" si="5"/>
        <v>0.30844880833274418</v>
      </c>
    </row>
    <row r="25" spans="1:53">
      <c r="A25" s="7" t="s">
        <v>90</v>
      </c>
      <c r="B25" s="42">
        <f>46.305/150000</f>
        <v>3.0870000000000002E-4</v>
      </c>
      <c r="C25" s="42" t="s">
        <v>1</v>
      </c>
      <c r="D25" s="118">
        <f>Processes!H23</f>
        <v>83.60239744319999</v>
      </c>
      <c r="E25" s="42">
        <f t="shared" si="6"/>
        <v>2.5808060090715838E-2</v>
      </c>
      <c r="F25" s="13">
        <f t="shared" si="10"/>
        <v>6.6850976902938439E-3</v>
      </c>
      <c r="G25" s="36">
        <f>Processes!G23</f>
        <v>2.4385405000000002</v>
      </c>
      <c r="H25" s="42">
        <f t="shared" si="7"/>
        <v>7.5277745235000017E-4</v>
      </c>
      <c r="I25" s="13">
        <f t="shared" si="11"/>
        <v>2.8987799430720061E-3</v>
      </c>
      <c r="J25" s="123">
        <f t="shared" si="12"/>
        <v>29.168308261216559</v>
      </c>
      <c r="K25" s="36">
        <f>Processes!K23</f>
        <v>2.7275390000000002</v>
      </c>
      <c r="L25" s="42">
        <f t="shared" si="13"/>
        <v>8.4199128930000013E-4</v>
      </c>
      <c r="M25" s="13">
        <f t="shared" si="14"/>
        <v>3.1557072702187191E-3</v>
      </c>
      <c r="AO25" s="53">
        <v>150000</v>
      </c>
      <c r="AP25" s="132">
        <f t="shared" si="15"/>
        <v>39855.435662945842</v>
      </c>
      <c r="AQ25" s="132">
        <f t="shared" si="16"/>
        <v>23166.920236584188</v>
      </c>
      <c r="AR25" s="132">
        <f t="shared" si="17"/>
        <v>7020.6220815841889</v>
      </c>
      <c r="AS25" s="132">
        <f t="shared" si="18"/>
        <v>9502.148869584189</v>
      </c>
      <c r="AT25" s="132">
        <f t="shared" si="8"/>
        <v>45806.189746584183</v>
      </c>
      <c r="AU25" s="132"/>
      <c r="AV25" s="53">
        <f t="shared" si="9"/>
        <v>150000</v>
      </c>
      <c r="AW25" s="132">
        <f t="shared" si="1"/>
        <v>0.26570290441963895</v>
      </c>
      <c r="AX25" s="132">
        <f t="shared" si="2"/>
        <v>0.15444613491056125</v>
      </c>
      <c r="AY25" s="132">
        <f t="shared" si="3"/>
        <v>4.680414721056126E-2</v>
      </c>
      <c r="AZ25" s="132">
        <f t="shared" si="4"/>
        <v>6.3347659130561257E-2</v>
      </c>
      <c r="BA25" s="132">
        <f t="shared" si="5"/>
        <v>0.30537459831056124</v>
      </c>
    </row>
    <row r="26" spans="1:53">
      <c r="A26" s="7" t="s">
        <v>92</v>
      </c>
      <c r="B26" s="42">
        <f>3381/150000</f>
        <v>2.2540000000000001E-2</v>
      </c>
      <c r="C26" s="42" t="s">
        <v>1</v>
      </c>
      <c r="D26" s="118">
        <f>Processes!H24</f>
        <v>5.24675681922E-3</v>
      </c>
      <c r="E26" s="42">
        <f t="shared" si="6"/>
        <v>1.182618987052188E-4</v>
      </c>
      <c r="F26" s="13">
        <f t="shared" si="10"/>
        <v>3.0633544059688139E-5</v>
      </c>
      <c r="G26" s="36">
        <f>Processes!G24</f>
        <v>3.0655740999999999E-4</v>
      </c>
      <c r="H26" s="42">
        <f t="shared" si="7"/>
        <v>6.9098040213999998E-6</v>
      </c>
      <c r="I26" s="13">
        <f t="shared" si="11"/>
        <v>2.6608131321233784E-5</v>
      </c>
      <c r="J26" s="123">
        <f t="shared" si="12"/>
        <v>58.427981429788048</v>
      </c>
      <c r="K26" s="36">
        <f>Processes!K24</f>
        <v>3.3307439E-4</v>
      </c>
      <c r="L26" s="42">
        <f t="shared" si="13"/>
        <v>7.5074967506E-6</v>
      </c>
      <c r="M26" s="13">
        <f t="shared" si="14"/>
        <v>2.8137419446118048E-5</v>
      </c>
      <c r="AO26" s="53">
        <v>160000</v>
      </c>
      <c r="AP26" s="132">
        <f t="shared" si="15"/>
        <v>42176.446614850604</v>
      </c>
      <c r="AQ26" s="132">
        <f t="shared" si="16"/>
        <v>24280.992182584188</v>
      </c>
      <c r="AR26" s="132">
        <f t="shared" si="17"/>
        <v>7058.2741505841886</v>
      </c>
      <c r="AS26" s="132">
        <f t="shared" si="18"/>
        <v>9705.2360577841882</v>
      </c>
      <c r="AT26" s="132">
        <f t="shared" si="8"/>
        <v>48429.546326584183</v>
      </c>
      <c r="AU26" s="132"/>
      <c r="AV26" s="53">
        <f t="shared" si="9"/>
        <v>160000</v>
      </c>
      <c r="AW26" s="132">
        <f t="shared" si="1"/>
        <v>0.26360279134281628</v>
      </c>
      <c r="AX26" s="132">
        <f t="shared" si="2"/>
        <v>0.15175620114115118</v>
      </c>
      <c r="AY26" s="132">
        <f t="shared" si="3"/>
        <v>4.4114213441151177E-2</v>
      </c>
      <c r="AZ26" s="132">
        <f t="shared" si="4"/>
        <v>6.0657725361151174E-2</v>
      </c>
      <c r="BA26" s="132">
        <f t="shared" si="5"/>
        <v>0.30268466454115112</v>
      </c>
    </row>
    <row r="27" spans="1:53">
      <c r="A27" s="7" t="s">
        <v>99</v>
      </c>
      <c r="B27" s="42">
        <f>6.1845/150000</f>
        <v>4.1229999999999997E-5</v>
      </c>
      <c r="C27" s="42" t="s">
        <v>1</v>
      </c>
      <c r="D27" s="118">
        <f>Processes!H25</f>
        <v>42.345437278200002</v>
      </c>
      <c r="E27" s="42">
        <f t="shared" si="6"/>
        <v>1.7459023789801859E-3</v>
      </c>
      <c r="F27" s="13">
        <f t="shared" si="10"/>
        <v>4.5224352082928038E-4</v>
      </c>
      <c r="G27" s="36">
        <f>Processes!G25</f>
        <v>2.5227368999999999</v>
      </c>
      <c r="H27" s="42">
        <f t="shared" si="7"/>
        <v>1.0401244238699999E-4</v>
      </c>
      <c r="I27" s="13">
        <f t="shared" si="11"/>
        <v>4.0052897556924028E-4</v>
      </c>
      <c r="J27" s="123">
        <f t="shared" si="12"/>
        <v>59.575176504287484</v>
      </c>
      <c r="K27" s="36">
        <f>Processes!K25</f>
        <v>2.7140713999999999</v>
      </c>
      <c r="L27" s="42">
        <f t="shared" si="13"/>
        <v>1.1190116382199999E-4</v>
      </c>
      <c r="M27" s="13">
        <f t="shared" si="14"/>
        <v>4.1939545064961184E-4</v>
      </c>
      <c r="AO27" s="53">
        <v>170000</v>
      </c>
      <c r="AP27" s="132">
        <f t="shared" si="15"/>
        <v>44497.457566755365</v>
      </c>
      <c r="AQ27" s="132">
        <f t="shared" si="16"/>
        <v>25395.064128584188</v>
      </c>
      <c r="AR27" s="132">
        <f t="shared" si="17"/>
        <v>7095.9262195841893</v>
      </c>
      <c r="AS27" s="132">
        <f t="shared" si="18"/>
        <v>9908.3232459841893</v>
      </c>
      <c r="AT27" s="132">
        <f t="shared" si="8"/>
        <v>51052.902906584182</v>
      </c>
      <c r="AU27" s="132"/>
      <c r="AV27" s="53">
        <f t="shared" si="9"/>
        <v>170000</v>
      </c>
      <c r="AW27" s="132">
        <f t="shared" si="1"/>
        <v>0.26174975039267862</v>
      </c>
      <c r="AX27" s="132">
        <f t="shared" si="2"/>
        <v>0.1493827301681423</v>
      </c>
      <c r="AY27" s="132">
        <f t="shared" si="3"/>
        <v>4.1740742468142293E-2</v>
      </c>
      <c r="AZ27" s="132">
        <f t="shared" si="4"/>
        <v>5.828425438814229E-2</v>
      </c>
      <c r="BA27" s="132">
        <f t="shared" si="5"/>
        <v>0.30031119356814223</v>
      </c>
    </row>
    <row r="28" spans="1:53">
      <c r="A28" s="7" t="s">
        <v>105</v>
      </c>
      <c r="B28" s="42">
        <f>2247/150000/3.6</f>
        <v>4.1611111111111111E-3</v>
      </c>
      <c r="C28" s="42" t="s">
        <v>2</v>
      </c>
      <c r="D28" s="118">
        <f>Processes!H46</f>
        <v>9.0683380483600011</v>
      </c>
      <c r="E28" s="42">
        <f t="shared" si="6"/>
        <v>3.773436221234245E-2</v>
      </c>
      <c r="F28" s="13">
        <f t="shared" si="10"/>
        <v>9.7743843118680892E-3</v>
      </c>
      <c r="G28" s="120">
        <f>Processes!G46</f>
        <v>0.40013556</v>
      </c>
      <c r="H28" s="42">
        <f t="shared" si="7"/>
        <v>1.6650085246666666E-3</v>
      </c>
      <c r="I28" s="13">
        <f t="shared" si="11"/>
        <v>6.411580608957441E-3</v>
      </c>
      <c r="J28" s="123">
        <f t="shared" si="12"/>
        <v>44.124464468146293</v>
      </c>
      <c r="K28" s="120">
        <f>Processes!K46</f>
        <v>0.42848921000000001</v>
      </c>
      <c r="L28" s="42">
        <f t="shared" si="13"/>
        <v>1.7829912127222223E-3</v>
      </c>
      <c r="M28" s="13">
        <f t="shared" si="14"/>
        <v>6.6824899547373575E-3</v>
      </c>
      <c r="AO28" s="53">
        <v>180000</v>
      </c>
      <c r="AP28" s="132">
        <f t="shared" si="15"/>
        <v>46818.468518660127</v>
      </c>
      <c r="AQ28" s="132">
        <f t="shared" si="16"/>
        <v>26509.136074584188</v>
      </c>
      <c r="AR28" s="132">
        <f t="shared" si="17"/>
        <v>7133.5782885841891</v>
      </c>
      <c r="AS28" s="132">
        <f t="shared" si="18"/>
        <v>10111.410434184188</v>
      </c>
      <c r="AT28" s="132">
        <f t="shared" si="8"/>
        <v>53676.259486584182</v>
      </c>
      <c r="AU28" s="132"/>
      <c r="AV28" s="53">
        <f t="shared" si="9"/>
        <v>180000</v>
      </c>
      <c r="AW28" s="132">
        <f t="shared" si="1"/>
        <v>0.26010260288144516</v>
      </c>
      <c r="AX28" s="132">
        <f t="shared" si="2"/>
        <v>0.14727297819213439</v>
      </c>
      <c r="AY28" s="132">
        <f t="shared" si="3"/>
        <v>3.9630990492134387E-2</v>
      </c>
      <c r="AZ28" s="132">
        <f t="shared" si="4"/>
        <v>5.6174502412134383E-2</v>
      </c>
      <c r="BA28" s="132">
        <f t="shared" si="5"/>
        <v>0.29820144159213435</v>
      </c>
    </row>
    <row r="29" spans="1:53">
      <c r="A29" s="6" t="s">
        <v>9</v>
      </c>
      <c r="B29" s="43"/>
      <c r="C29" s="10"/>
      <c r="D29" s="5"/>
      <c r="E29" s="47"/>
      <c r="F29" s="14"/>
      <c r="G29" s="5"/>
      <c r="H29" s="47"/>
      <c r="I29" s="14"/>
      <c r="J29" s="29"/>
      <c r="K29" s="5"/>
      <c r="L29" s="168"/>
      <c r="M29" s="168"/>
      <c r="AO29" s="53">
        <v>190000</v>
      </c>
      <c r="AP29" s="132">
        <f t="shared" si="15"/>
        <v>49139.479470564882</v>
      </c>
      <c r="AQ29" s="132">
        <f t="shared" si="16"/>
        <v>27623.208020584188</v>
      </c>
      <c r="AR29" s="132">
        <f t="shared" si="17"/>
        <v>7171.2303575841888</v>
      </c>
      <c r="AS29" s="132">
        <f t="shared" si="18"/>
        <v>10314.497622384188</v>
      </c>
      <c r="AT29" s="132">
        <f t="shared" si="8"/>
        <v>56299.616066584182</v>
      </c>
      <c r="AU29" s="132"/>
      <c r="AV29" s="53">
        <f t="shared" si="9"/>
        <v>190000</v>
      </c>
      <c r="AW29" s="132">
        <f t="shared" si="1"/>
        <v>0.25862883931876252</v>
      </c>
      <c r="AX29" s="132">
        <f t="shared" si="2"/>
        <v>0.14538530537149572</v>
      </c>
      <c r="AY29" s="132">
        <f t="shared" si="3"/>
        <v>3.7743317671495732E-2</v>
      </c>
      <c r="AZ29" s="132">
        <f t="shared" si="4"/>
        <v>5.4286829591495722E-2</v>
      </c>
      <c r="BA29" s="132">
        <f t="shared" si="5"/>
        <v>0.29631376877149568</v>
      </c>
    </row>
    <row r="30" spans="1:53">
      <c r="A30" s="7" t="s">
        <v>94</v>
      </c>
      <c r="B30" s="42">
        <f>556.5/150000</f>
        <v>3.7100000000000002E-3</v>
      </c>
      <c r="C30" s="9" t="s">
        <v>14</v>
      </c>
      <c r="D30" s="36">
        <f>Processes!H32</f>
        <v>0.70222190420999997</v>
      </c>
      <c r="E30" s="127">
        <f t="shared" si="6"/>
        <v>2.6052432646191002E-3</v>
      </c>
      <c r="F30" s="119">
        <f>E30/E$43</f>
        <v>6.7483978531280859E-4</v>
      </c>
      <c r="G30" s="121">
        <f>Processes!G32</f>
        <v>4.1812312999999997E-2</v>
      </c>
      <c r="H30" s="115">
        <f t="shared" si="7"/>
        <v>1.5512368122999999E-4</v>
      </c>
      <c r="I30" s="13">
        <f>H30/H$43</f>
        <v>5.9734708371146574E-4</v>
      </c>
      <c r="J30" s="122">
        <f>H30/E30*$B$2</f>
        <v>59.542877756054722</v>
      </c>
      <c r="K30" s="121">
        <f>Processes!K32</f>
        <v>4.4801749000000002E-2</v>
      </c>
      <c r="L30" s="42">
        <f>K30*$B30</f>
        <v>1.6621448879000002E-4</v>
      </c>
      <c r="M30" s="13">
        <f>L30/L$43</f>
        <v>6.2295688489409499E-4</v>
      </c>
      <c r="AO30" s="53">
        <v>200000</v>
      </c>
      <c r="AP30" s="132">
        <f t="shared" si="15"/>
        <v>51460.490422469644</v>
      </c>
      <c r="AQ30" s="132">
        <f t="shared" si="16"/>
        <v>28737.279966584189</v>
      </c>
      <c r="AR30" s="132">
        <f t="shared" si="17"/>
        <v>7208.8824265841886</v>
      </c>
      <c r="AS30" s="132">
        <f t="shared" si="18"/>
        <v>10517.584810584189</v>
      </c>
      <c r="AT30" s="132">
        <f t="shared" si="8"/>
        <v>58922.972646584181</v>
      </c>
      <c r="AU30" s="132"/>
      <c r="AV30" s="53">
        <f t="shared" si="9"/>
        <v>200000</v>
      </c>
      <c r="AW30" s="132">
        <f t="shared" si="1"/>
        <v>0.2573024521123482</v>
      </c>
      <c r="AX30" s="132">
        <f t="shared" si="2"/>
        <v>0.14368639983292095</v>
      </c>
      <c r="AY30" s="132">
        <f t="shared" si="3"/>
        <v>3.6044412132920943E-2</v>
      </c>
      <c r="AZ30" s="132">
        <f t="shared" si="4"/>
        <v>5.2587924052920947E-2</v>
      </c>
      <c r="BA30" s="132">
        <f t="shared" si="5"/>
        <v>0.29461486323292091</v>
      </c>
    </row>
    <row r="31" spans="1:53">
      <c r="A31" s="7" t="s">
        <v>141</v>
      </c>
      <c r="B31" s="42">
        <f>59.073/150000</f>
        <v>3.9382000000000002E-4</v>
      </c>
      <c r="C31" s="9" t="s">
        <v>14</v>
      </c>
      <c r="D31" s="36">
        <f>Processes!H33</f>
        <v>2.71316117779</v>
      </c>
      <c r="E31" s="127">
        <f t="shared" si="6"/>
        <v>1.0684971350372579E-3</v>
      </c>
      <c r="F31" s="119">
        <f>E31/E$43</f>
        <v>2.7677429858793528E-4</v>
      </c>
      <c r="G31" s="121">
        <f>Processes!G33</f>
        <v>0.16557683000000001</v>
      </c>
      <c r="H31" s="115">
        <f t="shared" si="7"/>
        <v>6.5207467190600009E-5</v>
      </c>
      <c r="I31" s="13">
        <f>H31/H$43</f>
        <v>2.510995745695533E-4</v>
      </c>
      <c r="J31" s="122">
        <f t="shared" ref="J31:J38" si="19">H31/E31*$B$2</f>
        <v>61.027273777693615</v>
      </c>
      <c r="K31" s="121">
        <f>Processes!K33</f>
        <v>0.17185733</v>
      </c>
      <c r="L31" s="42">
        <f>K31*$B31</f>
        <v>6.7680853700600001E-5</v>
      </c>
      <c r="M31" s="13">
        <f>L31/L$43</f>
        <v>2.5366172404842345E-4</v>
      </c>
      <c r="AO31" s="53">
        <v>210000</v>
      </c>
      <c r="AP31" s="132">
        <f t="shared" si="15"/>
        <v>53781.501374374406</v>
      </c>
      <c r="AQ31" s="132">
        <f t="shared" si="16"/>
        <v>29851.351912584189</v>
      </c>
      <c r="AR31" s="132">
        <f t="shared" si="17"/>
        <v>7246.5344955841892</v>
      </c>
      <c r="AS31" s="132">
        <f t="shared" si="18"/>
        <v>10720.67199878419</v>
      </c>
      <c r="AT31" s="132">
        <f t="shared" si="8"/>
        <v>61546.329226584181</v>
      </c>
      <c r="AU31" s="132"/>
      <c r="AV31" s="53">
        <f t="shared" si="9"/>
        <v>210000</v>
      </c>
      <c r="AW31" s="132">
        <f t="shared" si="1"/>
        <v>0.25610238749702097</v>
      </c>
      <c r="AX31" s="132">
        <f t="shared" si="2"/>
        <v>0.14214929482182947</v>
      </c>
      <c r="AY31" s="132">
        <f t="shared" si="3"/>
        <v>3.4507307121829471E-2</v>
      </c>
      <c r="AZ31" s="132">
        <f t="shared" si="4"/>
        <v>5.1050819041829475E-2</v>
      </c>
      <c r="BA31" s="132">
        <f t="shared" si="5"/>
        <v>0.29307775822182941</v>
      </c>
    </row>
    <row r="32" spans="1:53">
      <c r="A32" s="7" t="s">
        <v>97</v>
      </c>
      <c r="B32" s="42">
        <f>10400/150000</f>
        <v>6.933333333333333E-2</v>
      </c>
      <c r="C32" s="9" t="s">
        <v>14</v>
      </c>
      <c r="D32" s="36">
        <f>Processes!H34</f>
        <v>0.12785665997949999</v>
      </c>
      <c r="E32" s="127">
        <f t="shared" si="6"/>
        <v>8.8647284252453325E-3</v>
      </c>
      <c r="F32" s="119">
        <f>E32/E$43</f>
        <v>2.2962429300142726E-3</v>
      </c>
      <c r="G32" s="121">
        <f>Processes!G34</f>
        <v>9.0969941999999998E-3</v>
      </c>
      <c r="H32" s="115">
        <f t="shared" si="7"/>
        <v>6.3072493119999996E-4</v>
      </c>
      <c r="I32" s="13">
        <f>H32/H$43</f>
        <v>2.4287826029464506E-3</v>
      </c>
      <c r="J32" s="122">
        <f t="shared" si="19"/>
        <v>71.149944019017653</v>
      </c>
      <c r="K32" s="121">
        <f>Processes!K34</f>
        <v>9.4049823999999994E-3</v>
      </c>
      <c r="L32" s="42">
        <f>K32*$B32</f>
        <v>6.5207877973333329E-4</v>
      </c>
      <c r="M32" s="13">
        <f>L32/L$43</f>
        <v>2.4439323447996509E-3</v>
      </c>
      <c r="AO32" s="53">
        <v>220000</v>
      </c>
      <c r="AP32" s="132">
        <f t="shared" si="15"/>
        <v>56102.512326279168</v>
      </c>
      <c r="AQ32" s="132">
        <f t="shared" si="16"/>
        <v>30965.423858584189</v>
      </c>
      <c r="AR32" s="132">
        <f t="shared" si="17"/>
        <v>7284.186564584189</v>
      </c>
      <c r="AS32" s="132">
        <f t="shared" si="18"/>
        <v>10923.759186984189</v>
      </c>
      <c r="AT32" s="132">
        <f t="shared" si="8"/>
        <v>64169.685806584181</v>
      </c>
      <c r="AU32" s="132"/>
      <c r="AV32" s="53">
        <f t="shared" si="9"/>
        <v>220000</v>
      </c>
      <c r="AW32" s="132">
        <f t="shared" si="1"/>
        <v>0.25501141966490531</v>
      </c>
      <c r="AX32" s="132">
        <f t="shared" si="2"/>
        <v>0.14075192662992814</v>
      </c>
      <c r="AY32" s="132">
        <f t="shared" si="3"/>
        <v>3.3109938929928133E-2</v>
      </c>
      <c r="AZ32" s="132">
        <f t="shared" si="4"/>
        <v>4.965345084992813E-2</v>
      </c>
      <c r="BA32" s="132">
        <f t="shared" si="5"/>
        <v>0.29168039002992807</v>
      </c>
    </row>
    <row r="33" spans="1:53">
      <c r="A33" s="6" t="s">
        <v>4</v>
      </c>
      <c r="B33" s="43"/>
      <c r="C33" s="10"/>
      <c r="D33" s="5"/>
      <c r="E33" s="47"/>
      <c r="F33" s="14"/>
      <c r="G33" s="117"/>
      <c r="H33" s="47"/>
      <c r="I33" s="14"/>
      <c r="J33" s="29"/>
      <c r="K33" s="117"/>
      <c r="L33" s="168"/>
      <c r="M33" s="168"/>
      <c r="V33" s="44"/>
      <c r="W33" s="44"/>
      <c r="X33" s="44"/>
      <c r="AO33" s="53">
        <v>230000</v>
      </c>
      <c r="AP33" s="132">
        <f t="shared" si="15"/>
        <v>58423.52327818393</v>
      </c>
      <c r="AQ33" s="132">
        <f t="shared" si="16"/>
        <v>32079.495804584189</v>
      </c>
      <c r="AR33" s="132">
        <f t="shared" si="17"/>
        <v>7321.8386335841888</v>
      </c>
      <c r="AS33" s="132">
        <f t="shared" si="18"/>
        <v>11126.846375184188</v>
      </c>
      <c r="AT33" s="132">
        <f t="shared" si="8"/>
        <v>66793.042386584188</v>
      </c>
      <c r="AU33" s="132"/>
      <c r="AV33" s="53">
        <f t="shared" si="9"/>
        <v>230000</v>
      </c>
      <c r="AW33" s="132">
        <f t="shared" si="1"/>
        <v>0.25401531860079968</v>
      </c>
      <c r="AX33" s="132">
        <f t="shared" si="2"/>
        <v>0.13947606871558343</v>
      </c>
      <c r="AY33" s="132">
        <f t="shared" si="3"/>
        <v>3.1834081015583431E-2</v>
      </c>
      <c r="AZ33" s="132">
        <f t="shared" si="4"/>
        <v>4.8377592935583427E-2</v>
      </c>
      <c r="BA33" s="132">
        <f t="shared" si="5"/>
        <v>0.29040453211558342</v>
      </c>
    </row>
    <row r="34" spans="1:53" ht="20.100000000000001">
      <c r="A34" s="7" t="s">
        <v>180</v>
      </c>
      <c r="B34" s="42">
        <v>6.19047619047619E-2</v>
      </c>
      <c r="C34" s="9" t="s">
        <v>1</v>
      </c>
      <c r="D34" s="36">
        <f>Processes!H45</f>
        <v>54.400731220600001</v>
      </c>
      <c r="E34" s="160">
        <f>D34*$B34</f>
        <v>3.3676643136561903</v>
      </c>
      <c r="F34" s="13">
        <f>E34/E$43</f>
        <v>0.87233076975850887</v>
      </c>
      <c r="G34" s="36">
        <f>Processes!G45</f>
        <v>0.58292348000000005</v>
      </c>
      <c r="H34" s="9">
        <f t="shared" si="7"/>
        <v>3.6085739238095237E-2</v>
      </c>
      <c r="I34" s="13">
        <f>H34/H$43</f>
        <v>0.13895822305485522</v>
      </c>
      <c r="J34" s="122">
        <f t="shared" si="19"/>
        <v>10.715361115941462</v>
      </c>
      <c r="K34" s="36">
        <f>Processes!K45</f>
        <v>0.63547922999999995</v>
      </c>
      <c r="L34" s="42">
        <f>K34*$B34</f>
        <v>3.9339190428571424E-2</v>
      </c>
      <c r="M34" s="42">
        <f>L34/L$43</f>
        <v>0.14743973104896285</v>
      </c>
      <c r="AO34" s="53">
        <v>240000</v>
      </c>
      <c r="AP34" s="132">
        <f t="shared" si="15"/>
        <v>60744.534230088691</v>
      </c>
      <c r="AQ34" s="132">
        <f t="shared" si="16"/>
        <v>33193.567750584189</v>
      </c>
      <c r="AR34" s="132">
        <f t="shared" si="17"/>
        <v>7359.4907025841894</v>
      </c>
      <c r="AS34" s="132">
        <f t="shared" si="18"/>
        <v>11329.933563384187</v>
      </c>
      <c r="AT34" s="132">
        <f t="shared" si="8"/>
        <v>69416.39896658418</v>
      </c>
      <c r="AU34" s="132"/>
      <c r="AV34" s="53">
        <f t="shared" si="9"/>
        <v>240000</v>
      </c>
      <c r="AW34" s="132">
        <f t="shared" si="1"/>
        <v>0.25310222595870285</v>
      </c>
      <c r="AX34" s="132">
        <f t="shared" si="2"/>
        <v>0.13830653229410078</v>
      </c>
      <c r="AY34" s="132">
        <f t="shared" si="3"/>
        <v>3.0664544594100788E-2</v>
      </c>
      <c r="AZ34" s="132">
        <f t="shared" si="4"/>
        <v>4.7208056514100781E-2</v>
      </c>
      <c r="BA34" s="132">
        <f t="shared" si="5"/>
        <v>0.28923499569410077</v>
      </c>
    </row>
    <row r="35" spans="1:53" ht="20.100000000000001">
      <c r="A35" s="137" t="s">
        <v>185</v>
      </c>
      <c r="B35" s="42">
        <v>6.19047619047619E-2</v>
      </c>
      <c r="C35" s="9" t="s">
        <v>1</v>
      </c>
      <c r="D35" s="36">
        <v>0</v>
      </c>
      <c r="E35" s="128">
        <f>D35*$B35</f>
        <v>0</v>
      </c>
      <c r="F35" s="13">
        <f>E35/E$43</f>
        <v>0</v>
      </c>
      <c r="G35" s="121">
        <f>0.2024/0.065</f>
        <v>3.1138461538461537</v>
      </c>
      <c r="H35" s="9">
        <f t="shared" si="7"/>
        <v>0.19276190476190475</v>
      </c>
      <c r="I35" s="13">
        <f>H35/H$43</f>
        <v>0.74228358137959527</v>
      </c>
      <c r="J35" s="159">
        <f>H35/E34*$B$2</f>
        <v>57.239049622682813</v>
      </c>
      <c r="K35" s="121">
        <f>0.2024/0.065</f>
        <v>3.1138461538461537</v>
      </c>
      <c r="L35" s="171">
        <f>K35*$B35</f>
        <v>0.19276190476190475</v>
      </c>
      <c r="M35" s="171">
        <f>L35/L$43</f>
        <v>0.72245420114033365</v>
      </c>
      <c r="AO35" s="53">
        <v>250000</v>
      </c>
      <c r="AP35" s="132">
        <f t="shared" si="15"/>
        <v>63065.545181993453</v>
      </c>
      <c r="AQ35" s="132">
        <f t="shared" si="16"/>
        <v>34307.639696584192</v>
      </c>
      <c r="AR35" s="132">
        <f t="shared" si="17"/>
        <v>7397.1427715841892</v>
      </c>
      <c r="AS35" s="132">
        <f t="shared" si="18"/>
        <v>11533.020751584188</v>
      </c>
      <c r="AT35" s="132">
        <f t="shared" si="8"/>
        <v>72039.755546584187</v>
      </c>
      <c r="AU35" s="132"/>
      <c r="AV35" s="53">
        <f t="shared" si="9"/>
        <v>250000</v>
      </c>
      <c r="AW35" s="132">
        <f t="shared" si="1"/>
        <v>0.25226218072797379</v>
      </c>
      <c r="AX35" s="132">
        <f t="shared" si="2"/>
        <v>0.13723055878633678</v>
      </c>
      <c r="AY35" s="132">
        <f t="shared" si="3"/>
        <v>2.9588571086336758E-2</v>
      </c>
      <c r="AZ35" s="132">
        <f t="shared" si="4"/>
        <v>4.6132083006336755E-2</v>
      </c>
      <c r="BA35" s="132">
        <f t="shared" si="5"/>
        <v>0.28815902218633677</v>
      </c>
    </row>
    <row r="36" spans="1:53">
      <c r="A36" s="6" t="s">
        <v>5</v>
      </c>
      <c r="B36" s="43"/>
      <c r="C36" s="10"/>
      <c r="D36" s="5"/>
      <c r="E36" s="47"/>
      <c r="F36" s="14"/>
      <c r="G36" s="5"/>
      <c r="H36" s="47"/>
      <c r="I36" s="14"/>
      <c r="J36" s="29"/>
      <c r="K36" s="5"/>
      <c r="L36" s="168"/>
      <c r="M36" s="168"/>
      <c r="V36" s="52"/>
      <c r="W36" s="52"/>
      <c r="X36" s="52"/>
      <c r="AO36" s="53">
        <v>260000</v>
      </c>
      <c r="AP36" s="132">
        <f t="shared" si="15"/>
        <v>65386.556133898215</v>
      </c>
      <c r="AQ36" s="132">
        <f t="shared" si="16"/>
        <v>35421.711642584189</v>
      </c>
      <c r="AR36" s="132">
        <f t="shared" si="17"/>
        <v>7434.7948405841889</v>
      </c>
      <c r="AS36" s="132">
        <f t="shared" si="18"/>
        <v>11736.10793978419</v>
      </c>
      <c r="AT36" s="132">
        <f t="shared" si="8"/>
        <v>74663.112126584179</v>
      </c>
      <c r="AU36" s="132"/>
      <c r="AV36" s="53">
        <f t="shared" si="9"/>
        <v>260000</v>
      </c>
      <c r="AW36" s="132">
        <f t="shared" si="1"/>
        <v>0.25148675436114698</v>
      </c>
      <c r="AX36" s="132">
        <f t="shared" si="2"/>
        <v>0.13623735247147764</v>
      </c>
      <c r="AY36" s="132">
        <f t="shared" si="3"/>
        <v>2.8595364771477651E-2</v>
      </c>
      <c r="AZ36" s="132">
        <f t="shared" si="4"/>
        <v>4.5138876691477654E-2</v>
      </c>
      <c r="BA36" s="132">
        <f t="shared" si="5"/>
        <v>0.2871658158714776</v>
      </c>
    </row>
    <row r="37" spans="1:53">
      <c r="A37" s="21" t="s">
        <v>143</v>
      </c>
      <c r="B37" s="112">
        <f>B6</f>
        <v>2.9120000000000002E-5</v>
      </c>
      <c r="C37" s="9" t="s">
        <v>1</v>
      </c>
      <c r="D37" s="113">
        <f>Processes!H35</f>
        <v>1.8340468626799999</v>
      </c>
      <c r="E37" s="129">
        <f>D37*$B37</f>
        <v>5.3407444641241604E-5</v>
      </c>
      <c r="F37" s="114">
        <f>E37/E$43</f>
        <v>1.3834204646171742E-5</v>
      </c>
      <c r="G37" s="116">
        <f>Processes!G35</f>
        <v>1.1106366999999999</v>
      </c>
      <c r="H37" s="115">
        <f t="shared" si="7"/>
        <v>3.2341740704000001E-5</v>
      </c>
      <c r="I37" s="13">
        <f>H37/H$43</f>
        <v>1.2454091044321206E-4</v>
      </c>
      <c r="J37" s="122">
        <f t="shared" si="19"/>
        <v>605.5661513343681</v>
      </c>
      <c r="K37" s="116">
        <f>Processes!K35</f>
        <v>1.1236763000000001</v>
      </c>
      <c r="L37" s="42">
        <f>K37*$B37</f>
        <v>3.2721453856000004E-5</v>
      </c>
      <c r="M37" s="13">
        <f>L37/L$43</f>
        <v>1.2263705235163592E-4</v>
      </c>
      <c r="AO37" s="53">
        <v>270000</v>
      </c>
      <c r="AP37" s="132">
        <f t="shared" si="15"/>
        <v>67707.567085802977</v>
      </c>
      <c r="AQ37" s="132">
        <f t="shared" si="16"/>
        <v>36535.783588584192</v>
      </c>
      <c r="AR37" s="132">
        <f t="shared" si="17"/>
        <v>7472.4469095841887</v>
      </c>
      <c r="AS37" s="132">
        <f t="shared" si="18"/>
        <v>11939.195127984189</v>
      </c>
      <c r="AT37" s="132">
        <f t="shared" si="8"/>
        <v>77286.468706584186</v>
      </c>
      <c r="AU37" s="132"/>
      <c r="AV37" s="53">
        <f t="shared" si="9"/>
        <v>270000</v>
      </c>
      <c r="AW37" s="132">
        <f t="shared" si="1"/>
        <v>0.25076876698445549</v>
      </c>
      <c r="AX37" s="132">
        <f t="shared" si="2"/>
        <v>0.13531771699475625</v>
      </c>
      <c r="AY37" s="132">
        <f t="shared" si="3"/>
        <v>2.7675729294756254E-2</v>
      </c>
      <c r="AZ37" s="132">
        <f t="shared" si="4"/>
        <v>4.4219241214756254E-2</v>
      </c>
      <c r="BA37" s="132">
        <f t="shared" si="5"/>
        <v>0.28624618039475624</v>
      </c>
    </row>
    <row r="38" spans="1:53">
      <c r="A38" s="21" t="s">
        <v>144</v>
      </c>
      <c r="B38" s="42">
        <f>B13</f>
        <v>2.107E-4</v>
      </c>
      <c r="C38" s="9" t="s">
        <v>1</v>
      </c>
      <c r="D38" s="113">
        <f>Processes!H36</f>
        <v>0.27058355710500004</v>
      </c>
      <c r="E38" s="129">
        <f>D38*$B38</f>
        <v>5.7011955482023505E-5</v>
      </c>
      <c r="F38" s="13">
        <f>E38/E$43</f>
        <v>1.4767886101176517E-5</v>
      </c>
      <c r="G38" s="116">
        <f>Processes!G36</f>
        <v>1.1153418999999999E-2</v>
      </c>
      <c r="H38" s="115">
        <f t="shared" si="7"/>
        <v>2.3500253832999998E-6</v>
      </c>
      <c r="I38" s="13">
        <f>H38/H$43</f>
        <v>9.0494294503029837E-6</v>
      </c>
      <c r="J38" s="122">
        <f t="shared" si="19"/>
        <v>41.219869822584648</v>
      </c>
      <c r="K38" s="116">
        <f>Processes!K36</f>
        <v>1.3427409E-2</v>
      </c>
      <c r="L38" s="42">
        <f>K38*$B38</f>
        <v>2.8291550763000001E-6</v>
      </c>
      <c r="M38" s="13">
        <f>L38/L$43</f>
        <v>1.0603417584377264E-5</v>
      </c>
      <c r="AO38" s="53">
        <v>280000</v>
      </c>
      <c r="AP38" s="132">
        <f t="shared" si="15"/>
        <v>70028.578037707746</v>
      </c>
      <c r="AQ38" s="132">
        <f t="shared" si="16"/>
        <v>37649.855534584196</v>
      </c>
      <c r="AR38" s="132">
        <f t="shared" si="17"/>
        <v>7510.0989785841884</v>
      </c>
      <c r="AS38" s="132">
        <f t="shared" si="18"/>
        <v>12142.282316184188</v>
      </c>
      <c r="AT38" s="132">
        <f t="shared" si="8"/>
        <v>79909.825286584179</v>
      </c>
      <c r="AU38" s="132"/>
      <c r="AV38" s="53">
        <f t="shared" si="9"/>
        <v>280000</v>
      </c>
      <c r="AW38" s="132">
        <f t="shared" si="1"/>
        <v>0.2501020644203848</v>
      </c>
      <c r="AX38" s="132">
        <f t="shared" si="2"/>
        <v>0.13446376976637212</v>
      </c>
      <c r="AY38" s="132">
        <f t="shared" si="3"/>
        <v>2.6821782066372101E-2</v>
      </c>
      <c r="AZ38" s="132">
        <f t="shared" si="4"/>
        <v>4.3365293986372101E-2</v>
      </c>
      <c r="BA38" s="132">
        <f t="shared" si="5"/>
        <v>0.28539223316637208</v>
      </c>
    </row>
    <row r="39" spans="1:53">
      <c r="A39" s="21" t="s">
        <v>145</v>
      </c>
      <c r="B39" s="42">
        <f>68.25/150000</f>
        <v>4.55E-4</v>
      </c>
      <c r="C39" s="9" t="s">
        <v>1</v>
      </c>
      <c r="D39" s="113">
        <f>Processes!H37</f>
        <v>0.48331973484699997</v>
      </c>
      <c r="E39" s="129">
        <f>D39*$B39</f>
        <v>2.1991047935538498E-4</v>
      </c>
      <c r="F39" s="13">
        <f>E39/E$43</f>
        <v>5.6963717243472958E-5</v>
      </c>
      <c r="G39" s="116">
        <f>Processes!G37</f>
        <v>2.3345750999999999</v>
      </c>
      <c r="H39" s="115">
        <f t="shared" si="7"/>
        <v>1.0622316705E-3</v>
      </c>
      <c r="I39" s="13">
        <f>H39/H$43</f>
        <v>4.0904198866860116E-3</v>
      </c>
      <c r="J39" s="28">
        <f>H39/E39*$B$2</f>
        <v>4830.291278586079</v>
      </c>
      <c r="K39" s="116">
        <f>Processes!K37</f>
        <v>2.3458359</v>
      </c>
      <c r="L39" s="42">
        <f>K39*$B39</f>
        <v>1.0673553345E-3</v>
      </c>
      <c r="M39" s="13">
        <f>L39/L$43</f>
        <v>4.0003513478015056E-3</v>
      </c>
      <c r="AO39" s="53">
        <v>290000</v>
      </c>
      <c r="AP39" s="132">
        <f t="shared" si="15"/>
        <v>72349.588989612501</v>
      </c>
      <c r="AQ39" s="132">
        <f t="shared" si="16"/>
        <v>38763.927480584192</v>
      </c>
      <c r="AR39" s="132">
        <f t="shared" si="17"/>
        <v>7547.7510475841891</v>
      </c>
      <c r="AS39" s="132">
        <f t="shared" si="18"/>
        <v>12345.369504384187</v>
      </c>
      <c r="AT39" s="132">
        <f t="shared" si="8"/>
        <v>82533.181866584186</v>
      </c>
      <c r="AU39" s="132"/>
      <c r="AV39" s="53">
        <f t="shared" si="9"/>
        <v>290000</v>
      </c>
      <c r="AW39" s="132">
        <f t="shared" si="1"/>
        <v>0.24948134134349137</v>
      </c>
      <c r="AX39" s="132">
        <f t="shared" si="2"/>
        <v>0.13366871545029033</v>
      </c>
      <c r="AY39" s="132">
        <f t="shared" si="3"/>
        <v>2.6026727750290309E-2</v>
      </c>
      <c r="AZ39" s="132">
        <f t="shared" si="4"/>
        <v>4.2570239670290298E-2</v>
      </c>
      <c r="BA39" s="132">
        <f t="shared" si="5"/>
        <v>0.28459717885029029</v>
      </c>
    </row>
    <row r="40" spans="1:53">
      <c r="A40" s="21" t="s">
        <v>146</v>
      </c>
      <c r="B40" s="42">
        <f>B27</f>
        <v>4.1229999999999997E-5</v>
      </c>
      <c r="C40" s="9" t="s">
        <v>1</v>
      </c>
      <c r="D40" s="113">
        <f>Processes!H38</f>
        <v>1.6770813573099999</v>
      </c>
      <c r="E40" s="129">
        <f>D40*$B40</f>
        <v>6.9146064361891283E-5</v>
      </c>
      <c r="F40" s="13">
        <f>E40/E$43</f>
        <v>1.7911001196284315E-5</v>
      </c>
      <c r="G40" s="116">
        <f>Processes!G38</f>
        <v>0.22211976</v>
      </c>
      <c r="H40" s="115">
        <f>G40*$B40</f>
        <v>9.1579977047999993E-6</v>
      </c>
      <c r="I40" s="13">
        <f>H40/H$43</f>
        <v>3.5265429354319712E-5</v>
      </c>
      <c r="J40" s="28">
        <f>H40/E40*$B$2</f>
        <v>132.44423654930793</v>
      </c>
      <c r="K40" s="116">
        <f>Processes!K38</f>
        <v>0.23252513</v>
      </c>
      <c r="L40" s="42">
        <f>K40*$B40</f>
        <v>9.587011109899999E-6</v>
      </c>
      <c r="M40" s="13">
        <f>L40/L$43</f>
        <v>3.5931251360487267E-5</v>
      </c>
      <c r="AO40" s="53">
        <v>300000</v>
      </c>
      <c r="AP40" s="132">
        <f t="shared" si="15"/>
        <v>74670.59994151727</v>
      </c>
      <c r="AQ40" s="132">
        <f t="shared" si="16"/>
        <v>39877.999426584189</v>
      </c>
      <c r="AR40" s="132">
        <f t="shared" si="17"/>
        <v>7585.4031165841889</v>
      </c>
      <c r="AS40" s="132">
        <f t="shared" si="18"/>
        <v>12548.456692584188</v>
      </c>
      <c r="AT40" s="132">
        <f t="shared" si="8"/>
        <v>85156.538446584178</v>
      </c>
      <c r="AU40" s="132"/>
      <c r="AV40" s="53">
        <f t="shared" si="9"/>
        <v>300000</v>
      </c>
      <c r="AW40" s="132">
        <f t="shared" si="1"/>
        <v>0.24890199980505756</v>
      </c>
      <c r="AX40" s="132">
        <f t="shared" si="2"/>
        <v>0.13292666475528062</v>
      </c>
      <c r="AY40" s="132">
        <f t="shared" si="3"/>
        <v>2.5284677055280629E-2</v>
      </c>
      <c r="AZ40" s="132">
        <f t="shared" si="4"/>
        <v>4.1828188975280629E-2</v>
      </c>
      <c r="BA40" s="132">
        <f t="shared" si="5"/>
        <v>0.28385512815528058</v>
      </c>
    </row>
    <row r="41" spans="1:53">
      <c r="A41" s="21" t="s">
        <v>142</v>
      </c>
      <c r="B41" s="42">
        <f>B7</f>
        <v>3.6259999999999998E-4</v>
      </c>
      <c r="C41" s="9" t="s">
        <v>1</v>
      </c>
      <c r="D41" s="113">
        <f>Processes!H39</f>
        <v>9.0213324453000006</v>
      </c>
      <c r="E41" s="129">
        <f>D41*$B41</f>
        <v>3.2711351446657799E-3</v>
      </c>
      <c r="F41" s="13">
        <f>E41/E$43</f>
        <v>8.4732668489527192E-4</v>
      </c>
      <c r="G41" s="116">
        <f>Processes!G39</f>
        <v>0.72918764999999997</v>
      </c>
      <c r="H41" s="115">
        <f>G41*$B41</f>
        <v>2.6440344188999998E-4</v>
      </c>
      <c r="I41" s="13">
        <f>H41/H$43</f>
        <v>1.0181593402369613E-3</v>
      </c>
      <c r="J41" s="28">
        <f>H41/E41*$B$2</f>
        <v>80.829262686123215</v>
      </c>
      <c r="K41" s="116">
        <f>Processes!K39</f>
        <v>0.79992189999999996</v>
      </c>
      <c r="L41" s="42">
        <f>K41*$B41</f>
        <v>2.9005168093999996E-4</v>
      </c>
      <c r="M41" s="13">
        <f>L41/L$43</f>
        <v>1.087087491181149E-3</v>
      </c>
      <c r="AO41" s="53">
        <v>310000</v>
      </c>
      <c r="AP41" s="132">
        <f t="shared" si="15"/>
        <v>76991.610893422025</v>
      </c>
      <c r="AQ41" s="132">
        <f t="shared" si="16"/>
        <v>40992.071372584192</v>
      </c>
      <c r="AR41" s="132">
        <f t="shared" si="17"/>
        <v>7623.0551855841886</v>
      </c>
      <c r="AS41" s="132">
        <f t="shared" si="18"/>
        <v>12751.543880784189</v>
      </c>
      <c r="AT41" s="132">
        <f t="shared" si="8"/>
        <v>87779.895026584185</v>
      </c>
      <c r="AU41" s="132"/>
      <c r="AV41" s="53">
        <f t="shared" si="9"/>
        <v>310000</v>
      </c>
      <c r="AW41" s="132">
        <f t="shared" si="1"/>
        <v>0.24836003514007104</v>
      </c>
      <c r="AX41" s="132">
        <f t="shared" si="2"/>
        <v>0.13223248829865869</v>
      </c>
      <c r="AY41" s="132">
        <f t="shared" si="3"/>
        <v>2.4590500598658672E-2</v>
      </c>
      <c r="AZ41" s="132">
        <f t="shared" si="4"/>
        <v>4.1134012518658676E-2</v>
      </c>
      <c r="BA41" s="132">
        <f t="shared" si="5"/>
        <v>0.28316095169865868</v>
      </c>
    </row>
    <row r="42" spans="1:53">
      <c r="A42" s="6" t="s">
        <v>6</v>
      </c>
      <c r="B42" s="17"/>
      <c r="C42" s="18"/>
      <c r="D42" s="19"/>
      <c r="E42" s="48"/>
      <c r="F42" s="20"/>
      <c r="G42" s="5"/>
      <c r="H42" s="5"/>
      <c r="I42" s="14"/>
      <c r="J42" s="29"/>
      <c r="K42" s="168"/>
      <c r="L42" s="168"/>
      <c r="M42" s="168"/>
      <c r="AO42" s="53">
        <v>320000</v>
      </c>
      <c r="AP42" s="132">
        <f t="shared" si="15"/>
        <v>79312.621845326794</v>
      </c>
      <c r="AQ42" s="132">
        <f t="shared" si="16"/>
        <v>42106.143318584189</v>
      </c>
      <c r="AR42" s="132">
        <f t="shared" si="17"/>
        <v>7660.7072545841893</v>
      </c>
      <c r="AS42" s="132">
        <f t="shared" si="18"/>
        <v>12954.631068984188</v>
      </c>
      <c r="AT42" s="132">
        <f t="shared" si="8"/>
        <v>90403.251606584177</v>
      </c>
      <c r="AU42" s="132"/>
      <c r="AV42" s="53">
        <f t="shared" si="9"/>
        <v>320000</v>
      </c>
      <c r="AW42" s="132">
        <f t="shared" si="1"/>
        <v>0.24785194326664622</v>
      </c>
      <c r="AX42" s="132">
        <f t="shared" si="2"/>
        <v>0.13158169787057558</v>
      </c>
      <c r="AY42" s="132">
        <f t="shared" si="3"/>
        <v>2.3939710170575591E-2</v>
      </c>
      <c r="AZ42" s="132">
        <f t="shared" si="4"/>
        <v>4.0483222090575588E-2</v>
      </c>
      <c r="BA42" s="132">
        <f t="shared" si="5"/>
        <v>0.28251016127057554</v>
      </c>
    </row>
    <row r="43" spans="1:53" ht="20.100000000000001">
      <c r="A43" s="7" t="s">
        <v>6</v>
      </c>
      <c r="B43" s="3"/>
      <c r="C43" s="35" t="s">
        <v>13</v>
      </c>
      <c r="D43" s="3"/>
      <c r="E43" s="49">
        <f>SUM(E6:E40)</f>
        <v>3.8605359691582075</v>
      </c>
      <c r="F43" s="13">
        <f>E43/E$43</f>
        <v>1</v>
      </c>
      <c r="G43" s="36"/>
      <c r="H43" s="138">
        <f>SUM(H6:H40)</f>
        <v>0.25968768486518434</v>
      </c>
      <c r="I43" s="13">
        <f>H43/H$43</f>
        <v>1</v>
      </c>
      <c r="J43" s="28">
        <f>H43/E43*$B$2</f>
        <v>67.267262095166913</v>
      </c>
      <c r="K43" s="139"/>
      <c r="L43" s="138">
        <f>SUM(L6:L40)</f>
        <v>0.2668153973741812</v>
      </c>
      <c r="M43" s="13">
        <f>L43/L$43</f>
        <v>1</v>
      </c>
      <c r="AO43" s="53">
        <v>330000</v>
      </c>
      <c r="AP43" s="132">
        <f t="shared" si="15"/>
        <v>81633.632797231548</v>
      </c>
      <c r="AQ43" s="132">
        <f t="shared" si="16"/>
        <v>43220.215264584192</v>
      </c>
      <c r="AR43" s="132">
        <f t="shared" si="17"/>
        <v>7698.359323584189</v>
      </c>
      <c r="AS43" s="132">
        <f t="shared" si="18"/>
        <v>13157.718257184188</v>
      </c>
      <c r="AT43" s="132">
        <f t="shared" si="8"/>
        <v>93026.608186584184</v>
      </c>
      <c r="AU43" s="132"/>
      <c r="AV43" s="53">
        <f t="shared" si="9"/>
        <v>330000</v>
      </c>
      <c r="AW43" s="132">
        <f t="shared" si="1"/>
        <v>0.24737464484009561</v>
      </c>
      <c r="AX43" s="132">
        <f t="shared" si="2"/>
        <v>0.13097034928661877</v>
      </c>
      <c r="AY43" s="132">
        <f t="shared" si="3"/>
        <v>2.3328361586618756E-2</v>
      </c>
      <c r="AZ43" s="132">
        <f t="shared" si="4"/>
        <v>3.9871873506618749E-2</v>
      </c>
      <c r="BA43" s="132">
        <f t="shared" si="5"/>
        <v>0.28189881268661876</v>
      </c>
    </row>
    <row r="44" spans="1:53">
      <c r="A44" s="137"/>
      <c r="B44" s="3"/>
      <c r="C44" s="35"/>
      <c r="D44" s="3"/>
      <c r="E44" s="11"/>
      <c r="F44" s="13"/>
      <c r="G44" s="167"/>
      <c r="H44" s="166"/>
      <c r="I44" s="13"/>
      <c r="J44" s="28"/>
      <c r="K44" s="167">
        <v>8.2999999999999999E-7</v>
      </c>
      <c r="L44" s="167">
        <f>L43*Towel_hand_drying_cycle_stage[[#This Row],[CO2equ/Unit '[kg/unit']2]]</f>
        <v>2.2145677982057038E-7</v>
      </c>
      <c r="M44" s="139"/>
      <c r="AO44" s="53">
        <v>340000</v>
      </c>
      <c r="AP44" s="132">
        <f t="shared" si="15"/>
        <v>83954.643749136318</v>
      </c>
      <c r="AQ44" s="132">
        <f t="shared" si="16"/>
        <v>44334.287210584189</v>
      </c>
      <c r="AR44" s="132">
        <f t="shared" si="17"/>
        <v>7736.0113925841888</v>
      </c>
      <c r="AS44" s="132">
        <f t="shared" si="18"/>
        <v>13360.805445384189</v>
      </c>
      <c r="AT44" s="132">
        <f t="shared" si="8"/>
        <v>95649.964766584177</v>
      </c>
      <c r="AU44" s="132"/>
      <c r="AV44" s="53">
        <f t="shared" si="9"/>
        <v>340000</v>
      </c>
      <c r="AW44" s="132">
        <f t="shared" si="1"/>
        <v>0.24692542279157739</v>
      </c>
      <c r="AX44" s="132">
        <f t="shared" si="2"/>
        <v>0.13039496238407114</v>
      </c>
      <c r="AY44" s="132">
        <f t="shared" si="3"/>
        <v>2.2752974684071142E-2</v>
      </c>
      <c r="AZ44" s="132">
        <f t="shared" si="4"/>
        <v>3.9296486604071146E-2</v>
      </c>
      <c r="BA44" s="132">
        <f t="shared" si="5"/>
        <v>0.2813234257840711</v>
      </c>
    </row>
    <row r="45" spans="1:53">
      <c r="A45" s="165"/>
      <c r="B45" s="166"/>
      <c r="C45" s="161"/>
      <c r="D45" s="166"/>
      <c r="E45" s="162"/>
      <c r="F45" s="163"/>
      <c r="G45" s="3"/>
      <c r="H45" s="3"/>
      <c r="I45" s="163"/>
      <c r="J45" s="164"/>
      <c r="K45" s="3" t="s">
        <v>190</v>
      </c>
      <c r="L45" s="3" t="s">
        <v>191</v>
      </c>
      <c r="M45" s="169"/>
      <c r="AO45" s="58">
        <v>350000</v>
      </c>
      <c r="AP45" s="182">
        <f t="shared" si="15"/>
        <v>86275.654701041072</v>
      </c>
      <c r="AQ45" s="182">
        <f t="shared" si="16"/>
        <v>45448.359156584193</v>
      </c>
      <c r="AR45" s="182">
        <f t="shared" si="17"/>
        <v>7773.6634615841886</v>
      </c>
      <c r="AS45" s="182">
        <f t="shared" si="18"/>
        <v>13563.892633584188</v>
      </c>
      <c r="AT45" s="182">
        <f t="shared" si="8"/>
        <v>98273.321346584184</v>
      </c>
      <c r="AU45" s="132"/>
      <c r="AV45" s="58">
        <f t="shared" si="9"/>
        <v>350000</v>
      </c>
      <c r="AW45" s="182">
        <f t="shared" si="1"/>
        <v>0.24650187057440306</v>
      </c>
      <c r="AX45" s="182">
        <f t="shared" si="2"/>
        <v>0.1298524547330977</v>
      </c>
      <c r="AY45" s="182">
        <f t="shared" si="3"/>
        <v>2.2210467033097682E-2</v>
      </c>
      <c r="AZ45" s="182">
        <f t="shared" si="4"/>
        <v>3.8753978953097679E-2</v>
      </c>
      <c r="BA45" s="182">
        <f t="shared" si="5"/>
        <v>0.28078091813309769</v>
      </c>
    </row>
    <row r="46" spans="1:53">
      <c r="C46" s="3"/>
      <c r="D46" s="3"/>
      <c r="E46" s="50"/>
      <c r="F46" s="3"/>
      <c r="G46" s="3"/>
      <c r="H46" s="3"/>
      <c r="I46" s="3"/>
    </row>
    <row r="47" spans="1:53" ht="59.7" thickBot="1">
      <c r="A47" s="30" t="s">
        <v>164</v>
      </c>
      <c r="B47" s="31" t="s">
        <v>15</v>
      </c>
      <c r="C47" s="32" t="s">
        <v>0</v>
      </c>
      <c r="D47" s="31" t="s">
        <v>3</v>
      </c>
      <c r="E47" s="45" t="s">
        <v>10</v>
      </c>
      <c r="F47" s="33" t="s">
        <v>8</v>
      </c>
      <c r="G47" s="31" t="s">
        <v>19</v>
      </c>
      <c r="H47" s="31" t="s">
        <v>20</v>
      </c>
      <c r="I47" s="33" t="s">
        <v>21</v>
      </c>
      <c r="J47" s="34" t="s">
        <v>11</v>
      </c>
      <c r="K47" s="2" t="s">
        <v>187</v>
      </c>
      <c r="L47" s="31" t="s">
        <v>188</v>
      </c>
      <c r="M47" s="170" t="s">
        <v>189</v>
      </c>
    </row>
    <row r="48" spans="1:53">
      <c r="A48" s="6" t="s">
        <v>115</v>
      </c>
      <c r="B48" s="4"/>
      <c r="C48" s="8"/>
      <c r="D48" s="4"/>
      <c r="E48" s="46"/>
      <c r="F48" s="12"/>
      <c r="G48" s="4"/>
      <c r="H48" s="4"/>
      <c r="I48" s="12"/>
      <c r="J48" s="27"/>
      <c r="K48" s="180"/>
      <c r="L48" s="173"/>
      <c r="M48" s="174"/>
    </row>
    <row r="49" spans="1:14">
      <c r="A49" s="7" t="s">
        <v>56</v>
      </c>
      <c r="B49" s="42">
        <f>4.16/225000</f>
        <v>1.848888888888889E-5</v>
      </c>
      <c r="C49" s="115" t="s">
        <v>1</v>
      </c>
      <c r="D49" s="113">
        <f>Processes!H4</f>
        <v>61.912707699999999</v>
      </c>
      <c r="E49" s="42">
        <f t="shared" ref="E49:E62" si="20">D49*$B49</f>
        <v>1.1446971734755556E-3</v>
      </c>
      <c r="F49" s="172">
        <f>E49/E$80</f>
        <v>4.0923800879774414E-4</v>
      </c>
      <c r="G49" s="113">
        <f>Processes!G4</f>
        <v>4.8913827999999997</v>
      </c>
      <c r="H49" s="42">
        <f t="shared" ref="H49:H62" si="21">G49*$B49</f>
        <v>9.0436233102222216E-5</v>
      </c>
      <c r="I49" s="13">
        <f>H49/H$43</f>
        <v>3.4824998786204192E-4</v>
      </c>
      <c r="J49" s="123">
        <f t="shared" ref="J49:J62" si="22">H49/E49*$B$2</f>
        <v>79.004504595427335</v>
      </c>
      <c r="K49" s="113">
        <f>Processes!K4</f>
        <v>5.4372182000000002</v>
      </c>
      <c r="L49" s="115">
        <f t="shared" ref="L49:L79" si="23">K49*$B49</f>
        <v>1.0052812316444445E-4</v>
      </c>
      <c r="M49" s="172">
        <f>L49/L$80</f>
        <v>7.1350736760501516E-4</v>
      </c>
    </row>
    <row r="50" spans="1:14">
      <c r="A50" s="21" t="s">
        <v>147</v>
      </c>
      <c r="B50" s="42">
        <f>82/225000</f>
        <v>3.6444444444444442E-4</v>
      </c>
      <c r="C50" s="115" t="s">
        <v>1</v>
      </c>
      <c r="D50" s="113">
        <f>Processes!H26</f>
        <v>114.566604899</v>
      </c>
      <c r="E50" s="42">
        <f t="shared" si="20"/>
        <v>4.1753162674302222E-2</v>
      </c>
      <c r="F50" s="13">
        <f>E50/E$80</f>
        <v>1.4927075518112667E-2</v>
      </c>
      <c r="G50" s="113">
        <f>Processes!G26</f>
        <v>7.0482569000000002</v>
      </c>
      <c r="H50" s="42">
        <f t="shared" si="21"/>
        <v>2.568698070222222E-3</v>
      </c>
      <c r="I50" s="13">
        <f>H50/H$80</f>
        <v>1.9810202869583331E-2</v>
      </c>
      <c r="J50" s="123">
        <f t="shared" si="22"/>
        <v>61.521041897101028</v>
      </c>
      <c r="K50" s="113">
        <f>Processes!K26</f>
        <v>8.1666348000000006</v>
      </c>
      <c r="L50" s="115">
        <f t="shared" si="23"/>
        <v>2.9762846826666667E-3</v>
      </c>
      <c r="M50" s="13">
        <f t="shared" ref="M50:M78" si="24">L50/L$80</f>
        <v>2.1124447391689817E-2</v>
      </c>
    </row>
    <row r="51" spans="1:14">
      <c r="A51" s="21" t="s">
        <v>148</v>
      </c>
      <c r="B51" s="42">
        <f>287.1/225000</f>
        <v>1.276E-3</v>
      </c>
      <c r="C51" s="115" t="s">
        <v>1</v>
      </c>
      <c r="D51" s="113">
        <f>Processes!H7</f>
        <v>7.0186934501599998</v>
      </c>
      <c r="E51" s="42">
        <f t="shared" si="20"/>
        <v>8.9558528424041606E-3</v>
      </c>
      <c r="F51" s="13">
        <f t="shared" ref="F51:F62" si="25">E51/E$80</f>
        <v>3.2017860000327514E-3</v>
      </c>
      <c r="G51" s="113">
        <f>Processes!G7</f>
        <v>0.41929312000000002</v>
      </c>
      <c r="H51" s="42">
        <f t="shared" si="21"/>
        <v>5.3501802112000002E-4</v>
      </c>
      <c r="I51" s="13">
        <f t="shared" ref="I51:I62" si="26">H51/H$80</f>
        <v>4.126142990543571E-3</v>
      </c>
      <c r="J51" s="123">
        <f t="shared" si="22"/>
        <v>59.739483278108075</v>
      </c>
      <c r="K51" s="113">
        <f>Processes!K7</f>
        <v>0.47229947</v>
      </c>
      <c r="L51" s="115">
        <f t="shared" si="23"/>
        <v>6.0265412371999995E-4</v>
      </c>
      <c r="M51" s="13">
        <f t="shared" si="24"/>
        <v>4.2773916776340385E-3</v>
      </c>
    </row>
    <row r="52" spans="1:14">
      <c r="A52" s="21" t="s">
        <v>149</v>
      </c>
      <c r="B52" s="42">
        <f>23.3/225000</f>
        <v>1.0355555555555556E-4</v>
      </c>
      <c r="C52" s="115" t="s">
        <v>1</v>
      </c>
      <c r="D52" s="113">
        <f>Processes!H8</f>
        <v>448.24729435900002</v>
      </c>
      <c r="E52" s="42">
        <f t="shared" si="20"/>
        <v>4.6418497593620892E-2</v>
      </c>
      <c r="F52" s="13">
        <f t="shared" si="25"/>
        <v>1.6594968491902146E-2</v>
      </c>
      <c r="G52" s="113">
        <f>Processes!G8</f>
        <v>27.933744999999998</v>
      </c>
      <c r="H52" s="42">
        <f t="shared" si="21"/>
        <v>2.8926944822222221E-3</v>
      </c>
      <c r="I52" s="13">
        <f t="shared" si="26"/>
        <v>2.2308914074743322E-2</v>
      </c>
      <c r="J52" s="123">
        <f t="shared" si="22"/>
        <v>62.317710227221006</v>
      </c>
      <c r="K52" s="113">
        <f>Processes!K8</f>
        <v>31.497869999999999</v>
      </c>
      <c r="L52" s="115">
        <f t="shared" si="23"/>
        <v>3.2617794266666666E-3</v>
      </c>
      <c r="M52" s="13">
        <f t="shared" si="24"/>
        <v>2.3150771934955086E-2</v>
      </c>
    </row>
    <row r="53" spans="1:14">
      <c r="A53" s="21" t="s">
        <v>68</v>
      </c>
      <c r="B53" s="42">
        <f>14.6/225000</f>
        <v>6.4888888888888893E-5</v>
      </c>
      <c r="C53" s="115" t="s">
        <v>1</v>
      </c>
      <c r="D53" s="113">
        <f>Processes!H10</f>
        <v>49.878196202369999</v>
      </c>
      <c r="E53" s="42">
        <f t="shared" si="20"/>
        <v>3.236540731353787E-3</v>
      </c>
      <c r="F53" s="13">
        <f t="shared" si="25"/>
        <v>1.1570881059053324E-3</v>
      </c>
      <c r="G53" s="113">
        <f>Processes!G10</f>
        <v>1.2878908</v>
      </c>
      <c r="H53" s="42">
        <f t="shared" si="21"/>
        <v>8.356980302222223E-5</v>
      </c>
      <c r="I53" s="13">
        <f t="shared" si="26"/>
        <v>6.4450344352776263E-4</v>
      </c>
      <c r="J53" s="123">
        <f t="shared" si="22"/>
        <v>25.820717228318792</v>
      </c>
      <c r="K53" s="113">
        <f>Processes!K10</f>
        <v>1.5171342000000001</v>
      </c>
      <c r="L53" s="115">
        <f t="shared" si="23"/>
        <v>9.8445152533333346E-5</v>
      </c>
      <c r="M53" s="13">
        <f t="shared" si="24"/>
        <v>6.987232967896128E-4</v>
      </c>
    </row>
    <row r="54" spans="1:14">
      <c r="A54" s="21" t="s">
        <v>150</v>
      </c>
      <c r="B54" s="42">
        <f>162.9/225000</f>
        <v>7.2400000000000003E-4</v>
      </c>
      <c r="C54" s="115" t="s">
        <v>1</v>
      </c>
      <c r="D54" s="113">
        <f>Processes!H27</f>
        <v>14.297489357960002</v>
      </c>
      <c r="E54" s="42">
        <f t="shared" si="20"/>
        <v>1.0351382295163043E-2</v>
      </c>
      <c r="F54" s="13">
        <f t="shared" si="25"/>
        <v>3.7006984702467314E-3</v>
      </c>
      <c r="G54" s="113">
        <f>Processes!G27</f>
        <v>0.96734295999999997</v>
      </c>
      <c r="H54" s="42">
        <f t="shared" si="21"/>
        <v>7.0035630304000006E-4</v>
      </c>
      <c r="I54" s="13">
        <f t="shared" si="26"/>
        <v>5.4012577830969072E-3</v>
      </c>
      <c r="J54" s="123">
        <f t="shared" si="22"/>
        <v>67.658239553886446</v>
      </c>
      <c r="K54" s="113">
        <f>Processes!K27</f>
        <v>1.0782862</v>
      </c>
      <c r="L54" s="115">
        <f t="shared" si="23"/>
        <v>7.8067920880000002E-4</v>
      </c>
      <c r="M54" s="13">
        <f t="shared" si="24"/>
        <v>5.5409406808846623E-3</v>
      </c>
    </row>
    <row r="55" spans="1:14">
      <c r="A55" s="7" t="s">
        <v>70</v>
      </c>
      <c r="B55" s="42">
        <f>49/225000</f>
        <v>2.1777777777777778E-4</v>
      </c>
      <c r="C55" s="115" t="s">
        <v>1</v>
      </c>
      <c r="D55" s="113">
        <f>Processes!H11</f>
        <v>11.436900889899999</v>
      </c>
      <c r="E55" s="42">
        <f t="shared" si="20"/>
        <v>2.4907028604671108E-3</v>
      </c>
      <c r="F55" s="13">
        <f t="shared" si="25"/>
        <v>8.9044535335892688E-4</v>
      </c>
      <c r="G55" s="113">
        <f>Processes!G11</f>
        <v>0.95946891999999995</v>
      </c>
      <c r="H55" s="42">
        <f t="shared" si="21"/>
        <v>2.0895100924444443E-4</v>
      </c>
      <c r="I55" s="13">
        <f t="shared" si="26"/>
        <v>1.6114629940055679E-3</v>
      </c>
      <c r="J55" s="123">
        <f t="shared" si="22"/>
        <v>83.892387390303711</v>
      </c>
      <c r="K55" s="113">
        <f>Processes!K11</f>
        <v>1.0141070999999999</v>
      </c>
      <c r="L55" s="115">
        <f t="shared" si="23"/>
        <v>2.2084999066666666E-4</v>
      </c>
      <c r="M55" s="13">
        <f t="shared" si="24"/>
        <v>1.5675026103730036E-3</v>
      </c>
    </row>
    <row r="56" spans="1:14">
      <c r="A56" s="21" t="s">
        <v>124</v>
      </c>
      <c r="B56" s="42">
        <f>3.4/225000</f>
        <v>1.5111111111111111E-5</v>
      </c>
      <c r="C56" s="115" t="s">
        <v>1</v>
      </c>
      <c r="D56" s="113">
        <f>Processes!H28</f>
        <v>65.306285732039996</v>
      </c>
      <c r="E56" s="42">
        <f t="shared" si="20"/>
        <v>9.8685053995082651E-4</v>
      </c>
      <c r="F56" s="13">
        <f t="shared" si="25"/>
        <v>3.5280662808335225E-4</v>
      </c>
      <c r="G56" s="113">
        <f>Processes!G28</f>
        <v>1.0636346999999999</v>
      </c>
      <c r="H56" s="42">
        <f t="shared" si="21"/>
        <v>1.6072702133333331E-5</v>
      </c>
      <c r="I56" s="13">
        <f t="shared" si="26"/>
        <v>1.239552026821792E-4</v>
      </c>
      <c r="J56" s="123">
        <f t="shared" si="22"/>
        <v>16.286865622158157</v>
      </c>
      <c r="K56" s="113">
        <f>Processes!K28</f>
        <v>1.1874221</v>
      </c>
      <c r="L56" s="115">
        <f t="shared" si="23"/>
        <v>1.7943267288888889E-5</v>
      </c>
      <c r="M56" s="13">
        <f t="shared" si="24"/>
        <v>1.2735394839298488E-4</v>
      </c>
    </row>
    <row r="57" spans="1:14">
      <c r="A57" s="21" t="s">
        <v>151</v>
      </c>
      <c r="B57" s="42">
        <f>76.5/225000</f>
        <v>3.4000000000000002E-4</v>
      </c>
      <c r="C57" s="115" t="s">
        <v>1</v>
      </c>
      <c r="D57" s="113">
        <f>Processes!H29</f>
        <v>45.984214337400005</v>
      </c>
      <c r="E57" s="42">
        <f t="shared" si="20"/>
        <v>1.5634632874716003E-2</v>
      </c>
      <c r="F57" s="13">
        <f t="shared" si="25"/>
        <v>5.589501026289692E-3</v>
      </c>
      <c r="G57" s="113">
        <f>Processes!G29</f>
        <v>3.4644523</v>
      </c>
      <c r="H57" s="42">
        <f t="shared" si="21"/>
        <v>1.1779137820000002E-3</v>
      </c>
      <c r="I57" s="13">
        <f t="shared" si="26"/>
        <v>9.0842560497113763E-3</v>
      </c>
      <c r="J57" s="123">
        <f t="shared" si="22"/>
        <v>75.340034616668063</v>
      </c>
      <c r="K57" s="113">
        <f>Processes!K29</f>
        <v>4.0603889000000004</v>
      </c>
      <c r="L57" s="115">
        <f t="shared" si="23"/>
        <v>1.3805322260000003E-3</v>
      </c>
      <c r="M57" s="13">
        <f t="shared" si="24"/>
        <v>9.7984512538431771E-3</v>
      </c>
    </row>
    <row r="58" spans="1:14">
      <c r="A58" s="21" t="s">
        <v>152</v>
      </c>
      <c r="B58" s="42">
        <f>953.4/225000</f>
        <v>4.2373333333333334E-3</v>
      </c>
      <c r="C58" s="115" t="s">
        <v>1</v>
      </c>
      <c r="D58" s="113">
        <f>Processes!H30</f>
        <v>25.190272374900001</v>
      </c>
      <c r="E58" s="42">
        <f t="shared" si="20"/>
        <v>0.10673958080990961</v>
      </c>
      <c r="F58" s="13">
        <f t="shared" si="25"/>
        <v>3.8160217848643194E-2</v>
      </c>
      <c r="G58" s="113">
        <f>Processes!G30</f>
        <v>1.4794537000000001</v>
      </c>
      <c r="H58" s="42">
        <f t="shared" si="21"/>
        <v>6.2689384781333341E-3</v>
      </c>
      <c r="I58" s="13">
        <f t="shared" si="26"/>
        <v>4.8347037928834727E-2</v>
      </c>
      <c r="J58" s="123">
        <f t="shared" si="22"/>
        <v>58.731151373899074</v>
      </c>
      <c r="K58" s="113">
        <f>Processes!K30</f>
        <v>1.6605251999999999</v>
      </c>
      <c r="L58" s="115">
        <f t="shared" si="23"/>
        <v>7.0361987807999998E-3</v>
      </c>
      <c r="M58" s="13">
        <f t="shared" si="24"/>
        <v>4.9940051718879309E-2</v>
      </c>
    </row>
    <row r="59" spans="1:14">
      <c r="A59" s="21" t="s">
        <v>153</v>
      </c>
      <c r="B59" s="42">
        <f>162.9/225000</f>
        <v>7.2400000000000003E-4</v>
      </c>
      <c r="C59" s="115" t="s">
        <v>1</v>
      </c>
      <c r="D59" s="113">
        <f>Processes!H17</f>
        <v>77.070942857709994</v>
      </c>
      <c r="E59" s="42">
        <f t="shared" si="20"/>
        <v>5.5799362628982038E-2</v>
      </c>
      <c r="F59" s="13">
        <f t="shared" si="25"/>
        <v>1.9948699606844533E-2</v>
      </c>
      <c r="G59" s="113">
        <f>Processes!G17</f>
        <v>1.5167522</v>
      </c>
      <c r="H59" s="42">
        <f t="shared" si="21"/>
        <v>1.0981285928000001E-3</v>
      </c>
      <c r="I59" s="13">
        <f t="shared" si="26"/>
        <v>8.4689401422628399E-3</v>
      </c>
      <c r="J59" s="123">
        <f t="shared" si="22"/>
        <v>19.679948677937677</v>
      </c>
      <c r="K59" s="113">
        <f>Processes!K17</f>
        <v>1.9003220999999999</v>
      </c>
      <c r="L59" s="115">
        <f t="shared" si="23"/>
        <v>1.3758332003999999E-3</v>
      </c>
      <c r="M59" s="13">
        <f t="shared" si="24"/>
        <v>9.7650994983281524E-3</v>
      </c>
    </row>
    <row r="60" spans="1:14">
      <c r="A60" s="21" t="s">
        <v>154</v>
      </c>
      <c r="B60" s="42">
        <f>9.1/225000</f>
        <v>4.0444444444444444E-5</v>
      </c>
      <c r="C60" s="115" t="s">
        <v>1</v>
      </c>
      <c r="D60" s="113">
        <f>Processes!H31</f>
        <v>121.66776029899999</v>
      </c>
      <c r="E60" s="42">
        <f t="shared" si="20"/>
        <v>4.9207849720928889E-3</v>
      </c>
      <c r="F60" s="13">
        <f t="shared" si="25"/>
        <v>1.7592183246044853E-3</v>
      </c>
      <c r="G60" s="113">
        <f>Processes!G31</f>
        <v>4.9718327999999996</v>
      </c>
      <c r="H60" s="42">
        <f t="shared" si="21"/>
        <v>2.0108301546666664E-4</v>
      </c>
      <c r="I60" s="13">
        <f t="shared" si="26"/>
        <v>1.5507837905128377E-3</v>
      </c>
      <c r="J60" s="123">
        <f t="shared" si="22"/>
        <v>40.864011861331711</v>
      </c>
      <c r="K60" s="113">
        <f>Processes!K31</f>
        <v>6.4054308000000004</v>
      </c>
      <c r="L60" s="115">
        <f t="shared" si="23"/>
        <v>2.5906409013333334E-4</v>
      </c>
      <c r="M60" s="13">
        <f t="shared" si="24"/>
        <v>1.8387306076495032E-3</v>
      </c>
    </row>
    <row r="61" spans="1:14">
      <c r="A61" s="7" t="s">
        <v>86</v>
      </c>
      <c r="B61" s="42">
        <f>953.4/225000</f>
        <v>4.2373333333333334E-3</v>
      </c>
      <c r="C61" s="115" t="s">
        <v>1</v>
      </c>
      <c r="D61" s="113">
        <f>Processes!H21</f>
        <v>25.220541009999998</v>
      </c>
      <c r="E61" s="42">
        <f t="shared" si="20"/>
        <v>0.10686783910637333</v>
      </c>
      <c r="F61" s="13">
        <f t="shared" si="25"/>
        <v>3.8206071172188355E-2</v>
      </c>
      <c r="G61" s="113">
        <f>Processes!G21</f>
        <v>1.9191216</v>
      </c>
      <c r="H61" s="42">
        <f t="shared" si="21"/>
        <v>8.1319579264000005E-3</v>
      </c>
      <c r="I61" s="13">
        <f t="shared" si="26"/>
        <v>6.2714936456102668E-2</v>
      </c>
      <c r="J61" s="123">
        <f t="shared" si="22"/>
        <v>76.093593679812983</v>
      </c>
      <c r="K61" s="113">
        <f>Processes!K21</f>
        <v>2.2139538000000001</v>
      </c>
      <c r="L61" s="115">
        <f t="shared" si="23"/>
        <v>9.3812602352000007E-3</v>
      </c>
      <c r="M61" s="13">
        <f t="shared" si="24"/>
        <v>6.6584335651882542E-2</v>
      </c>
    </row>
    <row r="62" spans="1:14">
      <c r="A62" s="7" t="s">
        <v>90</v>
      </c>
      <c r="B62" s="42">
        <f>53.3/225000</f>
        <v>2.3688888888888889E-4</v>
      </c>
      <c r="C62" s="115" t="s">
        <v>1</v>
      </c>
      <c r="D62" s="113">
        <f>Processes!H23</f>
        <v>83.60239744319999</v>
      </c>
      <c r="E62" s="42">
        <f t="shared" si="20"/>
        <v>1.980447903876693E-2</v>
      </c>
      <c r="F62" s="13">
        <f t="shared" si="25"/>
        <v>7.0802529742375686E-3</v>
      </c>
      <c r="G62" s="113">
        <f>Processes!G23</f>
        <v>2.4385405000000002</v>
      </c>
      <c r="H62" s="42">
        <f t="shared" si="21"/>
        <v>5.7766314955555562E-4</v>
      </c>
      <c r="I62" s="13">
        <f t="shared" si="26"/>
        <v>4.4550289174266431E-3</v>
      </c>
      <c r="J62" s="123">
        <f t="shared" si="22"/>
        <v>29.168308261216559</v>
      </c>
      <c r="K62" s="113">
        <f>Processes!K23</f>
        <v>2.7275390000000002</v>
      </c>
      <c r="L62" s="115">
        <f t="shared" si="23"/>
        <v>6.4612368311111115E-4</v>
      </c>
      <c r="M62" s="13">
        <f t="shared" si="24"/>
        <v>4.585920772933726E-3</v>
      </c>
      <c r="N62" s="136"/>
    </row>
    <row r="63" spans="1:14">
      <c r="A63" s="6" t="s">
        <v>9</v>
      </c>
      <c r="B63" s="5"/>
      <c r="C63" s="10"/>
      <c r="D63" s="5"/>
      <c r="E63" s="47"/>
      <c r="F63" s="14"/>
      <c r="G63" s="5"/>
      <c r="H63" s="130"/>
      <c r="I63" s="14"/>
      <c r="J63" s="29"/>
      <c r="K63" s="117"/>
      <c r="L63" s="175"/>
      <c r="M63" s="176"/>
    </row>
    <row r="64" spans="1:14">
      <c r="A64" s="7" t="s">
        <v>94</v>
      </c>
      <c r="B64" s="42">
        <f>556.5/225000</f>
        <v>2.4733333333333335E-3</v>
      </c>
      <c r="C64" s="9" t="s">
        <v>14</v>
      </c>
      <c r="D64" s="36">
        <f>Processes!H32</f>
        <v>0.70222190420999997</v>
      </c>
      <c r="E64" s="42">
        <f>D64*$B64</f>
        <v>1.7368288430794001E-3</v>
      </c>
      <c r="F64" s="13">
        <f t="shared" ref="F64:F66" si="27">E64/E$80</f>
        <v>6.2092961687520195E-4</v>
      </c>
      <c r="G64" s="121">
        <f>Processes!G32</f>
        <v>4.1812312999999997E-2</v>
      </c>
      <c r="H64" s="115">
        <f>G64*$B64</f>
        <v>1.0341578748666667E-4</v>
      </c>
      <c r="I64" s="13">
        <f t="shared" ref="I64:I66" si="28">H64/H$80</f>
        <v>7.975587920503825E-4</v>
      </c>
      <c r="J64" s="122">
        <f>H64/E64*$B$2</f>
        <v>59.542877756054722</v>
      </c>
      <c r="K64" s="121">
        <f>Processes!K32</f>
        <v>4.4801749000000002E-2</v>
      </c>
      <c r="L64" s="115">
        <f t="shared" si="23"/>
        <v>1.1080965919333334E-4</v>
      </c>
      <c r="M64" s="13">
        <f t="shared" si="24"/>
        <v>7.8648149142217271E-4</v>
      </c>
    </row>
    <row r="65" spans="1:13">
      <c r="A65" s="7" t="s">
        <v>141</v>
      </c>
      <c r="B65" s="42">
        <f>59.073/225000</f>
        <v>2.6254666666666664E-4</v>
      </c>
      <c r="C65" s="9" t="s">
        <v>14</v>
      </c>
      <c r="D65" s="36">
        <f>Processes!H33</f>
        <v>2.71316117779</v>
      </c>
      <c r="E65" s="42">
        <f>D65*$B65</f>
        <v>7.1233142335817184E-4</v>
      </c>
      <c r="F65" s="13">
        <f t="shared" si="27"/>
        <v>2.5466394086923655E-4</v>
      </c>
      <c r="G65" s="121">
        <f>Processes!G33</f>
        <v>0.16557683000000001</v>
      </c>
      <c r="H65" s="115">
        <f>G65*$B65</f>
        <v>4.3471644793733331E-5</v>
      </c>
      <c r="I65" s="13">
        <f t="shared" si="28"/>
        <v>3.3526015082178229E-4</v>
      </c>
      <c r="J65" s="122">
        <f>H65/E65*$B$2</f>
        <v>61.027273777693615</v>
      </c>
      <c r="K65" s="121">
        <f>Processes!K33</f>
        <v>0.17185733</v>
      </c>
      <c r="L65" s="115">
        <f t="shared" si="23"/>
        <v>4.5120569133733327E-5</v>
      </c>
      <c r="M65" s="13">
        <f t="shared" si="24"/>
        <v>3.2024728497902298E-4</v>
      </c>
    </row>
    <row r="66" spans="1:13">
      <c r="A66" s="7" t="s">
        <v>97</v>
      </c>
      <c r="B66" s="42">
        <f>9534000/$B$1/225000</f>
        <v>4.2373333333333332E-2</v>
      </c>
      <c r="C66" s="9" t="s">
        <v>14</v>
      </c>
      <c r="D66" s="36">
        <f>Processes!H34</f>
        <v>0.12785665997949999</v>
      </c>
      <c r="E66" s="42">
        <f>D66*$B66</f>
        <v>5.4177128721980125E-3</v>
      </c>
      <c r="F66" s="13">
        <f t="shared" si="27"/>
        <v>1.9368738557504332E-3</v>
      </c>
      <c r="G66" s="121">
        <f>Processes!G34</f>
        <v>9.0969941999999998E-3</v>
      </c>
      <c r="H66" s="115">
        <f>G66*$B66</f>
        <v>3.85469967568E-4</v>
      </c>
      <c r="I66" s="13">
        <f t="shared" si="28"/>
        <v>2.9728049186384777E-3</v>
      </c>
      <c r="J66" s="122">
        <f>H66/E66*$B$2</f>
        <v>71.149944019017667</v>
      </c>
      <c r="K66" s="121">
        <f>Processes!K34</f>
        <v>9.4049823999999994E-3</v>
      </c>
      <c r="L66" s="115">
        <f t="shared" si="23"/>
        <v>3.9852045422933332E-4</v>
      </c>
      <c r="M66" s="13">
        <f t="shared" si="24"/>
        <v>2.8285346556086569E-3</v>
      </c>
    </row>
    <row r="67" spans="1:13">
      <c r="A67" s="6" t="s">
        <v>4</v>
      </c>
      <c r="B67" s="5"/>
      <c r="C67" s="10"/>
      <c r="D67" s="5"/>
      <c r="E67" s="47"/>
      <c r="F67" s="14"/>
      <c r="G67" s="5"/>
      <c r="H67" s="47"/>
      <c r="I67" s="14"/>
      <c r="J67" s="29"/>
      <c r="K67" s="117"/>
      <c r="L67" s="175"/>
      <c r="M67" s="176"/>
    </row>
    <row r="68" spans="1:13">
      <c r="A68" s="7" t="s">
        <v>186</v>
      </c>
      <c r="B68" s="3">
        <v>0.26</v>
      </c>
      <c r="C68" s="9" t="s">
        <v>2</v>
      </c>
      <c r="D68" s="36">
        <f>Processes!H46</f>
        <v>9.0683380483600011</v>
      </c>
      <c r="E68" s="50">
        <f>D68*$B68</f>
        <v>2.3577678925736003</v>
      </c>
      <c r="F68" s="13">
        <f>E68/E$80</f>
        <v>0.84292008395063822</v>
      </c>
      <c r="G68" s="36">
        <f>Processes!G46</f>
        <v>0.40013556</v>
      </c>
      <c r="H68" s="11">
        <f>G68*$B68</f>
        <v>0.10403524560000001</v>
      </c>
      <c r="I68" s="13">
        <f>H68/H$80</f>
        <v>0.80233615029135363</v>
      </c>
      <c r="J68" s="28">
        <f>H68/E68*$B$2</f>
        <v>44.1244644681463</v>
      </c>
      <c r="K68" s="121">
        <f>Processes!K46</f>
        <v>0.42848921000000001</v>
      </c>
      <c r="L68" s="115">
        <f t="shared" si="23"/>
        <v>0.11140719460000001</v>
      </c>
      <c r="M68" s="13">
        <f t="shared" si="24"/>
        <v>0.79072255254657176</v>
      </c>
    </row>
    <row r="69" spans="1:13">
      <c r="A69" s="21" t="s">
        <v>160</v>
      </c>
      <c r="B69" s="3">
        <v>0.26</v>
      </c>
      <c r="C69" s="9" t="s">
        <v>2</v>
      </c>
      <c r="D69" s="36">
        <f>Processes!H47</f>
        <v>0.195062311515</v>
      </c>
      <c r="E69" s="50">
        <f>D69*$B69</f>
        <v>5.07162009939E-2</v>
      </c>
      <c r="F69" s="13">
        <f>electric_hand_drying_cycle_stage[[#This Row],[Energy per FU '[MJ/FU']]]/E81</f>
        <v>0.10348319758198467</v>
      </c>
      <c r="G69" s="36">
        <f>Processes!G47</f>
        <v>1.2823340000000001E-2</v>
      </c>
      <c r="H69" s="11">
        <f>G69*$B69</f>
        <v>3.3340684000000005E-3</v>
      </c>
      <c r="I69" s="13">
        <f>electric_hand_drying_cycle_stage[[#This Row],[CO2/FU]]/H81</f>
        <v>0.11510984820349515</v>
      </c>
      <c r="J69" s="28">
        <f>H69/E69*$B$2</f>
        <v>65.739711071833099</v>
      </c>
      <c r="K69" s="121">
        <f>Processes!K47</f>
        <v>1.4481565E-2</v>
      </c>
      <c r="L69" s="115">
        <f t="shared" si="23"/>
        <v>3.7652069E-3</v>
      </c>
      <c r="M69" s="13">
        <f t="shared" si="24"/>
        <v>2.6723893564715651E-2</v>
      </c>
    </row>
    <row r="70" spans="1:13">
      <c r="A70" s="21" t="s">
        <v>161</v>
      </c>
      <c r="B70" s="3">
        <v>0.26</v>
      </c>
      <c r="C70" s="9" t="s">
        <v>2</v>
      </c>
      <c r="D70" s="36">
        <f>Processes!H48</f>
        <v>1.0261752851700001</v>
      </c>
      <c r="E70" s="50">
        <f>D70*$B70</f>
        <v>0.26680557414420003</v>
      </c>
      <c r="F70" s="13">
        <f>electric_hand_drying_cycle_stage[[#This Row],[Energy per FU '[MJ/FU']]]/E82</f>
        <v>0.37781496266859932</v>
      </c>
      <c r="G70" s="36">
        <f>Processes!G48</f>
        <v>6.8347837999999994E-2</v>
      </c>
      <c r="H70" s="11">
        <f>G70*$B70</f>
        <v>1.777043788E-2</v>
      </c>
      <c r="I70" s="13">
        <f>electric_hand_drying_cycle_stage[[#This Row],[CO2/FU]]/H82</f>
        <v>0.40945141523554357</v>
      </c>
      <c r="J70" s="28">
        <f>H70/E70*$B$2</f>
        <v>66.604447590722515</v>
      </c>
      <c r="K70" s="121">
        <f>Processes!K48</f>
        <v>7.8110456999999994E-2</v>
      </c>
      <c r="L70" s="115">
        <f t="shared" si="23"/>
        <v>2.0308718819999998E-2</v>
      </c>
      <c r="M70" s="13">
        <f t="shared" si="24"/>
        <v>0.14414295272363853</v>
      </c>
    </row>
    <row r="71" spans="1:13">
      <c r="A71" s="196" t="s">
        <v>248</v>
      </c>
      <c r="B71" s="3">
        <v>0.26</v>
      </c>
      <c r="C71" s="9" t="s">
        <v>2</v>
      </c>
      <c r="D71" s="36">
        <f>Processes!H49</f>
        <v>10.33904117732</v>
      </c>
      <c r="E71" s="50">
        <f>D71*$B71</f>
        <v>2.6881507061032002</v>
      </c>
      <c r="F71" s="13">
        <f>electric_hand_drying_cycle_stage[[#This Row],[Energy per FU '[MJ/FU']]]/E83</f>
        <v>0.85951355433780163</v>
      </c>
      <c r="G71" s="36">
        <f>Processes!G49</f>
        <v>0.99176280000000006</v>
      </c>
      <c r="H71" s="11">
        <f>G71*$B71</f>
        <v>0.25785832800000003</v>
      </c>
      <c r="I71" s="13">
        <f>electric_hand_drying_cycle_stage[[#This Row],[CO2/FU]]/H83</f>
        <v>0.90959010766355441</v>
      </c>
      <c r="J71" s="28">
        <f>H71/E71*$B$2</f>
        <v>95.924059396876928</v>
      </c>
      <c r="K71" s="121">
        <f>Processes!K49</f>
        <v>1.0089832999999999</v>
      </c>
      <c r="L71" s="115">
        <f t="shared" ref="L71" si="29">K71*$B71</f>
        <v>0.26233565799999997</v>
      </c>
      <c r="M71" s="13">
        <f t="shared" ref="M71" si="30">L71/L$80</f>
        <v>1.8619508539149987</v>
      </c>
    </row>
    <row r="72" spans="1:13">
      <c r="A72" s="6" t="s">
        <v>5</v>
      </c>
      <c r="B72" s="5"/>
      <c r="C72" s="10"/>
      <c r="D72" s="5"/>
      <c r="E72" s="47"/>
      <c r="F72" s="14"/>
      <c r="G72" s="5"/>
      <c r="H72" s="47"/>
      <c r="I72" s="14"/>
      <c r="J72" s="29"/>
      <c r="K72" s="117"/>
      <c r="L72" s="175">
        <f t="shared" si="23"/>
        <v>0</v>
      </c>
      <c r="M72" s="176"/>
    </row>
    <row r="73" spans="1:13">
      <c r="A73" s="21" t="s">
        <v>155</v>
      </c>
      <c r="B73" s="42">
        <f>956.9/225000</f>
        <v>4.2528888888888885E-3</v>
      </c>
      <c r="C73" s="115" t="s">
        <v>1</v>
      </c>
      <c r="D73" s="36">
        <f>Processes!H40</f>
        <v>0.7290009167</v>
      </c>
      <c r="E73" s="42">
        <f t="shared" ref="E73:E78" si="31">D73*$B73</f>
        <v>3.100359898623244E-3</v>
      </c>
      <c r="F73" s="13">
        <f t="shared" ref="F73:F78" si="32">E73/E$80</f>
        <v>1.1084024149519284E-3</v>
      </c>
      <c r="G73" s="36">
        <f>Processes!G40</f>
        <v>5.1301316999999999E-2</v>
      </c>
      <c r="H73" s="42">
        <f t="shared" ref="H73:H78" si="33">G73*$B73</f>
        <v>2.1817880105466663E-4</v>
      </c>
      <c r="I73" s="13">
        <f t="shared" ref="I73:I78" si="34">H73/H$80</f>
        <v>1.6826291734479679E-3</v>
      </c>
      <c r="J73" s="123">
        <f t="shared" ref="J73:J78" si="35">H73/E73*$B$2</f>
        <v>70.372088463520583</v>
      </c>
      <c r="K73" s="36">
        <f>Processes!K40</f>
        <v>8.9742350999999998E-2</v>
      </c>
      <c r="L73" s="115">
        <f t="shared" si="23"/>
        <v>3.8166424743066665E-4</v>
      </c>
      <c r="M73" s="13">
        <f t="shared" si="24"/>
        <v>2.7088962165118828E-3</v>
      </c>
    </row>
    <row r="74" spans="1:13">
      <c r="A74" s="21" t="s">
        <v>156</v>
      </c>
      <c r="B74" s="42">
        <f>B55</f>
        <v>2.1777777777777778E-4</v>
      </c>
      <c r="C74" s="115" t="s">
        <v>1</v>
      </c>
      <c r="D74" s="36">
        <f>Processes!H41</f>
        <v>0.1458860790314</v>
      </c>
      <c r="E74" s="42">
        <f t="shared" si="31"/>
        <v>3.1770746100171556E-5</v>
      </c>
      <c r="F74" s="13">
        <f t="shared" si="32"/>
        <v>1.1358285119702489E-5</v>
      </c>
      <c r="G74" s="36">
        <f>Processes!G41</f>
        <v>3.9807189999999998E-3</v>
      </c>
      <c r="H74" s="42">
        <f t="shared" si="33"/>
        <v>8.6691213777777773E-7</v>
      </c>
      <c r="I74" s="13">
        <f t="shared" si="34"/>
        <v>6.6857625341682252E-6</v>
      </c>
      <c r="J74" s="123">
        <f t="shared" si="35"/>
        <v>27.286489748917056</v>
      </c>
      <c r="K74" s="36">
        <f>Processes!K41</f>
        <v>4.2370220999999996E-3</v>
      </c>
      <c r="L74" s="115">
        <f t="shared" si="23"/>
        <v>9.2272925733333331E-7</v>
      </c>
      <c r="M74" s="13">
        <f t="shared" si="24"/>
        <v>6.5491536366899565E-6</v>
      </c>
    </row>
    <row r="75" spans="1:13">
      <c r="A75" s="21" t="s">
        <v>157</v>
      </c>
      <c r="B75" s="42">
        <f>B56</f>
        <v>1.5111111111111111E-5</v>
      </c>
      <c r="C75" s="115" t="s">
        <v>1</v>
      </c>
      <c r="D75" s="36">
        <f>Processes!H42</f>
        <v>0.24716554803299998</v>
      </c>
      <c r="E75" s="42">
        <f t="shared" si="31"/>
        <v>3.7349460591653327E-6</v>
      </c>
      <c r="F75" s="13">
        <f t="shared" si="32"/>
        <v>1.3352718287745839E-6</v>
      </c>
      <c r="G75" s="36">
        <f>Processes!G42</f>
        <v>2.8409762999999999</v>
      </c>
      <c r="H75" s="42">
        <f t="shared" si="33"/>
        <v>4.2930308533333333E-5</v>
      </c>
      <c r="I75" s="13">
        <f t="shared" si="34"/>
        <v>3.3108528057778443E-4</v>
      </c>
      <c r="J75" s="123">
        <f t="shared" si="35"/>
        <v>11494.224509075557</v>
      </c>
      <c r="K75" s="36">
        <f>Processes!K42</f>
        <v>2.8430456</v>
      </c>
      <c r="L75" s="115">
        <f t="shared" si="23"/>
        <v>4.2961577955555556E-5</v>
      </c>
      <c r="M75" s="13">
        <f t="shared" si="24"/>
        <v>3.049236515147417E-4</v>
      </c>
    </row>
    <row r="76" spans="1:13">
      <c r="A76" s="21" t="s">
        <v>158</v>
      </c>
      <c r="B76" s="42">
        <f>B54</f>
        <v>7.2400000000000003E-4</v>
      </c>
      <c r="C76" s="115" t="s">
        <v>1</v>
      </c>
      <c r="D76" s="36">
        <f>Processes!H43</f>
        <v>0.23960025287510001</v>
      </c>
      <c r="E76" s="42">
        <f t="shared" si="31"/>
        <v>1.7347058308157242E-4</v>
      </c>
      <c r="F76" s="13">
        <f t="shared" si="32"/>
        <v>6.2017062372699493E-5</v>
      </c>
      <c r="G76" s="36">
        <f>Processes!G43</f>
        <v>2.4003382E-2</v>
      </c>
      <c r="H76" s="42">
        <f t="shared" si="33"/>
        <v>1.7378448568E-5</v>
      </c>
      <c r="I76" s="13">
        <f t="shared" si="34"/>
        <v>1.3402532422228844E-4</v>
      </c>
      <c r="J76" s="123">
        <f t="shared" si="35"/>
        <v>100.18095436866086</v>
      </c>
      <c r="K76" s="36">
        <f>Processes!K43</f>
        <v>9.6838257999999997E-2</v>
      </c>
      <c r="L76" s="115">
        <f t="shared" si="23"/>
        <v>7.0110898792000005E-5</v>
      </c>
      <c r="M76" s="13">
        <f t="shared" si="24"/>
        <v>4.976183903848576E-4</v>
      </c>
    </row>
    <row r="77" spans="1:13">
      <c r="A77" s="21" t="s">
        <v>136</v>
      </c>
      <c r="B77" s="42">
        <f>B60</f>
        <v>4.0444444444444444E-5</v>
      </c>
      <c r="C77" s="115" t="s">
        <v>1</v>
      </c>
      <c r="D77" s="36">
        <f>Processes!H44</f>
        <v>0.67096498463999998</v>
      </c>
      <c r="E77" s="42">
        <f t="shared" si="31"/>
        <v>2.7136806045439998E-5</v>
      </c>
      <c r="F77" s="13">
        <f t="shared" si="32"/>
        <v>9.7016160505122449E-6</v>
      </c>
      <c r="G77" s="36">
        <f>Processes!G44</f>
        <v>0.47093748000000002</v>
      </c>
      <c r="H77" s="42">
        <f t="shared" si="33"/>
        <v>1.9046804746666668E-5</v>
      </c>
      <c r="I77" s="13">
        <f t="shared" si="34"/>
        <v>1.4689194904723342E-4</v>
      </c>
      <c r="J77" s="123">
        <f t="shared" si="35"/>
        <v>701.88085933079981</v>
      </c>
      <c r="K77" s="36">
        <f>Processes!K44</f>
        <v>0.62918377000000003</v>
      </c>
      <c r="L77" s="115">
        <f t="shared" si="23"/>
        <v>2.5446988031111113E-5</v>
      </c>
      <c r="M77" s="13">
        <f t="shared" si="24"/>
        <v>1.8061227915151394E-4</v>
      </c>
    </row>
    <row r="78" spans="1:13">
      <c r="A78" s="21" t="s">
        <v>142</v>
      </c>
      <c r="B78" s="42">
        <f>B57</f>
        <v>3.4000000000000002E-4</v>
      </c>
      <c r="C78" s="126" t="s">
        <v>1</v>
      </c>
      <c r="D78" s="36">
        <f>Processes!H39</f>
        <v>9.0213324453000006</v>
      </c>
      <c r="E78" s="42">
        <f t="shared" si="31"/>
        <v>3.0672530314020006E-3</v>
      </c>
      <c r="F78" s="13">
        <f t="shared" si="32"/>
        <v>1.0965664562957046E-3</v>
      </c>
      <c r="G78" s="36">
        <f>Processes!G39</f>
        <v>0.72918764999999997</v>
      </c>
      <c r="H78" s="42">
        <f t="shared" si="33"/>
        <v>2.4792380099999999E-4</v>
      </c>
      <c r="I78" s="13">
        <f t="shared" si="34"/>
        <v>1.9120272837606454E-3</v>
      </c>
      <c r="J78" s="123">
        <f t="shared" si="35"/>
        <v>80.829262686123201</v>
      </c>
      <c r="K78" s="36">
        <f>Processes!K39</f>
        <v>0.79992189999999996</v>
      </c>
      <c r="L78" s="115">
        <f t="shared" si="23"/>
        <v>2.7197344600000001E-4</v>
      </c>
      <c r="M78" s="13">
        <f t="shared" si="24"/>
        <v>1.9303559183780684E-3</v>
      </c>
    </row>
    <row r="79" spans="1:13" ht="20.100000000000001" thickBot="1">
      <c r="A79" s="6" t="s">
        <v>6</v>
      </c>
      <c r="B79" s="17"/>
      <c r="C79" s="18"/>
      <c r="D79" s="19"/>
      <c r="E79" s="48"/>
      <c r="F79" s="20"/>
      <c r="G79" s="5"/>
      <c r="H79" s="5"/>
      <c r="I79" s="14"/>
      <c r="J79" s="29"/>
      <c r="K79" s="179"/>
      <c r="L79" s="177">
        <f t="shared" si="23"/>
        <v>0</v>
      </c>
      <c r="M79" s="178">
        <f t="shared" ref="M79:M80" si="36">L79/L$43</f>
        <v>0</v>
      </c>
    </row>
    <row r="80" spans="1:13" ht="20.399999999999999" thickBot="1">
      <c r="A80" s="153" t="s">
        <v>181</v>
      </c>
      <c r="B80" s="154"/>
      <c r="C80" s="155" t="s">
        <v>13</v>
      </c>
      <c r="D80" s="154"/>
      <c r="E80" s="156">
        <f>SUM(E$49:E$66)+SUM(E$73:E$78)+E68</f>
        <v>2.7971428578651261</v>
      </c>
      <c r="F80" s="157">
        <f>E80/E$80</f>
        <v>1</v>
      </c>
      <c r="G80" s="158"/>
      <c r="H80" s="156">
        <f>SUM(H$49:H$66)+SUM(H$73:H$78)+H68</f>
        <v>0.12966540964435108</v>
      </c>
      <c r="I80" s="157">
        <f>H80/H$80</f>
        <v>1</v>
      </c>
      <c r="J80" s="197">
        <f>H80/E80*$B$2</f>
        <v>46.356377286827644</v>
      </c>
      <c r="K80" s="158"/>
      <c r="L80" s="156">
        <f>SUM(L$49:L$66)+SUM(L$73:L$78)+L68</f>
        <v>0.14089290136117419</v>
      </c>
      <c r="M80" s="157">
        <f t="shared" si="36"/>
        <v>0.52805386326182058</v>
      </c>
    </row>
    <row r="81" spans="1:24" ht="20.399999999999999" thickBot="1">
      <c r="A81" s="140" t="s">
        <v>183</v>
      </c>
      <c r="B81" s="141"/>
      <c r="C81" s="142" t="s">
        <v>13</v>
      </c>
      <c r="D81" s="141"/>
      <c r="E81" s="149">
        <f>SUM(E$49:E$66)+SUM(E$73:E$78)+E69</f>
        <v>0.49009116628542559</v>
      </c>
      <c r="F81" s="143">
        <f>E81/E$80</f>
        <v>0.17521134643065023</v>
      </c>
      <c r="G81" s="144"/>
      <c r="H81" s="149">
        <f>SUM(H$49:H$66)+SUM(H$73:H$78)+H69</f>
        <v>2.8964232444351066E-2</v>
      </c>
      <c r="I81" s="143">
        <f>H81/H$80</f>
        <v>0.22337670874441187</v>
      </c>
      <c r="J81" s="145">
        <f>H81/E81*$B$2</f>
        <v>59.099682746541291</v>
      </c>
      <c r="K81" s="144"/>
      <c r="L81" s="149">
        <f>SUM(L$49:L$66)+SUM(L$73:L$78)+L69</f>
        <v>3.3250913661174178E-2</v>
      </c>
      <c r="M81" s="143">
        <f>L81/L$80</f>
        <v>0.23600134101814388</v>
      </c>
    </row>
    <row r="82" spans="1:24" ht="20.399999999999999" thickBot="1">
      <c r="A82" s="146" t="s">
        <v>184</v>
      </c>
      <c r="B82" s="147"/>
      <c r="C82" s="148" t="s">
        <v>13</v>
      </c>
      <c r="D82" s="147"/>
      <c r="E82" s="149">
        <f>SUM(E$49:E$66)+SUM(E$73:E$78)+E70</f>
        <v>0.70618053943572567</v>
      </c>
      <c r="F82" s="150">
        <f>E82/E$80</f>
        <v>0.25246495274635578</v>
      </c>
      <c r="G82" s="151"/>
      <c r="H82" s="149">
        <f>SUM(H$49:H$66)+SUM(H$73:H$78)+H70</f>
        <v>4.3400601924351065E-2</v>
      </c>
      <c r="I82" s="150">
        <f>H82/H$80</f>
        <v>0.33471225705753843</v>
      </c>
      <c r="J82" s="152">
        <f>H82/E82*$B$2</f>
        <v>61.458224208543555</v>
      </c>
      <c r="K82" s="151"/>
      <c r="L82" s="149">
        <f>SUM(L$49:L$66)+SUM(L$73:L$78)+L70</f>
        <v>4.9794425581174175E-2</v>
      </c>
      <c r="M82" s="150">
        <f>L82/L$80</f>
        <v>0.35342040017706677</v>
      </c>
    </row>
    <row r="83" spans="1:24" ht="20.399999999999999" thickBot="1">
      <c r="A83" s="146" t="s">
        <v>249</v>
      </c>
      <c r="B83" s="147"/>
      <c r="C83" s="148" t="s">
        <v>13</v>
      </c>
      <c r="D83" s="147"/>
      <c r="E83" s="149">
        <f>SUM(E$49:E$66)+SUM(E$73:E$78)+E71</f>
        <v>3.1275256713947259</v>
      </c>
      <c r="F83" s="150">
        <f>E83/E$80</f>
        <v>1.1181143868289085</v>
      </c>
      <c r="G83" s="151"/>
      <c r="H83" s="149">
        <f>SUM(H$49:H$66)+SUM(H$73:H$78)+H71</f>
        <v>0.28348849204435111</v>
      </c>
      <c r="I83" s="150">
        <f>H83/H$80</f>
        <v>2.1863077656709611</v>
      </c>
      <c r="J83" s="152">
        <f>H83/E83*$B$2</f>
        <v>90.643058388687464</v>
      </c>
      <c r="K83" s="151"/>
      <c r="L83" s="149">
        <f>SUM(L$49:L$66)+SUM(L$73:L$78)+L71</f>
        <v>0.29182136476117415</v>
      </c>
      <c r="M83" s="150">
        <f>L83/L$80</f>
        <v>2.0712283013684272</v>
      </c>
    </row>
    <row r="84" spans="1:24" ht="20.100000000000001">
      <c r="A84" s="25" t="s">
        <v>16</v>
      </c>
      <c r="B84" s="217"/>
      <c r="C84" s="218"/>
      <c r="D84" s="218"/>
      <c r="E84" s="218"/>
      <c r="F84" s="218"/>
      <c r="I84" s="136"/>
    </row>
    <row r="85" spans="1:24" ht="52.2" customHeight="1">
      <c r="A85" s="26" t="s">
        <v>175</v>
      </c>
      <c r="B85" s="219" t="s">
        <v>176</v>
      </c>
      <c r="C85" s="220"/>
      <c r="D85" s="220"/>
      <c r="E85" s="220"/>
      <c r="F85" s="220"/>
      <c r="G85" s="221"/>
    </row>
    <row r="86" spans="1:24" ht="43.2" customHeight="1">
      <c r="A86" s="26" t="s">
        <v>177</v>
      </c>
      <c r="B86" s="219" t="s">
        <v>178</v>
      </c>
      <c r="C86" s="220"/>
      <c r="D86" s="220"/>
      <c r="E86" s="220"/>
      <c r="F86" s="220"/>
      <c r="G86" s="221"/>
    </row>
    <row r="87" spans="1:24" ht="151.94999999999999" customHeight="1">
      <c r="A87" s="26" t="s">
        <v>17</v>
      </c>
      <c r="B87" s="219" t="s">
        <v>253</v>
      </c>
      <c r="C87" s="220"/>
      <c r="D87" s="220"/>
      <c r="E87" s="220"/>
      <c r="F87" s="220"/>
      <c r="G87" s="221"/>
    </row>
    <row r="88" spans="1:24" ht="107.4" customHeight="1">
      <c r="A88" s="26" t="s">
        <v>18</v>
      </c>
      <c r="B88" s="219" t="s">
        <v>254</v>
      </c>
      <c r="C88" s="220"/>
      <c r="D88" s="220"/>
      <c r="E88" s="220"/>
      <c r="F88" s="220"/>
      <c r="G88" s="221"/>
    </row>
    <row r="89" spans="1:24" ht="39.6">
      <c r="A89" s="26" t="s">
        <v>179</v>
      </c>
      <c r="B89" s="219" t="s">
        <v>255</v>
      </c>
      <c r="C89" s="220"/>
      <c r="D89" s="220"/>
      <c r="E89" s="220"/>
      <c r="F89" s="220"/>
      <c r="G89" s="221"/>
    </row>
    <row r="90" spans="1:24">
      <c r="A90" s="24"/>
      <c r="B90" s="215"/>
      <c r="C90" s="216"/>
      <c r="D90" s="216"/>
      <c r="E90" s="216"/>
      <c r="F90" s="216"/>
    </row>
    <row r="91" spans="1:24">
      <c r="A91" s="24"/>
      <c r="B91" s="24"/>
      <c r="C91" s="60"/>
      <c r="D91" s="60"/>
      <c r="E91" s="60"/>
      <c r="F91" s="60"/>
    </row>
    <row r="92" spans="1:24">
      <c r="A92" s="24"/>
      <c r="B92" s="24"/>
      <c r="C92" s="60"/>
      <c r="D92" s="60"/>
      <c r="E92" s="60"/>
      <c r="F92" s="60"/>
    </row>
    <row r="95" spans="1:24">
      <c r="Q95" s="4"/>
      <c r="R95" s="4"/>
      <c r="S95" s="4"/>
      <c r="T95" s="4"/>
      <c r="U95" s="4"/>
      <c r="V95" s="4"/>
      <c r="W95" s="4"/>
      <c r="X95" s="4"/>
    </row>
    <row r="96" spans="1:24">
      <c r="Q96" s="51">
        <f>Processes!H85</f>
        <v>0</v>
      </c>
      <c r="R96" s="51"/>
      <c r="S96" s="51"/>
      <c r="T96" s="51"/>
      <c r="U96" s="51"/>
      <c r="V96" s="51"/>
      <c r="W96" s="51"/>
      <c r="X96" s="51"/>
    </row>
    <row r="97" spans="17:24">
      <c r="Q97" s="36">
        <f>Processes!H76</f>
        <v>0</v>
      </c>
      <c r="R97" s="36"/>
      <c r="S97" s="36"/>
      <c r="T97" s="36"/>
      <c r="U97" s="36"/>
      <c r="V97" s="36"/>
      <c r="W97" s="36"/>
      <c r="X97" s="36"/>
    </row>
    <row r="98" spans="17:24">
      <c r="Q98" s="5"/>
      <c r="R98" s="5"/>
      <c r="S98" s="5"/>
      <c r="T98" s="5"/>
      <c r="U98" s="5"/>
      <c r="V98" s="5"/>
      <c r="W98" s="5"/>
      <c r="X98" s="5"/>
    </row>
    <row r="99" spans="17:24">
      <c r="Q99" s="3">
        <v>27.1</v>
      </c>
      <c r="R99" s="3"/>
      <c r="S99" s="3"/>
      <c r="T99" s="3"/>
      <c r="U99" s="3"/>
      <c r="V99" s="3"/>
      <c r="W99" s="3"/>
      <c r="X99" s="3"/>
    </row>
    <row r="100" spans="17:24">
      <c r="Q100" s="5"/>
      <c r="R100" s="5"/>
      <c r="S100" s="5"/>
      <c r="T100" s="5"/>
      <c r="U100" s="5"/>
      <c r="V100" s="5"/>
      <c r="W100" s="5"/>
      <c r="X100" s="5"/>
    </row>
    <row r="101" spans="17:24">
      <c r="Q101" s="51">
        <f>Processes!H84</f>
        <v>0</v>
      </c>
      <c r="R101" s="51"/>
      <c r="S101" s="51"/>
      <c r="T101" s="51"/>
      <c r="U101" s="51"/>
      <c r="V101" s="51"/>
      <c r="W101" s="51"/>
      <c r="X101" s="51"/>
    </row>
    <row r="102" spans="17:24">
      <c r="Q102" s="16">
        <f>Processes!G83</f>
        <v>0</v>
      </c>
      <c r="R102" s="16"/>
      <c r="S102" s="16"/>
      <c r="T102" s="16"/>
      <c r="U102" s="16"/>
      <c r="V102" s="16"/>
      <c r="W102" s="16"/>
      <c r="X102" s="16"/>
    </row>
    <row r="103" spans="17:24">
      <c r="Q103" s="5"/>
      <c r="R103" s="5"/>
      <c r="S103" s="5"/>
      <c r="T103" s="5"/>
      <c r="U103" s="5"/>
      <c r="V103" s="5"/>
      <c r="W103" s="5"/>
      <c r="X103" s="5"/>
    </row>
    <row r="104" spans="17:24">
      <c r="Q104" s="3"/>
      <c r="R104" s="3"/>
      <c r="S104" s="3"/>
      <c r="T104" s="3"/>
      <c r="U104" s="3"/>
      <c r="V104" s="3"/>
      <c r="W104" s="3"/>
      <c r="X104" s="3"/>
    </row>
    <row r="105" spans="17:24">
      <c r="Q105" s="5"/>
      <c r="R105" s="5"/>
      <c r="S105" s="5"/>
      <c r="T105" s="5"/>
      <c r="U105" s="5"/>
      <c r="V105" s="5"/>
      <c r="W105" s="5"/>
      <c r="X105" s="5"/>
    </row>
    <row r="106" spans="17:24">
      <c r="Q106" s="36">
        <f>Processes!H80</f>
        <v>0</v>
      </c>
      <c r="R106" s="36"/>
      <c r="S106" s="36"/>
      <c r="T106" s="36"/>
      <c r="U106" s="36"/>
      <c r="V106" s="36"/>
      <c r="W106" s="36"/>
      <c r="X106" s="36"/>
    </row>
    <row r="107" spans="17:24">
      <c r="Q107" s="36">
        <f>Processes!H81</f>
        <v>0</v>
      </c>
      <c r="R107" s="36"/>
      <c r="S107" s="36"/>
      <c r="T107" s="36"/>
      <c r="U107" s="36"/>
      <c r="V107" s="36"/>
      <c r="W107" s="36"/>
      <c r="X107" s="36"/>
    </row>
    <row r="108" spans="17:24">
      <c r="Q108" s="36">
        <f>Processes!H75</f>
        <v>0</v>
      </c>
      <c r="R108" s="36"/>
      <c r="S108" s="36"/>
      <c r="T108" s="36"/>
      <c r="U108" s="36"/>
      <c r="V108" s="36"/>
      <c r="W108" s="36"/>
      <c r="X108" s="36"/>
    </row>
    <row r="109" spans="17:24">
      <c r="Q109" s="19"/>
      <c r="R109" s="5"/>
      <c r="S109" s="5"/>
      <c r="T109" s="5"/>
      <c r="U109" s="5"/>
      <c r="V109" s="5"/>
      <c r="W109" s="5"/>
      <c r="X109" s="5"/>
    </row>
    <row r="110" spans="17:24">
      <c r="Q110" s="3"/>
      <c r="R110" s="3"/>
      <c r="S110" s="3"/>
      <c r="T110" s="3"/>
      <c r="U110" s="3"/>
      <c r="V110" s="3"/>
      <c r="W110" s="3"/>
      <c r="X110" s="3"/>
    </row>
    <row r="111" spans="17:24">
      <c r="Q111" s="3"/>
      <c r="R111" s="3"/>
      <c r="S111" s="3"/>
      <c r="T111" s="3"/>
      <c r="U111" s="3"/>
      <c r="V111" s="3"/>
      <c r="W111" s="3"/>
      <c r="X111" s="3"/>
    </row>
    <row r="112" spans="17:24">
      <c r="Q112" s="3"/>
      <c r="R112" s="3"/>
      <c r="S112" s="3"/>
      <c r="T112" s="3"/>
      <c r="U112" s="3"/>
      <c r="V112" s="3"/>
      <c r="W112" s="3"/>
      <c r="X112" s="3"/>
    </row>
    <row r="113" spans="17:24" ht="20.100000000000001" thickBot="1">
      <c r="Q113" s="31" t="s">
        <v>3</v>
      </c>
      <c r="R113" s="2"/>
      <c r="S113" s="2"/>
      <c r="T113" s="2"/>
      <c r="U113" s="2"/>
      <c r="V113" s="2"/>
      <c r="W113" s="2"/>
      <c r="X113" s="2"/>
    </row>
    <row r="114" spans="17:24">
      <c r="Q114" s="4"/>
      <c r="R114" s="4"/>
      <c r="S114" s="4"/>
      <c r="T114" s="4"/>
      <c r="U114" s="4"/>
      <c r="V114" s="4"/>
      <c r="W114" s="4"/>
      <c r="X114" s="4"/>
    </row>
    <row r="115" spans="17:24">
      <c r="Q115" s="36">
        <f>Processes!H77</f>
        <v>0</v>
      </c>
      <c r="R115" s="36"/>
      <c r="S115" s="36"/>
      <c r="T115" s="36"/>
      <c r="U115" s="36"/>
      <c r="V115" s="36"/>
      <c r="W115" s="36"/>
      <c r="X115" s="36"/>
    </row>
    <row r="116" spans="17:24">
      <c r="Q116" s="36">
        <f>Processes!H78</f>
        <v>0</v>
      </c>
      <c r="R116" s="36"/>
      <c r="S116" s="36"/>
      <c r="T116" s="36"/>
      <c r="U116" s="36"/>
      <c r="V116" s="36"/>
      <c r="W116" s="36"/>
      <c r="X116" s="36"/>
    </row>
    <row r="117" spans="17:24">
      <c r="Q117" s="5"/>
      <c r="R117" s="5"/>
      <c r="S117" s="5"/>
      <c r="T117" s="5"/>
      <c r="U117" s="5"/>
      <c r="V117" s="5"/>
      <c r="W117" s="5"/>
      <c r="X117" s="5"/>
    </row>
    <row r="118" spans="17:24">
      <c r="Q118" s="3">
        <v>27.1</v>
      </c>
      <c r="R118" s="3"/>
      <c r="S118" s="3"/>
      <c r="T118" s="3"/>
      <c r="U118" s="3"/>
      <c r="V118" s="3"/>
      <c r="W118" s="3"/>
      <c r="X118" s="3"/>
    </row>
    <row r="119" spans="17:24">
      <c r="Q119" s="5"/>
      <c r="R119" s="5"/>
      <c r="S119" s="5"/>
      <c r="T119" s="5"/>
      <c r="U119" s="5"/>
      <c r="V119" s="5"/>
      <c r="W119" s="5"/>
      <c r="X119" s="5"/>
    </row>
    <row r="120" spans="17:24">
      <c r="Q120" s="51">
        <f>Processes!H83</f>
        <v>0</v>
      </c>
      <c r="R120" s="51"/>
      <c r="S120" s="51"/>
      <c r="T120" s="51"/>
      <c r="U120" s="51"/>
      <c r="V120" s="51"/>
      <c r="W120" s="51"/>
      <c r="X120" s="51"/>
    </row>
    <row r="121" spans="17:24">
      <c r="Q121" s="5"/>
      <c r="R121" s="5"/>
      <c r="S121" s="5"/>
      <c r="T121" s="5"/>
      <c r="U121" s="5"/>
      <c r="V121" s="5"/>
      <c r="W121" s="5"/>
      <c r="X121" s="5"/>
    </row>
    <row r="122" spans="17:24">
      <c r="Q122" s="36">
        <f>Processes!H75</f>
        <v>0</v>
      </c>
      <c r="R122" s="36"/>
      <c r="S122" s="36"/>
      <c r="T122" s="36"/>
      <c r="U122" s="36"/>
      <c r="V122" s="36"/>
      <c r="W122" s="36"/>
      <c r="X122" s="36"/>
    </row>
    <row r="123" spans="17:24">
      <c r="Q123" s="5"/>
      <c r="R123" s="5"/>
      <c r="S123" s="5"/>
      <c r="T123" s="5"/>
      <c r="U123" s="5"/>
      <c r="V123" s="5"/>
      <c r="W123" s="5"/>
      <c r="X123" s="5"/>
    </row>
    <row r="124" spans="17:24">
      <c r="Q124" s="36">
        <f>Processes!H79</f>
        <v>0</v>
      </c>
      <c r="R124" s="36"/>
      <c r="S124" s="36"/>
      <c r="T124" s="36"/>
      <c r="U124" s="36"/>
      <c r="V124" s="36"/>
      <c r="W124" s="36"/>
      <c r="X124" s="36"/>
    </row>
    <row r="125" spans="17:24">
      <c r="Q125" s="19"/>
      <c r="R125" s="5"/>
      <c r="S125" s="5"/>
      <c r="T125" s="5"/>
      <c r="U125" s="5"/>
      <c r="V125" s="5"/>
      <c r="W125" s="5"/>
      <c r="X125" s="5"/>
    </row>
    <row r="126" spans="17:24">
      <c r="Q126" s="3"/>
      <c r="R126" s="3"/>
      <c r="S126" s="3"/>
      <c r="T126" s="3"/>
      <c r="U126" s="3"/>
      <c r="V126" s="3"/>
      <c r="W126" s="3"/>
      <c r="X126" s="3"/>
    </row>
    <row r="138" spans="5:13">
      <c r="E138" s="1"/>
      <c r="J138" s="28"/>
      <c r="K138" s="139"/>
      <c r="L138" s="139"/>
      <c r="M138" s="139"/>
    </row>
    <row r="139" spans="5:13">
      <c r="E139" s="1"/>
      <c r="J139" s="28"/>
      <c r="K139" s="139"/>
      <c r="L139" s="139"/>
      <c r="M139" s="139"/>
    </row>
  </sheetData>
  <mergeCells count="7">
    <mergeCell ref="B90:F90"/>
    <mergeCell ref="B84:F84"/>
    <mergeCell ref="B85:G85"/>
    <mergeCell ref="B86:G86"/>
    <mergeCell ref="B87:G87"/>
    <mergeCell ref="B88:G88"/>
    <mergeCell ref="B89:G89"/>
  </mergeCells>
  <pageMargins left="0.7" right="0.7" top="0.75" bottom="0.75" header="0.3" footer="0.3"/>
  <pageSetup orientation="portrait" horizontalDpi="1200" verticalDpi="1200"/>
  <drawing r:id="rId1"/>
  <legacy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9"/>
  <sheetViews>
    <sheetView zoomScale="85" zoomScaleNormal="85" workbookViewId="0">
      <selection activeCell="D3" sqref="D3"/>
    </sheetView>
  </sheetViews>
  <sheetFormatPr defaultRowHeight="14.4"/>
  <cols>
    <col min="2" max="2" width="46.68359375" customWidth="1"/>
    <col min="4" max="4" width="47" customWidth="1"/>
    <col min="5" max="5" width="14.68359375" customWidth="1"/>
    <col min="6" max="6" width="13.41796875" customWidth="1"/>
    <col min="8" max="8" width="14.1015625" customWidth="1"/>
    <col min="9" max="9" width="13.68359375" customWidth="1"/>
    <col min="12" max="12" width="14.1015625" customWidth="1"/>
    <col min="13" max="13" width="20.5234375" customWidth="1"/>
  </cols>
  <sheetData>
    <row r="1" spans="1:14" ht="43.2">
      <c r="A1" s="37"/>
      <c r="B1" t="s">
        <v>49</v>
      </c>
      <c r="C1">
        <v>1000</v>
      </c>
      <c r="D1" s="37" t="s">
        <v>12</v>
      </c>
      <c r="E1" s="37"/>
      <c r="F1" s="38" t="s">
        <v>23</v>
      </c>
      <c r="G1" s="39" t="s">
        <v>24</v>
      </c>
      <c r="H1" s="40" t="s">
        <v>25</v>
      </c>
      <c r="I1" s="41" t="s">
        <v>26</v>
      </c>
      <c r="J1" s="41"/>
      <c r="K1" s="38" t="s">
        <v>27</v>
      </c>
      <c r="L1" s="40"/>
      <c r="M1" s="40"/>
    </row>
    <row r="2" spans="1:14" ht="63.6" customHeight="1">
      <c r="A2" s="37"/>
      <c r="B2" s="37"/>
      <c r="C2" s="37"/>
      <c r="D2" s="37"/>
      <c r="E2" s="37"/>
      <c r="F2" s="38" t="s">
        <v>28</v>
      </c>
      <c r="G2" s="39" t="s">
        <v>29</v>
      </c>
      <c r="H2" s="40" t="s">
        <v>30</v>
      </c>
      <c r="I2" s="41" t="s">
        <v>31</v>
      </c>
      <c r="J2" s="41"/>
      <c r="K2" s="38" t="s">
        <v>32</v>
      </c>
      <c r="L2" s="40" t="s">
        <v>33</v>
      </c>
      <c r="M2" s="40" t="s">
        <v>34</v>
      </c>
    </row>
    <row r="3" spans="1:14" ht="43.5" thickBot="1">
      <c r="A3" s="67"/>
      <c r="B3" s="67" t="s">
        <v>35</v>
      </c>
      <c r="C3" s="67" t="s">
        <v>36</v>
      </c>
      <c r="D3" s="67" t="s">
        <v>37</v>
      </c>
      <c r="E3" s="67" t="s">
        <v>38</v>
      </c>
      <c r="F3" s="67" t="s">
        <v>39</v>
      </c>
      <c r="G3" s="68" t="s">
        <v>1</v>
      </c>
      <c r="H3" s="69" t="s">
        <v>40</v>
      </c>
      <c r="I3" s="70" t="s">
        <v>41</v>
      </c>
      <c r="J3" s="70"/>
      <c r="K3" s="71" t="s">
        <v>42</v>
      </c>
      <c r="L3" s="69" t="s">
        <v>40</v>
      </c>
      <c r="M3" s="69" t="s">
        <v>40</v>
      </c>
    </row>
    <row r="4" spans="1:14">
      <c r="A4" s="72">
        <v>258</v>
      </c>
      <c r="B4" s="73" t="s">
        <v>55</v>
      </c>
      <c r="C4" s="73" t="s">
        <v>22</v>
      </c>
      <c r="D4" s="73" t="s">
        <v>56</v>
      </c>
      <c r="E4" s="73" t="s">
        <v>1</v>
      </c>
      <c r="F4" s="73">
        <v>1</v>
      </c>
      <c r="G4" s="74">
        <v>4.8913827999999997</v>
      </c>
      <c r="H4" s="75">
        <v>61.912707699999999</v>
      </c>
      <c r="I4" s="76">
        <f t="shared" ref="I4:I48" si="0">G4/H4*$C$1</f>
        <v>79.004504595427335</v>
      </c>
      <c r="J4" s="76"/>
      <c r="K4" s="73">
        <v>5.4372182000000002</v>
      </c>
      <c r="L4" s="75">
        <v>20.945152089</v>
      </c>
      <c r="M4" s="77">
        <f t="shared" ref="M4:M48" si="1">L4+H4</f>
        <v>82.857859789000003</v>
      </c>
      <c r="N4" t="s">
        <v>115</v>
      </c>
    </row>
    <row r="5" spans="1:14">
      <c r="A5" s="78">
        <v>470</v>
      </c>
      <c r="B5" s="61" t="s">
        <v>57</v>
      </c>
      <c r="C5" s="61" t="s">
        <v>58</v>
      </c>
      <c r="D5" s="61" t="s">
        <v>59</v>
      </c>
      <c r="E5" s="61" t="s">
        <v>1</v>
      </c>
      <c r="F5" s="61">
        <v>1</v>
      </c>
      <c r="G5" s="66">
        <v>19.248840000000001</v>
      </c>
      <c r="H5" s="63">
        <v>218.89577508170001</v>
      </c>
      <c r="I5" s="65">
        <f t="shared" si="0"/>
        <v>87.936096495309798</v>
      </c>
      <c r="J5" s="65"/>
      <c r="K5" s="61">
        <v>20.97429</v>
      </c>
      <c r="L5" s="63">
        <v>3.510837365</v>
      </c>
      <c r="M5" s="101">
        <f t="shared" si="1"/>
        <v>222.4066124467</v>
      </c>
    </row>
    <row r="6" spans="1:14">
      <c r="A6" s="78">
        <v>2017</v>
      </c>
      <c r="B6" s="61" t="s">
        <v>60</v>
      </c>
      <c r="C6" s="61" t="s">
        <v>58</v>
      </c>
      <c r="D6" s="61" t="s">
        <v>61</v>
      </c>
      <c r="E6" s="61" t="s">
        <v>1</v>
      </c>
      <c r="F6" s="61">
        <v>1</v>
      </c>
      <c r="G6" s="66">
        <v>5.6316442999999996</v>
      </c>
      <c r="H6" s="63">
        <v>56.396523670499995</v>
      </c>
      <c r="I6" s="65">
        <f t="shared" si="0"/>
        <v>99.858004243368129</v>
      </c>
      <c r="J6" s="65"/>
      <c r="K6" s="61">
        <v>6.0199005000000003</v>
      </c>
      <c r="L6" s="63">
        <v>4.4209443915</v>
      </c>
      <c r="M6" s="101">
        <f t="shared" si="1"/>
        <v>60.817468061999996</v>
      </c>
    </row>
    <row r="7" spans="1:14">
      <c r="A7" s="78">
        <v>15025</v>
      </c>
      <c r="B7" s="61" t="s">
        <v>62</v>
      </c>
      <c r="C7" s="61" t="s">
        <v>22</v>
      </c>
      <c r="D7" s="61" t="s">
        <v>62</v>
      </c>
      <c r="E7" s="61" t="s">
        <v>1</v>
      </c>
      <c r="F7" s="61">
        <v>1</v>
      </c>
      <c r="G7" s="66">
        <v>0.41929312000000002</v>
      </c>
      <c r="H7" s="63">
        <v>7.0186934501599998</v>
      </c>
      <c r="I7" s="65">
        <f t="shared" si="0"/>
        <v>59.739483278108082</v>
      </c>
      <c r="J7" s="65"/>
      <c r="K7" s="61">
        <v>0.47229947</v>
      </c>
      <c r="L7" s="63">
        <v>1.37801085404</v>
      </c>
      <c r="M7" s="101">
        <f t="shared" si="1"/>
        <v>8.3967043042</v>
      </c>
    </row>
    <row r="8" spans="1:14">
      <c r="A8" s="78">
        <v>6808</v>
      </c>
      <c r="B8" s="61" t="s">
        <v>63</v>
      </c>
      <c r="C8" s="61" t="s">
        <v>22</v>
      </c>
      <c r="D8" s="61" t="s">
        <v>64</v>
      </c>
      <c r="E8" s="61" t="s">
        <v>1</v>
      </c>
      <c r="F8" s="61">
        <v>1</v>
      </c>
      <c r="G8" s="66">
        <v>27.933744999999998</v>
      </c>
      <c r="H8" s="63">
        <v>448.24729435900002</v>
      </c>
      <c r="I8" s="65">
        <f t="shared" si="0"/>
        <v>62.317710227221006</v>
      </c>
      <c r="J8" s="65"/>
      <c r="K8" s="61">
        <v>31.497869999999999</v>
      </c>
      <c r="L8" s="63">
        <v>48.643082318099999</v>
      </c>
      <c r="M8" s="101">
        <f t="shared" si="1"/>
        <v>496.89037667709999</v>
      </c>
    </row>
    <row r="9" spans="1:14">
      <c r="A9" s="78">
        <v>7031</v>
      </c>
      <c r="B9" s="61" t="s">
        <v>65</v>
      </c>
      <c r="C9" s="61" t="s">
        <v>22</v>
      </c>
      <c r="D9" s="61" t="s">
        <v>66</v>
      </c>
      <c r="E9" s="61" t="s">
        <v>1</v>
      </c>
      <c r="F9" s="61">
        <v>1</v>
      </c>
      <c r="G9" s="66">
        <v>1.1303346000000001</v>
      </c>
      <c r="H9" s="63">
        <v>66.770078626074806</v>
      </c>
      <c r="I9" s="65">
        <f t="shared" si="0"/>
        <v>16.92875945721271</v>
      </c>
      <c r="J9" s="65"/>
      <c r="K9" s="61">
        <v>1.4535583000000001</v>
      </c>
      <c r="L9" s="63">
        <v>0.2002877311024</v>
      </c>
      <c r="M9" s="101">
        <f t="shared" si="1"/>
        <v>66.970366357177213</v>
      </c>
    </row>
    <row r="10" spans="1:14">
      <c r="A10" s="78">
        <v>7049</v>
      </c>
      <c r="B10" s="61" t="s">
        <v>67</v>
      </c>
      <c r="C10" s="61" t="s">
        <v>22</v>
      </c>
      <c r="D10" s="61" t="s">
        <v>68</v>
      </c>
      <c r="E10" s="61" t="s">
        <v>1</v>
      </c>
      <c r="F10" s="61">
        <v>1</v>
      </c>
      <c r="G10" s="66">
        <v>1.2878908</v>
      </c>
      <c r="H10" s="63">
        <v>49.878196202369999</v>
      </c>
      <c r="I10" s="65">
        <f t="shared" si="0"/>
        <v>25.820717228318792</v>
      </c>
      <c r="J10" s="65"/>
      <c r="K10" s="61">
        <v>1.5171342000000001</v>
      </c>
      <c r="L10" s="63">
        <v>2.0183653864300002</v>
      </c>
      <c r="M10" s="101">
        <f t="shared" si="1"/>
        <v>51.896561588799997</v>
      </c>
    </row>
    <row r="11" spans="1:14">
      <c r="A11" s="78">
        <v>7381</v>
      </c>
      <c r="B11" s="61" t="s">
        <v>69</v>
      </c>
      <c r="C11" s="61" t="s">
        <v>58</v>
      </c>
      <c r="D11" s="61" t="s">
        <v>70</v>
      </c>
      <c r="E11" s="61" t="s">
        <v>1</v>
      </c>
      <c r="F11" s="61">
        <v>1</v>
      </c>
      <c r="G11" s="66">
        <v>0.95946891999999995</v>
      </c>
      <c r="H11" s="63">
        <v>11.436900889899999</v>
      </c>
      <c r="I11" s="65">
        <f t="shared" si="0"/>
        <v>83.892387390303725</v>
      </c>
      <c r="J11" s="65"/>
      <c r="K11" s="61">
        <v>1.0141070999999999</v>
      </c>
      <c r="L11" s="63">
        <v>0.48573862666000001</v>
      </c>
      <c r="M11" s="101">
        <f t="shared" si="1"/>
        <v>11.922639516559999</v>
      </c>
    </row>
    <row r="12" spans="1:14">
      <c r="A12" s="78">
        <v>8465</v>
      </c>
      <c r="B12" s="61" t="s">
        <v>71</v>
      </c>
      <c r="C12" s="61" t="s">
        <v>58</v>
      </c>
      <c r="D12" s="61" t="s">
        <v>72</v>
      </c>
      <c r="E12" s="61" t="s">
        <v>73</v>
      </c>
      <c r="F12" s="61">
        <v>1</v>
      </c>
      <c r="G12" s="66">
        <v>3.3782061000000002E-2</v>
      </c>
      <c r="H12" s="63">
        <v>0.66634296889010003</v>
      </c>
      <c r="I12" s="65">
        <f t="shared" si="0"/>
        <v>50.697707602842101</v>
      </c>
      <c r="J12" s="65"/>
      <c r="K12" s="61">
        <v>3.7879734999999998E-2</v>
      </c>
      <c r="L12" s="63">
        <v>1.174006707E-3</v>
      </c>
      <c r="M12" s="101">
        <f t="shared" si="1"/>
        <v>0.66751697559709999</v>
      </c>
    </row>
    <row r="13" spans="1:14">
      <c r="A13" s="78">
        <v>10999</v>
      </c>
      <c r="B13" s="61" t="s">
        <v>74</v>
      </c>
      <c r="C13" s="61" t="s">
        <v>75</v>
      </c>
      <c r="D13" s="61" t="s">
        <v>76</v>
      </c>
      <c r="E13" s="61" t="s">
        <v>1</v>
      </c>
      <c r="F13" s="61">
        <v>1</v>
      </c>
      <c r="G13" s="66">
        <v>1.2213615</v>
      </c>
      <c r="H13" s="63">
        <v>16.665360323799998</v>
      </c>
      <c r="I13" s="65">
        <f t="shared" si="0"/>
        <v>73.287434311021727</v>
      </c>
      <c r="J13" s="65"/>
      <c r="K13" s="61">
        <v>1.3573807</v>
      </c>
      <c r="L13" s="63">
        <v>1.82673473652</v>
      </c>
      <c r="M13" s="101">
        <f t="shared" si="1"/>
        <v>18.492095060319997</v>
      </c>
    </row>
    <row r="14" spans="1:14">
      <c r="A14" s="78">
        <v>1601</v>
      </c>
      <c r="B14" s="61" t="s">
        <v>100</v>
      </c>
      <c r="C14" s="61" t="s">
        <v>22</v>
      </c>
      <c r="D14" s="61" t="s">
        <v>140</v>
      </c>
      <c r="E14" s="61" t="s">
        <v>73</v>
      </c>
      <c r="F14" s="61">
        <v>1</v>
      </c>
      <c r="G14" s="66">
        <v>8.5000000000000006E-2</v>
      </c>
      <c r="H14" s="63">
        <v>1.28</v>
      </c>
      <c r="I14" s="65">
        <f t="shared" si="0"/>
        <v>66.40625</v>
      </c>
      <c r="J14" s="65"/>
      <c r="K14" s="61">
        <v>8.659E-2</v>
      </c>
      <c r="L14" s="63">
        <v>0</v>
      </c>
      <c r="M14" s="101">
        <f t="shared" si="1"/>
        <v>1.28</v>
      </c>
      <c r="N14" t="s">
        <v>102</v>
      </c>
    </row>
    <row r="15" spans="1:14">
      <c r="A15" s="78">
        <v>12292</v>
      </c>
      <c r="B15" s="61" t="s">
        <v>77</v>
      </c>
      <c r="C15" s="61" t="s">
        <v>75</v>
      </c>
      <c r="D15" s="61" t="s">
        <v>78</v>
      </c>
      <c r="E15" s="61" t="s">
        <v>1</v>
      </c>
      <c r="F15" s="61">
        <v>1</v>
      </c>
      <c r="G15" s="66">
        <v>14.802611000000001</v>
      </c>
      <c r="H15" s="63">
        <v>275.14105886200002</v>
      </c>
      <c r="I15" s="65">
        <f t="shared" si="0"/>
        <v>53.800080079739793</v>
      </c>
      <c r="J15" s="65"/>
      <c r="K15" s="61">
        <v>18.711015</v>
      </c>
      <c r="L15" s="63">
        <v>221.991557599</v>
      </c>
      <c r="M15" s="101">
        <f t="shared" si="1"/>
        <v>497.132616461</v>
      </c>
    </row>
    <row r="16" spans="1:14">
      <c r="A16" s="78">
        <v>13492</v>
      </c>
      <c r="B16" s="61" t="s">
        <v>79</v>
      </c>
      <c r="C16" s="61" t="s">
        <v>75</v>
      </c>
      <c r="D16" s="61" t="s">
        <v>80</v>
      </c>
      <c r="E16" s="61" t="s">
        <v>1</v>
      </c>
      <c r="F16" s="61">
        <v>1</v>
      </c>
      <c r="G16" s="66">
        <v>1.9192517</v>
      </c>
      <c r="H16" s="63">
        <v>79.357703812899999</v>
      </c>
      <c r="I16" s="65">
        <f t="shared" si="0"/>
        <v>24.184818962567007</v>
      </c>
      <c r="J16" s="65"/>
      <c r="K16" s="61">
        <v>2.3153990000000002</v>
      </c>
      <c r="L16" s="63">
        <v>1.0089540707</v>
      </c>
      <c r="M16" s="101">
        <f t="shared" si="1"/>
        <v>80.366657883599999</v>
      </c>
    </row>
    <row r="17" spans="1:14">
      <c r="A17" s="78">
        <v>13532</v>
      </c>
      <c r="B17" s="61" t="s">
        <v>43</v>
      </c>
      <c r="C17" s="61" t="s">
        <v>22</v>
      </c>
      <c r="D17" s="61" t="s">
        <v>44</v>
      </c>
      <c r="E17" s="61" t="s">
        <v>1</v>
      </c>
      <c r="F17" s="61">
        <v>1</v>
      </c>
      <c r="G17" s="66">
        <v>1.5167522</v>
      </c>
      <c r="H17" s="63">
        <v>77.070942857709994</v>
      </c>
      <c r="I17" s="65">
        <f t="shared" si="0"/>
        <v>19.679948677937677</v>
      </c>
      <c r="J17" s="65"/>
      <c r="K17" s="61">
        <v>1.9003220999999999</v>
      </c>
      <c r="L17" s="63">
        <v>1.0000909482</v>
      </c>
      <c r="M17" s="101">
        <f t="shared" si="1"/>
        <v>78.071033805909991</v>
      </c>
    </row>
    <row r="18" spans="1:14">
      <c r="A18" s="78">
        <v>13598</v>
      </c>
      <c r="B18" s="61" t="s">
        <v>81</v>
      </c>
      <c r="C18" s="61" t="s">
        <v>75</v>
      </c>
      <c r="D18" s="61" t="s">
        <v>82</v>
      </c>
      <c r="E18" s="61" t="s">
        <v>1</v>
      </c>
      <c r="F18" s="61">
        <v>1</v>
      </c>
      <c r="G18" s="66">
        <v>2.1136887999999998</v>
      </c>
      <c r="H18" s="63">
        <v>57.351666661800003</v>
      </c>
      <c r="I18" s="65">
        <f t="shared" si="0"/>
        <v>36.854880128668626</v>
      </c>
      <c r="J18" s="65"/>
      <c r="K18" s="61">
        <v>2.4231058000000001</v>
      </c>
      <c r="L18" s="63">
        <v>2.0070345670999998</v>
      </c>
      <c r="M18" s="101">
        <f t="shared" si="1"/>
        <v>59.358701228900003</v>
      </c>
    </row>
    <row r="19" spans="1:14">
      <c r="A19" s="78">
        <v>14863</v>
      </c>
      <c r="B19" s="61" t="s">
        <v>83</v>
      </c>
      <c r="C19" s="61" t="s">
        <v>22</v>
      </c>
      <c r="D19" s="61" t="s">
        <v>83</v>
      </c>
      <c r="E19" s="61" t="s">
        <v>1</v>
      </c>
      <c r="F19" s="61">
        <v>1</v>
      </c>
      <c r="G19" s="66">
        <v>0.15973424999999999</v>
      </c>
      <c r="H19" s="63">
        <v>1.5173103058000001</v>
      </c>
      <c r="I19" s="65">
        <f t="shared" si="0"/>
        <v>105.27460954387988</v>
      </c>
      <c r="J19" s="65"/>
      <c r="K19" s="61">
        <v>0.17059246</v>
      </c>
      <c r="L19" s="63">
        <v>0.25557595389999999</v>
      </c>
      <c r="M19" s="101">
        <f t="shared" si="1"/>
        <v>1.7728862597000001</v>
      </c>
    </row>
    <row r="20" spans="1:14">
      <c r="A20" s="78">
        <v>15028</v>
      </c>
      <c r="B20" s="61" t="s">
        <v>84</v>
      </c>
      <c r="C20" s="61" t="s">
        <v>22</v>
      </c>
      <c r="D20" s="61" t="s">
        <v>84</v>
      </c>
      <c r="E20" s="61" t="s">
        <v>1</v>
      </c>
      <c r="F20" s="61">
        <v>1</v>
      </c>
      <c r="G20" s="66">
        <v>0.28371059999999998</v>
      </c>
      <c r="H20" s="63">
        <v>4.9637526903799998</v>
      </c>
      <c r="I20" s="65">
        <f t="shared" si="0"/>
        <v>57.156473679650738</v>
      </c>
      <c r="J20" s="65"/>
      <c r="K20" s="61">
        <v>0.31869152000000001</v>
      </c>
      <c r="L20" s="63">
        <v>0.42848880709999998</v>
      </c>
      <c r="M20" s="101">
        <f t="shared" si="1"/>
        <v>5.3922414974799997</v>
      </c>
    </row>
    <row r="21" spans="1:14">
      <c r="A21" s="78">
        <v>15688</v>
      </c>
      <c r="B21" s="61" t="s">
        <v>85</v>
      </c>
      <c r="C21" s="61" t="s">
        <v>22</v>
      </c>
      <c r="D21" s="61" t="s">
        <v>86</v>
      </c>
      <c r="E21" s="61" t="s">
        <v>1</v>
      </c>
      <c r="F21" s="61">
        <v>1</v>
      </c>
      <c r="G21" s="66">
        <v>1.9191216</v>
      </c>
      <c r="H21" s="63">
        <v>25.220541009999998</v>
      </c>
      <c r="I21" s="65">
        <f t="shared" si="0"/>
        <v>76.093593679812983</v>
      </c>
      <c r="J21" s="65"/>
      <c r="K21" s="61">
        <v>2.2139538000000001</v>
      </c>
      <c r="L21" s="63">
        <v>2.1640413726999999</v>
      </c>
      <c r="M21" s="101">
        <f t="shared" si="1"/>
        <v>27.384582382699996</v>
      </c>
    </row>
    <row r="22" spans="1:14">
      <c r="A22" s="78">
        <v>15998</v>
      </c>
      <c r="B22" s="61" t="s">
        <v>87</v>
      </c>
      <c r="C22" s="61" t="s">
        <v>22</v>
      </c>
      <c r="D22" s="61" t="s">
        <v>88</v>
      </c>
      <c r="E22" s="61" t="s">
        <v>1</v>
      </c>
      <c r="F22" s="61">
        <v>1</v>
      </c>
      <c r="G22" s="66">
        <v>9.2734680999999999E-2</v>
      </c>
      <c r="H22" s="63">
        <v>3.2791276421599997</v>
      </c>
      <c r="I22" s="65">
        <f t="shared" si="0"/>
        <v>28.280290101459602</v>
      </c>
      <c r="J22" s="65"/>
      <c r="K22" s="61">
        <v>0.10553827</v>
      </c>
      <c r="L22" s="63">
        <v>0.17320107600000001</v>
      </c>
      <c r="M22" s="101">
        <f t="shared" si="1"/>
        <v>3.4523287181599995</v>
      </c>
    </row>
    <row r="23" spans="1:14">
      <c r="A23" s="78">
        <v>16111</v>
      </c>
      <c r="B23" s="61" t="s">
        <v>89</v>
      </c>
      <c r="C23" s="61" t="s">
        <v>75</v>
      </c>
      <c r="D23" s="61" t="s">
        <v>90</v>
      </c>
      <c r="E23" s="61" t="s">
        <v>1</v>
      </c>
      <c r="F23" s="61">
        <v>1</v>
      </c>
      <c r="G23" s="66">
        <v>2.4385405000000002</v>
      </c>
      <c r="H23" s="63">
        <v>83.60239744319999</v>
      </c>
      <c r="I23" s="65">
        <f t="shared" si="0"/>
        <v>29.168308261216556</v>
      </c>
      <c r="J23" s="65"/>
      <c r="K23" s="61">
        <v>2.7275390000000002</v>
      </c>
      <c r="L23" s="63">
        <v>3.1167714769000003</v>
      </c>
      <c r="M23" s="101">
        <f t="shared" si="1"/>
        <v>86.719168920099989</v>
      </c>
    </row>
    <row r="24" spans="1:14">
      <c r="A24" s="78">
        <v>16201</v>
      </c>
      <c r="B24" s="61" t="s">
        <v>91</v>
      </c>
      <c r="C24" s="61" t="s">
        <v>58</v>
      </c>
      <c r="D24" s="61" t="s">
        <v>92</v>
      </c>
      <c r="E24" s="61" t="s">
        <v>1</v>
      </c>
      <c r="F24" s="61">
        <v>1</v>
      </c>
      <c r="G24" s="66">
        <v>3.0655740999999999E-4</v>
      </c>
      <c r="H24" s="63">
        <v>5.24675681922E-3</v>
      </c>
      <c r="I24" s="65">
        <f t="shared" si="0"/>
        <v>58.427981429788048</v>
      </c>
      <c r="J24" s="65"/>
      <c r="K24" s="61">
        <v>3.3307439E-4</v>
      </c>
      <c r="L24" s="63">
        <v>5.5172447051000007E-4</v>
      </c>
      <c r="M24" s="101">
        <f t="shared" si="1"/>
        <v>5.7984812897299998E-3</v>
      </c>
    </row>
    <row r="25" spans="1:14">
      <c r="A25" s="78">
        <v>19516</v>
      </c>
      <c r="B25" s="61" t="s">
        <v>98</v>
      </c>
      <c r="C25" s="61" t="s">
        <v>75</v>
      </c>
      <c r="D25" s="61" t="s">
        <v>99</v>
      </c>
      <c r="E25" s="61" t="s">
        <v>1</v>
      </c>
      <c r="F25" s="61">
        <v>1</v>
      </c>
      <c r="G25" s="66">
        <v>2.5227368999999999</v>
      </c>
      <c r="H25" s="63">
        <v>42.345437278200002</v>
      </c>
      <c r="I25" s="65">
        <f t="shared" si="0"/>
        <v>59.575176504287484</v>
      </c>
      <c r="J25" s="65"/>
      <c r="K25" s="61">
        <v>2.7140713999999999</v>
      </c>
      <c r="L25" s="63">
        <v>5.6209014682199996</v>
      </c>
      <c r="M25" s="101">
        <f t="shared" si="1"/>
        <v>47.96633874642</v>
      </c>
    </row>
    <row r="26" spans="1:14">
      <c r="A26" s="93">
        <v>981</v>
      </c>
      <c r="B26" s="87" t="s">
        <v>121</v>
      </c>
      <c r="C26" s="87" t="s">
        <v>75</v>
      </c>
      <c r="D26" s="87" t="s">
        <v>122</v>
      </c>
      <c r="E26" s="87" t="s">
        <v>1</v>
      </c>
      <c r="F26" s="87">
        <v>1</v>
      </c>
      <c r="G26" s="88">
        <v>7.0482569000000002</v>
      </c>
      <c r="H26" s="97">
        <v>114.566604899</v>
      </c>
      <c r="I26" s="98">
        <f t="shared" si="0"/>
        <v>61.521041897101036</v>
      </c>
      <c r="J26" s="98"/>
      <c r="K26" s="87">
        <v>8.1666348000000006</v>
      </c>
      <c r="L26" s="97">
        <v>14.109314219000002</v>
      </c>
      <c r="M26" s="102">
        <f t="shared" si="1"/>
        <v>128.675919118</v>
      </c>
    </row>
    <row r="27" spans="1:14">
      <c r="A27" s="87">
        <v>7137</v>
      </c>
      <c r="B27" s="87" t="s">
        <v>162</v>
      </c>
      <c r="C27" s="87" t="s">
        <v>58</v>
      </c>
      <c r="D27" s="87" t="s">
        <v>162</v>
      </c>
      <c r="E27" s="87" t="s">
        <v>1</v>
      </c>
      <c r="F27" s="87">
        <v>1</v>
      </c>
      <c r="G27" s="88">
        <v>0.96734295999999997</v>
      </c>
      <c r="H27" s="124">
        <v>14.297489357960002</v>
      </c>
      <c r="I27" s="98">
        <f t="shared" si="0"/>
        <v>67.658239553886446</v>
      </c>
      <c r="J27" s="125"/>
      <c r="K27" s="87">
        <v>1.0782862</v>
      </c>
      <c r="L27" s="124">
        <v>1.5466468638599999</v>
      </c>
      <c r="M27" s="124">
        <f t="shared" si="1"/>
        <v>15.844136221820001</v>
      </c>
    </row>
    <row r="28" spans="1:14">
      <c r="A28" s="93">
        <v>11311</v>
      </c>
      <c r="B28" s="87" t="s">
        <v>123</v>
      </c>
      <c r="C28" s="87" t="s">
        <v>22</v>
      </c>
      <c r="D28" s="87" t="s">
        <v>124</v>
      </c>
      <c r="E28" s="87" t="s">
        <v>1</v>
      </c>
      <c r="F28" s="87">
        <v>1</v>
      </c>
      <c r="G28" s="88">
        <v>1.0636346999999999</v>
      </c>
      <c r="H28" s="97">
        <v>65.306285732039996</v>
      </c>
      <c r="I28" s="98">
        <f t="shared" si="0"/>
        <v>16.286865622158157</v>
      </c>
      <c r="J28" s="98"/>
      <c r="K28" s="87">
        <v>1.1874221</v>
      </c>
      <c r="L28" s="97">
        <v>1.2838169516000002</v>
      </c>
      <c r="M28" s="102">
        <f t="shared" si="1"/>
        <v>66.590102683639998</v>
      </c>
    </row>
    <row r="29" spans="1:14">
      <c r="A29" s="93">
        <v>11683</v>
      </c>
      <c r="B29" s="87" t="s">
        <v>125</v>
      </c>
      <c r="C29" s="87" t="s">
        <v>75</v>
      </c>
      <c r="D29" s="87" t="s">
        <v>126</v>
      </c>
      <c r="E29" s="87" t="s">
        <v>1</v>
      </c>
      <c r="F29" s="87">
        <v>1</v>
      </c>
      <c r="G29" s="88">
        <v>3.4644523</v>
      </c>
      <c r="H29" s="97">
        <v>45.984214337400005</v>
      </c>
      <c r="I29" s="98">
        <f t="shared" si="0"/>
        <v>75.340034616668063</v>
      </c>
      <c r="J29" s="98"/>
      <c r="K29" s="87">
        <v>4.0603889000000004</v>
      </c>
      <c r="L29" s="97">
        <v>4.4887809690000005</v>
      </c>
      <c r="M29" s="102">
        <f t="shared" si="1"/>
        <v>50.472995306400009</v>
      </c>
    </row>
    <row r="30" spans="1:14">
      <c r="A30" s="93">
        <v>11694</v>
      </c>
      <c r="B30" s="87" t="s">
        <v>51</v>
      </c>
      <c r="C30" s="87" t="s">
        <v>22</v>
      </c>
      <c r="D30" s="87" t="s">
        <v>51</v>
      </c>
      <c r="E30" s="87" t="s">
        <v>1</v>
      </c>
      <c r="F30" s="87">
        <v>1</v>
      </c>
      <c r="G30" s="88">
        <v>1.4794537000000001</v>
      </c>
      <c r="H30" s="97">
        <v>25.190272374900001</v>
      </c>
      <c r="I30" s="98">
        <f t="shared" si="0"/>
        <v>58.731151373899074</v>
      </c>
      <c r="J30" s="98"/>
      <c r="K30" s="87">
        <v>1.6605251999999999</v>
      </c>
      <c r="L30" s="97">
        <v>2.8583432789999996</v>
      </c>
      <c r="M30" s="102">
        <f t="shared" si="1"/>
        <v>28.048615653900001</v>
      </c>
    </row>
    <row r="31" spans="1:14" ht="14.7" thickBot="1">
      <c r="A31" s="108">
        <v>13590</v>
      </c>
      <c r="B31" s="89" t="s">
        <v>127</v>
      </c>
      <c r="C31" s="89" t="s">
        <v>58</v>
      </c>
      <c r="D31" s="89" t="s">
        <v>128</v>
      </c>
      <c r="E31" s="89" t="s">
        <v>1</v>
      </c>
      <c r="F31" s="89">
        <v>1</v>
      </c>
      <c r="G31" s="90">
        <v>4.9718327999999996</v>
      </c>
      <c r="H31" s="109">
        <v>121.66776029899999</v>
      </c>
      <c r="I31" s="110">
        <f t="shared" si="0"/>
        <v>40.864011861331711</v>
      </c>
      <c r="J31" s="110"/>
      <c r="K31" s="89">
        <v>6.4054308000000004</v>
      </c>
      <c r="L31" s="109">
        <v>5.6740800822999988</v>
      </c>
      <c r="M31" s="111">
        <f t="shared" si="1"/>
        <v>127.34184038129999</v>
      </c>
      <c r="N31" t="s">
        <v>114</v>
      </c>
    </row>
    <row r="32" spans="1:14">
      <c r="A32" s="72">
        <v>16525</v>
      </c>
      <c r="B32" s="73" t="s">
        <v>93</v>
      </c>
      <c r="C32" s="73" t="s">
        <v>22</v>
      </c>
      <c r="D32" s="73" t="s">
        <v>94</v>
      </c>
      <c r="E32" s="73" t="s">
        <v>46</v>
      </c>
      <c r="F32" s="73">
        <v>1</v>
      </c>
      <c r="G32" s="74">
        <v>4.1812312999999997E-2</v>
      </c>
      <c r="H32" s="75">
        <v>0.70222190420999997</v>
      </c>
      <c r="I32" s="76">
        <f t="shared" si="0"/>
        <v>59.542877756054722</v>
      </c>
      <c r="J32" s="76"/>
      <c r="K32" s="73">
        <v>4.4801749000000002E-2</v>
      </c>
      <c r="L32" s="75">
        <v>6.9494111982000006E-2</v>
      </c>
      <c r="M32" s="77">
        <f t="shared" si="1"/>
        <v>0.77171601619200003</v>
      </c>
    </row>
    <row r="33" spans="1:14">
      <c r="A33" s="80">
        <v>16629</v>
      </c>
      <c r="B33" s="61" t="s">
        <v>95</v>
      </c>
      <c r="C33" s="61" t="s">
        <v>58</v>
      </c>
      <c r="D33" s="61" t="s">
        <v>96</v>
      </c>
      <c r="E33" s="61" t="s">
        <v>46</v>
      </c>
      <c r="F33" s="61">
        <v>1</v>
      </c>
      <c r="G33" s="66">
        <v>0.16557683000000001</v>
      </c>
      <c r="H33" s="62">
        <v>2.71316117779</v>
      </c>
      <c r="I33" s="64">
        <f t="shared" si="0"/>
        <v>61.027273777693622</v>
      </c>
      <c r="J33" s="64"/>
      <c r="K33" s="61">
        <v>0.17185733</v>
      </c>
      <c r="L33" s="62">
        <v>2.943124489E-2</v>
      </c>
      <c r="M33" s="79">
        <f t="shared" si="1"/>
        <v>2.74259242268</v>
      </c>
    </row>
    <row r="34" spans="1:14" ht="14.7" thickBot="1">
      <c r="A34" s="86">
        <v>16822</v>
      </c>
      <c r="B34" s="81" t="s">
        <v>97</v>
      </c>
      <c r="C34" s="81" t="s">
        <v>75</v>
      </c>
      <c r="D34" s="81" t="s">
        <v>97</v>
      </c>
      <c r="E34" s="81" t="s">
        <v>46</v>
      </c>
      <c r="F34" s="81">
        <v>1</v>
      </c>
      <c r="G34" s="82">
        <v>9.0969941999999998E-3</v>
      </c>
      <c r="H34" s="83">
        <v>0.12785665997949999</v>
      </c>
      <c r="I34" s="84">
        <f t="shared" si="0"/>
        <v>71.149944019017653</v>
      </c>
      <c r="J34" s="84"/>
      <c r="K34" s="81">
        <v>9.4049823999999994E-3</v>
      </c>
      <c r="L34" s="83">
        <v>8.1268679730000007E-4</v>
      </c>
      <c r="M34" s="85">
        <f t="shared" si="1"/>
        <v>0.1286693467768</v>
      </c>
      <c r="N34" t="s">
        <v>5</v>
      </c>
    </row>
    <row r="35" spans="1:14">
      <c r="A35" s="72">
        <v>17771</v>
      </c>
      <c r="B35" s="73" t="s">
        <v>106</v>
      </c>
      <c r="C35" s="73" t="s">
        <v>48</v>
      </c>
      <c r="D35" s="73" t="s">
        <v>107</v>
      </c>
      <c r="E35" s="73" t="s">
        <v>1</v>
      </c>
      <c r="F35" s="73">
        <v>-1</v>
      </c>
      <c r="G35" s="74">
        <v>1.1106366999999999</v>
      </c>
      <c r="H35" s="75">
        <v>1.8340468626799999</v>
      </c>
      <c r="I35" s="76">
        <f t="shared" si="0"/>
        <v>605.5661513343681</v>
      </c>
      <c r="J35" s="76"/>
      <c r="K35" s="73">
        <v>1.1236763000000001</v>
      </c>
      <c r="L35" s="75">
        <v>0.185180926558</v>
      </c>
      <c r="M35" s="77">
        <f t="shared" si="1"/>
        <v>2.0192277892380002</v>
      </c>
    </row>
    <row r="36" spans="1:14">
      <c r="A36" s="78">
        <v>17853</v>
      </c>
      <c r="B36" s="61" t="s">
        <v>108</v>
      </c>
      <c r="C36" s="61" t="s">
        <v>48</v>
      </c>
      <c r="D36" s="61" t="s">
        <v>109</v>
      </c>
      <c r="E36" s="61" t="s">
        <v>1</v>
      </c>
      <c r="F36" s="61">
        <v>-1</v>
      </c>
      <c r="G36" s="66">
        <v>1.1153418999999999E-2</v>
      </c>
      <c r="H36" s="63">
        <v>0.27058355710500004</v>
      </c>
      <c r="I36" s="65">
        <f t="shared" si="0"/>
        <v>41.219869822584648</v>
      </c>
      <c r="J36" s="65"/>
      <c r="K36" s="61">
        <v>1.3427409E-2</v>
      </c>
      <c r="L36" s="63">
        <v>7.0785740639999995E-3</v>
      </c>
      <c r="M36" s="101">
        <f t="shared" si="1"/>
        <v>0.27766213116900001</v>
      </c>
    </row>
    <row r="37" spans="1:14">
      <c r="A37" s="78">
        <v>18250</v>
      </c>
      <c r="B37" s="61" t="s">
        <v>110</v>
      </c>
      <c r="C37" s="61" t="s">
        <v>48</v>
      </c>
      <c r="D37" s="61" t="s">
        <v>111</v>
      </c>
      <c r="E37" s="61" t="s">
        <v>1</v>
      </c>
      <c r="F37" s="61">
        <v>-1</v>
      </c>
      <c r="G37" s="66">
        <v>2.3345750999999999</v>
      </c>
      <c r="H37" s="63">
        <v>0.48331973484699997</v>
      </c>
      <c r="I37" s="65">
        <f t="shared" si="0"/>
        <v>4830.291278586079</v>
      </c>
      <c r="J37" s="65"/>
      <c r="K37" s="61">
        <v>2.3458359</v>
      </c>
      <c r="L37" s="63">
        <v>4.1879640986E-2</v>
      </c>
      <c r="M37" s="101">
        <f t="shared" si="1"/>
        <v>0.52519937583300003</v>
      </c>
    </row>
    <row r="38" spans="1:14">
      <c r="A38" s="78">
        <v>19537</v>
      </c>
      <c r="B38" s="61" t="s">
        <v>112</v>
      </c>
      <c r="C38" s="61" t="s">
        <v>48</v>
      </c>
      <c r="D38" s="61" t="s">
        <v>113</v>
      </c>
      <c r="E38" s="61" t="s">
        <v>1</v>
      </c>
      <c r="F38" s="61">
        <v>-1</v>
      </c>
      <c r="G38" s="66">
        <v>0.22211976</v>
      </c>
      <c r="H38" s="63">
        <v>1.6770813573099999</v>
      </c>
      <c r="I38" s="65">
        <f t="shared" si="0"/>
        <v>132.4442365493079</v>
      </c>
      <c r="J38" s="65"/>
      <c r="K38" s="61">
        <v>0.23252513</v>
      </c>
      <c r="L38" s="63">
        <v>0.17878616907999997</v>
      </c>
      <c r="M38" s="101">
        <f t="shared" si="1"/>
        <v>1.8558675263899997</v>
      </c>
    </row>
    <row r="39" spans="1:14">
      <c r="A39" s="78">
        <v>493</v>
      </c>
      <c r="B39" s="61" t="s">
        <v>119</v>
      </c>
      <c r="C39" s="61" t="s">
        <v>58</v>
      </c>
      <c r="D39" s="61" t="s">
        <v>120</v>
      </c>
      <c r="E39" s="61" t="s">
        <v>1</v>
      </c>
      <c r="F39" s="61">
        <v>1</v>
      </c>
      <c r="G39" s="66">
        <v>0.72918764999999997</v>
      </c>
      <c r="H39" s="63">
        <v>9.0213324453000006</v>
      </c>
      <c r="I39" s="65">
        <f t="shared" si="0"/>
        <v>80.829262686123215</v>
      </c>
      <c r="J39" s="65"/>
      <c r="K39" s="61">
        <v>0.79992189999999996</v>
      </c>
      <c r="L39" s="63">
        <v>1.2981547721900002</v>
      </c>
      <c r="M39" s="101">
        <f t="shared" si="1"/>
        <v>10.31948721749</v>
      </c>
    </row>
    <row r="40" spans="1:14">
      <c r="A40" s="93">
        <v>9875</v>
      </c>
      <c r="B40" s="87" t="s">
        <v>129</v>
      </c>
      <c r="C40" s="87" t="s">
        <v>58</v>
      </c>
      <c r="D40" s="87" t="s">
        <v>130</v>
      </c>
      <c r="E40" s="87" t="s">
        <v>1</v>
      </c>
      <c r="F40" s="87">
        <v>1</v>
      </c>
      <c r="G40" s="88">
        <v>5.1301316999999999E-2</v>
      </c>
      <c r="H40" s="97">
        <v>0.7290009167</v>
      </c>
      <c r="I40" s="98">
        <f t="shared" si="0"/>
        <v>70.372088463520583</v>
      </c>
      <c r="J40" s="98"/>
      <c r="K40" s="87">
        <v>8.9742350999999998E-2</v>
      </c>
      <c r="L40" s="97">
        <v>3.3602191652999998E-2</v>
      </c>
      <c r="M40" s="102">
        <f t="shared" si="1"/>
        <v>0.76260310835300005</v>
      </c>
    </row>
    <row r="41" spans="1:14">
      <c r="A41" s="93">
        <v>17851</v>
      </c>
      <c r="B41" s="87" t="s">
        <v>131</v>
      </c>
      <c r="C41" s="87" t="s">
        <v>48</v>
      </c>
      <c r="D41" s="87" t="s">
        <v>109</v>
      </c>
      <c r="E41" s="87" t="s">
        <v>1</v>
      </c>
      <c r="F41" s="87">
        <v>-1</v>
      </c>
      <c r="G41" s="88">
        <v>3.9807189999999998E-3</v>
      </c>
      <c r="H41" s="97">
        <v>0.1458860790314</v>
      </c>
      <c r="I41" s="98">
        <f t="shared" si="0"/>
        <v>27.286489748917056</v>
      </c>
      <c r="J41" s="98"/>
      <c r="K41" s="87">
        <v>4.2370220999999996E-3</v>
      </c>
      <c r="L41" s="97">
        <v>2.7956913818999998E-3</v>
      </c>
      <c r="M41" s="102">
        <f t="shared" si="1"/>
        <v>0.1486817704133</v>
      </c>
    </row>
    <row r="42" spans="1:14">
      <c r="A42" s="93">
        <v>17961</v>
      </c>
      <c r="B42" s="87" t="s">
        <v>132</v>
      </c>
      <c r="C42" s="87" t="s">
        <v>48</v>
      </c>
      <c r="D42" s="87" t="s">
        <v>133</v>
      </c>
      <c r="E42" s="87" t="s">
        <v>1</v>
      </c>
      <c r="F42" s="87">
        <v>-1</v>
      </c>
      <c r="G42" s="88">
        <v>2.8409762999999999</v>
      </c>
      <c r="H42" s="97">
        <v>0.24716554803299998</v>
      </c>
      <c r="I42" s="98">
        <f t="shared" si="0"/>
        <v>11494.224509075555</v>
      </c>
      <c r="J42" s="98"/>
      <c r="K42" s="87">
        <v>2.8430456</v>
      </c>
      <c r="L42" s="97">
        <v>1.3825208508999999E-2</v>
      </c>
      <c r="M42" s="102">
        <f t="shared" si="1"/>
        <v>0.26099075654199999</v>
      </c>
    </row>
    <row r="43" spans="1:14">
      <c r="A43" s="93">
        <v>18257</v>
      </c>
      <c r="B43" s="87" t="s">
        <v>134</v>
      </c>
      <c r="C43" s="87" t="s">
        <v>48</v>
      </c>
      <c r="D43" s="87" t="s">
        <v>111</v>
      </c>
      <c r="E43" s="87" t="s">
        <v>1</v>
      </c>
      <c r="F43" s="87">
        <v>-1</v>
      </c>
      <c r="G43" s="88">
        <v>2.4003382E-2</v>
      </c>
      <c r="H43" s="97">
        <v>0.23960025287510001</v>
      </c>
      <c r="I43" s="98">
        <f t="shared" si="0"/>
        <v>100.18095436866086</v>
      </c>
      <c r="J43" s="98"/>
      <c r="K43" s="87">
        <v>9.6838257999999997E-2</v>
      </c>
      <c r="L43" s="97">
        <v>1.1725443646E-2</v>
      </c>
      <c r="M43" s="102">
        <f t="shared" si="1"/>
        <v>0.25132569652109998</v>
      </c>
    </row>
    <row r="44" spans="1:14" ht="14.7" thickBot="1">
      <c r="A44" s="108">
        <v>18621</v>
      </c>
      <c r="B44" s="89" t="s">
        <v>135</v>
      </c>
      <c r="C44" s="89" t="s">
        <v>58</v>
      </c>
      <c r="D44" s="89" t="s">
        <v>136</v>
      </c>
      <c r="E44" s="89" t="s">
        <v>1</v>
      </c>
      <c r="F44" s="89">
        <v>-1</v>
      </c>
      <c r="G44" s="90">
        <v>0.47093748000000002</v>
      </c>
      <c r="H44" s="109">
        <v>0.67096498463999998</v>
      </c>
      <c r="I44" s="110">
        <f t="shared" si="0"/>
        <v>701.88085933079969</v>
      </c>
      <c r="J44" s="110"/>
      <c r="K44" s="89">
        <v>0.62918377000000003</v>
      </c>
      <c r="L44" s="109">
        <v>1.1346230633E-2</v>
      </c>
      <c r="M44" s="111">
        <f t="shared" si="1"/>
        <v>0.68231121527299998</v>
      </c>
      <c r="N44" t="s">
        <v>116</v>
      </c>
    </row>
    <row r="45" spans="1:14">
      <c r="A45" s="72">
        <v>13041</v>
      </c>
      <c r="B45" s="73" t="s">
        <v>117</v>
      </c>
      <c r="C45" s="73" t="s">
        <v>47</v>
      </c>
      <c r="D45" s="73" t="s">
        <v>118</v>
      </c>
      <c r="E45" s="73" t="s">
        <v>1</v>
      </c>
      <c r="F45" s="73">
        <v>1</v>
      </c>
      <c r="G45" s="74">
        <v>0.58292348000000005</v>
      </c>
      <c r="H45" s="75">
        <v>54.400731220600001</v>
      </c>
      <c r="I45" s="76">
        <f t="shared" si="0"/>
        <v>10.715361115941464</v>
      </c>
      <c r="J45" s="76"/>
      <c r="K45" s="73">
        <v>0.63547922999999995</v>
      </c>
      <c r="L45" s="75">
        <v>0.17935146120000001</v>
      </c>
      <c r="M45" s="77">
        <f t="shared" si="1"/>
        <v>54.5800826818</v>
      </c>
      <c r="N45" t="s">
        <v>159</v>
      </c>
    </row>
    <row r="46" spans="1:14">
      <c r="A46" s="78">
        <v>6705</v>
      </c>
      <c r="B46" s="61" t="s">
        <v>103</v>
      </c>
      <c r="C46" s="61" t="s">
        <v>104</v>
      </c>
      <c r="D46" s="61" t="s">
        <v>105</v>
      </c>
      <c r="E46" s="61" t="s">
        <v>2</v>
      </c>
      <c r="F46" s="61">
        <v>1</v>
      </c>
      <c r="G46" s="66">
        <v>0.40013556</v>
      </c>
      <c r="H46" s="63">
        <v>9.0683380483600011</v>
      </c>
      <c r="I46" s="65">
        <f t="shared" si="0"/>
        <v>44.124464468146293</v>
      </c>
      <c r="J46" s="65"/>
      <c r="K46" s="61">
        <v>0.42848921000000001</v>
      </c>
      <c r="L46" s="63">
        <v>1.272223605867</v>
      </c>
      <c r="M46" s="101">
        <f t="shared" si="1"/>
        <v>10.340561654227001</v>
      </c>
    </row>
    <row r="47" spans="1:14">
      <c r="A47" s="94">
        <v>4964</v>
      </c>
      <c r="B47" s="91" t="s">
        <v>137</v>
      </c>
      <c r="C47" s="91" t="s">
        <v>58</v>
      </c>
      <c r="D47" s="91" t="s">
        <v>138</v>
      </c>
      <c r="E47" s="91" t="s">
        <v>2</v>
      </c>
      <c r="F47" s="91">
        <v>1</v>
      </c>
      <c r="G47" s="92">
        <v>1.2823340000000001E-2</v>
      </c>
      <c r="H47" s="99">
        <v>0.195062311515</v>
      </c>
      <c r="I47" s="100">
        <f t="shared" si="0"/>
        <v>65.739711071833085</v>
      </c>
      <c r="J47" s="100"/>
      <c r="K47" s="91">
        <v>1.4481565E-2</v>
      </c>
      <c r="L47" s="99">
        <v>3.8837257247749002</v>
      </c>
      <c r="M47" s="103">
        <f t="shared" si="1"/>
        <v>4.0787880362899003</v>
      </c>
    </row>
    <row r="48" spans="1:14" ht="14.7" thickBot="1">
      <c r="A48" s="104">
        <v>6311</v>
      </c>
      <c r="B48" s="95" t="s">
        <v>139</v>
      </c>
      <c r="C48" s="95" t="s">
        <v>58</v>
      </c>
      <c r="D48" s="95" t="s">
        <v>45</v>
      </c>
      <c r="E48" s="95" t="s">
        <v>2</v>
      </c>
      <c r="F48" s="95">
        <v>1</v>
      </c>
      <c r="G48" s="96">
        <v>6.8347837999999994E-2</v>
      </c>
      <c r="H48" s="105">
        <v>1.0261752851700001</v>
      </c>
      <c r="I48" s="106">
        <f t="shared" si="0"/>
        <v>66.604447590722515</v>
      </c>
      <c r="J48" s="106"/>
      <c r="K48" s="95">
        <v>7.8110456999999994E-2</v>
      </c>
      <c r="L48" s="105">
        <v>4.0230495175999996</v>
      </c>
      <c r="M48" s="107">
        <f t="shared" si="1"/>
        <v>5.0492248027699995</v>
      </c>
    </row>
    <row r="49" spans="1:13" ht="14.7" thickBot="1">
      <c r="A49" s="190">
        <v>4946</v>
      </c>
      <c r="B49" s="191" t="s">
        <v>247</v>
      </c>
      <c r="C49" s="191" t="s">
        <v>58</v>
      </c>
      <c r="D49" s="191" t="s">
        <v>138</v>
      </c>
      <c r="E49" s="191" t="s">
        <v>2</v>
      </c>
      <c r="F49" s="191">
        <v>1</v>
      </c>
      <c r="G49" s="192">
        <v>0.99176280000000006</v>
      </c>
      <c r="H49" s="193">
        <v>10.33904117732</v>
      </c>
      <c r="I49" s="194">
        <v>95.924059396876928</v>
      </c>
      <c r="J49" s="194"/>
      <c r="K49" s="191">
        <v>1.0089832999999999</v>
      </c>
      <c r="L49" s="193">
        <v>0.101282416966</v>
      </c>
      <c r="M49" s="195">
        <v>10.440323594286001</v>
      </c>
    </row>
  </sheetData>
  <conditionalFormatting sqref="E5:E6 E12 E16:E17">
    <cfRule type="containsText" dxfId="45" priority="51" operator="containsText" text="unit">
      <formula>NOT(ISERROR(SEARCH("unit",E5)))</formula>
    </cfRule>
  </conditionalFormatting>
  <conditionalFormatting sqref="E1:E2">
    <cfRule type="containsText" dxfId="44" priority="50" operator="containsText" text="unit">
      <formula>NOT(ISERROR(SEARCH("unit",E1)))</formula>
    </cfRule>
  </conditionalFormatting>
  <conditionalFormatting sqref="E7">
    <cfRule type="containsText" dxfId="43" priority="36" operator="containsText" text="unit">
      <formula>NOT(ISERROR(SEARCH("unit",E7)))</formula>
    </cfRule>
  </conditionalFormatting>
  <conditionalFormatting sqref="E18">
    <cfRule type="containsText" dxfId="42" priority="28" operator="containsText" text="unit">
      <formula>NOT(ISERROR(SEARCH("unit",E18)))</formula>
    </cfRule>
  </conditionalFormatting>
  <conditionalFormatting sqref="E8">
    <cfRule type="containsText" dxfId="41" priority="35" operator="containsText" text="unit">
      <formula>NOT(ISERROR(SEARCH("unit",E8)))</formula>
    </cfRule>
  </conditionalFormatting>
  <conditionalFormatting sqref="E9">
    <cfRule type="containsText" dxfId="40" priority="34" operator="containsText" text="unit">
      <formula>NOT(ISERROR(SEARCH("unit",E9)))</formula>
    </cfRule>
  </conditionalFormatting>
  <conditionalFormatting sqref="E10">
    <cfRule type="containsText" dxfId="39" priority="33" operator="containsText" text="unit">
      <formula>NOT(ISERROR(SEARCH("unit",E10)))</formula>
    </cfRule>
  </conditionalFormatting>
  <conditionalFormatting sqref="E11">
    <cfRule type="containsText" dxfId="38" priority="32" operator="containsText" text="unit">
      <formula>NOT(ISERROR(SEARCH("unit",E11)))</formula>
    </cfRule>
  </conditionalFormatting>
  <conditionalFormatting sqref="E13">
    <cfRule type="containsText" dxfId="37" priority="31" operator="containsText" text="unit">
      <formula>NOT(ISERROR(SEARCH("unit",E13)))</formula>
    </cfRule>
  </conditionalFormatting>
  <conditionalFormatting sqref="E14">
    <cfRule type="containsText" dxfId="36" priority="30" operator="containsText" text="unit">
      <formula>NOT(ISERROR(SEARCH("unit",E14)))</formula>
    </cfRule>
  </conditionalFormatting>
  <conditionalFormatting sqref="E15">
    <cfRule type="containsText" dxfId="35" priority="29" operator="containsText" text="unit">
      <formula>NOT(ISERROR(SEARCH("unit",E15)))</formula>
    </cfRule>
  </conditionalFormatting>
  <conditionalFormatting sqref="E19 E35:E38 E42">
    <cfRule type="containsText" dxfId="34" priority="27" operator="containsText" text="unit">
      <formula>NOT(ISERROR(SEARCH("unit",E19)))</formula>
    </cfRule>
  </conditionalFormatting>
  <conditionalFormatting sqref="E20">
    <cfRule type="containsText" dxfId="33" priority="26" operator="containsText" text="unit">
      <formula>NOT(ISERROR(SEARCH("unit",E20)))</formula>
    </cfRule>
  </conditionalFormatting>
  <conditionalFormatting sqref="E21">
    <cfRule type="containsText" dxfId="32" priority="25" operator="containsText" text="unit">
      <formula>NOT(ISERROR(SEARCH("unit",E21)))</formula>
    </cfRule>
  </conditionalFormatting>
  <conditionalFormatting sqref="E22">
    <cfRule type="containsText" dxfId="31" priority="24" operator="containsText" text="unit">
      <formula>NOT(ISERROR(SEARCH("unit",E22)))</formula>
    </cfRule>
  </conditionalFormatting>
  <conditionalFormatting sqref="E23">
    <cfRule type="containsText" dxfId="30" priority="23" operator="containsText" text="unit">
      <formula>NOT(ISERROR(SEARCH("unit",E23)))</formula>
    </cfRule>
  </conditionalFormatting>
  <conditionalFormatting sqref="E24">
    <cfRule type="containsText" dxfId="29" priority="22" operator="containsText" text="unit">
      <formula>NOT(ISERROR(SEARCH("unit",E24)))</formula>
    </cfRule>
  </conditionalFormatting>
  <conditionalFormatting sqref="E32">
    <cfRule type="containsText" dxfId="28" priority="21" operator="containsText" text="unit">
      <formula>NOT(ISERROR(SEARCH("unit",E32)))</formula>
    </cfRule>
  </conditionalFormatting>
  <conditionalFormatting sqref="E33">
    <cfRule type="containsText" dxfId="27" priority="20" operator="containsText" text="unit">
      <formula>NOT(ISERROR(SEARCH("unit",E33)))</formula>
    </cfRule>
  </conditionalFormatting>
  <conditionalFormatting sqref="E34">
    <cfRule type="containsText" dxfId="26" priority="19" operator="containsText" text="unit">
      <formula>NOT(ISERROR(SEARCH("unit",E34)))</formula>
    </cfRule>
  </conditionalFormatting>
  <conditionalFormatting sqref="E25">
    <cfRule type="containsText" dxfId="25" priority="18" operator="containsText" text="unit">
      <formula>NOT(ISERROR(SEARCH("unit",E25)))</formula>
    </cfRule>
  </conditionalFormatting>
  <conditionalFormatting sqref="E46">
    <cfRule type="containsText" dxfId="24" priority="17" operator="containsText" text="unit">
      <formula>NOT(ISERROR(SEARCH("unit",E46)))</formula>
    </cfRule>
  </conditionalFormatting>
  <conditionalFormatting sqref="E45">
    <cfRule type="containsText" dxfId="23" priority="16" operator="containsText" text="unit">
      <formula>NOT(ISERROR(SEARCH("unit",E45)))</formula>
    </cfRule>
  </conditionalFormatting>
  <conditionalFormatting sqref="E39">
    <cfRule type="containsText" dxfId="22" priority="15" operator="containsText" text="unit">
      <formula>NOT(ISERROR(SEARCH("unit",E39)))</formula>
    </cfRule>
  </conditionalFormatting>
  <conditionalFormatting sqref="E29">
    <cfRule type="containsText" dxfId="21" priority="11" operator="containsText" text="unit">
      <formula>NOT(ISERROR(SEARCH("unit",E29)))</formula>
    </cfRule>
  </conditionalFormatting>
  <conditionalFormatting sqref="E43">
    <cfRule type="containsText" dxfId="20" priority="6" operator="containsText" text="unit">
      <formula>NOT(ISERROR(SEARCH("unit",E43)))</formula>
    </cfRule>
  </conditionalFormatting>
  <conditionalFormatting sqref="E26">
    <cfRule type="containsText" dxfId="19" priority="14" operator="containsText" text="unit">
      <formula>NOT(ISERROR(SEARCH("unit",E26)))</formula>
    </cfRule>
  </conditionalFormatting>
  <conditionalFormatting sqref="E28">
    <cfRule type="containsText" dxfId="18" priority="12" operator="containsText" text="unit">
      <formula>NOT(ISERROR(SEARCH("unit",E28)))</formula>
    </cfRule>
  </conditionalFormatting>
  <conditionalFormatting sqref="E30">
    <cfRule type="containsText" dxfId="17" priority="10" operator="containsText" text="unit">
      <formula>NOT(ISERROR(SEARCH("unit",E30)))</formula>
    </cfRule>
  </conditionalFormatting>
  <conditionalFormatting sqref="E31">
    <cfRule type="containsText" dxfId="16" priority="9" operator="containsText" text="unit">
      <formula>NOT(ISERROR(SEARCH("unit",E31)))</formula>
    </cfRule>
  </conditionalFormatting>
  <conditionalFormatting sqref="E40">
    <cfRule type="containsText" dxfId="15" priority="8" operator="containsText" text="unit">
      <formula>NOT(ISERROR(SEARCH("unit",E40)))</formula>
    </cfRule>
  </conditionalFormatting>
  <conditionalFormatting sqref="E41">
    <cfRule type="containsText" dxfId="14" priority="7" operator="containsText" text="unit">
      <formula>NOT(ISERROR(SEARCH("unit",E41)))</formula>
    </cfRule>
  </conditionalFormatting>
  <conditionalFormatting sqref="E44">
    <cfRule type="containsText" dxfId="13" priority="5" operator="containsText" text="unit">
      <formula>NOT(ISERROR(SEARCH("unit",E44)))</formula>
    </cfRule>
  </conditionalFormatting>
  <conditionalFormatting sqref="E48">
    <cfRule type="containsText" dxfId="12" priority="3" operator="containsText" text="unit">
      <formula>NOT(ISERROR(SEARCH("unit",E48)))</formula>
    </cfRule>
  </conditionalFormatting>
  <conditionalFormatting sqref="E47">
    <cfRule type="containsText" dxfId="11" priority="4" operator="containsText" text="unit">
      <formula>NOT(ISERROR(SEARCH("unit",E47)))</formula>
    </cfRule>
  </conditionalFormatting>
  <conditionalFormatting sqref="E27">
    <cfRule type="containsText" dxfId="10" priority="2" operator="containsText" text="unit">
      <formula>NOT(ISERROR(SEARCH("unit",E27)))</formula>
    </cfRule>
  </conditionalFormatting>
  <conditionalFormatting sqref="E49">
    <cfRule type="containsText" dxfId="9" priority="1" operator="containsText" text="unit">
      <formula>NOT(ISERROR(SEARCH("unit",E49)))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F5" sqref="F5"/>
    </sheetView>
  </sheetViews>
  <sheetFormatPr defaultRowHeight="14.4"/>
  <cols>
    <col min="2" max="2" width="28.3125" customWidth="1"/>
    <col min="3" max="3" width="18.89453125" customWidth="1"/>
    <col min="4" max="4" width="10.5234375" customWidth="1"/>
    <col min="8" max="8" width="9.3125" customWidth="1"/>
  </cols>
  <sheetData>
    <row r="2" spans="2:7">
      <c r="B2" t="s">
        <v>236</v>
      </c>
    </row>
    <row r="3" spans="2:7" ht="28.8">
      <c r="B3" s="187" t="s">
        <v>28</v>
      </c>
      <c r="C3" s="187" t="s">
        <v>0</v>
      </c>
      <c r="D3" s="187" t="s">
        <v>199</v>
      </c>
      <c r="E3" s="187" t="s">
        <v>198</v>
      </c>
      <c r="F3" s="187" t="s">
        <v>200</v>
      </c>
      <c r="G3" s="187" t="s">
        <v>201</v>
      </c>
    </row>
    <row r="4" spans="2:7">
      <c r="B4" s="188" t="s">
        <v>202</v>
      </c>
      <c r="C4" s="188" t="s">
        <v>203</v>
      </c>
      <c r="D4" s="189">
        <v>0.26828000000000002</v>
      </c>
      <c r="E4" s="189">
        <v>0.14155799999999999</v>
      </c>
      <c r="F4" s="189">
        <v>3.6771499999999999E-2</v>
      </c>
      <c r="G4" s="189">
        <v>2.8816399999999999E-2</v>
      </c>
    </row>
    <row r="5" spans="2:7">
      <c r="B5" s="188" t="s">
        <v>204</v>
      </c>
      <c r="C5" s="188" t="s">
        <v>205</v>
      </c>
      <c r="D5" s="189">
        <v>0.273011</v>
      </c>
      <c r="E5" s="189">
        <v>0.14781</v>
      </c>
      <c r="F5" s="189">
        <v>3.9528199999999999E-2</v>
      </c>
      <c r="G5" s="189">
        <v>3.1087E-2</v>
      </c>
    </row>
    <row r="6" spans="2:7">
      <c r="B6" s="188" t="s">
        <v>206</v>
      </c>
      <c r="C6" s="188" t="s">
        <v>207</v>
      </c>
      <c r="D6" s="189">
        <v>4.0011599999999996</v>
      </c>
      <c r="E6" s="189">
        <v>2.42259</v>
      </c>
      <c r="F6" s="189">
        <v>0.414244</v>
      </c>
      <c r="G6" s="189">
        <v>0.34826699999999999</v>
      </c>
    </row>
    <row r="7" spans="2:7">
      <c r="B7" s="188" t="s">
        <v>208</v>
      </c>
      <c r="C7" s="188" t="s">
        <v>209</v>
      </c>
      <c r="D7" s="189">
        <v>4.8406600000000001E-15</v>
      </c>
      <c r="E7" s="189">
        <v>5.5638700000000002E-15</v>
      </c>
      <c r="F7" s="189">
        <v>1.8725599999999998E-15</v>
      </c>
      <c r="G7" s="189">
        <v>1.58225E-15</v>
      </c>
    </row>
    <row r="8" spans="2:7">
      <c r="B8" s="188" t="s">
        <v>210</v>
      </c>
      <c r="C8" s="188" t="s">
        <v>211</v>
      </c>
      <c r="D8" s="189">
        <v>1720.69</v>
      </c>
      <c r="E8" s="189">
        <v>12579.5</v>
      </c>
      <c r="F8" s="189">
        <v>11990.5</v>
      </c>
      <c r="G8" s="189">
        <v>11541</v>
      </c>
    </row>
    <row r="9" spans="2:7">
      <c r="B9" s="188" t="s">
        <v>212</v>
      </c>
      <c r="C9" s="188" t="s">
        <v>213</v>
      </c>
      <c r="D9" s="189">
        <v>2.9792499999999999E-6</v>
      </c>
      <c r="E9" s="189">
        <v>2.52043E-7</v>
      </c>
      <c r="F9" s="189">
        <v>2.34394E-7</v>
      </c>
      <c r="G9" s="189">
        <v>1.8220200000000001E-7</v>
      </c>
    </row>
    <row r="10" spans="2:7">
      <c r="B10" s="188" t="s">
        <v>214</v>
      </c>
      <c r="C10" s="188" t="s">
        <v>215</v>
      </c>
      <c r="D10" s="189">
        <v>2.15028E-8</v>
      </c>
      <c r="E10" s="189">
        <v>2.62793E-8</v>
      </c>
      <c r="F10" s="189">
        <v>1.6091199999999999E-8</v>
      </c>
      <c r="G10" s="189">
        <v>1.5413800000000001E-8</v>
      </c>
    </row>
    <row r="11" spans="2:7">
      <c r="B11" s="188" t="s">
        <v>216</v>
      </c>
      <c r="C11" s="188" t="s">
        <v>215</v>
      </c>
      <c r="D11" s="189">
        <v>2.96036E-8</v>
      </c>
      <c r="E11" s="189">
        <v>7.9736599999999999E-8</v>
      </c>
      <c r="F11" s="189">
        <v>5.8047700000000002E-8</v>
      </c>
      <c r="G11" s="189">
        <v>5.4191499999999999E-8</v>
      </c>
    </row>
    <row r="12" spans="2:7">
      <c r="B12" s="188" t="s">
        <v>217</v>
      </c>
      <c r="C12" s="188" t="s">
        <v>218</v>
      </c>
      <c r="D12" s="189">
        <v>1.94129</v>
      </c>
      <c r="E12" s="189">
        <v>6.7042400000000004</v>
      </c>
      <c r="F12" s="189">
        <v>0.48858499999999999</v>
      </c>
      <c r="G12" s="189">
        <v>0.41063</v>
      </c>
    </row>
    <row r="13" spans="2:7">
      <c r="B13" s="188" t="s">
        <v>219</v>
      </c>
      <c r="C13" s="188" t="s">
        <v>220</v>
      </c>
      <c r="D13" s="189">
        <v>1.2392200000000001E-2</v>
      </c>
      <c r="E13" s="189">
        <v>7.4049300000000005E-4</v>
      </c>
      <c r="F13" s="189">
        <v>3.9718400000000002E-4</v>
      </c>
      <c r="G13" s="189">
        <v>3.8341100000000001E-4</v>
      </c>
    </row>
    <row r="14" spans="2:7">
      <c r="B14" s="188" t="s">
        <v>221</v>
      </c>
      <c r="C14" s="188" t="s">
        <v>222</v>
      </c>
      <c r="D14" s="189">
        <v>5.6085000000000003E-5</v>
      </c>
      <c r="E14" s="189">
        <v>1.0287E-5</v>
      </c>
      <c r="F14" s="189">
        <v>5.5964000000000003E-6</v>
      </c>
      <c r="G14" s="189">
        <v>4.9006899999999997E-6</v>
      </c>
    </row>
    <row r="15" spans="2:7">
      <c r="B15" s="188" t="s">
        <v>223</v>
      </c>
      <c r="C15" s="188" t="s">
        <v>224</v>
      </c>
      <c r="D15" s="189">
        <v>1.0574899999999999E-5</v>
      </c>
      <c r="E15" s="189">
        <v>3.4687300000000002E-5</v>
      </c>
      <c r="F15" s="189">
        <v>2.8572699999999998E-5</v>
      </c>
      <c r="G15" s="189">
        <v>2.7570099999999999E-5</v>
      </c>
    </row>
    <row r="16" spans="2:7">
      <c r="B16" s="188" t="s">
        <v>225</v>
      </c>
      <c r="C16" s="188" t="s">
        <v>226</v>
      </c>
      <c r="D16" s="189">
        <v>7.1914899999999998E-4</v>
      </c>
      <c r="E16" s="189">
        <v>6.8789800000000005E-4</v>
      </c>
      <c r="F16" s="189">
        <v>6.4199299999999999E-4</v>
      </c>
      <c r="G16" s="189">
        <v>6.2473800000000001E-4</v>
      </c>
    </row>
    <row r="17" spans="2:7">
      <c r="B17" s="188" t="s">
        <v>227</v>
      </c>
      <c r="C17" s="188" t="s">
        <v>228</v>
      </c>
      <c r="D17" s="189">
        <v>5.9766299999999997E-8</v>
      </c>
      <c r="E17" s="189">
        <v>1.26077E-8</v>
      </c>
      <c r="F17" s="189">
        <v>3.2962400000000002E-9</v>
      </c>
      <c r="G17" s="189">
        <v>2.6927E-9</v>
      </c>
    </row>
    <row r="18" spans="2:7">
      <c r="B18" s="188" t="s">
        <v>229</v>
      </c>
      <c r="C18" s="188" t="s">
        <v>230</v>
      </c>
      <c r="D18" s="189">
        <v>6.5863400000000004E-5</v>
      </c>
      <c r="E18" s="189">
        <v>7.6803800000000005E-5</v>
      </c>
      <c r="F18" s="189">
        <v>3.4273500000000003E-5</v>
      </c>
      <c r="G18" s="189">
        <v>2.9092399999999999E-5</v>
      </c>
    </row>
    <row r="19" spans="2:7" ht="15.6" customHeight="1">
      <c r="B19" s="188" t="s">
        <v>231</v>
      </c>
      <c r="C19" s="188" t="s">
        <v>232</v>
      </c>
      <c r="D19" s="189">
        <v>7.5893300000000005E-4</v>
      </c>
      <c r="E19" s="189">
        <v>3.8988899999999998E-4</v>
      </c>
      <c r="F19" s="189">
        <v>1.8373200000000001E-4</v>
      </c>
      <c r="G19" s="189">
        <v>1.5269599999999999E-4</v>
      </c>
    </row>
    <row r="20" spans="2:7">
      <c r="B20" s="188" t="s">
        <v>233</v>
      </c>
      <c r="C20" s="188" t="s">
        <v>209</v>
      </c>
      <c r="D20" s="189">
        <v>3.1617799999999998E-9</v>
      </c>
      <c r="E20" s="189">
        <v>3.9390799999999996E-9</v>
      </c>
      <c r="F20" s="189">
        <v>1.20615E-9</v>
      </c>
      <c r="G20" s="189">
        <v>1.01839E-9</v>
      </c>
    </row>
    <row r="21" spans="2:7">
      <c r="B21" s="188" t="s">
        <v>234</v>
      </c>
      <c r="C21" s="188" t="s">
        <v>235</v>
      </c>
      <c r="D21" s="189">
        <v>0.93284199999999995</v>
      </c>
      <c r="E21" s="189">
        <v>4.7464199999999998E-2</v>
      </c>
      <c r="F21" s="189">
        <v>2.0453200000000001E-2</v>
      </c>
      <c r="G21" s="189">
        <v>1.1667200000000001E-2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9"/>
  <sheetViews>
    <sheetView tabSelected="1" topLeftCell="A35" zoomScale="70" zoomScaleNormal="70" workbookViewId="0">
      <selection activeCell="F59" sqref="F59"/>
    </sheetView>
  </sheetViews>
  <sheetFormatPr defaultColWidth="30.68359375" defaultRowHeight="19.8"/>
  <cols>
    <col min="1" max="1" width="60.5234375" style="1" customWidth="1"/>
    <col min="2" max="2" width="24.3125" style="1" customWidth="1"/>
    <col min="3" max="3" width="22.68359375" style="1" customWidth="1"/>
    <col min="4" max="16384" width="30.68359375" style="1"/>
  </cols>
  <sheetData>
    <row r="1" spans="1:3">
      <c r="A1" s="22" t="s">
        <v>7</v>
      </c>
      <c r="B1" s="23">
        <v>1000</v>
      </c>
    </row>
    <row r="2" spans="1:3">
      <c r="A2" s="22" t="s">
        <v>12</v>
      </c>
      <c r="B2" s="23">
        <v>1000</v>
      </c>
    </row>
    <row r="4" spans="1:3" s="2" customFormat="1" ht="63" customHeight="1">
      <c r="A4" s="199" t="s">
        <v>265</v>
      </c>
      <c r="B4" s="2" t="s">
        <v>37</v>
      </c>
      <c r="C4" s="200" t="s">
        <v>38</v>
      </c>
    </row>
    <row r="5" spans="1:3">
      <c r="A5" s="201" t="s">
        <v>267</v>
      </c>
      <c r="B5" s="202"/>
      <c r="C5" s="203"/>
    </row>
    <row r="6" spans="1:3">
      <c r="A6" s="204" t="s">
        <v>56</v>
      </c>
      <c r="B6" s="42">
        <v>4.3680000000000003</v>
      </c>
      <c r="C6" s="115" t="s">
        <v>1</v>
      </c>
    </row>
    <row r="7" spans="1:3">
      <c r="A7" s="204" t="s">
        <v>59</v>
      </c>
      <c r="B7" s="42">
        <v>54.389999999999993</v>
      </c>
      <c r="C7" s="115" t="s">
        <v>1</v>
      </c>
    </row>
    <row r="8" spans="1:3">
      <c r="A8" s="204" t="s">
        <v>61</v>
      </c>
      <c r="B8" s="42">
        <v>2.5200000000000005</v>
      </c>
      <c r="C8" s="115" t="s">
        <v>1</v>
      </c>
    </row>
    <row r="9" spans="1:3">
      <c r="A9" s="204" t="s">
        <v>62</v>
      </c>
      <c r="B9" s="42">
        <v>21.21</v>
      </c>
      <c r="C9" s="115" t="s">
        <v>1</v>
      </c>
    </row>
    <row r="10" spans="1:3">
      <c r="A10" s="204" t="s">
        <v>64</v>
      </c>
      <c r="B10" s="42">
        <v>6.11625</v>
      </c>
      <c r="C10" s="115" t="s">
        <v>1</v>
      </c>
    </row>
    <row r="11" spans="1:3">
      <c r="A11" s="204" t="s">
        <v>66</v>
      </c>
      <c r="B11" s="42">
        <v>19.425000000000001</v>
      </c>
      <c r="C11" s="115" t="s">
        <v>1</v>
      </c>
    </row>
    <row r="12" spans="1:3">
      <c r="A12" s="204" t="s">
        <v>68</v>
      </c>
      <c r="B12" s="42">
        <v>5.0400000000000009</v>
      </c>
      <c r="C12" s="115" t="s">
        <v>1</v>
      </c>
    </row>
    <row r="13" spans="1:3">
      <c r="A13" s="204" t="s">
        <v>70</v>
      </c>
      <c r="B13" s="42">
        <v>31.605</v>
      </c>
      <c r="C13" s="115" t="s">
        <v>1</v>
      </c>
    </row>
    <row r="14" spans="1:3">
      <c r="A14" s="204" t="s">
        <v>72</v>
      </c>
      <c r="B14" s="42">
        <v>2331</v>
      </c>
      <c r="C14" s="115" t="s">
        <v>73</v>
      </c>
    </row>
    <row r="15" spans="1:3">
      <c r="A15" s="204" t="s">
        <v>76</v>
      </c>
      <c r="B15" s="42">
        <v>13.65</v>
      </c>
      <c r="C15" s="115" t="s">
        <v>1</v>
      </c>
    </row>
    <row r="16" spans="1:3">
      <c r="A16" s="204" t="s">
        <v>101</v>
      </c>
      <c r="B16" s="42">
        <v>66.150000000000006</v>
      </c>
      <c r="C16" s="115" t="s">
        <v>73</v>
      </c>
    </row>
    <row r="17" spans="1:5">
      <c r="A17" s="204" t="s">
        <v>78</v>
      </c>
      <c r="B17" s="42">
        <v>1.47</v>
      </c>
      <c r="C17" s="115" t="s">
        <v>1</v>
      </c>
    </row>
    <row r="18" spans="1:5">
      <c r="A18" s="204" t="s">
        <v>80</v>
      </c>
      <c r="B18" s="42">
        <v>107.1</v>
      </c>
      <c r="C18" s="115" t="s">
        <v>1</v>
      </c>
    </row>
    <row r="19" spans="1:5">
      <c r="A19" s="204" t="s">
        <v>44</v>
      </c>
      <c r="B19" s="42">
        <v>51.45000000000001</v>
      </c>
      <c r="C19" s="115" t="s">
        <v>1</v>
      </c>
    </row>
    <row r="20" spans="1:5">
      <c r="A20" s="204" t="s">
        <v>82</v>
      </c>
      <c r="B20" s="42">
        <v>16.8</v>
      </c>
      <c r="C20" s="115" t="s">
        <v>1</v>
      </c>
    </row>
    <row r="21" spans="1:5">
      <c r="A21" s="204" t="s">
        <v>83</v>
      </c>
      <c r="B21" s="42">
        <v>213.15</v>
      </c>
      <c r="C21" s="115" t="s">
        <v>1</v>
      </c>
    </row>
    <row r="22" spans="1:5">
      <c r="A22" s="204" t="s">
        <v>84</v>
      </c>
      <c r="B22" s="42">
        <v>568.04999999999995</v>
      </c>
      <c r="C22" s="115" t="s">
        <v>1</v>
      </c>
    </row>
    <row r="23" spans="1:5">
      <c r="A23" s="204" t="s">
        <v>86</v>
      </c>
      <c r="B23" s="42">
        <v>1039.5</v>
      </c>
      <c r="C23" s="115" t="s">
        <v>1</v>
      </c>
      <c r="E23" s="42"/>
    </row>
    <row r="24" spans="1:5">
      <c r="A24" s="204" t="s">
        <v>88</v>
      </c>
      <c r="B24" s="42">
        <v>0.84</v>
      </c>
      <c r="C24" s="115" t="s">
        <v>1</v>
      </c>
    </row>
    <row r="25" spans="1:5">
      <c r="A25" s="204" t="s">
        <v>90</v>
      </c>
      <c r="B25" s="42">
        <v>46.305000000000007</v>
      </c>
      <c r="C25" s="115" t="s">
        <v>1</v>
      </c>
    </row>
    <row r="26" spans="1:5">
      <c r="A26" s="204" t="s">
        <v>92</v>
      </c>
      <c r="B26" s="42">
        <v>3381</v>
      </c>
      <c r="C26" s="115" t="s">
        <v>1</v>
      </c>
    </row>
    <row r="27" spans="1:5">
      <c r="A27" s="204" t="s">
        <v>99</v>
      </c>
      <c r="B27" s="42">
        <v>6.1844999999999999</v>
      </c>
      <c r="C27" s="115" t="s">
        <v>1</v>
      </c>
    </row>
    <row r="28" spans="1:5">
      <c r="A28" s="205" t="s">
        <v>105</v>
      </c>
      <c r="B28" s="206">
        <v>624.16666666666663</v>
      </c>
      <c r="C28" s="126" t="s">
        <v>2</v>
      </c>
    </row>
    <row r="29" spans="1:5" ht="43.5" customHeight="1">
      <c r="A29" s="207" t="s">
        <v>268</v>
      </c>
      <c r="B29" s="208" t="s">
        <v>259</v>
      </c>
      <c r="C29" s="18"/>
    </row>
    <row r="30" spans="1:5">
      <c r="A30" s="204" t="s">
        <v>94</v>
      </c>
      <c r="B30" s="42">
        <v>3.7100000000000002E-3</v>
      </c>
      <c r="C30" s="9" t="s">
        <v>14</v>
      </c>
    </row>
    <row r="31" spans="1:5">
      <c r="A31" s="204" t="s">
        <v>141</v>
      </c>
      <c r="B31" s="42">
        <v>3.9382000000000002E-4</v>
      </c>
      <c r="C31" s="9" t="s">
        <v>14</v>
      </c>
    </row>
    <row r="32" spans="1:5">
      <c r="A32" s="205" t="s">
        <v>97</v>
      </c>
      <c r="B32" s="206">
        <v>6.933333333333333E-2</v>
      </c>
      <c r="C32" s="209" t="s">
        <v>14</v>
      </c>
    </row>
    <row r="33" spans="1:3" ht="39.6">
      <c r="A33" s="207" t="s">
        <v>266</v>
      </c>
      <c r="B33" s="208" t="s">
        <v>259</v>
      </c>
      <c r="C33" s="18"/>
    </row>
    <row r="34" spans="1:3">
      <c r="A34" s="204" t="s">
        <v>180</v>
      </c>
      <c r="B34" s="42">
        <v>6.19047619047619E-2</v>
      </c>
      <c r="C34" s="9" t="s">
        <v>1</v>
      </c>
    </row>
    <row r="35" spans="1:3">
      <c r="A35" s="205" t="s">
        <v>185</v>
      </c>
      <c r="B35" s="206">
        <v>6.19047619047619E-2</v>
      </c>
      <c r="C35" s="209" t="s">
        <v>1</v>
      </c>
    </row>
    <row r="36" spans="1:3" ht="37.799999999999997">
      <c r="A36" s="207" t="s">
        <v>263</v>
      </c>
      <c r="B36" s="208"/>
      <c r="C36" s="18"/>
    </row>
    <row r="37" spans="1:3">
      <c r="A37" s="204" t="s">
        <v>143</v>
      </c>
      <c r="B37" s="3"/>
      <c r="C37" s="9" t="s">
        <v>1</v>
      </c>
    </row>
    <row r="38" spans="1:3">
      <c r="A38" s="204" t="s">
        <v>144</v>
      </c>
      <c r="B38" s="42"/>
      <c r="C38" s="9" t="s">
        <v>1</v>
      </c>
    </row>
    <row r="39" spans="1:3">
      <c r="A39" s="204" t="s">
        <v>145</v>
      </c>
      <c r="B39" s="42"/>
      <c r="C39" s="9" t="s">
        <v>1</v>
      </c>
    </row>
    <row r="40" spans="1:3">
      <c r="A40" s="204" t="s">
        <v>146</v>
      </c>
      <c r="B40" s="112"/>
      <c r="C40" s="9" t="s">
        <v>1</v>
      </c>
    </row>
    <row r="41" spans="1:3">
      <c r="A41" s="205" t="s">
        <v>142</v>
      </c>
      <c r="B41" s="206"/>
      <c r="C41" s="209" t="s">
        <v>1</v>
      </c>
    </row>
    <row r="42" spans="1:3">
      <c r="C42" s="3"/>
    </row>
    <row r="43" spans="1:3" ht="39.9" thickBot="1">
      <c r="A43" s="210" t="s">
        <v>264</v>
      </c>
      <c r="B43" s="211" t="s">
        <v>37</v>
      </c>
      <c r="C43" s="212" t="s">
        <v>38</v>
      </c>
    </row>
    <row r="44" spans="1:3">
      <c r="A44" s="12" t="s">
        <v>115</v>
      </c>
      <c r="B44" s="4"/>
      <c r="C44" s="8"/>
    </row>
    <row r="45" spans="1:3">
      <c r="A45" s="204" t="s">
        <v>56</v>
      </c>
      <c r="B45" s="42">
        <v>4.16</v>
      </c>
      <c r="C45" s="115" t="s">
        <v>1</v>
      </c>
    </row>
    <row r="46" spans="1:3">
      <c r="A46" s="204" t="s">
        <v>147</v>
      </c>
      <c r="B46" s="42">
        <v>82</v>
      </c>
      <c r="C46" s="115" t="s">
        <v>1</v>
      </c>
    </row>
    <row r="47" spans="1:3">
      <c r="A47" s="204" t="s">
        <v>148</v>
      </c>
      <c r="B47" s="42">
        <v>287.10000000000002</v>
      </c>
      <c r="C47" s="115" t="s">
        <v>1</v>
      </c>
    </row>
    <row r="48" spans="1:3">
      <c r="A48" s="204" t="s">
        <v>149</v>
      </c>
      <c r="B48" s="42">
        <v>23.3</v>
      </c>
      <c r="C48" s="115" t="s">
        <v>1</v>
      </c>
    </row>
    <row r="49" spans="1:3">
      <c r="A49" s="204" t="s">
        <v>68</v>
      </c>
      <c r="B49" s="42">
        <v>14.600000000000001</v>
      </c>
      <c r="C49" s="115" t="s">
        <v>1</v>
      </c>
    </row>
    <row r="50" spans="1:3">
      <c r="A50" s="204" t="s">
        <v>150</v>
      </c>
      <c r="B50" s="42">
        <v>162.9</v>
      </c>
      <c r="C50" s="115" t="s">
        <v>1</v>
      </c>
    </row>
    <row r="51" spans="1:3">
      <c r="A51" s="204" t="s">
        <v>70</v>
      </c>
      <c r="B51" s="42">
        <v>49</v>
      </c>
      <c r="C51" s="115" t="s">
        <v>1</v>
      </c>
    </row>
    <row r="52" spans="1:3">
      <c r="A52" s="204" t="s">
        <v>124</v>
      </c>
      <c r="B52" s="42">
        <v>3.4</v>
      </c>
      <c r="C52" s="115" t="s">
        <v>1</v>
      </c>
    </row>
    <row r="53" spans="1:3">
      <c r="A53" s="204" t="s">
        <v>151</v>
      </c>
      <c r="B53" s="42">
        <v>76.5</v>
      </c>
      <c r="C53" s="115" t="s">
        <v>1</v>
      </c>
    </row>
    <row r="54" spans="1:3">
      <c r="A54" s="204" t="s">
        <v>152</v>
      </c>
      <c r="B54" s="42">
        <v>953.4</v>
      </c>
      <c r="C54" s="115" t="s">
        <v>1</v>
      </c>
    </row>
    <row r="55" spans="1:3">
      <c r="A55" s="204" t="s">
        <v>153</v>
      </c>
      <c r="B55" s="42">
        <v>162.9</v>
      </c>
      <c r="C55" s="115" t="s">
        <v>1</v>
      </c>
    </row>
    <row r="56" spans="1:3">
      <c r="A56" s="204" t="s">
        <v>154</v>
      </c>
      <c r="B56" s="42">
        <v>9.1</v>
      </c>
      <c r="C56" s="115" t="s">
        <v>1</v>
      </c>
    </row>
    <row r="57" spans="1:3">
      <c r="A57" s="204" t="s">
        <v>86</v>
      </c>
      <c r="B57" s="42">
        <v>953.4</v>
      </c>
      <c r="C57" s="115" t="s">
        <v>1</v>
      </c>
    </row>
    <row r="58" spans="1:3">
      <c r="A58" s="205" t="s">
        <v>90</v>
      </c>
      <c r="B58" s="206">
        <v>53.3</v>
      </c>
      <c r="C58" s="126" t="s">
        <v>1</v>
      </c>
    </row>
    <row r="59" spans="1:3" ht="39.6">
      <c r="A59" s="207" t="s">
        <v>258</v>
      </c>
      <c r="B59" s="208" t="s">
        <v>259</v>
      </c>
      <c r="C59" s="18"/>
    </row>
    <row r="60" spans="1:3">
      <c r="A60" s="204" t="s">
        <v>94</v>
      </c>
      <c r="B60" s="42">
        <v>2.4733333333333335E-3</v>
      </c>
      <c r="C60" s="9" t="s">
        <v>14</v>
      </c>
    </row>
    <row r="61" spans="1:3">
      <c r="A61" s="204" t="s">
        <v>141</v>
      </c>
      <c r="B61" s="42">
        <v>2.6254666666666664E-4</v>
      </c>
      <c r="C61" s="9" t="s">
        <v>14</v>
      </c>
    </row>
    <row r="62" spans="1:3">
      <c r="A62" s="205" t="s">
        <v>97</v>
      </c>
      <c r="B62" s="206">
        <v>4.2373333333333332E-2</v>
      </c>
      <c r="C62" s="209" t="s">
        <v>14</v>
      </c>
    </row>
    <row r="63" spans="1:3" ht="39.6">
      <c r="A63" s="207" t="s">
        <v>260</v>
      </c>
      <c r="B63" s="208" t="s">
        <v>259</v>
      </c>
      <c r="C63" s="18"/>
    </row>
    <row r="64" spans="1:3">
      <c r="A64" s="204" t="s">
        <v>186</v>
      </c>
      <c r="B64" s="3">
        <v>0.26</v>
      </c>
      <c r="C64" s="9" t="s">
        <v>2</v>
      </c>
    </row>
    <row r="65" spans="1:3">
      <c r="A65" s="12" t="s">
        <v>262</v>
      </c>
      <c r="B65" s="3"/>
      <c r="C65" s="9"/>
    </row>
    <row r="66" spans="1:3">
      <c r="A66" s="204" t="s">
        <v>160</v>
      </c>
      <c r="B66" s="3">
        <v>0.26</v>
      </c>
      <c r="C66" s="9" t="s">
        <v>2</v>
      </c>
    </row>
    <row r="67" spans="1:3">
      <c r="A67" s="204" t="s">
        <v>161</v>
      </c>
      <c r="B67" s="3">
        <v>0.26</v>
      </c>
      <c r="C67" s="9" t="s">
        <v>2</v>
      </c>
    </row>
    <row r="68" spans="1:3">
      <c r="A68" s="213" t="s">
        <v>248</v>
      </c>
      <c r="B68" s="214">
        <v>0.26</v>
      </c>
      <c r="C68" s="209" t="s">
        <v>2</v>
      </c>
    </row>
    <row r="69" spans="1:3">
      <c r="A69" s="6" t="s">
        <v>5</v>
      </c>
      <c r="B69" s="198"/>
      <c r="C69" s="10"/>
    </row>
    <row r="70" spans="1:3">
      <c r="A70" s="21" t="s">
        <v>155</v>
      </c>
      <c r="B70" s="42">
        <v>215302500</v>
      </c>
      <c r="C70" s="115" t="s">
        <v>1</v>
      </c>
    </row>
    <row r="71" spans="1:3">
      <c r="A71" s="198" t="s">
        <v>261</v>
      </c>
      <c r="C71" s="115"/>
    </row>
    <row r="72" spans="1:3">
      <c r="A72" s="21" t="s">
        <v>156</v>
      </c>
      <c r="B72" s="42"/>
      <c r="C72" s="115" t="s">
        <v>1</v>
      </c>
    </row>
    <row r="73" spans="1:3">
      <c r="A73" s="21" t="s">
        <v>157</v>
      </c>
      <c r="B73" s="42"/>
      <c r="C73" s="115" t="s">
        <v>1</v>
      </c>
    </row>
    <row r="74" spans="1:3">
      <c r="A74" s="21" t="s">
        <v>158</v>
      </c>
      <c r="B74" s="42"/>
      <c r="C74" s="115" t="s">
        <v>1</v>
      </c>
    </row>
    <row r="75" spans="1:3">
      <c r="A75" s="21" t="s">
        <v>136</v>
      </c>
      <c r="B75" s="42"/>
      <c r="C75" s="115" t="s">
        <v>1</v>
      </c>
    </row>
    <row r="76" spans="1:3">
      <c r="A76" s="21" t="s">
        <v>142</v>
      </c>
      <c r="B76" s="42"/>
      <c r="C76" s="126" t="s">
        <v>1</v>
      </c>
    </row>
    <row r="77" spans="1:3">
      <c r="A77" s="24"/>
      <c r="B77" s="215"/>
      <c r="C77" s="216"/>
    </row>
    <row r="78" spans="1:3">
      <c r="A78" s="24"/>
      <c r="B78" s="24"/>
      <c r="C78" s="60"/>
    </row>
    <row r="79" spans="1:3">
      <c r="A79" s="24"/>
      <c r="B79" s="24"/>
      <c r="C79" s="60"/>
    </row>
  </sheetData>
  <mergeCells count="1">
    <mergeCell ref="B77:C77"/>
  </mergeCells>
  <pageMargins left="0.7" right="0.7" top="0.75" bottom="0.75" header="0.3" footer="0.3"/>
  <pageSetup orientation="portrait" horizontalDpi="1200" verticalDpi="1200"/>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3f01c3-7657-47ac-91fe-aaf76832b51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1E87AD8AD2D7E04FA9AB4C9431D6D3A2" ma:contentTypeVersion="10" ma:contentTypeDescription="Opret et nyt dokument." ma:contentTypeScope="" ma:versionID="0d6085ccc12a7587e94968d797bf732a">
  <xsd:schema xmlns:xsd="http://www.w3.org/2001/XMLSchema" xmlns:xs="http://www.w3.org/2001/XMLSchema" xmlns:p="http://schemas.microsoft.com/office/2006/metadata/properties" xmlns:ns3="fb3f01c3-7657-47ac-91fe-aaf76832b51e" targetNamespace="http://schemas.microsoft.com/office/2006/metadata/properties" ma:root="true" ma:fieldsID="3b11d78b17dae0e4bb7b5e466fcad467" ns3:_="">
    <xsd:import namespace="fb3f01c3-7657-47ac-91fe-aaf76832b51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3f01c3-7657-47ac-91fe-aaf76832b5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C00AE5-FB42-481F-9239-6A21331ABDBA}">
  <ds:schemaRefs>
    <ds:schemaRef ds:uri="http://schemas.microsoft.com/office/2006/metadata/properties"/>
    <ds:schemaRef ds:uri="fb3f01c3-7657-47ac-91fe-aaf76832b51e"/>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E8238613-470F-49BB-B2E2-DA600A6A49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3f01c3-7657-47ac-91fe-aaf76832b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50315B-0A6B-4949-948D-199B208F13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Gasoline and electric vehicles</vt:lpstr>
      <vt:lpstr>Processes</vt:lpstr>
      <vt:lpstr>Midpoint results</vt:lpstr>
      <vt:lpstr>Input for Students</vt:lpstr>
    </vt:vector>
  </TitlesOfParts>
  <Company>University of Michigan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Jolliet</dc:creator>
  <cp:lastModifiedBy>Olivier Jolliet</cp:lastModifiedBy>
  <dcterms:created xsi:type="dcterms:W3CDTF">2018-03-14T16:19:16Z</dcterms:created>
  <dcterms:modified xsi:type="dcterms:W3CDTF">2023-03-13T15:32:10Z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0x0101001E87AD8AD2D7E04FA9AB4C9431D6D3A2</vt:lpwstr>
  </property>
</Properties>
</file>