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Data Analytics\excel practice\"/>
    </mc:Choice>
  </mc:AlternateContent>
  <xr:revisionPtr revIDLastSave="0" documentId="13_ncr:1_{2F743849-6EA4-4696-B420-34508E5BF9F5}" xr6:coauthVersionLast="47" xr6:coauthVersionMax="47" xr10:uidLastSave="{00000000-0000-0000-0000-000000000000}"/>
  <bookViews>
    <workbookView xWindow="-108" yWindow="-108" windowWidth="23256" windowHeight="12456" firstSheet="6" activeTab="10" xr2:uid="{26D4546B-D2A1-4444-8EAF-A6228F96F0C1}"/>
  </bookViews>
  <sheets>
    <sheet name="Data" sheetId="1" r:id="rId1"/>
    <sheet name="Quick statstics" sheetId="4" r:id="rId2"/>
    <sheet name="Sales by Country with Pivot " sheetId="7" r:id="rId3"/>
    <sheet name="EDA with CF" sheetId="5" r:id="rId4"/>
    <sheet name="Sales by country" sheetId="6" r:id="rId5"/>
    <sheet name="pivot table2" sheetId="8" r:id="rId6"/>
    <sheet name="Anamolies in data" sheetId="9" r:id="rId7"/>
    <sheet name="Best Sales" sheetId="10" r:id="rId8"/>
    <sheet name="Profit" sheetId="13" r:id="rId9"/>
    <sheet name="Catogery reportDy" sheetId="16" r:id="rId10"/>
    <sheet name="product " sheetId="17" r:id="rId11"/>
  </sheets>
  <definedNames>
    <definedName name="_xlnm._FilterDatabase" localSheetId="0" hidden="1">Data!$C$11:$G$11</definedName>
    <definedName name="_xlnm._FilterDatabase" localSheetId="4" hidden="1">'Sales by country'!$A$2:$D$8</definedName>
    <definedName name="_xlchart.v1.0" hidden="1">'Anamolies in data'!$P$5:$P$304</definedName>
    <definedName name="_xlchart.v1.1" hidden="1">'Anamolies in data'!$N$5:$N$304</definedName>
    <definedName name="_xlchart.v1.2" hidden="1">'Anamolies in data'!$P$4</definedName>
    <definedName name="_xlchart.v1.3" hidden="1">'Anamolies in data'!$P$5:$P$304</definedName>
    <definedName name="_xlcn.WorksheetConnection_beginnerDAcourseblank.xlsxdata1" hidden="1">data[]</definedName>
    <definedName name="_xlcn.WorksheetConnection_beginnerDAcourseblank.xlsxdata61" hidden="1">data6</definedName>
    <definedName name="Slicer_Geography">#N/A</definedName>
    <definedName name="Slicer_Geography1">#N/A</definedName>
    <definedName name="Slicer_Sales_Person">#N/A</definedName>
  </definedNames>
  <calcPr calcId="191029"/>
  <pivotCaches>
    <pivotCache cacheId="0" r:id="rId12"/>
    <pivotCache cacheId="58" r:id="rId13"/>
    <pivotCache cacheId="62" r:id="rId14"/>
    <pivotCache cacheId="65" r:id="rId15"/>
  </pivotCaches>
  <extLst>
    <ext xmlns:x14="http://schemas.microsoft.com/office/spreadsheetml/2009/9/main" uri="{876F7934-8845-4945-9796-88D515C7AA90}">
      <x14:pivotCaches>
        <pivotCache cacheId="57" r:id="rId16"/>
        <pivotCache cacheId="6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6" name="data6" connection="WorksheetConnection_beginner-DA-course-blank.xlsx!data6"/>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12" i="1"/>
  <c r="B11" i="16"/>
  <c r="C11" i="16"/>
  <c r="C8" i="16"/>
  <c r="B8" i="16"/>
  <c r="H10" i="16"/>
  <c r="H11" i="16"/>
  <c r="H12" i="16"/>
  <c r="H13" i="16"/>
  <c r="H14" i="16"/>
  <c r="H15" i="16"/>
  <c r="H16" i="16"/>
  <c r="H17" i="16"/>
  <c r="H18" i="16"/>
  <c r="H9" i="16"/>
  <c r="G10" i="16"/>
  <c r="I10" i="16" s="1"/>
  <c r="G11" i="16"/>
  <c r="I11" i="16" s="1"/>
  <c r="G12" i="16"/>
  <c r="I12" i="16" s="1"/>
  <c r="G13" i="16"/>
  <c r="I13" i="16" s="1"/>
  <c r="G14" i="16"/>
  <c r="I14" i="16" s="1"/>
  <c r="G15" i="16"/>
  <c r="I15" i="16" s="1"/>
  <c r="G16" i="16"/>
  <c r="I16" i="16" s="1"/>
  <c r="G17" i="16"/>
  <c r="I17" i="16" s="1"/>
  <c r="G18" i="16"/>
  <c r="I18" i="16" s="1"/>
  <c r="G9" i="16"/>
  <c r="I9" i="16" s="1"/>
  <c r="J24" i="1"/>
  <c r="J55" i="1"/>
  <c r="J71" i="1"/>
  <c r="J72" i="1"/>
  <c r="J87" i="1"/>
  <c r="J134" i="1"/>
  <c r="J135" i="1"/>
  <c r="J150" i="1"/>
  <c r="J183" i="1"/>
  <c r="J198" i="1"/>
  <c r="J199" i="1"/>
  <c r="J247" i="1"/>
  <c r="J262" i="1"/>
  <c r="J263" i="1"/>
  <c r="J311" i="1"/>
  <c r="C5" i="16"/>
  <c r="H12" i="1"/>
  <c r="I12" i="1" s="1"/>
  <c r="J12" i="1" s="1"/>
  <c r="H13" i="1"/>
  <c r="I13" i="1" s="1"/>
  <c r="J13" i="1" s="1"/>
  <c r="H14" i="1"/>
  <c r="I14" i="1" s="1"/>
  <c r="J14" i="1" s="1"/>
  <c r="H15" i="1"/>
  <c r="I15" i="1" s="1"/>
  <c r="J15" i="1" s="1"/>
  <c r="H16" i="1"/>
  <c r="I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H72" i="1"/>
  <c r="I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H135" i="1"/>
  <c r="I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H199" i="1"/>
  <c r="I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H263" i="1"/>
  <c r="I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H310" i="1"/>
  <c r="I310" i="1" s="1"/>
  <c r="J310" i="1" s="1"/>
  <c r="H311" i="1"/>
  <c r="I311" i="1" s="1"/>
  <c r="D8" i="4"/>
  <c r="D7" i="4"/>
  <c r="D3" i="6"/>
  <c r="D4" i="6"/>
  <c r="D5" i="6"/>
  <c r="D6" i="6"/>
  <c r="D7" i="6"/>
  <c r="D8" i="6"/>
  <c r="B5" i="6"/>
  <c r="C5" i="6" s="1"/>
  <c r="C8" i="4"/>
  <c r="C7" i="4"/>
  <c r="D5" i="4"/>
  <c r="C5" i="4"/>
  <c r="D4" i="4"/>
  <c r="C4" i="4"/>
  <c r="D3" i="4"/>
  <c r="C3" i="4"/>
  <c r="D2" i="4"/>
  <c r="C2" i="4"/>
  <c r="C9" i="16" l="1"/>
  <c r="J16" i="1"/>
  <c r="B9" i="16"/>
  <c r="C6" i="4"/>
  <c r="D6" i="4"/>
  <c r="B3" i="6"/>
  <c r="C3" i="6" s="1"/>
  <c r="B7" i="6"/>
  <c r="C7" i="6" s="1"/>
  <c r="B4" i="6"/>
  <c r="C4" i="6" s="1"/>
  <c r="B8" i="6"/>
  <c r="C8" i="6" s="1"/>
  <c r="B6" i="6"/>
  <c r="C6" i="6" s="1"/>
  <c r="B10" i="16" l="1"/>
  <c r="C10"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B84013-44CC-4D25-B61A-045C6474A9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1A9D2B-DD08-4D68-B9EC-4D1A7A77AB1C}"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BB3D7C4E-9C8D-40D4-8A23-5A57BA303775}" name="WorksheetConnection_beginner-DA-course-blank.xlsx!data6" type="102" refreshedVersion="8" minRefreshableVersion="5">
    <extLst>
      <ext xmlns:x15="http://schemas.microsoft.com/office/spreadsheetml/2010/11/main" uri="{DE250136-89BD-433C-8126-D09CA5730AF9}">
        <x15:connection id="data6" autoDelete="1">
          <x15:rangePr sourceName="_xlcn.WorksheetConnection_beginnerDAcourseblank.xlsxdata61"/>
        </x15:connection>
      </ext>
    </extLst>
  </connection>
</connections>
</file>

<file path=xl/sharedStrings.xml><?xml version="1.0" encoding="utf-8"?>
<sst xmlns="http://schemas.openxmlformats.org/spreadsheetml/2006/main" count="2902" uniqueCount="93">
  <si>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</si>
  <si>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</si>
  <si>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</si>
  <si>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</si>
  <si>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</si>
  <si>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</si>
  <si>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</si>
  <si>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</si>
  <si>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</si>
  <si>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</si>
  <si>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</si>
  <si>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</si>
  <si>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</si>
  <si>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</si>
  <si>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</si>
  <si>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</si>
  <si>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</si>
  <si>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</si>
  <si>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</si>
  <si>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</si>
  <si>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</si>
  <si>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</si>
  <si>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</si>
  <si>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</si>
  <si>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</si>
  <si>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</si>
  <si>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</si>
  <si>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</si>
  <si>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</si>
  <si>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</si>
  <si>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</si>
  <si>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</si>
  <si>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</si>
  <si>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</si>
  <si>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</si>
  <si>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</si>
  <si>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</si>
  <si>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</si>
  <si>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</si>
  <si>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</si>
  <si>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</si>
  <si>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</si>
  <si>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</si>
  <si>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</si>
  <si>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</si>
  <si>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</si>
  <si>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</si>
  <si>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</si>
  <si>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</si>
  <si>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</si>
  <si>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</si>
  <si>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</si>
  <si>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</si>
  <si>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</si>
  <si>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</si>
  <si>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</si>
  <si>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</si>
  <si>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</si>
  <si>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</si>
  <si>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</si>
  <si>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range</t>
  </si>
  <si>
    <t>Count of products</t>
  </si>
  <si>
    <t>First Q</t>
  </si>
  <si>
    <t>Country</t>
  </si>
  <si>
    <t>Sales by Country with Pivot Table</t>
  </si>
  <si>
    <t>Row Labels</t>
  </si>
  <si>
    <t>Grand Total</t>
  </si>
  <si>
    <t>Sum of Amount</t>
  </si>
  <si>
    <t>Sum of Units</t>
  </si>
  <si>
    <t xml:space="preserve"> </t>
  </si>
  <si>
    <t>Top 5 Products by $ per unit</t>
  </si>
  <si>
    <t>Sales per unit</t>
  </si>
  <si>
    <t>Finding Anamolies in the Data</t>
  </si>
  <si>
    <t>Best Sales Person by Country</t>
  </si>
  <si>
    <t>Profits By Product from Product Table</t>
  </si>
  <si>
    <t>Cost</t>
  </si>
  <si>
    <t>profit</t>
  </si>
  <si>
    <t>cost per unit</t>
  </si>
  <si>
    <t>cost</t>
  </si>
  <si>
    <t>Dynamic level Sales Report</t>
  </si>
  <si>
    <t>Tolal Transaction</t>
  </si>
  <si>
    <t>Sales</t>
  </si>
  <si>
    <t>Profit</t>
  </si>
  <si>
    <t>Qantity</t>
  </si>
  <si>
    <t>SUM</t>
  </si>
  <si>
    <t>AVERAGE</t>
  </si>
  <si>
    <t>By Sales Person</t>
  </si>
  <si>
    <t>units</t>
  </si>
  <si>
    <t>Which Product to Discontinue</t>
  </si>
  <si>
    <t>Sum of cost</t>
  </si>
  <si>
    <t xml:space="preserve"> profit1</t>
  </si>
  <si>
    <t>profit percent</t>
  </si>
  <si>
    <t>EDA with Conditional Formating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</si>
</sst>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 #,##0.00;[Red]&quot;€&quot;\ \-#,##0.00"/>
    <numFmt numFmtId="44" formatCode="_ &quot;€&quot;\ * #,##0.00_ ;_ &quot;€&quot;\ * \-#,##0.00_ ;_ &quot;€&quot;\ * &quot;-&quot;??_ ;_ @_ "/>
    <numFmt numFmtId="164" formatCode="&quot;$&quot;#,##0_);[Red]\(&quot;$&quot;#,##0\)"/>
    <numFmt numFmtId="165" formatCode="&quot;$&quot;#,##0.00_);[Red]\(&quot;$&quot;#,##0.00\)"/>
    <numFmt numFmtId="166" formatCode="_-[$$-409]* #,##0.00_ ;_-[$$-409]* \-#,##0.00\ ;_-[$$-409]* &quot;-&quot;??_ ;_-@_ "/>
    <numFmt numFmtId="167" formatCode="_-[$$-409]* #,##0_ ;_-[$$-409]* \-#,##0\ ;_-[$$-409]* &quot;-&quot;??_ ;_-@_ "/>
    <numFmt numFmtId="168" formatCode="[$$-409]#,##0"/>
    <numFmt numFmtId="169" formatCode="\$#,##0.00;\(\$#,##0.00\);\$#,##0.00"/>
    <numFmt numFmtId="170" formatCode="0.00%;\-0.00%;0.00%"/>
    <numFmt numFmtId="171" formatCode="[$$-409]#,##0.00"/>
  </numFmts>
  <fonts count="14"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2" tint="-0.499984740745262"/>
      <name val="Calibri"/>
      <family val="2"/>
      <scheme val="minor"/>
    </font>
    <font>
      <b/>
      <sz val="14"/>
      <color theme="1"/>
      <name val="Calibri"/>
      <family val="2"/>
      <scheme val="minor"/>
    </font>
    <font>
      <b/>
      <sz val="18"/>
      <color theme="4" tint="-0.249977111117893"/>
      <name val="Calibri"/>
      <family val="2"/>
      <scheme val="minor"/>
    </font>
    <font>
      <sz val="11"/>
      <color theme="4" tint="-0.249977111117893"/>
      <name val="Calibri"/>
      <family val="2"/>
      <scheme val="minor"/>
    </font>
    <font>
      <b/>
      <sz val="12"/>
      <color theme="1"/>
      <name val="Calibri"/>
      <family val="2"/>
      <scheme val="minor"/>
    </font>
    <font>
      <b/>
      <sz val="20"/>
      <color theme="4" tint="-0.249977111117893"/>
      <name val="Calibri"/>
      <family val="2"/>
      <scheme val="minor"/>
    </font>
    <font>
      <sz val="20"/>
      <color theme="4" tint="-0.249977111117893"/>
      <name val="Calibri"/>
      <family val="2"/>
      <scheme val="minor"/>
    </font>
    <font>
      <b/>
      <sz val="11"/>
      <color theme="4" tint="-0.249977111117893"/>
      <name val="Calibri"/>
      <family val="2"/>
      <scheme val="minor"/>
    </font>
    <font>
      <b/>
      <sz val="28"/>
      <color theme="4" tint="-0.249977111117893"/>
      <name val="Calibri"/>
      <family val="2"/>
      <scheme val="minor"/>
    </font>
    <font>
      <b/>
      <sz val="20"/>
      <color theme="4"/>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39997558519241921"/>
        <bgColor indexed="64"/>
      </patternFill>
    </fill>
  </fills>
  <borders count="11">
    <border>
      <left/>
      <right/>
      <top/>
      <bottom/>
      <diagonal/>
    </border>
    <border>
      <left/>
      <right/>
      <top style="dotted">
        <color theme="0" tint="-0.24994659260841701"/>
      </top>
      <bottom style="dotted">
        <color theme="0" tint="-0.24994659260841701"/>
      </bottom>
      <diagonal/>
    </border>
    <border>
      <left/>
      <right/>
      <top/>
      <bottom style="thin">
        <color auto="1"/>
      </bottom>
      <diagonal/>
    </border>
    <border>
      <left/>
      <right/>
      <top style="thin">
        <color auto="1"/>
      </top>
      <bottom style="thin">
        <color theme="2" tint="-9.9978637043366805E-2"/>
      </bottom>
      <diagonal/>
    </border>
    <border>
      <left/>
      <right/>
      <top style="thin">
        <color theme="2" tint="-9.9978637043366805E-2"/>
      </top>
      <bottom style="thin">
        <color theme="2" tint="-9.9978637043366805E-2"/>
      </bottom>
      <diagonal/>
    </border>
    <border>
      <left/>
      <right/>
      <top style="thin">
        <color theme="2" tint="-9.9978637043366805E-2"/>
      </top>
      <bottom style="thin">
        <color theme="2" tint="-0.249977111117893"/>
      </bottom>
      <diagonal/>
    </border>
    <border>
      <left/>
      <right/>
      <top style="thin">
        <color theme="2" tint="-0.249977111117893"/>
      </top>
      <bottom style="thin">
        <color theme="2" tint="-0.249977111117893"/>
      </bottom>
      <diagonal/>
    </border>
    <border>
      <left style="dashed">
        <color auto="1"/>
      </left>
      <right style="dashed">
        <color auto="1"/>
      </right>
      <top style="dashed">
        <color auto="1"/>
      </top>
      <bottom style="dashed">
        <color auto="1"/>
      </bottom>
      <diagonal/>
    </border>
    <border>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6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14" fontId="0" fillId="0" borderId="0" xfId="0" applyNumberFormat="1"/>
    <xf numFmtId="0" fontId="0" fillId="0" borderId="0" xfId="0" applyAlignment="1">
      <alignment horizontal="left"/>
    </xf>
    <xf numFmtId="8" fontId="0" fillId="0" borderId="0" xfId="0" applyNumberFormat="1" applyAlignment="1">
      <alignment horizontal="right"/>
    </xf>
    <xf numFmtId="0" fontId="2" fillId="0" borderId="0" xfId="0" applyFont="1" applyAlignment="1">
      <alignment horizontal="center"/>
    </xf>
    <xf numFmtId="0" fontId="2" fillId="4" borderId="2" xfId="0" applyFont="1" applyFill="1" applyBorder="1" applyAlignment="1">
      <alignment horizontal="left"/>
    </xf>
    <xf numFmtId="0" fontId="2" fillId="4" borderId="2" xfId="0" applyFont="1" applyFill="1" applyBorder="1" applyAlignment="1">
      <alignment horizontal="right"/>
    </xf>
    <xf numFmtId="0" fontId="0" fillId="0" borderId="3" xfId="0" applyBorder="1" applyAlignment="1">
      <alignment horizontal="left"/>
    </xf>
    <xf numFmtId="8" fontId="0" fillId="0" borderId="3" xfId="0" applyNumberFormat="1" applyBorder="1" applyAlignment="1">
      <alignment horizontal="right"/>
    </xf>
    <xf numFmtId="3" fontId="4" fillId="0" borderId="3" xfId="0" applyNumberFormat="1" applyFont="1" applyBorder="1" applyAlignment="1">
      <alignment horizontal="right"/>
    </xf>
    <xf numFmtId="3" fontId="4" fillId="0" borderId="4" xfId="0" applyNumberFormat="1" applyFont="1" applyBorder="1" applyAlignment="1">
      <alignment horizontal="right"/>
    </xf>
    <xf numFmtId="8" fontId="0" fillId="0" borderId="4" xfId="0" applyNumberFormat="1" applyBorder="1" applyAlignment="1">
      <alignment horizontal="right"/>
    </xf>
    <xf numFmtId="0" fontId="0" fillId="0" borderId="4" xfId="0" applyBorder="1" applyAlignment="1">
      <alignment horizontal="left"/>
    </xf>
    <xf numFmtId="8" fontId="0" fillId="0" borderId="5" xfId="0" applyNumberForma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8" fontId="0" fillId="0" borderId="6" xfId="0" applyNumberFormat="1" applyBorder="1" applyAlignment="1">
      <alignment horizontal="right"/>
    </xf>
    <xf numFmtId="0" fontId="0" fillId="0" borderId="5" xfId="0" applyBorder="1" applyAlignment="1">
      <alignment horizontal="left"/>
    </xf>
    <xf numFmtId="0" fontId="0" fillId="0" borderId="6" xfId="0" applyBorder="1" applyAlignment="1">
      <alignment horizontal="left"/>
    </xf>
    <xf numFmtId="0" fontId="6" fillId="5" borderId="0" xfId="0" applyFont="1" applyFill="1"/>
    <xf numFmtId="0" fontId="7" fillId="5" borderId="0" xfId="0" applyFont="1" applyFill="1"/>
    <xf numFmtId="0" fontId="0" fillId="5" borderId="0" xfId="0" applyFill="1"/>
    <xf numFmtId="0" fontId="0" fillId="0" borderId="0" xfId="0" pivotButton="1"/>
    <xf numFmtId="167" fontId="2" fillId="4" borderId="2" xfId="1" applyNumberFormat="1" applyFont="1" applyFill="1" applyBorder="1" applyAlignment="1">
      <alignment horizontal="right"/>
    </xf>
    <xf numFmtId="167" fontId="0" fillId="0" borderId="3" xfId="1" applyNumberFormat="1" applyFont="1" applyBorder="1" applyAlignment="1">
      <alignment horizontal="right"/>
    </xf>
    <xf numFmtId="167" fontId="0" fillId="0" borderId="4" xfId="1" applyNumberFormat="1" applyFont="1" applyBorder="1" applyAlignment="1">
      <alignment horizontal="right"/>
    </xf>
    <xf numFmtId="167" fontId="0" fillId="0" borderId="5" xfId="1" applyNumberFormat="1" applyFont="1" applyBorder="1" applyAlignment="1">
      <alignment horizontal="right"/>
    </xf>
    <xf numFmtId="167" fontId="0" fillId="0" borderId="6" xfId="1" applyNumberFormat="1" applyFont="1" applyBorder="1" applyAlignment="1">
      <alignment horizontal="right"/>
    </xf>
    <xf numFmtId="168" fontId="0" fillId="0" borderId="0" xfId="0" applyNumberFormat="1"/>
    <xf numFmtId="0" fontId="9" fillId="3" borderId="0" xfId="0" applyFont="1" applyFill="1"/>
    <xf numFmtId="0" fontId="10" fillId="3" borderId="0" xfId="0" applyFont="1" applyFill="1"/>
    <xf numFmtId="169" fontId="0" fillId="0" borderId="0" xfId="0" applyNumberFormat="1"/>
    <xf numFmtId="0" fontId="7" fillId="3" borderId="0" xfId="0" applyFont="1" applyFill="1"/>
    <xf numFmtId="0" fontId="11" fillId="3" borderId="0" xfId="0" applyFont="1" applyFill="1"/>
    <xf numFmtId="0" fontId="0" fillId="0" borderId="0" xfId="0" applyAlignment="1">
      <alignment horizontal="left" indent="1"/>
    </xf>
    <xf numFmtId="0" fontId="0" fillId="0" borderId="0" xfId="0" applyAlignment="1">
      <alignment horizontal="center"/>
    </xf>
    <xf numFmtId="0" fontId="0" fillId="0" borderId="2" xfId="0" applyBorder="1"/>
    <xf numFmtId="0" fontId="0" fillId="6" borderId="0" xfId="0" applyFill="1"/>
    <xf numFmtId="0" fontId="0" fillId="7" borderId="7" xfId="0" applyFill="1" applyBorder="1"/>
    <xf numFmtId="0" fontId="0" fillId="0" borderId="8" xfId="0" applyBorder="1"/>
    <xf numFmtId="0" fontId="0" fillId="9" borderId="9" xfId="0" applyFill="1" applyBorder="1"/>
    <xf numFmtId="0" fontId="0" fillId="8" borderId="9" xfId="0" applyFill="1" applyBorder="1"/>
    <xf numFmtId="0" fontId="0" fillId="8" borderId="10" xfId="0" applyFill="1" applyBorder="1"/>
    <xf numFmtId="0" fontId="2" fillId="11" borderId="0" xfId="0" applyFont="1" applyFill="1" applyAlignment="1">
      <alignment horizontal="right"/>
    </xf>
    <xf numFmtId="0" fontId="0" fillId="11" borderId="0" xfId="0" applyFill="1"/>
    <xf numFmtId="0" fontId="0" fillId="6" borderId="0" xfId="0" applyFill="1" applyAlignment="1">
      <alignment horizontal="right"/>
    </xf>
    <xf numFmtId="166" fontId="0" fillId="0" borderId="0" xfId="0" applyNumberFormat="1" applyAlignment="1">
      <alignment horizontal="right"/>
    </xf>
    <xf numFmtId="0" fontId="0" fillId="0" borderId="0" xfId="0" applyAlignment="1">
      <alignment horizontal="right"/>
    </xf>
    <xf numFmtId="170" fontId="0" fillId="0" borderId="0" xfId="0" applyNumberFormat="1"/>
    <xf numFmtId="9" fontId="0" fillId="0" borderId="0" xfId="2" applyFont="1"/>
    <xf numFmtId="171" fontId="0" fillId="0" borderId="0" xfId="0" applyNumberFormat="1"/>
    <xf numFmtId="0" fontId="13" fillId="3" borderId="0" xfId="0" applyFont="1" applyFill="1" applyAlignment="1">
      <alignment horizontal="center"/>
    </xf>
    <xf numFmtId="0" fontId="12" fillId="3" borderId="0" xfId="0" applyFont="1" applyFill="1" applyAlignment="1">
      <alignment horizontal="left"/>
    </xf>
    <xf numFmtId="0" fontId="8" fillId="6" borderId="2" xfId="0" applyFont="1" applyFill="1" applyBorder="1" applyAlignment="1">
      <alignment horizontal="center"/>
    </xf>
    <xf numFmtId="0" fontId="5" fillId="10" borderId="0" xfId="0" applyFont="1" applyFill="1" applyAlignment="1">
      <alignment horizontal="center"/>
    </xf>
    <xf numFmtId="0" fontId="9" fillId="5" borderId="0" xfId="0" applyFont="1" applyFill="1" applyAlignment="1">
      <alignment horizontal="center"/>
    </xf>
    <xf numFmtId="0" fontId="0" fillId="0" borderId="0" xfId="0" applyNumberFormat="1"/>
  </cellXfs>
  <cellStyles count="3">
    <cellStyle name="Currency" xfId="1" builtinId="4"/>
    <cellStyle name="Normal" xfId="0" builtinId="0"/>
    <cellStyle name="Percent" xfId="2" builtinId="5"/>
  </cellStyles>
  <dxfs count="17">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0_);[Red]\(&quot;$&quot;#,##0\)"/>
    </dxf>
    <dxf>
      <numFmt numFmtId="164" formatCode="&quot;$&quot;#,##0_);[Red]\(&quot;$&quot;#,##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'Anamolies in data'!$Q$4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'Anamolies in data'!$P$5:$P$304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'Anamolies in data'!$Q$5:$Q$304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F6D-481D-A89E-594E144FC274}"/>
            </c:ext>
          </c:extLst>
        </c:ser>
        <c:dLbls>
          <c:showLegendKey val="0"/>
          <c:showVal val="0"/>
          <c:showCatName val="0"/>
          <c:showSerName val="0"/>
          <c:showPercent val="0"/>
          <c:showBubbleSize val="0"/>
        </c:dLbls>
        <c:axId val="825952480"/>
        <c:axId val="825977440"/>
      </c:scatterChart>
      <c:valAx>
        <c:axId val="8259524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77440"/>
        <c:crosses val="autoZero"/>
        <c:crossBetween val="midCat"/>
      </c:valAx>
      <c:valAx>
        <c:axId val="82597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A758AA89-1B48-44EA-BDFE-90268D643BB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_xlchart.v1.3</cx:f>
      </cx:numDim>
    </cx:data>
  </cx:chartData>
  <cx:chart>
    <cx:title pos="t" align="ctr" overlay="0"/>
    <cx:plotArea>
      <cx:plotAreaRegion>
        <cx:series layoutId="boxWhisker" uniqueId="{9A4F3103-BBD0-4B3B-8684-57AC697E8F99}">
          <cx:tx>
            <cx:txData>
              <cx:f>_xlchart.v1.2</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152482</xdr:rowOff>
    </xdr:from>
    <xdr:to>
      <xdr:col>13</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251460</xdr:colOff>
      <xdr:row>2</xdr:row>
      <xdr:rowOff>99061</xdr:rowOff>
    </xdr:from>
    <xdr:to>
      <xdr:col>11</xdr:col>
      <xdr:colOff>251460</xdr:colOff>
      <xdr:row>12</xdr:row>
      <xdr:rowOff>22861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3FEA9F40-6551-CAC8-A355-8F105EAB534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448300" y="57912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259080</xdr:colOff>
      <xdr:row>3</xdr:row>
      <xdr:rowOff>148590</xdr:rowOff>
    </xdr:from>
    <xdr:to>
      <xdr:col>9</xdr:col>
      <xdr:colOff>243840</xdr:colOff>
      <xdr:row>23</xdr:row>
      <xdr:rowOff>76200</xdr:rowOff>
    </xdr:to>
    <xdr:graphicFrame macro="">
      <xdr:nvGraphicFramePr>
        <xdr:cNvPr id="2" name="Chart 1">
          <a:extLst>
            <a:ext uri="{FF2B5EF4-FFF2-40B4-BE49-F238E27FC236}">
              <a16:creationId xmlns:a16="http://schemas.microsoft.com/office/drawing/2014/main" id="{4B496CD6-0C61-C089-AAB1-C545F377A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586740</xdr:colOff>
      <xdr:row>24</xdr:row>
      <xdr:rowOff>19050</xdr:rowOff>
    </xdr:from>
    <xdr:to>
      <xdr:col>3</xdr:col>
      <xdr:colOff>350520</xdr:colOff>
      <xdr:row>39</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EEDBEE3-595F-0E0B-EC0C-07E7658A09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96340" y="4552950"/>
              <a:ext cx="982980" cy="2807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594360</xdr:colOff>
      <xdr:row>24</xdr:row>
      <xdr:rowOff>179070</xdr:rowOff>
    </xdr:from>
    <xdr:to>
      <xdr:col>11</xdr:col>
      <xdr:colOff>289560</xdr:colOff>
      <xdr:row>39</xdr:row>
      <xdr:rowOff>179070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21C6A07-381A-2590-3875-5BCCAAB6A8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23160" y="47129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7620</xdr:colOff>
      <xdr:row>3</xdr:row>
      <xdr:rowOff>76201</xdr:rowOff>
    </xdr:from>
    <xdr:to>
      <xdr:col>10</xdr:col>
      <xdr:colOff>1226820</xdr:colOff>
      <xdr:row>12</xdr:row>
      <xdr:rowOff>106681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1A092A40-46FC-201A-2283-A3A4171219C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391400" y="76962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312420</xdr:colOff>
      <xdr:row>3</xdr:row>
      <xdr:rowOff>160020</xdr:rowOff>
    </xdr:from>
    <xdr:to>
      <xdr:col>9</xdr:col>
      <xdr:colOff>144780</xdr:colOff>
      <xdr:row>17</xdr:row>
      <xdr:rowOff>66675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31A8E797-C075-AB87-3208-EFF5D3C9D59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446520" y="853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i Nilima Vanamchitti" refreshedDate="45046.938719212965" createdVersion="8" refreshedVersion="8" minRefreshableVersion="3" recordCount="300" xr:uid="{26D2F95D-02C3-4F61-9BA0-D1DD3E67361B}">
  <cacheSource type="worksheet">
    <worksheetSource name="data"/>
  </cacheSource>
  <cacheFields count="8">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profit" numFmtId="164">
      <sharedItems containsSemiMixedTypes="0" containsString="0" containsNumber="1" minValue="-7884.8700000000008" maxValue="15841.19"/>
    </cacheField>
  </cacheFields>
  <extLst>
    <ext xmlns:x14="http://schemas.microsoft.com/office/spreadsheetml/2009/9/main" uri="{725AE2AE-9491-48be-B2B4-4EB974FC3084}">
      <x14:pivotCacheDefinition pivotCacheId="2200926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i Nilima Vanamchitti" refreshedDate="45053.650481249999" backgroundQuery="1" createdVersion="8" refreshedVersion="8" minRefreshableVersion="3" recordCount="0" supportSubquery="1" supportAdvancedDrill="1" xr:uid="{12625D76-9E4F-420E-9DF4-940AA2BC8E30}">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15" level="32767"/>
    <cacheField name="[Measures].[Sum of Units]" caption="Sum of Units" numFmtId="0" hierarchy="16" level="32767"/>
    <cacheField name="[Measures].[ profit1]" caption=" profit1" numFmtId="0" hierarchy="23" level="32767"/>
    <cacheField name="[Measures].[profit percent]" caption="profit percent" numFmtId="0" hierarchy="24" level="32767"/>
    <cacheField name="[data].[Geography].[Geography]" caption="Geography" numFmtId="0" hierarchy="1" level="1">
      <sharedItems containsSemiMixedTypes="0" containsNonDate="0" containsString="0"/>
    </cacheField>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Cost]" caption="Cost" attribute="1" defaultMemberUniqueName="[data6].[Cost].[All]" allUniqueName="[data6].[Cost].[All]" dimensionUniqueName="[data6]"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6" count="0">
      <extLst>
        <ext xmlns:x15="http://schemas.microsoft.com/office/spreadsheetml/2010/11/main" uri="{B97F6D7D-B522-45F9-BDA1-12C45D357490}">
          <x15:cacheHierarchy aggregatedColumn="14"/>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6" count="0"/>
    <cacheHierarchy uniqueName="[Measures].[profit]" caption="profit" measure="1" displayFolder="" measureGroup="data6" count="0"/>
    <cacheHierarchy uniqueName="[Measures].[ profit1]" caption=" profit1" measure="1" displayFolder="" measureGroup="data" count="0" oneField="1">
      <fieldsUsage count="1">
        <fieldUsage x="3"/>
      </fieldsUsage>
    </cacheHierarchy>
    <cacheHierarchy uniqueName="[Measures].[profit percent]" caption="profit percen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i Nilima Vanamchitti" refreshedDate="45053.650488194442" backgroundQuery="1" createdVersion="8" refreshedVersion="8" minRefreshableVersion="3" recordCount="0" supportSubquery="1" supportAdvancedDrill="1" xr:uid="{233E304E-6AB0-4896-99A9-02C11F13CFDE}">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5" level="32767"/>
    <cacheField name="[Measures].[Sum of cost 2]" caption="Sum of cost 2" numFmtId="0" hierarchy="19" level="32767"/>
    <cacheField name="[Measures].[ profit1]" caption=" profit1" numFmtId="0" hierarchy="23" level="32767"/>
    <cacheField name="[data].[Geography].[Geography]" caption="Geography" numFmtId="0" hierarchy="1" level="1">
      <sharedItems containsSemiMixedTypes="0" containsNonDate="0" containsString="0"/>
    </cacheField>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Cost]" caption="Cost" attribute="1" defaultMemberUniqueName="[data6].[Cost].[All]" allUniqueName="[data6].[Cost].[All]" dimensionUniqueName="[data6]"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6" count="0">
      <extLst>
        <ext xmlns:x15="http://schemas.microsoft.com/office/spreadsheetml/2010/11/main" uri="{B97F6D7D-B522-45F9-BDA1-12C45D357490}">
          <x15:cacheHierarchy aggregatedColumn="14"/>
        </ext>
      </extLst>
    </cacheHierarchy>
    <cacheHierarchy uniqueName="[Measures].[Sum of cost 2]" caption="Sum of cost 2"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6" count="0"/>
    <cacheHierarchy uniqueName="[Measures].[profit]" caption="profit" measure="1" displayFolder="" measureGroup="data6" count="0"/>
    <cacheHierarchy uniqueName="[Measures].[ profit1]" caption=" profit1" measure="1" displayFolder="" measureGroup="data" count="0" oneField="1">
      <fieldsUsage count="1">
        <fieldUsage x="3"/>
      </fieldsUsage>
    </cacheHierarchy>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i Nilima Vanamchitti" refreshedDate="45053.650489930558" backgroundQuery="1" createdVersion="8" refreshedVersion="8" minRefreshableVersion="3" recordCount="0" supportSubquery="1" supportAdvancedDrill="1" xr:uid="{3A7228B7-CDB6-4881-AB2B-8A5E7C144CBA}">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20"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Cost]" caption="Cost" attribute="1" defaultMemberUniqueName="[data6].[Cost].[All]" allUniqueName="[data6].[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6" count="0">
      <extLst>
        <ext xmlns:x15="http://schemas.microsoft.com/office/spreadsheetml/2010/11/main" uri="{B97F6D7D-B522-45F9-BDA1-12C45D357490}">
          <x15:cacheHierarchy aggregatedColumn="14"/>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6" count="0"/>
    <cacheHierarchy uniqueName="[Measures].[profit]" caption="profit" measure="1" displayFolder="" measureGroup="data6" count="0"/>
    <cacheHierarchy uniqueName="[Measures].[ profit1]" caption=" profit1"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dimensions count="3">
    <dimension name="data" uniqueName="[data]" caption="data"/>
    <dimension name="data6" uniqueName="[data6]" caption="data6"/>
    <dimension measure="1" name="Measures" uniqueName="[Measures]" caption="Measures"/>
  </dimensions>
  <measureGroups count="2">
    <measureGroup name="data" caption="data"/>
    <measureGroup name="data6" caption="data6"/>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i Nilima Vanamchitti" refreshedDate="45053.650479745367" backgroundQuery="1" createdVersion="3" refreshedVersion="8" minRefreshableVersion="3" recordCount="0" supportSubquery="1" supportAdvancedDrill="1" xr:uid="{4BB81C11-1F26-40FB-901E-046403BCCC07}">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Cost]" caption="Cost" attribute="1" defaultMemberUniqueName="[data6].[Cost].[All]" allUniqueName="[data6].[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6" count="0">
      <extLst>
        <ext xmlns:x15="http://schemas.microsoft.com/office/spreadsheetml/2010/11/main" uri="{B97F6D7D-B522-45F9-BDA1-12C45D357490}">
          <x15:cacheHierarchy aggregatedColumn="14"/>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6" count="0"/>
    <cacheHierarchy uniqueName="[Measures].[profit]" caption="profit" measure="1" displayFolder="" measureGroup="data6" count="0"/>
    <cacheHierarchy uniqueName="[Measures].[ profit1]" caption=" profit1"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5191339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i Nilima Vanamchitti" refreshedDate="45053.650483101854" backgroundQuery="1" createdVersion="3" refreshedVersion="8" minRefreshableVersion="3" recordCount="0" supportSubquery="1" supportAdvancedDrill="1" xr:uid="{5DD02BAD-E450-4DF3-94D5-CF69F5231C6E}">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profit]" caption="profit" attribute="1" defaultMemberUniqueName="[data].[profit].[All]" allUniqueName="[data].[profit].[All]" dimensionUniqueName="[data]" displayFolder="" count="0" memberValueDatatype="5" unbalanced="0"/>
    <cacheHierarchy uniqueName="[data6].[Sales Person]" caption="Sales Person" attribute="1" defaultMemberUniqueName="[data6].[Sales Person].[All]" allUniqueName="[data6].[Sales Person].[All]" dimensionUniqueName="[data6]" displayFolder="" count="0" memberValueDatatype="130" unbalanced="0"/>
    <cacheHierarchy uniqueName="[data6].[Geography]" caption="Geography" attribute="1" defaultMemberUniqueName="[data6].[Geography].[All]" allUniqueName="[data6].[Geography].[All]" dimensionUniqueName="[data6]" displayFolder="" count="0" memberValueDatatype="130" unbalanced="0"/>
    <cacheHierarchy uniqueName="[data6].[Product]" caption="Product" attribute="1" defaultMemberUniqueName="[data6].[Product].[All]" allUniqueName="[data6].[Product].[All]" dimensionUniqueName="[data6]" displayFolder="" count="0" memberValueDatatype="130" unbalanced="0"/>
    <cacheHierarchy uniqueName="[data6].[Amount]" caption="Amount" attribute="1" defaultMemberUniqueName="[data6].[Amount].[All]" allUniqueName="[data6].[Amount].[All]" dimensionUniqueName="[data6]" displayFolder="" count="0" memberValueDatatype="20" unbalanced="0"/>
    <cacheHierarchy uniqueName="[data6].[Units]" caption="Units" attribute="1" defaultMemberUniqueName="[data6].[Units].[All]" allUniqueName="[data6].[Units].[All]" dimensionUniqueName="[data6]" displayFolder="" count="0" memberValueDatatype="20" unbalanced="0"/>
    <cacheHierarchy uniqueName="[data6].[Cost per unit]" caption="Cost per unit" attribute="1" defaultMemberUniqueName="[data6].[Cost per unit].[All]" allUniqueName="[data6].[Cost per unit].[All]" dimensionUniqueName="[data6]" displayFolder="" count="0" memberValueDatatype="5" unbalanced="0"/>
    <cacheHierarchy uniqueName="[data6].[Cost]" caption="Cost" attribute="1" defaultMemberUniqueName="[data6].[Cost].[All]" allUniqueName="[data6].[Cost].[All]" dimensionUniqueName="[data6]"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6" count="0">
      <extLst>
        <ext xmlns:x15="http://schemas.microsoft.com/office/spreadsheetml/2010/11/main" uri="{B97F6D7D-B522-45F9-BDA1-12C45D357490}">
          <x15:cacheHierarchy aggregatedColumn="11"/>
        </ext>
      </extLst>
    </cacheHierarchy>
    <cacheHierarchy uniqueName="[Measures].[Sum of Cost]" caption="Sum of Cost" measure="1" displayFolder="" measureGroup="data6" count="0">
      <extLst>
        <ext xmlns:x15="http://schemas.microsoft.com/office/spreadsheetml/2010/11/main" uri="{B97F6D7D-B522-45F9-BDA1-12C45D357490}">
          <x15:cacheHierarchy aggregatedColumn="14"/>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6" count="0"/>
    <cacheHierarchy uniqueName="[Measures].[profit]" caption="profit" measure="1" displayFolder="" measureGroup="data6" count="0"/>
    <cacheHierarchy uniqueName="[Measures].[ profit1]" caption=" profit1"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XL_Count data6]" caption="__XL_Count data6" measure="1" displayFolder="" measureGroup="data6"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6798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n v="-27.860000000000127"/>
  </r>
  <r>
    <x v="1"/>
    <x v="1"/>
    <s v="Choco Coated Almonds"/>
    <n v="6706"/>
    <n v="459"/>
    <n v="8.65"/>
    <n v="3970.3500000000004"/>
    <n v="2735.6499999999996"/>
  </r>
  <r>
    <x v="2"/>
    <x v="1"/>
    <s v="Almond Choco"/>
    <n v="959"/>
    <n v="147"/>
    <n v="11.88"/>
    <n v="1746.3600000000001"/>
    <n v="-787.36000000000013"/>
  </r>
  <r>
    <x v="3"/>
    <x v="2"/>
    <s v="Drinking Coco"/>
    <n v="9632"/>
    <n v="288"/>
    <n v="6.47"/>
    <n v="1863.36"/>
    <n v="7768.64"/>
  </r>
  <r>
    <x v="4"/>
    <x v="3"/>
    <s v="White Choc"/>
    <n v="2100"/>
    <n v="414"/>
    <n v="13.15"/>
    <n v="5444.1"/>
    <n v="-3344.1000000000004"/>
  </r>
  <r>
    <x v="0"/>
    <x v="1"/>
    <s v="Peanut Butter Cubes"/>
    <n v="8869"/>
    <n v="432"/>
    <n v="12.37"/>
    <n v="5343.8399999999992"/>
    <n v="3525.1600000000008"/>
  </r>
  <r>
    <x v="4"/>
    <x v="4"/>
    <s v="Smooth Sliky Salty"/>
    <n v="2681"/>
    <n v="54"/>
    <n v="5.79"/>
    <n v="312.66000000000003"/>
    <n v="2368.34"/>
  </r>
  <r>
    <x v="1"/>
    <x v="1"/>
    <s v="After Nines"/>
    <n v="5012"/>
    <n v="210"/>
    <n v="9.77"/>
    <n v="2051.6999999999998"/>
    <n v="2960.3"/>
  </r>
  <r>
    <x v="5"/>
    <x v="4"/>
    <s v="50% Dark Bites"/>
    <n v="1281"/>
    <n v="75"/>
    <n v="11.7"/>
    <n v="877.5"/>
    <n v="403.5"/>
  </r>
  <r>
    <x v="6"/>
    <x v="0"/>
    <s v="50% Dark Bites"/>
    <n v="4991"/>
    <n v="12"/>
    <n v="11.7"/>
    <n v="140.39999999999998"/>
    <n v="4850.6000000000004"/>
  </r>
  <r>
    <x v="7"/>
    <x v="3"/>
    <s v="White Choc"/>
    <n v="1785"/>
    <n v="462"/>
    <n v="13.15"/>
    <n v="6075.3"/>
    <n v="-4290.3"/>
  </r>
  <r>
    <x v="8"/>
    <x v="0"/>
    <s v="Eclairs"/>
    <n v="3983"/>
    <n v="144"/>
    <n v="3.11"/>
    <n v="447.84"/>
    <n v="3535.16"/>
  </r>
  <r>
    <x v="2"/>
    <x v="4"/>
    <s v="Mint Chip Choco"/>
    <n v="2646"/>
    <n v="120"/>
    <n v="8.7899999999999991"/>
    <n v="1054.8"/>
    <n v="1591.2"/>
  </r>
  <r>
    <x v="7"/>
    <x v="5"/>
    <s v="Milk Bars"/>
    <n v="252"/>
    <n v="54"/>
    <n v="9.33"/>
    <n v="503.82"/>
    <n v="-251.82"/>
  </r>
  <r>
    <x v="8"/>
    <x v="1"/>
    <s v="White Choc"/>
    <n v="2464"/>
    <n v="234"/>
    <n v="13.15"/>
    <n v="3077.1"/>
    <n v="-613.09999999999991"/>
  </r>
  <r>
    <x v="8"/>
    <x v="1"/>
    <s v="Manuka Honey Choco"/>
    <n v="2114"/>
    <n v="66"/>
    <n v="7.16"/>
    <n v="472.56"/>
    <n v="1641.44"/>
  </r>
  <r>
    <x v="4"/>
    <x v="0"/>
    <s v="Smooth Sliky Salty"/>
    <n v="7693"/>
    <n v="87"/>
    <n v="5.79"/>
    <n v="503.73"/>
    <n v="7189.27"/>
  </r>
  <r>
    <x v="6"/>
    <x v="5"/>
    <s v="Orange Choco"/>
    <n v="15610"/>
    <n v="339"/>
    <n v="10.62"/>
    <n v="3600.18"/>
    <n v="12009.82"/>
  </r>
  <r>
    <x v="3"/>
    <x v="5"/>
    <s v="After Nines"/>
    <n v="336"/>
    <n v="144"/>
    <n v="9.77"/>
    <n v="1406.8799999999999"/>
    <n v="-1070.8799999999999"/>
  </r>
  <r>
    <x v="7"/>
    <x v="3"/>
    <s v="Orange Choco"/>
    <n v="9443"/>
    <n v="162"/>
    <n v="10.62"/>
    <n v="1720.4399999999998"/>
    <n v="7722.56"/>
  </r>
  <r>
    <x v="2"/>
    <x v="5"/>
    <s v="Fruit &amp; Nut Bars"/>
    <n v="8155"/>
    <n v="90"/>
    <n v="6.49"/>
    <n v="584.1"/>
    <n v="7570.9"/>
  </r>
  <r>
    <x v="1"/>
    <x v="4"/>
    <s v="Fruit &amp; Nut Bars"/>
    <n v="1701"/>
    <n v="234"/>
    <n v="6.49"/>
    <n v="1518.66"/>
    <n v="182.33999999999992"/>
  </r>
  <r>
    <x v="9"/>
    <x v="4"/>
    <s v="After Nines"/>
    <n v="2205"/>
    <n v="141"/>
    <n v="9.77"/>
    <n v="1377.57"/>
    <n v="827.43000000000006"/>
  </r>
  <r>
    <x v="1"/>
    <x v="0"/>
    <s v="99% Dark &amp; Pure"/>
    <n v="1771"/>
    <n v="204"/>
    <n v="7.64"/>
    <n v="1558.56"/>
    <n v="212.44000000000005"/>
  </r>
  <r>
    <x v="3"/>
    <x v="1"/>
    <s v="Raspberry Choco"/>
    <n v="2114"/>
    <n v="186"/>
    <n v="11.73"/>
    <n v="2181.7800000000002"/>
    <n v="-67.7800000000002"/>
  </r>
  <r>
    <x v="3"/>
    <x v="2"/>
    <s v="Milk Bars"/>
    <n v="10311"/>
    <n v="231"/>
    <n v="9.33"/>
    <n v="2155.23"/>
    <n v="8155.77"/>
  </r>
  <r>
    <x v="8"/>
    <x v="3"/>
    <s v="Mint Chip Choco"/>
    <n v="21"/>
    <n v="168"/>
    <n v="8.7899999999999991"/>
    <n v="1476.7199999999998"/>
    <n v="-1455.7199999999998"/>
  </r>
  <r>
    <x v="9"/>
    <x v="1"/>
    <s v="Orange Choco"/>
    <n v="1974"/>
    <n v="195"/>
    <n v="10.62"/>
    <n v="2070.8999999999996"/>
    <n v="-96.899999999999636"/>
  </r>
  <r>
    <x v="6"/>
    <x v="2"/>
    <s v="Fruit &amp; Nut Bars"/>
    <n v="6314"/>
    <n v="15"/>
    <n v="6.49"/>
    <n v="97.350000000000009"/>
    <n v="6216.65"/>
  </r>
  <r>
    <x v="9"/>
    <x v="0"/>
    <s v="Fruit &amp; Nut Bars"/>
    <n v="4683"/>
    <n v="30"/>
    <n v="6.49"/>
    <n v="194.70000000000002"/>
    <n v="4488.3"/>
  </r>
  <r>
    <x v="3"/>
    <x v="0"/>
    <s v="85% Dark Bars"/>
    <n v="6398"/>
    <n v="102"/>
    <n v="4.97"/>
    <n v="506.94"/>
    <n v="5891.06"/>
  </r>
  <r>
    <x v="7"/>
    <x v="1"/>
    <s v="99% Dark &amp; Pure"/>
    <n v="553"/>
    <n v="15"/>
    <n v="7.64"/>
    <n v="114.6"/>
    <n v="438.4"/>
  </r>
  <r>
    <x v="1"/>
    <x v="3"/>
    <s v="70% Dark Bites"/>
    <n v="7021"/>
    <n v="183"/>
    <n v="14.49"/>
    <n v="2651.67"/>
    <n v="4369.33"/>
  </r>
  <r>
    <x v="0"/>
    <x v="3"/>
    <s v="After Nines"/>
    <n v="5817"/>
    <n v="12"/>
    <n v="9.77"/>
    <n v="117.24"/>
    <n v="5699.76"/>
  </r>
  <r>
    <x v="3"/>
    <x v="3"/>
    <s v="50% Dark Bites"/>
    <n v="3976"/>
    <n v="72"/>
    <n v="11.7"/>
    <n v="842.4"/>
    <n v="3133.6"/>
  </r>
  <r>
    <x v="4"/>
    <x v="4"/>
    <s v="Organic Choco Syrup"/>
    <n v="1134"/>
    <n v="282"/>
    <n v="16.73"/>
    <n v="4717.8599999999997"/>
    <n v="-3583.8599999999997"/>
  </r>
  <r>
    <x v="7"/>
    <x v="3"/>
    <s v="Caramel Stuffed Bars"/>
    <n v="6027"/>
    <n v="144"/>
    <n v="10.38"/>
    <n v="1494.72"/>
    <n v="4532.28"/>
  </r>
  <r>
    <x v="4"/>
    <x v="0"/>
    <s v="Mint Chip Choco"/>
    <n v="1904"/>
    <n v="405"/>
    <n v="8.7899999999999991"/>
    <n v="3559.95"/>
    <n v="-1655.9499999999998"/>
  </r>
  <r>
    <x v="5"/>
    <x v="5"/>
    <s v="Choco Coated Almonds"/>
    <n v="3262"/>
    <n v="75"/>
    <n v="8.65"/>
    <n v="648.75"/>
    <n v="2613.25"/>
  </r>
  <r>
    <x v="0"/>
    <x v="5"/>
    <s v="Organic Choco Syrup"/>
    <n v="2289"/>
    <n v="135"/>
    <n v="16.73"/>
    <n v="2258.5500000000002"/>
    <n v="30.449999999999818"/>
  </r>
  <r>
    <x v="6"/>
    <x v="5"/>
    <s v="Organic Choco Syrup"/>
    <n v="6986"/>
    <n v="21"/>
    <n v="16.73"/>
    <n v="351.33"/>
    <n v="6634.67"/>
  </r>
  <r>
    <x v="7"/>
    <x v="4"/>
    <s v="Fruit &amp; Nut Bars"/>
    <n v="4417"/>
    <n v="153"/>
    <n v="6.49"/>
    <n v="992.97"/>
    <n v="3424.0299999999997"/>
  </r>
  <r>
    <x v="4"/>
    <x v="5"/>
    <s v="Raspberry Choco"/>
    <n v="1442"/>
    <n v="15"/>
    <n v="11.73"/>
    <n v="175.95000000000002"/>
    <n v="1266.05"/>
  </r>
  <r>
    <x v="8"/>
    <x v="1"/>
    <s v="50% Dark Bites"/>
    <n v="2415"/>
    <n v="255"/>
    <n v="11.7"/>
    <n v="2983.5"/>
    <n v="-568.5"/>
  </r>
  <r>
    <x v="7"/>
    <x v="0"/>
    <s v="99% Dark &amp; Pure"/>
    <n v="238"/>
    <n v="18"/>
    <n v="7.64"/>
    <n v="137.51999999999998"/>
    <n v="100.48000000000002"/>
  </r>
  <r>
    <x v="4"/>
    <x v="0"/>
    <s v="Fruit &amp; Nut Bars"/>
    <n v="4949"/>
    <n v="189"/>
    <n v="6.49"/>
    <n v="1226.6100000000001"/>
    <n v="3722.39"/>
  </r>
  <r>
    <x v="6"/>
    <x v="4"/>
    <s v="Choco Coated Almonds"/>
    <n v="5075"/>
    <n v="21"/>
    <n v="8.65"/>
    <n v="181.65"/>
    <n v="4893.3500000000004"/>
  </r>
  <r>
    <x v="8"/>
    <x v="2"/>
    <s v="Mint Chip Choco"/>
    <n v="9198"/>
    <n v="36"/>
    <n v="8.7899999999999991"/>
    <n v="316.43999999999994"/>
    <n v="8881.56"/>
  </r>
  <r>
    <x v="4"/>
    <x v="5"/>
    <s v="Manuka Honey Choco"/>
    <n v="3339"/>
    <n v="75"/>
    <n v="7.16"/>
    <n v="537"/>
    <n v="2802"/>
  </r>
  <r>
    <x v="0"/>
    <x v="5"/>
    <s v="Eclairs"/>
    <n v="5019"/>
    <n v="156"/>
    <n v="3.11"/>
    <n v="485.15999999999997"/>
    <n v="4533.84"/>
  </r>
  <r>
    <x v="6"/>
    <x v="2"/>
    <s v="Mint Chip Choco"/>
    <n v="16184"/>
    <n v="39"/>
    <n v="8.7899999999999991"/>
    <n v="342.80999999999995"/>
    <n v="15841.19"/>
  </r>
  <r>
    <x v="4"/>
    <x v="2"/>
    <s v="Spicy Special Slims"/>
    <n v="497"/>
    <n v="63"/>
    <n v="9"/>
    <n v="567"/>
    <n v="-70"/>
  </r>
  <r>
    <x v="7"/>
    <x v="2"/>
    <s v="Manuka Honey Choco"/>
    <n v="8211"/>
    <n v="75"/>
    <n v="7.16"/>
    <n v="537"/>
    <n v="7674"/>
  </r>
  <r>
    <x v="7"/>
    <x v="4"/>
    <s v="Caramel Stuffed Bars"/>
    <n v="6580"/>
    <n v="183"/>
    <n v="10.38"/>
    <n v="1899.5400000000002"/>
    <n v="4680.46"/>
  </r>
  <r>
    <x v="3"/>
    <x v="1"/>
    <s v="Milk Bars"/>
    <n v="4760"/>
    <n v="69"/>
    <n v="9.33"/>
    <n v="643.77"/>
    <n v="4116.2299999999996"/>
  </r>
  <r>
    <x v="0"/>
    <x v="2"/>
    <s v="White Choc"/>
    <n v="5439"/>
    <n v="30"/>
    <n v="13.15"/>
    <n v="394.5"/>
    <n v="5044.5"/>
  </r>
  <r>
    <x v="3"/>
    <x v="5"/>
    <s v="Eclairs"/>
    <n v="1463"/>
    <n v="39"/>
    <n v="3.11"/>
    <n v="121.28999999999999"/>
    <n v="1341.71"/>
  </r>
  <r>
    <x v="8"/>
    <x v="5"/>
    <s v="Choco Coated Almonds"/>
    <n v="7777"/>
    <n v="504"/>
    <n v="8.65"/>
    <n v="4359.6000000000004"/>
    <n v="3417.3999999999996"/>
  </r>
  <r>
    <x v="2"/>
    <x v="0"/>
    <s v="Manuka Honey Choco"/>
    <n v="1085"/>
    <n v="273"/>
    <n v="7.16"/>
    <n v="1954.68"/>
    <n v="-869.68000000000006"/>
  </r>
  <r>
    <x v="6"/>
    <x v="0"/>
    <s v="Smooth Sliky Salty"/>
    <n v="182"/>
    <n v="48"/>
    <n v="5.79"/>
    <n v="277.92"/>
    <n v="-95.920000000000016"/>
  </r>
  <r>
    <x v="4"/>
    <x v="5"/>
    <s v="Organic Choco Syrup"/>
    <n v="4242"/>
    <n v="207"/>
    <n v="16.73"/>
    <n v="3463.11"/>
    <n v="778.88999999999987"/>
  </r>
  <r>
    <x v="4"/>
    <x v="2"/>
    <s v="Choco Coated Almonds"/>
    <n v="6118"/>
    <n v="9"/>
    <n v="8.65"/>
    <n v="77.850000000000009"/>
    <n v="6040.15"/>
  </r>
  <r>
    <x v="9"/>
    <x v="2"/>
    <s v="Fruit &amp; Nut Bars"/>
    <n v="2317"/>
    <n v="261"/>
    <n v="6.49"/>
    <n v="1693.89"/>
    <n v="623.1099999999999"/>
  </r>
  <r>
    <x v="4"/>
    <x v="4"/>
    <s v="Mint Chip Choco"/>
    <n v="938"/>
    <n v="6"/>
    <n v="8.7899999999999991"/>
    <n v="52.739999999999995"/>
    <n v="885.26"/>
  </r>
  <r>
    <x v="1"/>
    <x v="0"/>
    <s v="Raspberry Choco"/>
    <n v="9709"/>
    <n v="30"/>
    <n v="11.73"/>
    <n v="351.90000000000003"/>
    <n v="9357.1"/>
  </r>
  <r>
    <x v="5"/>
    <x v="5"/>
    <s v="Orange Choco"/>
    <n v="2205"/>
    <n v="138"/>
    <n v="10.62"/>
    <n v="1465.56"/>
    <n v="739.44"/>
  </r>
  <r>
    <x v="5"/>
    <x v="0"/>
    <s v="Eclairs"/>
    <n v="4487"/>
    <n v="111"/>
    <n v="3.11"/>
    <n v="345.21"/>
    <n v="4141.79"/>
  </r>
  <r>
    <x v="6"/>
    <x v="1"/>
    <s v="Drinking Coco"/>
    <n v="2415"/>
    <n v="15"/>
    <n v="6.47"/>
    <n v="97.05"/>
    <n v="2317.9499999999998"/>
  </r>
  <r>
    <x v="0"/>
    <x v="5"/>
    <s v="99% Dark &amp; Pure"/>
    <n v="4018"/>
    <n v="162"/>
    <n v="7.64"/>
    <n v="1237.6799999999998"/>
    <n v="2780.32"/>
  </r>
  <r>
    <x v="6"/>
    <x v="5"/>
    <s v="99% Dark &amp; Pure"/>
    <n v="861"/>
    <n v="195"/>
    <n v="7.64"/>
    <n v="1489.8"/>
    <n v="-628.79999999999995"/>
  </r>
  <r>
    <x v="9"/>
    <x v="4"/>
    <s v="50% Dark Bites"/>
    <n v="5586"/>
    <n v="525"/>
    <n v="11.7"/>
    <n v="6142.5"/>
    <n v="-556.5"/>
  </r>
  <r>
    <x v="5"/>
    <x v="5"/>
    <s v="Peanut Butter Cubes"/>
    <n v="2226"/>
    <n v="48"/>
    <n v="12.37"/>
    <n v="593.76"/>
    <n v="1632.24"/>
  </r>
  <r>
    <x v="2"/>
    <x v="5"/>
    <s v="Caramel Stuffed Bars"/>
    <n v="14329"/>
    <n v="150"/>
    <n v="10.38"/>
    <n v="1557.0000000000002"/>
    <n v="12772"/>
  </r>
  <r>
    <x v="2"/>
    <x v="5"/>
    <s v="Orange Choco"/>
    <n v="8463"/>
    <n v="492"/>
    <n v="10.62"/>
    <n v="5225.04"/>
    <n v="3237.96"/>
  </r>
  <r>
    <x v="6"/>
    <x v="5"/>
    <s v="Manuka Honey Choco"/>
    <n v="2891"/>
    <n v="102"/>
    <n v="7.16"/>
    <n v="730.32"/>
    <n v="2160.6799999999998"/>
  </r>
  <r>
    <x v="8"/>
    <x v="2"/>
    <s v="Fruit &amp; Nut Bars"/>
    <n v="3773"/>
    <n v="165"/>
    <n v="6.49"/>
    <n v="1070.8500000000001"/>
    <n v="2702.1499999999996"/>
  </r>
  <r>
    <x v="3"/>
    <x v="2"/>
    <s v="Caramel Stuffed Bars"/>
    <n v="854"/>
    <n v="309"/>
    <n v="10.38"/>
    <n v="3207.42"/>
    <n v="-2353.42"/>
  </r>
  <r>
    <x v="4"/>
    <x v="2"/>
    <s v="Eclairs"/>
    <n v="4970"/>
    <n v="156"/>
    <n v="3.11"/>
    <n v="485.15999999999997"/>
    <n v="4484.84"/>
  </r>
  <r>
    <x v="2"/>
    <x v="1"/>
    <s v="Baker's Choco Chips"/>
    <n v="98"/>
    <n v="159"/>
    <n v="5.6"/>
    <n v="890.4"/>
    <n v="-792.4"/>
  </r>
  <r>
    <x v="6"/>
    <x v="1"/>
    <s v="Raspberry Choco"/>
    <n v="13391"/>
    <n v="201"/>
    <n v="11.73"/>
    <n v="2357.73"/>
    <n v="11033.27"/>
  </r>
  <r>
    <x v="1"/>
    <x v="3"/>
    <s v="Smooth Sliky Salty"/>
    <n v="8890"/>
    <n v="210"/>
    <n v="5.79"/>
    <n v="1215.9000000000001"/>
    <n v="7674.1"/>
  </r>
  <r>
    <x v="7"/>
    <x v="4"/>
    <s v="Milk Bars"/>
    <n v="56"/>
    <n v="51"/>
    <n v="9.33"/>
    <n v="475.83"/>
    <n v="-419.83"/>
  </r>
  <r>
    <x v="8"/>
    <x v="2"/>
    <s v="White Choc"/>
    <n v="3339"/>
    <n v="39"/>
    <n v="13.15"/>
    <n v="512.85"/>
    <n v="2826.15"/>
  </r>
  <r>
    <x v="9"/>
    <x v="1"/>
    <s v="Drinking Coco"/>
    <n v="3808"/>
    <n v="279"/>
    <n v="6.47"/>
    <n v="1805.1299999999999"/>
    <n v="2002.8700000000001"/>
  </r>
  <r>
    <x v="9"/>
    <x v="4"/>
    <s v="Milk Bars"/>
    <n v="63"/>
    <n v="123"/>
    <n v="9.33"/>
    <n v="1147.5899999999999"/>
    <n v="-1084.5899999999999"/>
  </r>
  <r>
    <x v="7"/>
    <x v="3"/>
    <s v="Organic Choco Syrup"/>
    <n v="7812"/>
    <n v="81"/>
    <n v="16.73"/>
    <n v="1355.13"/>
    <n v="6456.87"/>
  </r>
  <r>
    <x v="0"/>
    <x v="0"/>
    <s v="99% Dark &amp; Pure"/>
    <n v="7693"/>
    <n v="21"/>
    <n v="7.64"/>
    <n v="160.44"/>
    <n v="7532.56"/>
  </r>
  <r>
    <x v="8"/>
    <x v="2"/>
    <s v="Caramel Stuffed Bars"/>
    <n v="973"/>
    <n v="162"/>
    <n v="10.38"/>
    <n v="1681.5600000000002"/>
    <n v="-708.56000000000017"/>
  </r>
  <r>
    <x v="9"/>
    <x v="1"/>
    <s v="Spicy Special Slims"/>
    <n v="567"/>
    <n v="228"/>
    <n v="9"/>
    <n v="2052"/>
    <n v="-1485"/>
  </r>
  <r>
    <x v="9"/>
    <x v="2"/>
    <s v="Manuka Honey Choco"/>
    <n v="2471"/>
    <n v="342"/>
    <n v="7.16"/>
    <n v="2448.7200000000003"/>
    <n v="22.279999999999745"/>
  </r>
  <r>
    <x v="6"/>
    <x v="4"/>
    <s v="Milk Bars"/>
    <n v="7189"/>
    <n v="54"/>
    <n v="9.33"/>
    <n v="503.82"/>
    <n v="6685.18"/>
  </r>
  <r>
    <x v="3"/>
    <x v="1"/>
    <s v="Caramel Stuffed Bars"/>
    <n v="7455"/>
    <n v="216"/>
    <n v="10.38"/>
    <n v="2242.0800000000004"/>
    <n v="5212.92"/>
  </r>
  <r>
    <x v="8"/>
    <x v="5"/>
    <s v="Baker's Choco Chips"/>
    <n v="3108"/>
    <n v="54"/>
    <n v="5.6"/>
    <n v="302.39999999999998"/>
    <n v="2805.6"/>
  </r>
  <r>
    <x v="4"/>
    <x v="4"/>
    <s v="White Choc"/>
    <n v="469"/>
    <n v="75"/>
    <n v="13.15"/>
    <n v="986.25"/>
    <n v="-517.25"/>
  </r>
  <r>
    <x v="2"/>
    <x v="0"/>
    <s v="Fruit &amp; Nut Bars"/>
    <n v="2737"/>
    <n v="93"/>
    <n v="6.49"/>
    <n v="603.57000000000005"/>
    <n v="2133.4299999999998"/>
  </r>
  <r>
    <x v="2"/>
    <x v="0"/>
    <s v="White Choc"/>
    <n v="4305"/>
    <n v="156"/>
    <n v="13.15"/>
    <n v="2051.4"/>
    <n v="2253.6"/>
  </r>
  <r>
    <x v="2"/>
    <x v="4"/>
    <s v="Eclairs"/>
    <n v="2408"/>
    <n v="9"/>
    <n v="3.11"/>
    <n v="27.99"/>
    <n v="2380.0100000000002"/>
  </r>
  <r>
    <x v="8"/>
    <x v="2"/>
    <s v="99% Dark &amp; Pure"/>
    <n v="1281"/>
    <n v="18"/>
    <n v="7.64"/>
    <n v="137.51999999999998"/>
    <n v="1143.48"/>
  </r>
  <r>
    <x v="0"/>
    <x v="1"/>
    <s v="Choco Coated Almonds"/>
    <n v="12348"/>
    <n v="234"/>
    <n v="8.65"/>
    <n v="2024.1000000000001"/>
    <n v="10323.9"/>
  </r>
  <r>
    <x v="8"/>
    <x v="5"/>
    <s v="Caramel Stuffed Bars"/>
    <n v="3689"/>
    <n v="312"/>
    <n v="10.38"/>
    <n v="3238.5600000000004"/>
    <n v="450.4399999999996"/>
  </r>
  <r>
    <x v="5"/>
    <x v="2"/>
    <s v="99% Dark &amp; Pure"/>
    <n v="2870"/>
    <n v="300"/>
    <n v="7.64"/>
    <n v="2292"/>
    <n v="578"/>
  </r>
  <r>
    <x v="7"/>
    <x v="2"/>
    <s v="Organic Choco Syrup"/>
    <n v="798"/>
    <n v="519"/>
    <n v="16.73"/>
    <n v="8682.8700000000008"/>
    <n v="-7884.8700000000008"/>
  </r>
  <r>
    <x v="3"/>
    <x v="0"/>
    <s v="Spicy Special Slims"/>
    <n v="2933"/>
    <n v="9"/>
    <n v="9"/>
    <n v="81"/>
    <n v="2852"/>
  </r>
  <r>
    <x v="6"/>
    <x v="1"/>
    <s v="Almond Choco"/>
    <n v="2744"/>
    <n v="9"/>
    <n v="11.88"/>
    <n v="106.92"/>
    <n v="2637.08"/>
  </r>
  <r>
    <x v="0"/>
    <x v="2"/>
    <s v="Peanut Butter Cubes"/>
    <n v="9772"/>
    <n v="90"/>
    <n v="12.37"/>
    <n v="1113.3"/>
    <n v="8658.7000000000007"/>
  </r>
  <r>
    <x v="5"/>
    <x v="5"/>
    <s v="White Choc"/>
    <n v="1568"/>
    <n v="96"/>
    <n v="13.15"/>
    <n v="1262.4000000000001"/>
    <n v="305.59999999999991"/>
  </r>
  <r>
    <x v="7"/>
    <x v="2"/>
    <s v="Mint Chip Choco"/>
    <n v="11417"/>
    <n v="21"/>
    <n v="8.7899999999999991"/>
    <n v="184.58999999999997"/>
    <n v="11232.41"/>
  </r>
  <r>
    <x v="0"/>
    <x v="5"/>
    <s v="Baker's Choco Chips"/>
    <n v="6748"/>
    <n v="48"/>
    <n v="5.6"/>
    <n v="268.79999999999995"/>
    <n v="6479.2"/>
  </r>
  <r>
    <x v="9"/>
    <x v="2"/>
    <s v="Organic Choco Syrup"/>
    <n v="1407"/>
    <n v="72"/>
    <n v="16.73"/>
    <n v="1204.56"/>
    <n v="202.44000000000005"/>
  </r>
  <r>
    <x v="1"/>
    <x v="1"/>
    <s v="Manuka Honey Choco"/>
    <n v="2023"/>
    <n v="168"/>
    <n v="7.16"/>
    <n v="1202.8800000000001"/>
    <n v="820.11999999999989"/>
  </r>
  <r>
    <x v="6"/>
    <x v="3"/>
    <s v="Baker's Choco Chips"/>
    <n v="5236"/>
    <n v="51"/>
    <n v="5.6"/>
    <n v="285.59999999999997"/>
    <n v="4950.3999999999996"/>
  </r>
  <r>
    <x v="3"/>
    <x v="2"/>
    <s v="99% Dark &amp; Pure"/>
    <n v="1925"/>
    <n v="192"/>
    <n v="7.64"/>
    <n v="1466.8799999999999"/>
    <n v="458.12000000000012"/>
  </r>
  <r>
    <x v="5"/>
    <x v="0"/>
    <s v="50% Dark Bites"/>
    <n v="6608"/>
    <n v="225"/>
    <n v="11.7"/>
    <n v="2632.5"/>
    <n v="3975.5"/>
  </r>
  <r>
    <x v="4"/>
    <x v="5"/>
    <s v="Baker's Choco Chips"/>
    <n v="8008"/>
    <n v="456"/>
    <n v="5.6"/>
    <n v="2553.6"/>
    <n v="5454.4"/>
  </r>
  <r>
    <x v="9"/>
    <x v="5"/>
    <s v="White Choc"/>
    <n v="1428"/>
    <n v="93"/>
    <n v="13.15"/>
    <n v="1222.95"/>
    <n v="205.04999999999995"/>
  </r>
  <r>
    <x v="4"/>
    <x v="5"/>
    <s v="Almond Choco"/>
    <n v="525"/>
    <n v="48"/>
    <n v="11.88"/>
    <n v="570.24"/>
    <n v="-45.240000000000009"/>
  </r>
  <r>
    <x v="4"/>
    <x v="0"/>
    <s v="Drinking Coco"/>
    <n v="1505"/>
    <n v="102"/>
    <n v="6.47"/>
    <n v="659.93999999999994"/>
    <n v="845.06000000000006"/>
  </r>
  <r>
    <x v="5"/>
    <x v="1"/>
    <s v="70% Dark Bites"/>
    <n v="6755"/>
    <n v="252"/>
    <n v="14.49"/>
    <n v="3651.48"/>
    <n v="3103.52"/>
  </r>
  <r>
    <x v="7"/>
    <x v="0"/>
    <s v="Drinking Coco"/>
    <n v="11571"/>
    <n v="138"/>
    <n v="6.47"/>
    <n v="892.86"/>
    <n v="10678.14"/>
  </r>
  <r>
    <x v="0"/>
    <x v="4"/>
    <s v="White Choc"/>
    <n v="2541"/>
    <n v="90"/>
    <n v="13.15"/>
    <n v="1183.5"/>
    <n v="1357.5"/>
  </r>
  <r>
    <x v="3"/>
    <x v="0"/>
    <s v="70% Dark Bites"/>
    <n v="1526"/>
    <n v="240"/>
    <n v="14.49"/>
    <n v="3477.6"/>
    <n v="-1951.6"/>
  </r>
  <r>
    <x v="0"/>
    <x v="4"/>
    <s v="Almond Choco"/>
    <n v="6125"/>
    <n v="102"/>
    <n v="11.88"/>
    <n v="1211.76"/>
    <n v="4913.24"/>
  </r>
  <r>
    <x v="3"/>
    <x v="1"/>
    <s v="Organic Choco Syrup"/>
    <n v="847"/>
    <n v="129"/>
    <n v="16.73"/>
    <n v="2158.17"/>
    <n v="-1311.17"/>
  </r>
  <r>
    <x v="1"/>
    <x v="1"/>
    <s v="Organic Choco Syrup"/>
    <n v="4753"/>
    <n v="300"/>
    <n v="16.73"/>
    <n v="5019"/>
    <n v="-266"/>
  </r>
  <r>
    <x v="4"/>
    <x v="4"/>
    <s v="Peanut Butter Cubes"/>
    <n v="959"/>
    <n v="135"/>
    <n v="12.37"/>
    <n v="1669.9499999999998"/>
    <n v="-710.94999999999982"/>
  </r>
  <r>
    <x v="5"/>
    <x v="1"/>
    <s v="85% Dark Bars"/>
    <n v="2793"/>
    <n v="114"/>
    <n v="4.97"/>
    <n v="566.57999999999993"/>
    <n v="2226.42"/>
  </r>
  <r>
    <x v="5"/>
    <x v="1"/>
    <s v="50% Dark Bites"/>
    <n v="4606"/>
    <n v="63"/>
    <n v="11.7"/>
    <n v="737.09999999999991"/>
    <n v="3868.9"/>
  </r>
  <r>
    <x v="5"/>
    <x v="2"/>
    <s v="Manuka Honey Choco"/>
    <n v="5551"/>
    <n v="252"/>
    <n v="7.16"/>
    <n v="1804.32"/>
    <n v="3746.6800000000003"/>
  </r>
  <r>
    <x v="9"/>
    <x v="2"/>
    <s v="Choco Coated Almonds"/>
    <n v="6657"/>
    <n v="303"/>
    <n v="8.65"/>
    <n v="2620.9500000000003"/>
    <n v="4036.0499999999997"/>
  </r>
  <r>
    <x v="5"/>
    <x v="3"/>
    <s v="Eclairs"/>
    <n v="4438"/>
    <n v="246"/>
    <n v="3.11"/>
    <n v="765.06"/>
    <n v="3672.94"/>
  </r>
  <r>
    <x v="1"/>
    <x v="4"/>
    <s v="After Nines"/>
    <n v="168"/>
    <n v="84"/>
    <n v="9.77"/>
    <n v="820.68"/>
    <n v="-652.67999999999995"/>
  </r>
  <r>
    <x v="5"/>
    <x v="5"/>
    <s v="Eclairs"/>
    <n v="7777"/>
    <n v="39"/>
    <n v="3.11"/>
    <n v="121.28999999999999"/>
    <n v="7655.71"/>
  </r>
  <r>
    <x v="6"/>
    <x v="2"/>
    <s v="Eclairs"/>
    <n v="3339"/>
    <n v="348"/>
    <n v="3.11"/>
    <n v="1082.28"/>
    <n v="2256.7200000000003"/>
  </r>
  <r>
    <x v="5"/>
    <x v="0"/>
    <s v="Peanut Butter Cubes"/>
    <n v="6391"/>
    <n v="48"/>
    <n v="12.37"/>
    <n v="593.76"/>
    <n v="5797.24"/>
  </r>
  <r>
    <x v="6"/>
    <x v="0"/>
    <s v="After Nines"/>
    <n v="518"/>
    <n v="75"/>
    <n v="9.77"/>
    <n v="732.75"/>
    <n v="-214.75"/>
  </r>
  <r>
    <x v="5"/>
    <x v="4"/>
    <s v="Caramel Stuffed Bars"/>
    <n v="5677"/>
    <n v="258"/>
    <n v="10.38"/>
    <n v="2678.0400000000004"/>
    <n v="2998.9599999999996"/>
  </r>
  <r>
    <x v="4"/>
    <x v="3"/>
    <s v="Eclairs"/>
    <n v="6048"/>
    <n v="27"/>
    <n v="3.11"/>
    <n v="83.97"/>
    <n v="5964.03"/>
  </r>
  <r>
    <x v="1"/>
    <x v="4"/>
    <s v="Choco Coated Almonds"/>
    <n v="3752"/>
    <n v="213"/>
    <n v="8.65"/>
    <n v="1842.45"/>
    <n v="1909.55"/>
  </r>
  <r>
    <x v="6"/>
    <x v="1"/>
    <s v="Manuka Honey Choco"/>
    <n v="4480"/>
    <n v="357"/>
    <n v="7.16"/>
    <n v="2556.12"/>
    <n v="1923.88"/>
  </r>
  <r>
    <x v="2"/>
    <x v="0"/>
    <s v="Almond Choco"/>
    <n v="259"/>
    <n v="207"/>
    <n v="11.88"/>
    <n v="2459.1600000000003"/>
    <n v="-2200.1600000000003"/>
  </r>
  <r>
    <x v="1"/>
    <x v="0"/>
    <s v="70% Dark Bites"/>
    <n v="42"/>
    <n v="150"/>
    <n v="14.49"/>
    <n v="2173.5"/>
    <n v="-2131.5"/>
  </r>
  <r>
    <x v="3"/>
    <x v="2"/>
    <s v="Baker's Choco Chips"/>
    <n v="98"/>
    <n v="204"/>
    <n v="5.6"/>
    <n v="1142.3999999999999"/>
    <n v="-1044.3999999999999"/>
  </r>
  <r>
    <x v="5"/>
    <x v="1"/>
    <s v="Organic Choco Syrup"/>
    <n v="2478"/>
    <n v="21"/>
    <n v="16.73"/>
    <n v="351.33"/>
    <n v="2126.67"/>
  </r>
  <r>
    <x v="3"/>
    <x v="5"/>
    <s v="Peanut Butter Cubes"/>
    <n v="7847"/>
    <n v="174"/>
    <n v="12.37"/>
    <n v="2152.3799999999997"/>
    <n v="5694.6200000000008"/>
  </r>
  <r>
    <x v="7"/>
    <x v="0"/>
    <s v="Eclairs"/>
    <n v="9926"/>
    <n v="201"/>
    <n v="3.11"/>
    <n v="625.11"/>
    <n v="9300.89"/>
  </r>
  <r>
    <x v="1"/>
    <x v="4"/>
    <s v="Milk Bars"/>
    <n v="819"/>
    <n v="510"/>
    <n v="9.33"/>
    <n v="4758.3"/>
    <n v="-3939.3"/>
  </r>
  <r>
    <x v="4"/>
    <x v="3"/>
    <s v="Manuka Honey Choco"/>
    <n v="3052"/>
    <n v="378"/>
    <n v="7.16"/>
    <n v="2706.48"/>
    <n v="345.52"/>
  </r>
  <r>
    <x v="2"/>
    <x v="5"/>
    <s v="Spicy Special Slims"/>
    <n v="6832"/>
    <n v="27"/>
    <n v="9"/>
    <n v="243"/>
    <n v="6589"/>
  </r>
  <r>
    <x v="7"/>
    <x v="3"/>
    <s v="Mint Chip Choco"/>
    <n v="2016"/>
    <n v="117"/>
    <n v="8.7899999999999991"/>
    <n v="1028.4299999999998"/>
    <n v="987.57000000000016"/>
  </r>
  <r>
    <x v="4"/>
    <x v="4"/>
    <s v="Spicy Special Slims"/>
    <n v="7322"/>
    <n v="36"/>
    <n v="9"/>
    <n v="324"/>
    <n v="6998"/>
  </r>
  <r>
    <x v="1"/>
    <x v="1"/>
    <s v="Peanut Butter Cubes"/>
    <n v="357"/>
    <n v="126"/>
    <n v="12.37"/>
    <n v="1558.62"/>
    <n v="-1201.6199999999999"/>
  </r>
  <r>
    <x v="2"/>
    <x v="3"/>
    <s v="White Choc"/>
    <n v="3192"/>
    <n v="72"/>
    <n v="13.15"/>
    <n v="946.80000000000007"/>
    <n v="2245.1999999999998"/>
  </r>
  <r>
    <x v="5"/>
    <x v="2"/>
    <s v="After Nines"/>
    <n v="8435"/>
    <n v="42"/>
    <n v="9.77"/>
    <n v="410.34"/>
    <n v="8024.66"/>
  </r>
  <r>
    <x v="0"/>
    <x v="3"/>
    <s v="Manuka Honey Choco"/>
    <n v="0"/>
    <n v="135"/>
    <n v="7.16"/>
    <n v="966.6"/>
    <n v="-966.6"/>
  </r>
  <r>
    <x v="5"/>
    <x v="5"/>
    <s v="85% Dark Bars"/>
    <n v="8862"/>
    <n v="189"/>
    <n v="4.97"/>
    <n v="939.32999999999993"/>
    <n v="7922.67"/>
  </r>
  <r>
    <x v="4"/>
    <x v="0"/>
    <s v="Caramel Stuffed Bars"/>
    <n v="3556"/>
    <n v="459"/>
    <n v="10.38"/>
    <n v="4764.42"/>
    <n v="-1208.42"/>
  </r>
  <r>
    <x v="6"/>
    <x v="5"/>
    <s v="Raspberry Choco"/>
    <n v="7280"/>
    <n v="201"/>
    <n v="11.73"/>
    <n v="2357.73"/>
    <n v="4922.2700000000004"/>
  </r>
  <r>
    <x v="4"/>
    <x v="5"/>
    <s v="70% Dark Bites"/>
    <n v="3402"/>
    <n v="366"/>
    <n v="14.49"/>
    <n v="5303.34"/>
    <n v="-1901.3400000000001"/>
  </r>
  <r>
    <x v="8"/>
    <x v="0"/>
    <s v="Manuka Honey Choco"/>
    <n v="4592"/>
    <n v="324"/>
    <n v="7.16"/>
    <n v="2319.84"/>
    <n v="2272.16"/>
  </r>
  <r>
    <x v="2"/>
    <x v="1"/>
    <s v="Raspberry Choco"/>
    <n v="7833"/>
    <n v="243"/>
    <n v="11.73"/>
    <n v="2850.3900000000003"/>
    <n v="4982.6099999999997"/>
  </r>
  <r>
    <x v="7"/>
    <x v="3"/>
    <s v="Spicy Special Slims"/>
    <n v="7651"/>
    <n v="213"/>
    <n v="9"/>
    <n v="1917"/>
    <n v="5734"/>
  </r>
  <r>
    <x v="0"/>
    <x v="1"/>
    <s v="70% Dark Bites"/>
    <n v="2275"/>
    <n v="447"/>
    <n v="14.49"/>
    <n v="6477.03"/>
    <n v="-4202.03"/>
  </r>
  <r>
    <x v="0"/>
    <x v="4"/>
    <s v="Milk Bars"/>
    <n v="5670"/>
    <n v="297"/>
    <n v="9.33"/>
    <n v="2771.01"/>
    <n v="2898.99"/>
  </r>
  <r>
    <x v="5"/>
    <x v="1"/>
    <s v="Mint Chip Choco"/>
    <n v="2135"/>
    <n v="27"/>
    <n v="8.7899999999999991"/>
    <n v="237.32999999999998"/>
    <n v="1897.67"/>
  </r>
  <r>
    <x v="0"/>
    <x v="5"/>
    <s v="Fruit &amp; Nut Bars"/>
    <n v="2779"/>
    <n v="75"/>
    <n v="6.49"/>
    <n v="486.75"/>
    <n v="2292.25"/>
  </r>
  <r>
    <x v="9"/>
    <x v="3"/>
    <s v="Peanut Butter Cubes"/>
    <n v="12950"/>
    <n v="30"/>
    <n v="12.37"/>
    <n v="371.09999999999997"/>
    <n v="12578.9"/>
  </r>
  <r>
    <x v="5"/>
    <x v="2"/>
    <s v="Drinking Coco"/>
    <n v="2646"/>
    <n v="177"/>
    <n v="6.47"/>
    <n v="1145.19"/>
    <n v="1500.81"/>
  </r>
  <r>
    <x v="0"/>
    <x v="5"/>
    <s v="Peanut Butter Cubes"/>
    <n v="3794"/>
    <n v="159"/>
    <n v="12.37"/>
    <n v="1966.83"/>
    <n v="1827.17"/>
  </r>
  <r>
    <x v="8"/>
    <x v="1"/>
    <s v="Peanut Butter Cubes"/>
    <n v="819"/>
    <n v="306"/>
    <n v="12.37"/>
    <n v="3785.22"/>
    <n v="-2966.22"/>
  </r>
  <r>
    <x v="8"/>
    <x v="5"/>
    <s v="Orange Choco"/>
    <n v="2583"/>
    <n v="18"/>
    <n v="10.62"/>
    <n v="191.16"/>
    <n v="2391.84"/>
  </r>
  <r>
    <x v="5"/>
    <x v="1"/>
    <s v="99% Dark &amp; Pure"/>
    <n v="4585"/>
    <n v="240"/>
    <n v="7.64"/>
    <n v="1833.6"/>
    <n v="2751.4"/>
  </r>
  <r>
    <x v="6"/>
    <x v="5"/>
    <s v="Peanut Butter Cubes"/>
    <n v="1652"/>
    <n v="93"/>
    <n v="12.37"/>
    <n v="1150.4099999999999"/>
    <n v="501.59000000000015"/>
  </r>
  <r>
    <x v="9"/>
    <x v="5"/>
    <s v="Baker's Choco Chips"/>
    <n v="4991"/>
    <n v="9"/>
    <n v="5.6"/>
    <n v="50.4"/>
    <n v="4940.6000000000004"/>
  </r>
  <r>
    <x v="1"/>
    <x v="5"/>
    <s v="Mint Chip Choco"/>
    <n v="2009"/>
    <n v="219"/>
    <n v="8.7899999999999991"/>
    <n v="1925.0099999999998"/>
    <n v="83.990000000000236"/>
  </r>
  <r>
    <x v="7"/>
    <x v="3"/>
    <s v="After Nines"/>
    <n v="1568"/>
    <n v="141"/>
    <n v="9.77"/>
    <n v="1377.57"/>
    <n v="190.43000000000006"/>
  </r>
  <r>
    <x v="3"/>
    <x v="0"/>
    <s v="Orange Choco"/>
    <n v="3388"/>
    <n v="123"/>
    <n v="10.62"/>
    <n v="1306.26"/>
    <n v="2081.7399999999998"/>
  </r>
  <r>
    <x v="0"/>
    <x v="4"/>
    <s v="85% Dark Bars"/>
    <n v="623"/>
    <n v="51"/>
    <n v="4.97"/>
    <n v="253.47"/>
    <n v="369.53"/>
  </r>
  <r>
    <x v="4"/>
    <x v="2"/>
    <s v="Almond Choco"/>
    <n v="10073"/>
    <n v="120"/>
    <n v="11.88"/>
    <n v="1425.6000000000001"/>
    <n v="8647.4"/>
  </r>
  <r>
    <x v="1"/>
    <x v="3"/>
    <s v="Baker's Choco Chips"/>
    <n v="1561"/>
    <n v="27"/>
    <n v="5.6"/>
    <n v="151.19999999999999"/>
    <n v="1409.8"/>
  </r>
  <r>
    <x v="2"/>
    <x v="2"/>
    <s v="Organic Choco Syrup"/>
    <n v="11522"/>
    <n v="204"/>
    <n v="16.73"/>
    <n v="3412.92"/>
    <n v="8109.08"/>
  </r>
  <r>
    <x v="4"/>
    <x v="4"/>
    <s v="Milk Bars"/>
    <n v="2317"/>
    <n v="123"/>
    <n v="9.33"/>
    <n v="1147.5899999999999"/>
    <n v="1169.4100000000001"/>
  </r>
  <r>
    <x v="9"/>
    <x v="0"/>
    <s v="Caramel Stuffed Bars"/>
    <n v="3059"/>
    <n v="27"/>
    <n v="10.38"/>
    <n v="280.26000000000005"/>
    <n v="2778.74"/>
  </r>
  <r>
    <x v="3"/>
    <x v="0"/>
    <s v="Baker's Choco Chips"/>
    <n v="2324"/>
    <n v="177"/>
    <n v="5.6"/>
    <n v="991.19999999999993"/>
    <n v="1332.8000000000002"/>
  </r>
  <r>
    <x v="8"/>
    <x v="3"/>
    <s v="Baker's Choco Chips"/>
    <n v="4956"/>
    <n v="171"/>
    <n v="5.6"/>
    <n v="957.59999999999991"/>
    <n v="3998.4"/>
  </r>
  <r>
    <x v="9"/>
    <x v="5"/>
    <s v="99% Dark &amp; Pure"/>
    <n v="5355"/>
    <n v="204"/>
    <n v="7.64"/>
    <n v="1558.56"/>
    <n v="3796.44"/>
  </r>
  <r>
    <x v="8"/>
    <x v="5"/>
    <s v="50% Dark Bites"/>
    <n v="7259"/>
    <n v="276"/>
    <n v="11.7"/>
    <n v="3229.2"/>
    <n v="4029.8"/>
  </r>
  <r>
    <x v="1"/>
    <x v="0"/>
    <s v="Baker's Choco Chips"/>
    <n v="6279"/>
    <n v="45"/>
    <n v="5.6"/>
    <n v="251.99999999999997"/>
    <n v="6027"/>
  </r>
  <r>
    <x v="0"/>
    <x v="4"/>
    <s v="Manuka Honey Choco"/>
    <n v="2541"/>
    <n v="45"/>
    <n v="7.16"/>
    <n v="322.2"/>
    <n v="2218.8000000000002"/>
  </r>
  <r>
    <x v="4"/>
    <x v="1"/>
    <s v="Organic Choco Syrup"/>
    <n v="3864"/>
    <n v="177"/>
    <n v="16.73"/>
    <n v="2961.21"/>
    <n v="902.79"/>
  </r>
  <r>
    <x v="6"/>
    <x v="2"/>
    <s v="Milk Bars"/>
    <n v="6146"/>
    <n v="63"/>
    <n v="9.33"/>
    <n v="587.79"/>
    <n v="5558.21"/>
  </r>
  <r>
    <x v="2"/>
    <x v="3"/>
    <s v="Drinking Coco"/>
    <n v="2639"/>
    <n v="204"/>
    <n v="6.47"/>
    <n v="1319.8799999999999"/>
    <n v="1319.1200000000001"/>
  </r>
  <r>
    <x v="1"/>
    <x v="0"/>
    <s v="After Nines"/>
    <n v="1890"/>
    <n v="195"/>
    <n v="9.77"/>
    <n v="1905.1499999999999"/>
    <n v="-15.149999999999864"/>
  </r>
  <r>
    <x v="5"/>
    <x v="5"/>
    <s v="50% Dark Bites"/>
    <n v="1932"/>
    <n v="369"/>
    <n v="11.7"/>
    <n v="4317.3"/>
    <n v="-2385.3000000000002"/>
  </r>
  <r>
    <x v="8"/>
    <x v="5"/>
    <s v="White Choc"/>
    <n v="6300"/>
    <n v="42"/>
    <n v="13.15"/>
    <n v="552.30000000000007"/>
    <n v="5747.7"/>
  </r>
  <r>
    <x v="4"/>
    <x v="0"/>
    <s v="70% Dark Bites"/>
    <n v="560"/>
    <n v="81"/>
    <n v="14.49"/>
    <n v="1173.69"/>
    <n v="-613.69000000000005"/>
  </r>
  <r>
    <x v="2"/>
    <x v="0"/>
    <s v="Baker's Choco Chips"/>
    <n v="2856"/>
    <n v="246"/>
    <n v="5.6"/>
    <n v="1377.6"/>
    <n v="1478.4"/>
  </r>
  <r>
    <x v="2"/>
    <x v="5"/>
    <s v="Eclairs"/>
    <n v="707"/>
    <n v="174"/>
    <n v="3.11"/>
    <n v="541.14"/>
    <n v="165.86"/>
  </r>
  <r>
    <x v="1"/>
    <x v="1"/>
    <s v="70% Dark Bites"/>
    <n v="3598"/>
    <n v="81"/>
    <n v="14.49"/>
    <n v="1173.69"/>
    <n v="2424.31"/>
  </r>
  <r>
    <x v="0"/>
    <x v="1"/>
    <s v="After Nines"/>
    <n v="6853"/>
    <n v="372"/>
    <n v="9.77"/>
    <n v="3634.44"/>
    <n v="3218.56"/>
  </r>
  <r>
    <x v="0"/>
    <x v="1"/>
    <s v="Mint Chip Choco"/>
    <n v="4725"/>
    <n v="174"/>
    <n v="8.7899999999999991"/>
    <n v="1529.4599999999998"/>
    <n v="3195.54"/>
  </r>
  <r>
    <x v="3"/>
    <x v="2"/>
    <s v="Choco Coated Almonds"/>
    <n v="10304"/>
    <n v="84"/>
    <n v="8.65"/>
    <n v="726.6"/>
    <n v="9577.4"/>
  </r>
  <r>
    <x v="3"/>
    <x v="5"/>
    <s v="Mint Chip Choco"/>
    <n v="1274"/>
    <n v="225"/>
    <n v="8.7899999999999991"/>
    <n v="1977.7499999999998"/>
    <n v="-703.74999999999977"/>
  </r>
  <r>
    <x v="6"/>
    <x v="2"/>
    <s v="70% Dark Bites"/>
    <n v="1526"/>
    <n v="105"/>
    <n v="14.49"/>
    <n v="1521.45"/>
    <n v="4.5499999999999545"/>
  </r>
  <r>
    <x v="0"/>
    <x v="3"/>
    <s v="Caramel Stuffed Bars"/>
    <n v="3101"/>
    <n v="225"/>
    <n v="10.38"/>
    <n v="2335.5"/>
    <n v="765.5"/>
  </r>
  <r>
    <x v="7"/>
    <x v="0"/>
    <s v="50% Dark Bites"/>
    <n v="1057"/>
    <n v="54"/>
    <n v="11.7"/>
    <n v="631.79999999999995"/>
    <n v="425.20000000000005"/>
  </r>
  <r>
    <x v="5"/>
    <x v="0"/>
    <s v="Baker's Choco Chips"/>
    <n v="5306"/>
    <n v="0"/>
    <n v="5.6"/>
    <n v="0"/>
    <n v="5306"/>
  </r>
  <r>
    <x v="6"/>
    <x v="3"/>
    <s v="85% Dark Bars"/>
    <n v="4018"/>
    <n v="171"/>
    <n v="4.97"/>
    <n v="849.87"/>
    <n v="3168.13"/>
  </r>
  <r>
    <x v="2"/>
    <x v="5"/>
    <s v="Mint Chip Choco"/>
    <n v="938"/>
    <n v="189"/>
    <n v="8.7899999999999991"/>
    <n v="1661.31"/>
    <n v="-723.31"/>
  </r>
  <r>
    <x v="5"/>
    <x v="4"/>
    <s v="Drinking Coco"/>
    <n v="1778"/>
    <n v="270"/>
    <n v="6.47"/>
    <n v="1746.8999999999999"/>
    <n v="31.100000000000136"/>
  </r>
  <r>
    <x v="4"/>
    <x v="3"/>
    <s v="70% Dark Bites"/>
    <n v="1638"/>
    <n v="63"/>
    <n v="14.49"/>
    <n v="912.87"/>
    <n v="725.13"/>
  </r>
  <r>
    <x v="3"/>
    <x v="4"/>
    <s v="White Choc"/>
    <n v="154"/>
    <n v="21"/>
    <n v="13.15"/>
    <n v="276.15000000000003"/>
    <n v="-122.15000000000003"/>
  </r>
  <r>
    <x v="5"/>
    <x v="0"/>
    <s v="After Nines"/>
    <n v="9835"/>
    <n v="207"/>
    <n v="9.77"/>
    <n v="2022.3899999999999"/>
    <n v="7812.6100000000006"/>
  </r>
  <r>
    <x v="2"/>
    <x v="0"/>
    <s v="Orange Choco"/>
    <n v="7273"/>
    <n v="96"/>
    <n v="10.62"/>
    <n v="1019.52"/>
    <n v="6253.48"/>
  </r>
  <r>
    <x v="6"/>
    <x v="3"/>
    <s v="After Nines"/>
    <n v="6909"/>
    <n v="81"/>
    <n v="9.77"/>
    <n v="791.37"/>
    <n v="6117.63"/>
  </r>
  <r>
    <x v="2"/>
    <x v="3"/>
    <s v="85% Dark Bars"/>
    <n v="3920"/>
    <n v="306"/>
    <n v="4.97"/>
    <n v="1520.82"/>
    <n v="2399.1800000000003"/>
  </r>
  <r>
    <x v="9"/>
    <x v="3"/>
    <s v="Spicy Special Slims"/>
    <n v="4858"/>
    <n v="279"/>
    <n v="9"/>
    <n v="2511"/>
    <n v="2347"/>
  </r>
  <r>
    <x v="7"/>
    <x v="4"/>
    <s v="Almond Choco"/>
    <n v="3549"/>
    <n v="3"/>
    <n v="11.88"/>
    <n v="35.64"/>
    <n v="3513.36"/>
  </r>
  <r>
    <x v="5"/>
    <x v="3"/>
    <s v="Organic Choco Syrup"/>
    <n v="966"/>
    <n v="198"/>
    <n v="16.73"/>
    <n v="3312.54"/>
    <n v="-2346.54"/>
  </r>
  <r>
    <x v="6"/>
    <x v="3"/>
    <s v="Drinking Coco"/>
    <n v="385"/>
    <n v="249"/>
    <n v="6.47"/>
    <n v="1611.03"/>
    <n v="-1226.03"/>
  </r>
  <r>
    <x v="4"/>
    <x v="5"/>
    <s v="Mint Chip Choco"/>
    <n v="2219"/>
    <n v="75"/>
    <n v="8.7899999999999991"/>
    <n v="659.24999999999989"/>
    <n v="1559.75"/>
  </r>
  <r>
    <x v="2"/>
    <x v="2"/>
    <s v="Choco Coated Almonds"/>
    <n v="2954"/>
    <n v="189"/>
    <n v="8.65"/>
    <n v="1634.8500000000001"/>
    <n v="1319.1499999999999"/>
  </r>
  <r>
    <x v="5"/>
    <x v="2"/>
    <s v="Choco Coated Almonds"/>
    <n v="280"/>
    <n v="87"/>
    <n v="8.65"/>
    <n v="752.55000000000007"/>
    <n v="-472.55000000000007"/>
  </r>
  <r>
    <x v="3"/>
    <x v="2"/>
    <s v="70% Dark Bites"/>
    <n v="6118"/>
    <n v="174"/>
    <n v="14.49"/>
    <n v="2521.2600000000002"/>
    <n v="3596.74"/>
  </r>
  <r>
    <x v="7"/>
    <x v="3"/>
    <s v="Raspberry Choco"/>
    <n v="4802"/>
    <n v="36"/>
    <n v="11.73"/>
    <n v="422.28000000000003"/>
    <n v="4379.72"/>
  </r>
  <r>
    <x v="2"/>
    <x v="4"/>
    <s v="85% Dark Bars"/>
    <n v="4137"/>
    <n v="60"/>
    <n v="4.97"/>
    <n v="298.2"/>
    <n v="3838.8"/>
  </r>
  <r>
    <x v="8"/>
    <x v="1"/>
    <s v="Fruit &amp; Nut Bars"/>
    <n v="2023"/>
    <n v="78"/>
    <n v="6.49"/>
    <n v="506.22"/>
    <n v="1516.78"/>
  </r>
  <r>
    <x v="2"/>
    <x v="2"/>
    <s v="70% Dark Bites"/>
    <n v="9051"/>
    <n v="57"/>
    <n v="14.49"/>
    <n v="825.93000000000006"/>
    <n v="8225.07"/>
  </r>
  <r>
    <x v="2"/>
    <x v="0"/>
    <s v="Caramel Stuffed Bars"/>
    <n v="2919"/>
    <n v="45"/>
    <n v="10.38"/>
    <n v="467.1"/>
    <n v="2451.9"/>
  </r>
  <r>
    <x v="3"/>
    <x v="4"/>
    <s v="After Nines"/>
    <n v="5915"/>
    <n v="3"/>
    <n v="9.77"/>
    <n v="29.31"/>
    <n v="5885.69"/>
  </r>
  <r>
    <x v="9"/>
    <x v="1"/>
    <s v="Raspberry Choco"/>
    <n v="2562"/>
    <n v="6"/>
    <n v="11.73"/>
    <n v="70.38"/>
    <n v="2491.62"/>
  </r>
  <r>
    <x v="6"/>
    <x v="0"/>
    <s v="White Choc"/>
    <n v="8813"/>
    <n v="21"/>
    <n v="13.15"/>
    <n v="276.15000000000003"/>
    <n v="8536.85"/>
  </r>
  <r>
    <x v="6"/>
    <x v="2"/>
    <s v="Drinking Coco"/>
    <n v="6111"/>
    <n v="3"/>
    <n v="6.47"/>
    <n v="19.41"/>
    <n v="6091.59"/>
  </r>
  <r>
    <x v="1"/>
    <x v="5"/>
    <s v="Smooth Sliky Salty"/>
    <n v="3507"/>
    <n v="288"/>
    <n v="5.79"/>
    <n v="1667.52"/>
    <n v="1839.48"/>
  </r>
  <r>
    <x v="4"/>
    <x v="2"/>
    <s v="Milk Bars"/>
    <n v="4319"/>
    <n v="30"/>
    <n v="9.33"/>
    <n v="279.89999999999998"/>
    <n v="4039.1"/>
  </r>
  <r>
    <x v="0"/>
    <x v="4"/>
    <s v="Baker's Choco Chips"/>
    <n v="609"/>
    <n v="87"/>
    <n v="5.6"/>
    <n v="487.2"/>
    <n v="121.80000000000001"/>
  </r>
  <r>
    <x v="0"/>
    <x v="3"/>
    <s v="Organic Choco Syrup"/>
    <n v="6370"/>
    <n v="30"/>
    <n v="16.73"/>
    <n v="501.90000000000003"/>
    <n v="5868.1"/>
  </r>
  <r>
    <x v="6"/>
    <x v="4"/>
    <s v="99% Dark &amp; Pure"/>
    <n v="5474"/>
    <n v="168"/>
    <n v="7.64"/>
    <n v="1283.52"/>
    <n v="4190.4799999999996"/>
  </r>
  <r>
    <x v="0"/>
    <x v="2"/>
    <s v="Organic Choco Syrup"/>
    <n v="3164"/>
    <n v="306"/>
    <n v="16.73"/>
    <n v="5119.38"/>
    <n v="-1955.38"/>
  </r>
  <r>
    <x v="4"/>
    <x v="1"/>
    <s v="Almond Choco"/>
    <n v="1302"/>
    <n v="402"/>
    <n v="11.88"/>
    <n v="4775.76"/>
    <n v="-3473.76"/>
  </r>
  <r>
    <x v="8"/>
    <x v="0"/>
    <s v="Caramel Stuffed Bars"/>
    <n v="7308"/>
    <n v="327"/>
    <n v="10.38"/>
    <n v="3394.26"/>
    <n v="3913.74"/>
  </r>
  <r>
    <x v="0"/>
    <x v="0"/>
    <s v="Organic Choco Syrup"/>
    <n v="6132"/>
    <n v="93"/>
    <n v="16.73"/>
    <n v="1555.89"/>
    <n v="4576.1099999999997"/>
  </r>
  <r>
    <x v="9"/>
    <x v="1"/>
    <s v="50% Dark Bites"/>
    <n v="3472"/>
    <n v="96"/>
    <n v="11.7"/>
    <n v="1123.1999999999998"/>
    <n v="2348.8000000000002"/>
  </r>
  <r>
    <x v="1"/>
    <x v="3"/>
    <s v="Drinking Coco"/>
    <n v="9660"/>
    <n v="27"/>
    <n v="6.47"/>
    <n v="174.69"/>
    <n v="9485.31"/>
  </r>
  <r>
    <x v="2"/>
    <x v="4"/>
    <s v="Baker's Choco Chips"/>
    <n v="2436"/>
    <n v="99"/>
    <n v="5.6"/>
    <n v="554.4"/>
    <n v="1881.6"/>
  </r>
  <r>
    <x v="2"/>
    <x v="4"/>
    <s v="Peanut Butter Cubes"/>
    <n v="9506"/>
    <n v="87"/>
    <n v="12.37"/>
    <n v="1076.1899999999998"/>
    <n v="8429.81"/>
  </r>
  <r>
    <x v="9"/>
    <x v="0"/>
    <s v="Spicy Special Slims"/>
    <n v="245"/>
    <n v="288"/>
    <n v="9"/>
    <n v="2592"/>
    <n v="-2347"/>
  </r>
  <r>
    <x v="1"/>
    <x v="1"/>
    <s v="Orange Choco"/>
    <n v="2702"/>
    <n v="363"/>
    <n v="10.62"/>
    <n v="3855.0599999999995"/>
    <n v="-1153.0599999999995"/>
  </r>
  <r>
    <x v="9"/>
    <x v="5"/>
    <s v="Eclairs"/>
    <n v="700"/>
    <n v="87"/>
    <n v="3.11"/>
    <n v="270.57"/>
    <n v="429.43"/>
  </r>
  <r>
    <x v="4"/>
    <x v="5"/>
    <s v="Eclairs"/>
    <n v="3759"/>
    <n v="150"/>
    <n v="3.11"/>
    <n v="466.5"/>
    <n v="3292.5"/>
  </r>
  <r>
    <x v="7"/>
    <x v="1"/>
    <s v="Eclairs"/>
    <n v="1589"/>
    <n v="303"/>
    <n v="3.11"/>
    <n v="942.32999999999993"/>
    <n v="646.67000000000007"/>
  </r>
  <r>
    <x v="5"/>
    <x v="1"/>
    <s v="Caramel Stuffed Bars"/>
    <n v="5194"/>
    <n v="288"/>
    <n v="10.38"/>
    <n v="2989.44"/>
    <n v="2204.56"/>
  </r>
  <r>
    <x v="9"/>
    <x v="2"/>
    <s v="Milk Bars"/>
    <n v="945"/>
    <n v="75"/>
    <n v="9.33"/>
    <n v="699.75"/>
    <n v="245.25"/>
  </r>
  <r>
    <x v="0"/>
    <x v="4"/>
    <s v="Smooth Sliky Salty"/>
    <n v="1988"/>
    <n v="39"/>
    <n v="5.79"/>
    <n v="225.81"/>
    <n v="1762.19"/>
  </r>
  <r>
    <x v="4"/>
    <x v="5"/>
    <s v="Choco Coated Almonds"/>
    <n v="6734"/>
    <n v="123"/>
    <n v="8.65"/>
    <n v="1063.95"/>
    <n v="5670.05"/>
  </r>
  <r>
    <x v="0"/>
    <x v="2"/>
    <s v="Almond Choco"/>
    <n v="217"/>
    <n v="36"/>
    <n v="11.88"/>
    <n v="427.68"/>
    <n v="-210.68"/>
  </r>
  <r>
    <x v="6"/>
    <x v="5"/>
    <s v="After Nines"/>
    <n v="6279"/>
    <n v="237"/>
    <n v="9.77"/>
    <n v="2315.4899999999998"/>
    <n v="3963.51"/>
  </r>
  <r>
    <x v="0"/>
    <x v="2"/>
    <s v="Milk Bars"/>
    <n v="4424"/>
    <n v="201"/>
    <n v="9.33"/>
    <n v="1875.33"/>
    <n v="2548.67"/>
  </r>
  <r>
    <x v="7"/>
    <x v="2"/>
    <s v="Eclairs"/>
    <n v="189"/>
    <n v="48"/>
    <n v="3.11"/>
    <n v="149.28"/>
    <n v="39.72"/>
  </r>
  <r>
    <x v="6"/>
    <x v="1"/>
    <s v="After Nines"/>
    <n v="490"/>
    <n v="84"/>
    <n v="9.77"/>
    <n v="820.68"/>
    <n v="-330.67999999999995"/>
  </r>
  <r>
    <x v="1"/>
    <x v="0"/>
    <s v="Spicy Special Slims"/>
    <n v="434"/>
    <n v="87"/>
    <n v="9"/>
    <n v="783"/>
    <n v="-349"/>
  </r>
  <r>
    <x v="5"/>
    <x v="4"/>
    <s v="70% Dark Bites"/>
    <n v="10129"/>
    <n v="312"/>
    <n v="14.49"/>
    <n v="4520.88"/>
    <n v="5608.12"/>
  </r>
  <r>
    <x v="8"/>
    <x v="3"/>
    <s v="Caramel Stuffed Bars"/>
    <n v="1652"/>
    <n v="102"/>
    <n v="10.38"/>
    <n v="1058.76"/>
    <n v="593.24"/>
  </r>
  <r>
    <x v="1"/>
    <x v="4"/>
    <s v="Spicy Special Slims"/>
    <n v="6433"/>
    <n v="78"/>
    <n v="9"/>
    <n v="702"/>
    <n v="5731"/>
  </r>
  <r>
    <x v="8"/>
    <x v="5"/>
    <s v="Fruit &amp; Nut Bars"/>
    <n v="2212"/>
    <n v="117"/>
    <n v="6.49"/>
    <n v="759.33"/>
    <n v="1452.67"/>
  </r>
  <r>
    <x v="3"/>
    <x v="1"/>
    <s v="99% Dark &amp; Pure"/>
    <n v="609"/>
    <n v="99"/>
    <n v="7.64"/>
    <n v="756.36"/>
    <n v="-147.36000000000001"/>
  </r>
  <r>
    <x v="0"/>
    <x v="1"/>
    <s v="85% Dark Bars"/>
    <n v="1638"/>
    <n v="48"/>
    <n v="4.97"/>
    <n v="238.56"/>
    <n v="1399.44"/>
  </r>
  <r>
    <x v="5"/>
    <x v="5"/>
    <s v="Raspberry Choco"/>
    <n v="3829"/>
    <n v="24"/>
    <n v="11.73"/>
    <n v="281.52"/>
    <n v="3547.48"/>
  </r>
  <r>
    <x v="0"/>
    <x v="3"/>
    <s v="Raspberry Choco"/>
    <n v="5775"/>
    <n v="42"/>
    <n v="11.73"/>
    <n v="492.66"/>
    <n v="5282.34"/>
  </r>
  <r>
    <x v="4"/>
    <x v="1"/>
    <s v="Orange Choco"/>
    <n v="1071"/>
    <n v="270"/>
    <n v="10.62"/>
    <n v="2867.3999999999996"/>
    <n v="-1796.3999999999996"/>
  </r>
  <r>
    <x v="1"/>
    <x v="2"/>
    <s v="Fruit &amp; Nut Bars"/>
    <n v="5019"/>
    <n v="150"/>
    <n v="6.49"/>
    <n v="973.5"/>
    <n v="4045.5"/>
  </r>
  <r>
    <x v="7"/>
    <x v="0"/>
    <s v="Raspberry Choco"/>
    <n v="2863"/>
    <n v="42"/>
    <n v="11.73"/>
    <n v="492.66"/>
    <n v="2370.34"/>
  </r>
  <r>
    <x v="0"/>
    <x v="1"/>
    <s v="Manuka Honey Choco"/>
    <n v="1617"/>
    <n v="126"/>
    <n v="7.16"/>
    <n v="902.16"/>
    <n v="714.84"/>
  </r>
  <r>
    <x v="4"/>
    <x v="0"/>
    <s v="Baker's Choco Chips"/>
    <n v="6818"/>
    <n v="6"/>
    <n v="5.6"/>
    <n v="33.599999999999994"/>
    <n v="6784.4"/>
  </r>
  <r>
    <x v="8"/>
    <x v="1"/>
    <s v="Raspberry Choco"/>
    <n v="6657"/>
    <n v="276"/>
    <n v="11.73"/>
    <n v="3237.48"/>
    <n v="3419.52"/>
  </r>
  <r>
    <x v="8"/>
    <x v="5"/>
    <s v="Eclairs"/>
    <n v="2919"/>
    <n v="93"/>
    <n v="3.11"/>
    <n v="289.22999999999996"/>
    <n v="2629.77"/>
  </r>
  <r>
    <x v="7"/>
    <x v="2"/>
    <s v="Smooth Sliky Salty"/>
    <n v="3094"/>
    <n v="246"/>
    <n v="5.79"/>
    <n v="1424.34"/>
    <n v="1669.66"/>
  </r>
  <r>
    <x v="4"/>
    <x v="3"/>
    <s v="85% Dark Bars"/>
    <n v="2989"/>
    <n v="3"/>
    <n v="4.97"/>
    <n v="14.91"/>
    <n v="2974.09"/>
  </r>
  <r>
    <x v="1"/>
    <x v="4"/>
    <s v="Organic Choco Syrup"/>
    <n v="2268"/>
    <n v="63"/>
    <n v="16.73"/>
    <n v="1053.99"/>
    <n v="1214.01"/>
  </r>
  <r>
    <x v="6"/>
    <x v="1"/>
    <s v="Smooth Sliky Salty"/>
    <n v="4753"/>
    <n v="246"/>
    <n v="5.79"/>
    <n v="1424.34"/>
    <n v="3328.66"/>
  </r>
  <r>
    <x v="7"/>
    <x v="5"/>
    <s v="99% Dark &amp; Pure"/>
    <n v="7511"/>
    <n v="120"/>
    <n v="7.64"/>
    <n v="916.8"/>
    <n v="6594.2"/>
  </r>
  <r>
    <x v="7"/>
    <x v="4"/>
    <s v="Smooth Sliky Salty"/>
    <n v="4326"/>
    <n v="348"/>
    <n v="5.79"/>
    <n v="2014.92"/>
    <n v="2311.08"/>
  </r>
  <r>
    <x v="3"/>
    <x v="5"/>
    <s v="Fruit &amp; Nut Bars"/>
    <n v="4935"/>
    <n v="126"/>
    <n v="6.49"/>
    <n v="817.74"/>
    <n v="4117.26"/>
  </r>
  <r>
    <x v="4"/>
    <x v="1"/>
    <s v="70% Dark Bites"/>
    <n v="4781"/>
    <n v="123"/>
    <n v="14.49"/>
    <n v="1782.27"/>
    <n v="2998.73"/>
  </r>
  <r>
    <x v="6"/>
    <x v="4"/>
    <s v="White Choc"/>
    <n v="7483"/>
    <n v="45"/>
    <n v="13.15"/>
    <n v="591.75"/>
    <n v="6891.25"/>
  </r>
  <r>
    <x v="9"/>
    <x v="4"/>
    <s v="Almond Choco"/>
    <n v="6860"/>
    <n v="126"/>
    <n v="11.88"/>
    <n v="1496.88"/>
    <n v="5363.12"/>
  </r>
  <r>
    <x v="0"/>
    <x v="0"/>
    <s v="Manuka Honey Choco"/>
    <n v="9002"/>
    <n v="72"/>
    <n v="7.16"/>
    <n v="515.52"/>
    <n v="8486.48"/>
  </r>
  <r>
    <x v="4"/>
    <x v="2"/>
    <s v="Manuka Honey Choco"/>
    <n v="1400"/>
    <n v="135"/>
    <n v="7.16"/>
    <n v="966.6"/>
    <n v="433.4"/>
  </r>
  <r>
    <x v="9"/>
    <x v="5"/>
    <s v="After Nines"/>
    <n v="4053"/>
    <n v="24"/>
    <n v="9.77"/>
    <n v="234.48"/>
    <n v="3818.52"/>
  </r>
  <r>
    <x v="5"/>
    <x v="2"/>
    <s v="Smooth Sliky Salty"/>
    <n v="2149"/>
    <n v="117"/>
    <n v="5.79"/>
    <n v="677.43"/>
    <n v="1471.5700000000002"/>
  </r>
  <r>
    <x v="8"/>
    <x v="3"/>
    <s v="Manuka Honey Choco"/>
    <n v="3640"/>
    <n v="51"/>
    <n v="7.16"/>
    <n v="365.16"/>
    <n v="3274.84"/>
  </r>
  <r>
    <x v="7"/>
    <x v="3"/>
    <s v="Fruit &amp; Nut Bars"/>
    <n v="630"/>
    <n v="36"/>
    <n v="6.49"/>
    <n v="233.64000000000001"/>
    <n v="396.36"/>
  </r>
  <r>
    <x v="2"/>
    <x v="1"/>
    <s v="Organic Choco Syrup"/>
    <n v="2429"/>
    <n v="144"/>
    <n v="16.73"/>
    <n v="2409.12"/>
    <n v="19.880000000000109"/>
  </r>
  <r>
    <x v="2"/>
    <x v="2"/>
    <s v="White Choc"/>
    <n v="2142"/>
    <n v="114"/>
    <n v="13.15"/>
    <n v="1499.1000000000001"/>
    <n v="642.89999999999986"/>
  </r>
  <r>
    <x v="5"/>
    <x v="0"/>
    <s v="70% Dark Bites"/>
    <n v="6454"/>
    <n v="54"/>
    <n v="14.49"/>
    <n v="782.46"/>
    <n v="5671.54"/>
  </r>
  <r>
    <x v="5"/>
    <x v="0"/>
    <s v="Mint Chip Choco"/>
    <n v="4487"/>
    <n v="333"/>
    <n v="8.7899999999999991"/>
    <n v="2927.0699999999997"/>
    <n v="1559.9300000000003"/>
  </r>
  <r>
    <x v="8"/>
    <x v="0"/>
    <s v="Almond Choco"/>
    <n v="938"/>
    <n v="366"/>
    <n v="11.88"/>
    <n v="4348.08"/>
    <n v="-3410.08"/>
  </r>
  <r>
    <x v="8"/>
    <x v="4"/>
    <s v="Baker's Choco Chips"/>
    <n v="8841"/>
    <n v="303"/>
    <n v="5.6"/>
    <n v="1696.8"/>
    <n v="7144.2"/>
  </r>
  <r>
    <x v="7"/>
    <x v="3"/>
    <s v="Peanut Butter Cubes"/>
    <n v="4018"/>
    <n v="126"/>
    <n v="12.37"/>
    <n v="1558.62"/>
    <n v="2459.38"/>
  </r>
  <r>
    <x v="3"/>
    <x v="0"/>
    <s v="Raspberry Choco"/>
    <n v="714"/>
    <n v="231"/>
    <n v="11.73"/>
    <n v="2709.63"/>
    <n v="-1995.63"/>
  </r>
  <r>
    <x v="2"/>
    <x v="4"/>
    <s v="White Choc"/>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1609F-15F7-463D-A3FB-3B7C153AAF0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D9" firstHeaderRow="0" firstDataRow="1" firstDataCol="1"/>
  <pivotFields count="8">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 numFmtId="164"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8"/>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6E4EB-79E1-4871-B6B3-999E94793B2D}" name="PivotTable3" cacheId="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C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074653-23DA-44ED-99B2-FDF7776736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8">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 numFmtId="164"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C52D7-2660-4851-8663-8E997DD6BF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8">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 numFmtId="164"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B77C4-CFEA-4413-9A4A-620D5A8C38E6}" name="PivotTable9" cacheId="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26" firstHeaderRow="0" firstDataRow="1" firstDataCol="1"/>
  <pivotFields count="5">
    <pivotField axis="axisRow" allDrilled="1" subtotalTop="0" showAll="0" defaultSubtotal="0" defaultAttributeDrillState="1">
      <items count="22">
        <item x="1"/>
        <item x="4"/>
        <item x="6"/>
        <item x="7"/>
        <item x="10"/>
        <item x="11"/>
        <item x="12"/>
        <item x="14"/>
        <item x="16"/>
        <item x="17"/>
        <item x="19"/>
        <item x="20"/>
        <item x="21"/>
        <item x="9"/>
        <item x="3"/>
        <item x="5"/>
        <item x="8"/>
        <item x="13"/>
        <item x="0"/>
        <item x="2"/>
        <item x="15"/>
        <item x="18"/>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1ABE74-BB0A-41C5-A25E-9EC922EC759C}" name="PivotTable12"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F21"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numFmtId="171"/>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28">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8726CCD-8260-4F38-84C0-1057EA5F56D2}" sourceName="Sales Person">
  <pivotTables>
    <pivotTable tabId="7" name="PivotTable2"/>
  </pivotTables>
  <data>
    <tabular pivotCacheId="22009263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84830D0-E489-467D-93BB-F89B9635F018}" sourceName="[data].[Geography]">
  <pivotTables>
    <pivotTable tabId="13" name="PivotTable9"/>
  </pivotTables>
  <data>
    <olap pivotCacheId="16867987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220CB47-212F-4F63-9FBE-0AF528372DCD}" sourceName="[data].[Geography]">
  <pivotTables>
    <pivotTable tabId="17" name="PivotTable12"/>
  </pivotTables>
  <data>
    <olap pivotCacheId="115191339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6E87E8B-FAA7-48D4-9EDC-AEE20349B0A3}"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A1D2F0D-A517-4724-A0A5-E919BEC984E8}" cache="Slicer_Geography" caption="Geography" columnCount="2"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C971100-4AED-41FD-83D5-DC497ED13FB7}"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11:AB33" totalsRowShown="0">
  <autoFilter ref="AA11:AB33" xr:uid="{6DAC1E92-D947-4232-891E-65555AD7A47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6B0D6B-6BFE-46D8-95F4-6238B582556C}" name="data" displayName="data" ref="C11:K311" totalsRowShown="0" headerRowDxfId="15">
  <autoFilter ref="C11:K311" xr:uid="{B16B0D6B-6BFE-46D8-95F4-6238B582556C}"/>
  <tableColumns count="9">
    <tableColumn id="1" xr3:uid="{B74B1EED-1783-4E86-9A43-CE7F7A152248}" name="Sales Person"/>
    <tableColumn id="2" xr3:uid="{DD072A19-D591-4371-8B26-0FF2D5F68507}" name="Geography"/>
    <tableColumn id="3" xr3:uid="{7584301A-5344-4502-948A-8F038B920C6D}" name="Product"/>
    <tableColumn id="4" xr3:uid="{4A1E1B55-D869-4109-9F1E-3FFBC04E4B90}" name="Amount" dataDxfId="14"/>
    <tableColumn id="5" xr3:uid="{330DC823-55FD-4AC0-A073-6A04B0E08B1A}" name="Units" dataDxfId="13"/>
    <tableColumn id="7" xr3:uid="{961F23FE-CB58-4D28-B778-F4BCF633A6E8}" name="cost per unit" dataDxfId="12">
      <calculatedColumnFormula>_xlfn.XLOOKUP(data[[#This Row],[Product]],products[Product],products[Cost per unit])</calculatedColumnFormula>
    </tableColumn>
    <tableColumn id="8" xr3:uid="{3524CD56-CBF3-4B35-8D2F-DB2B33CFFCE0}" name="cost" dataDxfId="11">
      <calculatedColumnFormula>data[[#This Row],[cost per unit]]*data[[#This Row],[Units]]</calculatedColumnFormula>
    </tableColumn>
    <tableColumn id="9" xr3:uid="{E4C7EE5F-9706-447F-9B85-712BD6B0DC90}" name="profit" dataDxfId="10">
      <calculatedColumnFormula>data[[#This Row],[Amount]]-data[[#This Row],[cost]]</calculatedColumnFormula>
    </tableColumn>
    <tableColumn id="6" xr3:uid="{8B6722AC-A2B5-4FAB-ACC4-16A6E1E12A45}" name="profit percent" dataDxfId="9">
      <calculatedColumnFormula>data[[#This Row],[profit]]/data[[#This Row],[Amount]]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DC7763-C160-4539-83C3-FC2A3776BC7F}" name="data4" displayName="data4" ref="A2:E302" totalsRowShown="0" headerRowDxfId="5">
  <autoFilter ref="A2:E302" xr:uid="{31DC7763-C160-4539-83C3-FC2A3776BC7F}"/>
  <sortState xmlns:xlrd2="http://schemas.microsoft.com/office/spreadsheetml/2017/richdata2" ref="A3:E302">
    <sortCondition descending="1" ref="D2:D302"/>
  </sortState>
  <tableColumns count="5">
    <tableColumn id="1" xr3:uid="{9A84739F-4BDD-44F5-A620-24E38529CC79}" name="Sales Person"/>
    <tableColumn id="2" xr3:uid="{93396CE7-3E61-49C2-890E-81029B76737E}" name="Geography"/>
    <tableColumn id="3" xr3:uid="{421B5F81-F429-4443-A97A-DA0C9B72AA16}" name="Product"/>
    <tableColumn id="4" xr3:uid="{603C5753-5781-444E-99A9-A356F7289FB5}" name="Amount" dataDxfId="4"/>
    <tableColumn id="5" xr3:uid="{678E0C4B-8AD2-41E1-90D5-FA6FBADFAED0}"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1B00D4-0D37-4F1D-8866-8F0152A0F066}" name="data5" displayName="data5" ref="M4:Q304" totalsRowShown="0" headerRowDxfId="2">
  <autoFilter ref="M4:Q304" xr:uid="{E91B00D4-0D37-4F1D-8866-8F0152A0F066}"/>
  <tableColumns count="5">
    <tableColumn id="1" xr3:uid="{CEE96D60-76FB-4D42-AAE7-1CE05C5723C1}" name="Sales Person"/>
    <tableColumn id="2" xr3:uid="{271EAF9F-0567-45CE-9C40-4F1B575BA39F}" name="Geography"/>
    <tableColumn id="3" xr3:uid="{857AC79D-8380-4D7A-8A7A-E9D513AFD185}" name="Product"/>
    <tableColumn id="4" xr3:uid="{8E6E796E-6275-4B37-9FDD-FEBB18218D5B}" name="Amount" dataDxfId="1"/>
    <tableColumn id="5" xr3:uid="{080FECAB-AD57-4C10-A118-AA6CAD1A3230}"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657"/>
  <sheetViews>
    <sheetView topLeftCell="F8" zoomScale="145" zoomScaleNormal="145" workbookViewId="0">
      <selection activeCell="L15" sqref="L1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21875" customWidth="1"/>
    <col min="7" max="7" width="19.5546875" customWidth="1"/>
    <col min="8" max="11" width="10.88671875" customWidth="1"/>
    <col min="13" max="13" width="3.88671875" customWidth="1"/>
    <col min="14" max="14" width="53.88671875" customWidth="1"/>
    <col min="28" max="28" width="21.88671875" bestFit="1" customWidth="1"/>
    <col min="29" max="29" width="14.44140625" customWidth="1"/>
    <col min="34" max="34" width="21.88671875" customWidth="1"/>
  </cols>
  <sheetData>
    <row r="1" spans="1:28" s="2" customFormat="1" ht="52.5" customHeight="1" x14ac:dyDescent="0.3">
      <c r="A1" s="1"/>
      <c r="C1" s="3" t="s">
        <v>42</v>
      </c>
    </row>
    <row r="11" spans="1:28" x14ac:dyDescent="0.3">
      <c r="C11" s="6" t="s">
        <v>11</v>
      </c>
      <c r="D11" s="6" t="s">
        <v>12</v>
      </c>
      <c r="E11" s="6" t="s">
        <v>0</v>
      </c>
      <c r="F11" s="10" t="s">
        <v>1</v>
      </c>
      <c r="G11" s="10" t="s">
        <v>50</v>
      </c>
      <c r="H11" s="6" t="s">
        <v>77</v>
      </c>
      <c r="I11" s="6" t="s">
        <v>78</v>
      </c>
      <c r="J11" s="6" t="s">
        <v>76</v>
      </c>
      <c r="K11" s="6" t="s">
        <v>91</v>
      </c>
      <c r="L11" s="9" t="s">
        <v>43</v>
      </c>
      <c r="M11" s="2"/>
      <c r="AA11" t="s">
        <v>0</v>
      </c>
      <c r="AB11" t="s">
        <v>51</v>
      </c>
    </row>
    <row r="12" spans="1:28" x14ac:dyDescent="0.3">
      <c r="C12" t="s">
        <v>40</v>
      </c>
      <c r="D12" t="s">
        <v>37</v>
      </c>
      <c r="E12" t="s">
        <v>30</v>
      </c>
      <c r="F12" s="4">
        <v>1624</v>
      </c>
      <c r="G12" s="5">
        <v>114</v>
      </c>
      <c r="H12">
        <f>_xlfn.XLOOKUP(data[[#This Row],[Product]],products[Product],products[Cost per unit])</f>
        <v>14.49</v>
      </c>
      <c r="I12">
        <f>data[[#This Row],[cost per unit]]*data[[#This Row],[Units]]</f>
        <v>1651.8600000000001</v>
      </c>
      <c r="J12" s="4">
        <f>data[[#This Row],[Amount]]-data[[#This Row],[cost]]</f>
        <v>-27.860000000000127</v>
      </c>
      <c r="K12" s="60">
        <f>data[[#This Row],[profit]]/data[[#This Row],[Amount]]</f>
        <v>-1.7155172413793184E-2</v>
      </c>
      <c r="L12" s="7">
        <v>1</v>
      </c>
      <c r="M12" s="8" t="s">
        <v>44</v>
      </c>
      <c r="AA12" t="s">
        <v>13</v>
      </c>
      <c r="AB12" s="11">
        <v>9.33</v>
      </c>
    </row>
    <row r="13" spans="1:28" x14ac:dyDescent="0.3">
      <c r="C13" t="s">
        <v>8</v>
      </c>
      <c r="D13" t="s">
        <v>35</v>
      </c>
      <c r="E13" t="s">
        <v>32</v>
      </c>
      <c r="F13" s="4">
        <v>6706</v>
      </c>
      <c r="G13" s="5">
        <v>459</v>
      </c>
      <c r="H13">
        <f>_xlfn.XLOOKUP(data[[#This Row],[Product]],products[Product],products[Cost per unit])</f>
        <v>8.65</v>
      </c>
      <c r="I13">
        <f>data[[#This Row],[cost per unit]]*data[[#This Row],[Units]]</f>
        <v>3970.3500000000004</v>
      </c>
      <c r="J13" s="4">
        <f>data[[#This Row],[Amount]]-data[[#This Row],[cost]]</f>
        <v>2735.6499999999996</v>
      </c>
      <c r="K13" s="60">
        <f>data[[#This Row],[profit]]/data[[#This Row],[Amount]]</f>
        <v>0.40794065016403214</v>
      </c>
      <c r="L13" s="7">
        <v>2</v>
      </c>
      <c r="M13" s="8" t="s">
        <v>53</v>
      </c>
      <c r="AA13" t="s">
        <v>14</v>
      </c>
      <c r="AB13" s="11">
        <v>11.7</v>
      </c>
    </row>
    <row r="14" spans="1:28" x14ac:dyDescent="0.3">
      <c r="C14" t="s">
        <v>9</v>
      </c>
      <c r="D14" t="s">
        <v>35</v>
      </c>
      <c r="E14" t="s">
        <v>4</v>
      </c>
      <c r="F14" s="4">
        <v>959</v>
      </c>
      <c r="G14" s="5">
        <v>147</v>
      </c>
      <c r="H14">
        <f>_xlfn.XLOOKUP(data[[#This Row],[Product]],products[Product],products[Cost per unit])</f>
        <v>11.88</v>
      </c>
      <c r="I14">
        <f>data[[#This Row],[cost per unit]]*data[[#This Row],[Units]]</f>
        <v>1746.3600000000001</v>
      </c>
      <c r="J14" s="4">
        <f>data[[#This Row],[Amount]]-data[[#This Row],[cost]]</f>
        <v>-787.36000000000013</v>
      </c>
      <c r="K14" s="60">
        <f>data[[#This Row],[profit]]/data[[#This Row],[Amount]]</f>
        <v>-0.82102189781021906</v>
      </c>
      <c r="L14" s="7">
        <v>3</v>
      </c>
      <c r="M14" s="8" t="s">
        <v>45</v>
      </c>
      <c r="AA14" t="s">
        <v>4</v>
      </c>
      <c r="AB14" s="11">
        <v>11.88</v>
      </c>
    </row>
    <row r="15" spans="1:28" x14ac:dyDescent="0.3">
      <c r="C15" t="s">
        <v>41</v>
      </c>
      <c r="D15" t="s">
        <v>36</v>
      </c>
      <c r="E15" t="s">
        <v>18</v>
      </c>
      <c r="F15" s="4">
        <v>9632</v>
      </c>
      <c r="G15" s="5">
        <v>288</v>
      </c>
      <c r="H15">
        <f>_xlfn.XLOOKUP(data[[#This Row],[Product]],products[Product],products[Cost per unit])</f>
        <v>6.47</v>
      </c>
      <c r="I15">
        <f>data[[#This Row],[cost per unit]]*data[[#This Row],[Units]]</f>
        <v>1863.36</v>
      </c>
      <c r="J15" s="4">
        <f>data[[#This Row],[Amount]]-data[[#This Row],[cost]]</f>
        <v>7768.64</v>
      </c>
      <c r="K15" s="60">
        <f>data[[#This Row],[profit]]/data[[#This Row],[Amount]]</f>
        <v>0.80654485049833891</v>
      </c>
      <c r="L15" s="7">
        <v>4</v>
      </c>
      <c r="M15" s="8" t="s">
        <v>46</v>
      </c>
      <c r="AA15" t="s">
        <v>15</v>
      </c>
      <c r="AB15" s="11">
        <v>11.73</v>
      </c>
    </row>
    <row r="16" spans="1:28" x14ac:dyDescent="0.3">
      <c r="C16" t="s">
        <v>6</v>
      </c>
      <c r="D16" t="s">
        <v>39</v>
      </c>
      <c r="E16" t="s">
        <v>25</v>
      </c>
      <c r="F16" s="4">
        <v>2100</v>
      </c>
      <c r="G16" s="5">
        <v>414</v>
      </c>
      <c r="H16">
        <f>_xlfn.XLOOKUP(data[[#This Row],[Product]],products[Product],products[Cost per unit])</f>
        <v>13.15</v>
      </c>
      <c r="I16">
        <f>data[[#This Row],[cost per unit]]*data[[#This Row],[Units]]</f>
        <v>5444.1</v>
      </c>
      <c r="J16" s="4">
        <f>data[[#This Row],[Amount]]-data[[#This Row],[cost]]</f>
        <v>-3344.1000000000004</v>
      </c>
      <c r="K16" s="60">
        <f>data[[#This Row],[profit]]/data[[#This Row],[Amount]]</f>
        <v>-1.5924285714285715</v>
      </c>
      <c r="L16" s="7">
        <v>5</v>
      </c>
      <c r="M16" s="8" t="s">
        <v>54</v>
      </c>
      <c r="AA16" t="s">
        <v>16</v>
      </c>
      <c r="AB16" s="11">
        <v>8.7899999999999991</v>
      </c>
    </row>
    <row r="17" spans="3:28" x14ac:dyDescent="0.3">
      <c r="C17" t="s">
        <v>40</v>
      </c>
      <c r="D17" t="s">
        <v>35</v>
      </c>
      <c r="E17" t="s">
        <v>33</v>
      </c>
      <c r="F17" s="4">
        <v>8869</v>
      </c>
      <c r="G17" s="5">
        <v>432</v>
      </c>
      <c r="H17">
        <f>_xlfn.XLOOKUP(data[[#This Row],[Product]],products[Product],products[Cost per unit])</f>
        <v>12.37</v>
      </c>
      <c r="I17">
        <f>data[[#This Row],[cost per unit]]*data[[#This Row],[Units]]</f>
        <v>5343.8399999999992</v>
      </c>
      <c r="J17" s="4">
        <f>data[[#This Row],[Amount]]-data[[#This Row],[cost]]</f>
        <v>3525.1600000000008</v>
      </c>
      <c r="K17" s="60">
        <f>data[[#This Row],[profit]]/data[[#This Row],[Amount]]</f>
        <v>0.39746983876423508</v>
      </c>
      <c r="L17" s="7">
        <v>6</v>
      </c>
      <c r="M17" s="8" t="s">
        <v>55</v>
      </c>
      <c r="AA17" t="s">
        <v>17</v>
      </c>
      <c r="AB17" s="11">
        <v>3.11</v>
      </c>
    </row>
    <row r="18" spans="3:28" x14ac:dyDescent="0.3">
      <c r="C18" t="s">
        <v>6</v>
      </c>
      <c r="D18" t="s">
        <v>38</v>
      </c>
      <c r="E18" t="s">
        <v>31</v>
      </c>
      <c r="F18" s="4">
        <v>2681</v>
      </c>
      <c r="G18" s="5">
        <v>54</v>
      </c>
      <c r="H18">
        <f>_xlfn.XLOOKUP(data[[#This Row],[Product]],products[Product],products[Cost per unit])</f>
        <v>5.79</v>
      </c>
      <c r="I18">
        <f>data[[#This Row],[cost per unit]]*data[[#This Row],[Units]]</f>
        <v>312.66000000000003</v>
      </c>
      <c r="J18" s="4">
        <f>data[[#This Row],[Amount]]-data[[#This Row],[cost]]</f>
        <v>2368.34</v>
      </c>
      <c r="K18" s="60">
        <f>data[[#This Row],[profit]]/data[[#This Row],[Amount]]</f>
        <v>0.88337933606863117</v>
      </c>
      <c r="L18" s="7">
        <v>7</v>
      </c>
      <c r="M18" s="8" t="s">
        <v>49</v>
      </c>
      <c r="AA18" t="s">
        <v>18</v>
      </c>
      <c r="AB18" s="11">
        <v>6.47</v>
      </c>
    </row>
    <row r="19" spans="3:28" x14ac:dyDescent="0.3">
      <c r="C19" t="s">
        <v>8</v>
      </c>
      <c r="D19" t="s">
        <v>35</v>
      </c>
      <c r="E19" t="s">
        <v>22</v>
      </c>
      <c r="F19" s="4">
        <v>5012</v>
      </c>
      <c r="G19" s="5">
        <v>210</v>
      </c>
      <c r="H19">
        <f>_xlfn.XLOOKUP(data[[#This Row],[Product]],products[Product],products[Cost per unit])</f>
        <v>9.77</v>
      </c>
      <c r="I19">
        <f>data[[#This Row],[cost per unit]]*data[[#This Row],[Units]]</f>
        <v>2051.6999999999998</v>
      </c>
      <c r="J19" s="4">
        <f>data[[#This Row],[Amount]]-data[[#This Row],[cost]]</f>
        <v>2960.3</v>
      </c>
      <c r="K19" s="60">
        <f>data[[#This Row],[profit]]/data[[#This Row],[Amount]]</f>
        <v>0.59064245810055871</v>
      </c>
      <c r="L19" s="7">
        <v>8</v>
      </c>
      <c r="M19" s="8" t="s">
        <v>52</v>
      </c>
      <c r="AA19" t="s">
        <v>19</v>
      </c>
      <c r="AB19" s="11">
        <v>7.64</v>
      </c>
    </row>
    <row r="20" spans="3:28" x14ac:dyDescent="0.3">
      <c r="C20" t="s">
        <v>7</v>
      </c>
      <c r="D20" t="s">
        <v>38</v>
      </c>
      <c r="E20" t="s">
        <v>14</v>
      </c>
      <c r="F20" s="4">
        <v>1281</v>
      </c>
      <c r="G20" s="5">
        <v>75</v>
      </c>
      <c r="H20">
        <f>_xlfn.XLOOKUP(data[[#This Row],[Product]],products[Product],products[Cost per unit])</f>
        <v>11.7</v>
      </c>
      <c r="I20">
        <f>data[[#This Row],[cost per unit]]*data[[#This Row],[Units]]</f>
        <v>877.5</v>
      </c>
      <c r="J20" s="4">
        <f>data[[#This Row],[Amount]]-data[[#This Row],[cost]]</f>
        <v>403.5</v>
      </c>
      <c r="K20" s="60">
        <f>data[[#This Row],[profit]]/data[[#This Row],[Amount]]</f>
        <v>0.31498829039812648</v>
      </c>
      <c r="L20" s="7">
        <v>9</v>
      </c>
      <c r="M20" s="8" t="s">
        <v>47</v>
      </c>
      <c r="AA20" t="s">
        <v>20</v>
      </c>
      <c r="AB20" s="11">
        <v>10.62</v>
      </c>
    </row>
    <row r="21" spans="3:28" x14ac:dyDescent="0.3">
      <c r="C21" t="s">
        <v>5</v>
      </c>
      <c r="D21" t="s">
        <v>37</v>
      </c>
      <c r="E21" t="s">
        <v>14</v>
      </c>
      <c r="F21" s="4">
        <v>4991</v>
      </c>
      <c r="G21" s="5">
        <v>12</v>
      </c>
      <c r="H21">
        <f>_xlfn.XLOOKUP(data[[#This Row],[Product]],products[Product],products[Cost per unit])</f>
        <v>11.7</v>
      </c>
      <c r="I21">
        <f>data[[#This Row],[cost per unit]]*data[[#This Row],[Units]]</f>
        <v>140.39999999999998</v>
      </c>
      <c r="J21" s="4">
        <f>data[[#This Row],[Amount]]-data[[#This Row],[cost]]</f>
        <v>4850.6000000000004</v>
      </c>
      <c r="K21" s="60">
        <f>data[[#This Row],[profit]]/data[[#This Row],[Amount]]</f>
        <v>0.97186936485674225</v>
      </c>
      <c r="L21" s="7">
        <v>10</v>
      </c>
      <c r="M21" s="8" t="s">
        <v>48</v>
      </c>
      <c r="AA21" t="s">
        <v>21</v>
      </c>
      <c r="AB21" s="11">
        <v>9</v>
      </c>
    </row>
    <row r="22" spans="3:28" x14ac:dyDescent="0.3">
      <c r="C22" t="s">
        <v>2</v>
      </c>
      <c r="D22" t="s">
        <v>39</v>
      </c>
      <c r="E22" t="s">
        <v>25</v>
      </c>
      <c r="F22" s="4">
        <v>1785</v>
      </c>
      <c r="G22" s="5">
        <v>462</v>
      </c>
      <c r="H22">
        <f>_xlfn.XLOOKUP(data[[#This Row],[Product]],products[Product],products[Cost per unit])</f>
        <v>13.15</v>
      </c>
      <c r="I22">
        <f>data[[#This Row],[cost per unit]]*data[[#This Row],[Units]]</f>
        <v>6075.3</v>
      </c>
      <c r="J22" s="4">
        <f>data[[#This Row],[Amount]]-data[[#This Row],[cost]]</f>
        <v>-4290.3</v>
      </c>
      <c r="K22" s="60">
        <f>data[[#This Row],[profit]]/data[[#This Row],[Amount]]</f>
        <v>-2.4035294117647061</v>
      </c>
      <c r="AA22" t="s">
        <v>22</v>
      </c>
      <c r="AB22" s="11">
        <v>9.77</v>
      </c>
    </row>
    <row r="23" spans="3:28" x14ac:dyDescent="0.3">
      <c r="C23" t="s">
        <v>3</v>
      </c>
      <c r="D23" t="s">
        <v>37</v>
      </c>
      <c r="E23" t="s">
        <v>17</v>
      </c>
      <c r="F23" s="4">
        <v>3983</v>
      </c>
      <c r="G23" s="5">
        <v>144</v>
      </c>
      <c r="H23">
        <f>_xlfn.XLOOKUP(data[[#This Row],[Product]],products[Product],products[Cost per unit])</f>
        <v>3.11</v>
      </c>
      <c r="I23">
        <f>data[[#This Row],[cost per unit]]*data[[#This Row],[Units]]</f>
        <v>447.84</v>
      </c>
      <c r="J23" s="4">
        <f>data[[#This Row],[Amount]]-data[[#This Row],[cost]]</f>
        <v>3535.16</v>
      </c>
      <c r="K23" s="60">
        <f>data[[#This Row],[profit]]/data[[#This Row],[Amount]]</f>
        <v>0.88756213909113735</v>
      </c>
      <c r="AA23" t="s">
        <v>23</v>
      </c>
      <c r="AB23" s="11">
        <v>6.49</v>
      </c>
    </row>
    <row r="24" spans="3:28" x14ac:dyDescent="0.3">
      <c r="C24" t="s">
        <v>9</v>
      </c>
      <c r="D24" t="s">
        <v>38</v>
      </c>
      <c r="E24" t="s">
        <v>16</v>
      </c>
      <c r="F24" s="4">
        <v>2646</v>
      </c>
      <c r="G24" s="5">
        <v>120</v>
      </c>
      <c r="H24">
        <f>_xlfn.XLOOKUP(data[[#This Row],[Product]],products[Product],products[Cost per unit])</f>
        <v>8.7899999999999991</v>
      </c>
      <c r="I24">
        <f>data[[#This Row],[cost per unit]]*data[[#This Row],[Units]]</f>
        <v>1054.8</v>
      </c>
      <c r="J24" s="4">
        <f>data[[#This Row],[Amount]]-data[[#This Row],[cost]]</f>
        <v>1591.2</v>
      </c>
      <c r="K24" s="60">
        <f>data[[#This Row],[profit]]/data[[#This Row],[Amount]]</f>
        <v>0.60136054421768714</v>
      </c>
      <c r="AA24" t="s">
        <v>24</v>
      </c>
      <c r="AB24" s="11">
        <v>4.97</v>
      </c>
    </row>
    <row r="25" spans="3:28" x14ac:dyDescent="0.3">
      <c r="C25" t="s">
        <v>2</v>
      </c>
      <c r="D25" t="s">
        <v>34</v>
      </c>
      <c r="E25" t="s">
        <v>13</v>
      </c>
      <c r="F25" s="4">
        <v>252</v>
      </c>
      <c r="G25" s="5">
        <v>54</v>
      </c>
      <c r="H25">
        <f>_xlfn.XLOOKUP(data[[#This Row],[Product]],products[Product],products[Cost per unit])</f>
        <v>9.33</v>
      </c>
      <c r="I25">
        <f>data[[#This Row],[cost per unit]]*data[[#This Row],[Units]]</f>
        <v>503.82</v>
      </c>
      <c r="J25" s="4">
        <f>data[[#This Row],[Amount]]-data[[#This Row],[cost]]</f>
        <v>-251.82</v>
      </c>
      <c r="K25" s="60">
        <f>data[[#This Row],[profit]]/data[[#This Row],[Amount]]</f>
        <v>-0.99928571428571422</v>
      </c>
      <c r="AA25" t="s">
        <v>25</v>
      </c>
      <c r="AB25" s="11">
        <v>13.15</v>
      </c>
    </row>
    <row r="26" spans="3:28" x14ac:dyDescent="0.3">
      <c r="C26" t="s">
        <v>3</v>
      </c>
      <c r="D26" t="s">
        <v>35</v>
      </c>
      <c r="E26" t="s">
        <v>25</v>
      </c>
      <c r="F26" s="4">
        <v>2464</v>
      </c>
      <c r="G26" s="5">
        <v>234</v>
      </c>
      <c r="H26">
        <f>_xlfn.XLOOKUP(data[[#This Row],[Product]],products[Product],products[Cost per unit])</f>
        <v>13.15</v>
      </c>
      <c r="I26">
        <f>data[[#This Row],[cost per unit]]*data[[#This Row],[Units]]</f>
        <v>3077.1</v>
      </c>
      <c r="J26" s="4">
        <f>data[[#This Row],[Amount]]-data[[#This Row],[cost]]</f>
        <v>-613.09999999999991</v>
      </c>
      <c r="K26" s="60">
        <f>data[[#This Row],[profit]]/data[[#This Row],[Amount]]</f>
        <v>-0.2488230519480519</v>
      </c>
      <c r="AA26" t="s">
        <v>26</v>
      </c>
      <c r="AB26" s="11">
        <v>5.6</v>
      </c>
    </row>
    <row r="27" spans="3:28" x14ac:dyDescent="0.3">
      <c r="C27" t="s">
        <v>3</v>
      </c>
      <c r="D27" t="s">
        <v>35</v>
      </c>
      <c r="E27" t="s">
        <v>29</v>
      </c>
      <c r="F27" s="4">
        <v>2114</v>
      </c>
      <c r="G27" s="5">
        <v>66</v>
      </c>
      <c r="H27">
        <f>_xlfn.XLOOKUP(data[[#This Row],[Product]],products[Product],products[Cost per unit])</f>
        <v>7.16</v>
      </c>
      <c r="I27">
        <f>data[[#This Row],[cost per unit]]*data[[#This Row],[Units]]</f>
        <v>472.56</v>
      </c>
      <c r="J27" s="4">
        <f>data[[#This Row],[Amount]]-data[[#This Row],[cost]]</f>
        <v>1641.44</v>
      </c>
      <c r="K27" s="60">
        <f>data[[#This Row],[profit]]/data[[#This Row],[Amount]]</f>
        <v>0.77646168401135296</v>
      </c>
      <c r="AA27" t="s">
        <v>27</v>
      </c>
      <c r="AB27" s="11">
        <v>16.73</v>
      </c>
    </row>
    <row r="28" spans="3:28" x14ac:dyDescent="0.3">
      <c r="C28" t="s">
        <v>6</v>
      </c>
      <c r="D28" t="s">
        <v>37</v>
      </c>
      <c r="E28" t="s">
        <v>31</v>
      </c>
      <c r="F28" s="4">
        <v>7693</v>
      </c>
      <c r="G28" s="5">
        <v>87</v>
      </c>
      <c r="H28">
        <f>_xlfn.XLOOKUP(data[[#This Row],[Product]],products[Product],products[Cost per unit])</f>
        <v>5.79</v>
      </c>
      <c r="I28">
        <f>data[[#This Row],[cost per unit]]*data[[#This Row],[Units]]</f>
        <v>503.73</v>
      </c>
      <c r="J28" s="4">
        <f>data[[#This Row],[Amount]]-data[[#This Row],[cost]]</f>
        <v>7189.27</v>
      </c>
      <c r="K28" s="60">
        <f>data[[#This Row],[profit]]/data[[#This Row],[Amount]]</f>
        <v>0.93452099311062009</v>
      </c>
      <c r="AA28" t="s">
        <v>28</v>
      </c>
      <c r="AB28" s="11">
        <v>10.38</v>
      </c>
    </row>
    <row r="29" spans="3:28" x14ac:dyDescent="0.3">
      <c r="C29" t="s">
        <v>5</v>
      </c>
      <c r="D29" t="s">
        <v>34</v>
      </c>
      <c r="E29" t="s">
        <v>20</v>
      </c>
      <c r="F29" s="4">
        <v>15610</v>
      </c>
      <c r="G29" s="5">
        <v>339</v>
      </c>
      <c r="H29">
        <f>_xlfn.XLOOKUP(data[[#This Row],[Product]],products[Product],products[Cost per unit])</f>
        <v>10.62</v>
      </c>
      <c r="I29">
        <f>data[[#This Row],[cost per unit]]*data[[#This Row],[Units]]</f>
        <v>3600.18</v>
      </c>
      <c r="J29" s="4">
        <f>data[[#This Row],[Amount]]-data[[#This Row],[cost]]</f>
        <v>12009.82</v>
      </c>
      <c r="K29" s="60">
        <f>data[[#This Row],[profit]]/data[[#This Row],[Amount]]</f>
        <v>0.76936707238949387</v>
      </c>
      <c r="AA29" t="s">
        <v>29</v>
      </c>
      <c r="AB29" s="11">
        <v>7.16</v>
      </c>
    </row>
    <row r="30" spans="3:28" x14ac:dyDescent="0.3">
      <c r="C30" t="s">
        <v>41</v>
      </c>
      <c r="D30" t="s">
        <v>34</v>
      </c>
      <c r="E30" t="s">
        <v>22</v>
      </c>
      <c r="F30" s="4">
        <v>336</v>
      </c>
      <c r="G30" s="5">
        <v>144</v>
      </c>
      <c r="H30">
        <f>_xlfn.XLOOKUP(data[[#This Row],[Product]],products[Product],products[Cost per unit])</f>
        <v>9.77</v>
      </c>
      <c r="I30">
        <f>data[[#This Row],[cost per unit]]*data[[#This Row],[Units]]</f>
        <v>1406.8799999999999</v>
      </c>
      <c r="J30" s="4">
        <f>data[[#This Row],[Amount]]-data[[#This Row],[cost]]</f>
        <v>-1070.8799999999999</v>
      </c>
      <c r="K30" s="60">
        <f>data[[#This Row],[profit]]/data[[#This Row],[Amount]]</f>
        <v>-3.1871428571428568</v>
      </c>
      <c r="AA30" t="s">
        <v>30</v>
      </c>
      <c r="AB30" s="11">
        <v>14.49</v>
      </c>
    </row>
    <row r="31" spans="3:28" x14ac:dyDescent="0.3">
      <c r="C31" t="s">
        <v>2</v>
      </c>
      <c r="D31" t="s">
        <v>39</v>
      </c>
      <c r="E31" t="s">
        <v>20</v>
      </c>
      <c r="F31" s="4">
        <v>9443</v>
      </c>
      <c r="G31" s="5">
        <v>162</v>
      </c>
      <c r="H31">
        <f>_xlfn.XLOOKUP(data[[#This Row],[Product]],products[Product],products[Cost per unit])</f>
        <v>10.62</v>
      </c>
      <c r="I31">
        <f>data[[#This Row],[cost per unit]]*data[[#This Row],[Units]]</f>
        <v>1720.4399999999998</v>
      </c>
      <c r="J31" s="4">
        <f>data[[#This Row],[Amount]]-data[[#This Row],[cost]]</f>
        <v>7722.56</v>
      </c>
      <c r="K31" s="60">
        <f>data[[#This Row],[profit]]/data[[#This Row],[Amount]]</f>
        <v>0.81780790003176962</v>
      </c>
      <c r="AA31" t="s">
        <v>31</v>
      </c>
      <c r="AB31" s="11">
        <v>5.79</v>
      </c>
    </row>
    <row r="32" spans="3:28" x14ac:dyDescent="0.3">
      <c r="C32" t="s">
        <v>9</v>
      </c>
      <c r="D32" t="s">
        <v>34</v>
      </c>
      <c r="E32" t="s">
        <v>23</v>
      </c>
      <c r="F32" s="4">
        <v>8155</v>
      </c>
      <c r="G32" s="5">
        <v>90</v>
      </c>
      <c r="H32">
        <f>_xlfn.XLOOKUP(data[[#This Row],[Product]],products[Product],products[Cost per unit])</f>
        <v>6.49</v>
      </c>
      <c r="I32">
        <f>data[[#This Row],[cost per unit]]*data[[#This Row],[Units]]</f>
        <v>584.1</v>
      </c>
      <c r="J32" s="4">
        <f>data[[#This Row],[Amount]]-data[[#This Row],[cost]]</f>
        <v>7570.9</v>
      </c>
      <c r="K32" s="60">
        <f>data[[#This Row],[profit]]/data[[#This Row],[Amount]]</f>
        <v>0.9283752299202942</v>
      </c>
      <c r="AA32" t="s">
        <v>32</v>
      </c>
      <c r="AB32" s="11">
        <v>8.65</v>
      </c>
    </row>
    <row r="33" spans="3:28" x14ac:dyDescent="0.3">
      <c r="C33" t="s">
        <v>8</v>
      </c>
      <c r="D33" t="s">
        <v>38</v>
      </c>
      <c r="E33" t="s">
        <v>23</v>
      </c>
      <c r="F33" s="4">
        <v>1701</v>
      </c>
      <c r="G33" s="5">
        <v>234</v>
      </c>
      <c r="H33">
        <f>_xlfn.XLOOKUP(data[[#This Row],[Product]],products[Product],products[Cost per unit])</f>
        <v>6.49</v>
      </c>
      <c r="I33">
        <f>data[[#This Row],[cost per unit]]*data[[#This Row],[Units]]</f>
        <v>1518.66</v>
      </c>
      <c r="J33" s="4">
        <f>data[[#This Row],[Amount]]-data[[#This Row],[cost]]</f>
        <v>182.33999999999992</v>
      </c>
      <c r="K33" s="60">
        <f>data[[#This Row],[profit]]/data[[#This Row],[Amount]]</f>
        <v>0.10719576719576715</v>
      </c>
      <c r="AA33" t="s">
        <v>33</v>
      </c>
      <c r="AB33" s="11">
        <v>12.37</v>
      </c>
    </row>
    <row r="34" spans="3:28" x14ac:dyDescent="0.3">
      <c r="C34" t="s">
        <v>10</v>
      </c>
      <c r="D34" t="s">
        <v>38</v>
      </c>
      <c r="E34" t="s">
        <v>22</v>
      </c>
      <c r="F34" s="4">
        <v>2205</v>
      </c>
      <c r="G34" s="5">
        <v>141</v>
      </c>
      <c r="H34">
        <f>_xlfn.XLOOKUP(data[[#This Row],[Product]],products[Product],products[Cost per unit])</f>
        <v>9.77</v>
      </c>
      <c r="I34">
        <f>data[[#This Row],[cost per unit]]*data[[#This Row],[Units]]</f>
        <v>1377.57</v>
      </c>
      <c r="J34" s="4">
        <f>data[[#This Row],[Amount]]-data[[#This Row],[cost]]</f>
        <v>827.43000000000006</v>
      </c>
      <c r="K34" s="60">
        <f>data[[#This Row],[profit]]/data[[#This Row],[Amount]]</f>
        <v>0.37525170068027214</v>
      </c>
    </row>
    <row r="35" spans="3:28" x14ac:dyDescent="0.3">
      <c r="C35" t="s">
        <v>8</v>
      </c>
      <c r="D35" t="s">
        <v>37</v>
      </c>
      <c r="E35" t="s">
        <v>19</v>
      </c>
      <c r="F35" s="4">
        <v>1771</v>
      </c>
      <c r="G35" s="5">
        <v>204</v>
      </c>
      <c r="H35">
        <f>_xlfn.XLOOKUP(data[[#This Row],[Product]],products[Product],products[Cost per unit])</f>
        <v>7.64</v>
      </c>
      <c r="I35">
        <f>data[[#This Row],[cost per unit]]*data[[#This Row],[Units]]</f>
        <v>1558.56</v>
      </c>
      <c r="J35" s="4">
        <f>data[[#This Row],[Amount]]-data[[#This Row],[cost]]</f>
        <v>212.44000000000005</v>
      </c>
      <c r="K35" s="60">
        <f>data[[#This Row],[profit]]/data[[#This Row],[Amount]]</f>
        <v>0.11995482778091476</v>
      </c>
    </row>
    <row r="36" spans="3:28" x14ac:dyDescent="0.3">
      <c r="C36" t="s">
        <v>41</v>
      </c>
      <c r="D36" t="s">
        <v>35</v>
      </c>
      <c r="E36" t="s">
        <v>15</v>
      </c>
      <c r="F36" s="4">
        <v>2114</v>
      </c>
      <c r="G36" s="5">
        <v>186</v>
      </c>
      <c r="H36">
        <f>_xlfn.XLOOKUP(data[[#This Row],[Product]],products[Product],products[Cost per unit])</f>
        <v>11.73</v>
      </c>
      <c r="I36">
        <f>data[[#This Row],[cost per unit]]*data[[#This Row],[Units]]</f>
        <v>2181.7800000000002</v>
      </c>
      <c r="J36" s="4">
        <f>data[[#This Row],[Amount]]-data[[#This Row],[cost]]</f>
        <v>-67.7800000000002</v>
      </c>
      <c r="K36" s="60">
        <f>data[[#This Row],[profit]]/data[[#This Row],[Amount]]</f>
        <v>-3.2062440870387982E-2</v>
      </c>
    </row>
    <row r="37" spans="3:28" x14ac:dyDescent="0.3">
      <c r="C37" t="s">
        <v>41</v>
      </c>
      <c r="D37" t="s">
        <v>36</v>
      </c>
      <c r="E37" t="s">
        <v>13</v>
      </c>
      <c r="F37" s="4">
        <v>10311</v>
      </c>
      <c r="G37" s="5">
        <v>231</v>
      </c>
      <c r="H37">
        <f>_xlfn.XLOOKUP(data[[#This Row],[Product]],products[Product],products[Cost per unit])</f>
        <v>9.33</v>
      </c>
      <c r="I37">
        <f>data[[#This Row],[cost per unit]]*data[[#This Row],[Units]]</f>
        <v>2155.23</v>
      </c>
      <c r="J37" s="4">
        <f>data[[#This Row],[Amount]]-data[[#This Row],[cost]]</f>
        <v>8155.77</v>
      </c>
      <c r="K37" s="60">
        <f>data[[#This Row],[profit]]/data[[#This Row],[Amount]]</f>
        <v>0.79097759674134427</v>
      </c>
    </row>
    <row r="38" spans="3:28" x14ac:dyDescent="0.3">
      <c r="C38" t="s">
        <v>3</v>
      </c>
      <c r="D38" t="s">
        <v>39</v>
      </c>
      <c r="E38" t="s">
        <v>16</v>
      </c>
      <c r="F38" s="4">
        <v>21</v>
      </c>
      <c r="G38" s="5">
        <v>168</v>
      </c>
      <c r="H38">
        <f>_xlfn.XLOOKUP(data[[#This Row],[Product]],products[Product],products[Cost per unit])</f>
        <v>8.7899999999999991</v>
      </c>
      <c r="I38">
        <f>data[[#This Row],[cost per unit]]*data[[#This Row],[Units]]</f>
        <v>1476.7199999999998</v>
      </c>
      <c r="J38" s="4">
        <f>data[[#This Row],[Amount]]-data[[#This Row],[cost]]</f>
        <v>-1455.7199999999998</v>
      </c>
      <c r="K38" s="60">
        <f>data[[#This Row],[profit]]/data[[#This Row],[Amount]]</f>
        <v>-69.319999999999993</v>
      </c>
    </row>
    <row r="39" spans="3:28" x14ac:dyDescent="0.3">
      <c r="C39" t="s">
        <v>10</v>
      </c>
      <c r="D39" t="s">
        <v>35</v>
      </c>
      <c r="E39" t="s">
        <v>20</v>
      </c>
      <c r="F39" s="4">
        <v>1974</v>
      </c>
      <c r="G39" s="5">
        <v>195</v>
      </c>
      <c r="H39">
        <f>_xlfn.XLOOKUP(data[[#This Row],[Product]],products[Product],products[Cost per unit])</f>
        <v>10.62</v>
      </c>
      <c r="I39">
        <f>data[[#This Row],[cost per unit]]*data[[#This Row],[Units]]</f>
        <v>2070.8999999999996</v>
      </c>
      <c r="J39" s="4">
        <f>data[[#This Row],[Amount]]-data[[#This Row],[cost]]</f>
        <v>-96.899999999999636</v>
      </c>
      <c r="K39" s="60">
        <f>data[[#This Row],[profit]]/data[[#This Row],[Amount]]</f>
        <v>-4.9088145896656353E-2</v>
      </c>
    </row>
    <row r="40" spans="3:28" x14ac:dyDescent="0.3">
      <c r="C40" t="s">
        <v>5</v>
      </c>
      <c r="D40" t="s">
        <v>36</v>
      </c>
      <c r="E40" t="s">
        <v>23</v>
      </c>
      <c r="F40" s="4">
        <v>6314</v>
      </c>
      <c r="G40" s="5">
        <v>15</v>
      </c>
      <c r="H40">
        <f>_xlfn.XLOOKUP(data[[#This Row],[Product]],products[Product],products[Cost per unit])</f>
        <v>6.49</v>
      </c>
      <c r="I40">
        <f>data[[#This Row],[cost per unit]]*data[[#This Row],[Units]]</f>
        <v>97.350000000000009</v>
      </c>
      <c r="J40" s="4">
        <f>data[[#This Row],[Amount]]-data[[#This Row],[cost]]</f>
        <v>6216.65</v>
      </c>
      <c r="K40" s="60">
        <f>data[[#This Row],[profit]]/data[[#This Row],[Amount]]</f>
        <v>0.984581881533101</v>
      </c>
    </row>
    <row r="41" spans="3:28" x14ac:dyDescent="0.3">
      <c r="C41" t="s">
        <v>10</v>
      </c>
      <c r="D41" t="s">
        <v>37</v>
      </c>
      <c r="E41" t="s">
        <v>23</v>
      </c>
      <c r="F41" s="4">
        <v>4683</v>
      </c>
      <c r="G41" s="5">
        <v>30</v>
      </c>
      <c r="H41">
        <f>_xlfn.XLOOKUP(data[[#This Row],[Product]],products[Product],products[Cost per unit])</f>
        <v>6.49</v>
      </c>
      <c r="I41">
        <f>data[[#This Row],[cost per unit]]*data[[#This Row],[Units]]</f>
        <v>194.70000000000002</v>
      </c>
      <c r="J41" s="4">
        <f>data[[#This Row],[Amount]]-data[[#This Row],[cost]]</f>
        <v>4488.3</v>
      </c>
      <c r="K41" s="60">
        <f>data[[#This Row],[profit]]/data[[#This Row],[Amount]]</f>
        <v>0.95842408712363869</v>
      </c>
    </row>
    <row r="42" spans="3:28" x14ac:dyDescent="0.3">
      <c r="C42" t="s">
        <v>41</v>
      </c>
      <c r="D42" t="s">
        <v>37</v>
      </c>
      <c r="E42" t="s">
        <v>24</v>
      </c>
      <c r="F42" s="4">
        <v>6398</v>
      </c>
      <c r="G42" s="5">
        <v>102</v>
      </c>
      <c r="H42">
        <f>_xlfn.XLOOKUP(data[[#This Row],[Product]],products[Product],products[Cost per unit])</f>
        <v>4.97</v>
      </c>
      <c r="I42">
        <f>data[[#This Row],[cost per unit]]*data[[#This Row],[Units]]</f>
        <v>506.94</v>
      </c>
      <c r="J42" s="4">
        <f>data[[#This Row],[Amount]]-data[[#This Row],[cost]]</f>
        <v>5891.06</v>
      </c>
      <c r="K42" s="60">
        <f>data[[#This Row],[profit]]/data[[#This Row],[Amount]]</f>
        <v>0.92076586433260399</v>
      </c>
    </row>
    <row r="43" spans="3:28" x14ac:dyDescent="0.3">
      <c r="C43" t="s">
        <v>2</v>
      </c>
      <c r="D43" t="s">
        <v>35</v>
      </c>
      <c r="E43" t="s">
        <v>19</v>
      </c>
      <c r="F43" s="4">
        <v>553</v>
      </c>
      <c r="G43" s="5">
        <v>15</v>
      </c>
      <c r="H43">
        <f>_xlfn.XLOOKUP(data[[#This Row],[Product]],products[Product],products[Cost per unit])</f>
        <v>7.64</v>
      </c>
      <c r="I43">
        <f>data[[#This Row],[cost per unit]]*data[[#This Row],[Units]]</f>
        <v>114.6</v>
      </c>
      <c r="J43" s="4">
        <f>data[[#This Row],[Amount]]-data[[#This Row],[cost]]</f>
        <v>438.4</v>
      </c>
      <c r="K43" s="60">
        <f>data[[#This Row],[profit]]/data[[#This Row],[Amount]]</f>
        <v>0.79276672694394212</v>
      </c>
    </row>
    <row r="44" spans="3:28" x14ac:dyDescent="0.3">
      <c r="C44" t="s">
        <v>8</v>
      </c>
      <c r="D44" t="s">
        <v>39</v>
      </c>
      <c r="E44" t="s">
        <v>30</v>
      </c>
      <c r="F44" s="4">
        <v>7021</v>
      </c>
      <c r="G44" s="5">
        <v>183</v>
      </c>
      <c r="H44">
        <f>_xlfn.XLOOKUP(data[[#This Row],[Product]],products[Product],products[Cost per unit])</f>
        <v>14.49</v>
      </c>
      <c r="I44">
        <f>data[[#This Row],[cost per unit]]*data[[#This Row],[Units]]</f>
        <v>2651.67</v>
      </c>
      <c r="J44" s="4">
        <f>data[[#This Row],[Amount]]-data[[#This Row],[cost]]</f>
        <v>4369.33</v>
      </c>
      <c r="K44" s="60">
        <f>data[[#This Row],[profit]]/data[[#This Row],[Amount]]</f>
        <v>0.62232303090727814</v>
      </c>
    </row>
    <row r="45" spans="3:28" x14ac:dyDescent="0.3">
      <c r="C45" t="s">
        <v>40</v>
      </c>
      <c r="D45" t="s">
        <v>39</v>
      </c>
      <c r="E45" t="s">
        <v>22</v>
      </c>
      <c r="F45" s="4">
        <v>5817</v>
      </c>
      <c r="G45" s="5">
        <v>12</v>
      </c>
      <c r="H45">
        <f>_xlfn.XLOOKUP(data[[#This Row],[Product]],products[Product],products[Cost per unit])</f>
        <v>9.77</v>
      </c>
      <c r="I45">
        <f>data[[#This Row],[cost per unit]]*data[[#This Row],[Units]]</f>
        <v>117.24</v>
      </c>
      <c r="J45" s="4">
        <f>data[[#This Row],[Amount]]-data[[#This Row],[cost]]</f>
        <v>5699.76</v>
      </c>
      <c r="K45" s="60">
        <f>data[[#This Row],[profit]]/data[[#This Row],[Amount]]</f>
        <v>0.97984528107271796</v>
      </c>
    </row>
    <row r="46" spans="3:28" x14ac:dyDescent="0.3">
      <c r="C46" t="s">
        <v>41</v>
      </c>
      <c r="D46" t="s">
        <v>39</v>
      </c>
      <c r="E46" t="s">
        <v>14</v>
      </c>
      <c r="F46" s="4">
        <v>3976</v>
      </c>
      <c r="G46" s="5">
        <v>72</v>
      </c>
      <c r="H46">
        <f>_xlfn.XLOOKUP(data[[#This Row],[Product]],products[Product],products[Cost per unit])</f>
        <v>11.7</v>
      </c>
      <c r="I46">
        <f>data[[#This Row],[cost per unit]]*data[[#This Row],[Units]]</f>
        <v>842.4</v>
      </c>
      <c r="J46" s="4">
        <f>data[[#This Row],[Amount]]-data[[#This Row],[cost]]</f>
        <v>3133.6</v>
      </c>
      <c r="K46" s="60">
        <f>data[[#This Row],[profit]]/data[[#This Row],[Amount]]</f>
        <v>0.78812877263581482</v>
      </c>
    </row>
    <row r="47" spans="3:28" x14ac:dyDescent="0.3">
      <c r="C47" t="s">
        <v>6</v>
      </c>
      <c r="D47" t="s">
        <v>38</v>
      </c>
      <c r="E47" t="s">
        <v>27</v>
      </c>
      <c r="F47" s="4">
        <v>1134</v>
      </c>
      <c r="G47" s="5">
        <v>282</v>
      </c>
      <c r="H47">
        <f>_xlfn.XLOOKUP(data[[#This Row],[Product]],products[Product],products[Cost per unit])</f>
        <v>16.73</v>
      </c>
      <c r="I47">
        <f>data[[#This Row],[cost per unit]]*data[[#This Row],[Units]]</f>
        <v>4717.8599999999997</v>
      </c>
      <c r="J47" s="4">
        <f>data[[#This Row],[Amount]]-data[[#This Row],[cost]]</f>
        <v>-3583.8599999999997</v>
      </c>
      <c r="K47" s="60">
        <f>data[[#This Row],[profit]]/data[[#This Row],[Amount]]</f>
        <v>-3.1603703703703703</v>
      </c>
    </row>
    <row r="48" spans="3:28" x14ac:dyDescent="0.3">
      <c r="C48" t="s">
        <v>2</v>
      </c>
      <c r="D48" t="s">
        <v>39</v>
      </c>
      <c r="E48" t="s">
        <v>28</v>
      </c>
      <c r="F48" s="4">
        <v>6027</v>
      </c>
      <c r="G48" s="5">
        <v>144</v>
      </c>
      <c r="H48">
        <f>_xlfn.XLOOKUP(data[[#This Row],[Product]],products[Product],products[Cost per unit])</f>
        <v>10.38</v>
      </c>
      <c r="I48">
        <f>data[[#This Row],[cost per unit]]*data[[#This Row],[Units]]</f>
        <v>1494.72</v>
      </c>
      <c r="J48" s="4">
        <f>data[[#This Row],[Amount]]-data[[#This Row],[cost]]</f>
        <v>4532.28</v>
      </c>
      <c r="K48" s="60">
        <f>data[[#This Row],[profit]]/data[[#This Row],[Amount]]</f>
        <v>0.75199601791936288</v>
      </c>
    </row>
    <row r="49" spans="3:11" x14ac:dyDescent="0.3">
      <c r="C49" t="s">
        <v>6</v>
      </c>
      <c r="D49" t="s">
        <v>37</v>
      </c>
      <c r="E49" t="s">
        <v>16</v>
      </c>
      <c r="F49" s="4">
        <v>1904</v>
      </c>
      <c r="G49" s="5">
        <v>405</v>
      </c>
      <c r="H49">
        <f>_xlfn.XLOOKUP(data[[#This Row],[Product]],products[Product],products[Cost per unit])</f>
        <v>8.7899999999999991</v>
      </c>
      <c r="I49">
        <f>data[[#This Row],[cost per unit]]*data[[#This Row],[Units]]</f>
        <v>3559.95</v>
      </c>
      <c r="J49" s="4">
        <f>data[[#This Row],[Amount]]-data[[#This Row],[cost]]</f>
        <v>-1655.9499999999998</v>
      </c>
      <c r="K49" s="60">
        <f>data[[#This Row],[profit]]/data[[#This Row],[Amount]]</f>
        <v>-0.86972163865546204</v>
      </c>
    </row>
    <row r="50" spans="3:11" x14ac:dyDescent="0.3">
      <c r="C50" t="s">
        <v>7</v>
      </c>
      <c r="D50" t="s">
        <v>34</v>
      </c>
      <c r="E50" t="s">
        <v>32</v>
      </c>
      <c r="F50" s="4">
        <v>3262</v>
      </c>
      <c r="G50" s="5">
        <v>75</v>
      </c>
      <c r="H50">
        <f>_xlfn.XLOOKUP(data[[#This Row],[Product]],products[Product],products[Cost per unit])</f>
        <v>8.65</v>
      </c>
      <c r="I50">
        <f>data[[#This Row],[cost per unit]]*data[[#This Row],[Units]]</f>
        <v>648.75</v>
      </c>
      <c r="J50" s="4">
        <f>data[[#This Row],[Amount]]-data[[#This Row],[cost]]</f>
        <v>2613.25</v>
      </c>
      <c r="K50" s="60">
        <f>data[[#This Row],[profit]]/data[[#This Row],[Amount]]</f>
        <v>0.80111894543225015</v>
      </c>
    </row>
    <row r="51" spans="3:11" x14ac:dyDescent="0.3">
      <c r="C51" t="s">
        <v>40</v>
      </c>
      <c r="D51" t="s">
        <v>34</v>
      </c>
      <c r="E51" t="s">
        <v>27</v>
      </c>
      <c r="F51" s="4">
        <v>2289</v>
      </c>
      <c r="G51" s="5">
        <v>135</v>
      </c>
      <c r="H51">
        <f>_xlfn.XLOOKUP(data[[#This Row],[Product]],products[Product],products[Cost per unit])</f>
        <v>16.73</v>
      </c>
      <c r="I51">
        <f>data[[#This Row],[cost per unit]]*data[[#This Row],[Units]]</f>
        <v>2258.5500000000002</v>
      </c>
      <c r="J51" s="4">
        <f>data[[#This Row],[Amount]]-data[[#This Row],[cost]]</f>
        <v>30.449999999999818</v>
      </c>
      <c r="K51" s="60">
        <f>data[[#This Row],[profit]]/data[[#This Row],[Amount]]</f>
        <v>1.3302752293577903E-2</v>
      </c>
    </row>
    <row r="52" spans="3:11" x14ac:dyDescent="0.3">
      <c r="C52" t="s">
        <v>5</v>
      </c>
      <c r="D52" t="s">
        <v>34</v>
      </c>
      <c r="E52" t="s">
        <v>27</v>
      </c>
      <c r="F52" s="4">
        <v>6986</v>
      </c>
      <c r="G52" s="5">
        <v>21</v>
      </c>
      <c r="H52">
        <f>_xlfn.XLOOKUP(data[[#This Row],[Product]],products[Product],products[Cost per unit])</f>
        <v>16.73</v>
      </c>
      <c r="I52">
        <f>data[[#This Row],[cost per unit]]*data[[#This Row],[Units]]</f>
        <v>351.33</v>
      </c>
      <c r="J52" s="4">
        <f>data[[#This Row],[Amount]]-data[[#This Row],[cost]]</f>
        <v>6634.67</v>
      </c>
      <c r="K52" s="60">
        <f>data[[#This Row],[profit]]/data[[#This Row],[Amount]]</f>
        <v>0.94970941883767535</v>
      </c>
    </row>
    <row r="53" spans="3:11" x14ac:dyDescent="0.3">
      <c r="C53" t="s">
        <v>2</v>
      </c>
      <c r="D53" t="s">
        <v>38</v>
      </c>
      <c r="E53" t="s">
        <v>23</v>
      </c>
      <c r="F53" s="4">
        <v>4417</v>
      </c>
      <c r="G53" s="5">
        <v>153</v>
      </c>
      <c r="H53">
        <f>_xlfn.XLOOKUP(data[[#This Row],[Product]],products[Product],products[Cost per unit])</f>
        <v>6.49</v>
      </c>
      <c r="I53">
        <f>data[[#This Row],[cost per unit]]*data[[#This Row],[Units]]</f>
        <v>992.97</v>
      </c>
      <c r="J53" s="4">
        <f>data[[#This Row],[Amount]]-data[[#This Row],[cost]]</f>
        <v>3424.0299999999997</v>
      </c>
      <c r="K53" s="60">
        <f>data[[#This Row],[profit]]/data[[#This Row],[Amount]]</f>
        <v>0.77519357029658131</v>
      </c>
    </row>
    <row r="54" spans="3:11" x14ac:dyDescent="0.3">
      <c r="C54" t="s">
        <v>6</v>
      </c>
      <c r="D54" t="s">
        <v>34</v>
      </c>
      <c r="E54" t="s">
        <v>15</v>
      </c>
      <c r="F54" s="4">
        <v>1442</v>
      </c>
      <c r="G54" s="5">
        <v>15</v>
      </c>
      <c r="H54">
        <f>_xlfn.XLOOKUP(data[[#This Row],[Product]],products[Product],products[Cost per unit])</f>
        <v>11.73</v>
      </c>
      <c r="I54">
        <f>data[[#This Row],[cost per unit]]*data[[#This Row],[Units]]</f>
        <v>175.95000000000002</v>
      </c>
      <c r="J54" s="4">
        <f>data[[#This Row],[Amount]]-data[[#This Row],[cost]]</f>
        <v>1266.05</v>
      </c>
      <c r="K54" s="60">
        <f>data[[#This Row],[profit]]/data[[#This Row],[Amount]]</f>
        <v>0.87798196948682383</v>
      </c>
    </row>
    <row r="55" spans="3:11" x14ac:dyDescent="0.3">
      <c r="C55" t="s">
        <v>3</v>
      </c>
      <c r="D55" t="s">
        <v>35</v>
      </c>
      <c r="E55" t="s">
        <v>14</v>
      </c>
      <c r="F55" s="4">
        <v>2415</v>
      </c>
      <c r="G55" s="5">
        <v>255</v>
      </c>
      <c r="H55">
        <f>_xlfn.XLOOKUP(data[[#This Row],[Product]],products[Product],products[Cost per unit])</f>
        <v>11.7</v>
      </c>
      <c r="I55">
        <f>data[[#This Row],[cost per unit]]*data[[#This Row],[Units]]</f>
        <v>2983.5</v>
      </c>
      <c r="J55" s="4">
        <f>data[[#This Row],[Amount]]-data[[#This Row],[cost]]</f>
        <v>-568.5</v>
      </c>
      <c r="K55" s="60">
        <f>data[[#This Row],[profit]]/data[[#This Row],[Amount]]</f>
        <v>-0.23540372670807452</v>
      </c>
    </row>
    <row r="56" spans="3:11" x14ac:dyDescent="0.3">
      <c r="C56" t="s">
        <v>2</v>
      </c>
      <c r="D56" t="s">
        <v>37</v>
      </c>
      <c r="E56" t="s">
        <v>19</v>
      </c>
      <c r="F56" s="4">
        <v>238</v>
      </c>
      <c r="G56" s="5">
        <v>18</v>
      </c>
      <c r="H56">
        <f>_xlfn.XLOOKUP(data[[#This Row],[Product]],products[Product],products[Cost per unit])</f>
        <v>7.64</v>
      </c>
      <c r="I56">
        <f>data[[#This Row],[cost per unit]]*data[[#This Row],[Units]]</f>
        <v>137.51999999999998</v>
      </c>
      <c r="J56" s="4">
        <f>data[[#This Row],[Amount]]-data[[#This Row],[cost]]</f>
        <v>100.48000000000002</v>
      </c>
      <c r="K56" s="60">
        <f>data[[#This Row],[profit]]/data[[#This Row],[Amount]]</f>
        <v>0.42218487394957993</v>
      </c>
    </row>
    <row r="57" spans="3:11" x14ac:dyDescent="0.3">
      <c r="C57" t="s">
        <v>6</v>
      </c>
      <c r="D57" t="s">
        <v>37</v>
      </c>
      <c r="E57" t="s">
        <v>23</v>
      </c>
      <c r="F57" s="4">
        <v>4949</v>
      </c>
      <c r="G57" s="5">
        <v>189</v>
      </c>
      <c r="H57">
        <f>_xlfn.XLOOKUP(data[[#This Row],[Product]],products[Product],products[Cost per unit])</f>
        <v>6.49</v>
      </c>
      <c r="I57">
        <f>data[[#This Row],[cost per unit]]*data[[#This Row],[Units]]</f>
        <v>1226.6100000000001</v>
      </c>
      <c r="J57" s="4">
        <f>data[[#This Row],[Amount]]-data[[#This Row],[cost]]</f>
        <v>3722.39</v>
      </c>
      <c r="K57" s="60">
        <f>data[[#This Row],[profit]]/data[[#This Row],[Amount]]</f>
        <v>0.7521499292786421</v>
      </c>
    </row>
    <row r="58" spans="3:11" x14ac:dyDescent="0.3">
      <c r="C58" t="s">
        <v>5</v>
      </c>
      <c r="D58" t="s">
        <v>38</v>
      </c>
      <c r="E58" t="s">
        <v>32</v>
      </c>
      <c r="F58" s="4">
        <v>5075</v>
      </c>
      <c r="G58" s="5">
        <v>21</v>
      </c>
      <c r="H58">
        <f>_xlfn.XLOOKUP(data[[#This Row],[Product]],products[Product],products[Cost per unit])</f>
        <v>8.65</v>
      </c>
      <c r="I58">
        <f>data[[#This Row],[cost per unit]]*data[[#This Row],[Units]]</f>
        <v>181.65</v>
      </c>
      <c r="J58" s="4">
        <f>data[[#This Row],[Amount]]-data[[#This Row],[cost]]</f>
        <v>4893.3500000000004</v>
      </c>
      <c r="K58" s="60">
        <f>data[[#This Row],[profit]]/data[[#This Row],[Amount]]</f>
        <v>0.9642068965517242</v>
      </c>
    </row>
    <row r="59" spans="3:11" x14ac:dyDescent="0.3">
      <c r="C59" t="s">
        <v>3</v>
      </c>
      <c r="D59" t="s">
        <v>36</v>
      </c>
      <c r="E59" t="s">
        <v>16</v>
      </c>
      <c r="F59" s="4">
        <v>9198</v>
      </c>
      <c r="G59" s="5">
        <v>36</v>
      </c>
      <c r="H59">
        <f>_xlfn.XLOOKUP(data[[#This Row],[Product]],products[Product],products[Cost per unit])</f>
        <v>8.7899999999999991</v>
      </c>
      <c r="I59">
        <f>data[[#This Row],[cost per unit]]*data[[#This Row],[Units]]</f>
        <v>316.43999999999994</v>
      </c>
      <c r="J59" s="4">
        <f>data[[#This Row],[Amount]]-data[[#This Row],[cost]]</f>
        <v>8881.56</v>
      </c>
      <c r="K59" s="60">
        <f>data[[#This Row],[profit]]/data[[#This Row],[Amount]]</f>
        <v>0.9655968688845401</v>
      </c>
    </row>
    <row r="60" spans="3:11" x14ac:dyDescent="0.3">
      <c r="C60" t="s">
        <v>6</v>
      </c>
      <c r="D60" t="s">
        <v>34</v>
      </c>
      <c r="E60" t="s">
        <v>29</v>
      </c>
      <c r="F60" s="4">
        <v>3339</v>
      </c>
      <c r="G60" s="5">
        <v>75</v>
      </c>
      <c r="H60">
        <f>_xlfn.XLOOKUP(data[[#This Row],[Product]],products[Product],products[Cost per unit])</f>
        <v>7.16</v>
      </c>
      <c r="I60">
        <f>data[[#This Row],[cost per unit]]*data[[#This Row],[Units]]</f>
        <v>537</v>
      </c>
      <c r="J60" s="4">
        <f>data[[#This Row],[Amount]]-data[[#This Row],[cost]]</f>
        <v>2802</v>
      </c>
      <c r="K60" s="60">
        <f>data[[#This Row],[profit]]/data[[#This Row],[Amount]]</f>
        <v>0.83917340521114103</v>
      </c>
    </row>
    <row r="61" spans="3:11" x14ac:dyDescent="0.3">
      <c r="C61" t="s">
        <v>40</v>
      </c>
      <c r="D61" t="s">
        <v>34</v>
      </c>
      <c r="E61" t="s">
        <v>17</v>
      </c>
      <c r="F61" s="4">
        <v>5019</v>
      </c>
      <c r="G61" s="5">
        <v>156</v>
      </c>
      <c r="H61">
        <f>_xlfn.XLOOKUP(data[[#This Row],[Product]],products[Product],products[Cost per unit])</f>
        <v>3.11</v>
      </c>
      <c r="I61">
        <f>data[[#This Row],[cost per unit]]*data[[#This Row],[Units]]</f>
        <v>485.15999999999997</v>
      </c>
      <c r="J61" s="4">
        <f>data[[#This Row],[Amount]]-data[[#This Row],[cost]]</f>
        <v>4533.84</v>
      </c>
      <c r="K61" s="60">
        <f>data[[#This Row],[profit]]/data[[#This Row],[Amount]]</f>
        <v>0.90333532576210407</v>
      </c>
    </row>
    <row r="62" spans="3:11" x14ac:dyDescent="0.3">
      <c r="C62" t="s">
        <v>5</v>
      </c>
      <c r="D62" t="s">
        <v>36</v>
      </c>
      <c r="E62" t="s">
        <v>16</v>
      </c>
      <c r="F62" s="4">
        <v>16184</v>
      </c>
      <c r="G62" s="5">
        <v>39</v>
      </c>
      <c r="H62">
        <f>_xlfn.XLOOKUP(data[[#This Row],[Product]],products[Product],products[Cost per unit])</f>
        <v>8.7899999999999991</v>
      </c>
      <c r="I62">
        <f>data[[#This Row],[cost per unit]]*data[[#This Row],[Units]]</f>
        <v>342.80999999999995</v>
      </c>
      <c r="J62" s="4">
        <f>data[[#This Row],[Amount]]-data[[#This Row],[cost]]</f>
        <v>15841.19</v>
      </c>
      <c r="K62" s="60">
        <f>data[[#This Row],[profit]]/data[[#This Row],[Amount]]</f>
        <v>0.97881796836381618</v>
      </c>
    </row>
    <row r="63" spans="3:11" x14ac:dyDescent="0.3">
      <c r="C63" t="s">
        <v>6</v>
      </c>
      <c r="D63" t="s">
        <v>36</v>
      </c>
      <c r="E63" t="s">
        <v>21</v>
      </c>
      <c r="F63" s="4">
        <v>497</v>
      </c>
      <c r="G63" s="5">
        <v>63</v>
      </c>
      <c r="H63">
        <f>_xlfn.XLOOKUP(data[[#This Row],[Product]],products[Product],products[Cost per unit])</f>
        <v>9</v>
      </c>
      <c r="I63">
        <f>data[[#This Row],[cost per unit]]*data[[#This Row],[Units]]</f>
        <v>567</v>
      </c>
      <c r="J63" s="4">
        <f>data[[#This Row],[Amount]]-data[[#This Row],[cost]]</f>
        <v>-70</v>
      </c>
      <c r="K63" s="60">
        <f>data[[#This Row],[profit]]/data[[#This Row],[Amount]]</f>
        <v>-0.14084507042253522</v>
      </c>
    </row>
    <row r="64" spans="3:11" x14ac:dyDescent="0.3">
      <c r="C64" t="s">
        <v>2</v>
      </c>
      <c r="D64" t="s">
        <v>36</v>
      </c>
      <c r="E64" t="s">
        <v>29</v>
      </c>
      <c r="F64" s="4">
        <v>8211</v>
      </c>
      <c r="G64" s="5">
        <v>75</v>
      </c>
      <c r="H64">
        <f>_xlfn.XLOOKUP(data[[#This Row],[Product]],products[Product],products[Cost per unit])</f>
        <v>7.16</v>
      </c>
      <c r="I64">
        <f>data[[#This Row],[cost per unit]]*data[[#This Row],[Units]]</f>
        <v>537</v>
      </c>
      <c r="J64" s="4">
        <f>data[[#This Row],[Amount]]-data[[#This Row],[cost]]</f>
        <v>7674</v>
      </c>
      <c r="K64" s="60">
        <f>data[[#This Row],[profit]]/data[[#This Row],[Amount]]</f>
        <v>0.93459992692729266</v>
      </c>
    </row>
    <row r="65" spans="3:11" x14ac:dyDescent="0.3">
      <c r="C65" t="s">
        <v>2</v>
      </c>
      <c r="D65" t="s">
        <v>38</v>
      </c>
      <c r="E65" t="s">
        <v>28</v>
      </c>
      <c r="F65" s="4">
        <v>6580</v>
      </c>
      <c r="G65" s="5">
        <v>183</v>
      </c>
      <c r="H65">
        <f>_xlfn.XLOOKUP(data[[#This Row],[Product]],products[Product],products[Cost per unit])</f>
        <v>10.38</v>
      </c>
      <c r="I65">
        <f>data[[#This Row],[cost per unit]]*data[[#This Row],[Units]]</f>
        <v>1899.5400000000002</v>
      </c>
      <c r="J65" s="4">
        <f>data[[#This Row],[Amount]]-data[[#This Row],[cost]]</f>
        <v>4680.46</v>
      </c>
      <c r="K65" s="60">
        <f>data[[#This Row],[profit]]/data[[#This Row],[Amount]]</f>
        <v>0.71131610942249246</v>
      </c>
    </row>
    <row r="66" spans="3:11" x14ac:dyDescent="0.3">
      <c r="C66" t="s">
        <v>41</v>
      </c>
      <c r="D66" t="s">
        <v>35</v>
      </c>
      <c r="E66" t="s">
        <v>13</v>
      </c>
      <c r="F66" s="4">
        <v>4760</v>
      </c>
      <c r="G66" s="5">
        <v>69</v>
      </c>
      <c r="H66">
        <f>_xlfn.XLOOKUP(data[[#This Row],[Product]],products[Product],products[Cost per unit])</f>
        <v>9.33</v>
      </c>
      <c r="I66">
        <f>data[[#This Row],[cost per unit]]*data[[#This Row],[Units]]</f>
        <v>643.77</v>
      </c>
      <c r="J66" s="4">
        <f>data[[#This Row],[Amount]]-data[[#This Row],[cost]]</f>
        <v>4116.2299999999996</v>
      </c>
      <c r="K66" s="60">
        <f>data[[#This Row],[profit]]/data[[#This Row],[Amount]]</f>
        <v>0.86475420168067219</v>
      </c>
    </row>
    <row r="67" spans="3:11" x14ac:dyDescent="0.3">
      <c r="C67" t="s">
        <v>40</v>
      </c>
      <c r="D67" t="s">
        <v>36</v>
      </c>
      <c r="E67" t="s">
        <v>25</v>
      </c>
      <c r="F67" s="4">
        <v>5439</v>
      </c>
      <c r="G67" s="5">
        <v>30</v>
      </c>
      <c r="H67">
        <f>_xlfn.XLOOKUP(data[[#This Row],[Product]],products[Product],products[Cost per unit])</f>
        <v>13.15</v>
      </c>
      <c r="I67">
        <f>data[[#This Row],[cost per unit]]*data[[#This Row],[Units]]</f>
        <v>394.5</v>
      </c>
      <c r="J67" s="4">
        <f>data[[#This Row],[Amount]]-data[[#This Row],[cost]]</f>
        <v>5044.5</v>
      </c>
      <c r="K67" s="60">
        <f>data[[#This Row],[profit]]/data[[#This Row],[Amount]]</f>
        <v>0.92746828461114172</v>
      </c>
    </row>
    <row r="68" spans="3:11" x14ac:dyDescent="0.3">
      <c r="C68" t="s">
        <v>41</v>
      </c>
      <c r="D68" t="s">
        <v>34</v>
      </c>
      <c r="E68" t="s">
        <v>17</v>
      </c>
      <c r="F68" s="4">
        <v>1463</v>
      </c>
      <c r="G68" s="5">
        <v>39</v>
      </c>
      <c r="H68">
        <f>_xlfn.XLOOKUP(data[[#This Row],[Product]],products[Product],products[Cost per unit])</f>
        <v>3.11</v>
      </c>
      <c r="I68">
        <f>data[[#This Row],[cost per unit]]*data[[#This Row],[Units]]</f>
        <v>121.28999999999999</v>
      </c>
      <c r="J68" s="4">
        <f>data[[#This Row],[Amount]]-data[[#This Row],[cost]]</f>
        <v>1341.71</v>
      </c>
      <c r="K68" s="60">
        <f>data[[#This Row],[profit]]/data[[#This Row],[Amount]]</f>
        <v>0.91709501025290496</v>
      </c>
    </row>
    <row r="69" spans="3:11" x14ac:dyDescent="0.3">
      <c r="C69" t="s">
        <v>3</v>
      </c>
      <c r="D69" t="s">
        <v>34</v>
      </c>
      <c r="E69" t="s">
        <v>32</v>
      </c>
      <c r="F69" s="4">
        <v>7777</v>
      </c>
      <c r="G69" s="5">
        <v>504</v>
      </c>
      <c r="H69">
        <f>_xlfn.XLOOKUP(data[[#This Row],[Product]],products[Product],products[Cost per unit])</f>
        <v>8.65</v>
      </c>
      <c r="I69">
        <f>data[[#This Row],[cost per unit]]*data[[#This Row],[Units]]</f>
        <v>4359.6000000000004</v>
      </c>
      <c r="J69" s="4">
        <f>data[[#This Row],[Amount]]-data[[#This Row],[cost]]</f>
        <v>3417.3999999999996</v>
      </c>
      <c r="K69" s="60">
        <f>data[[#This Row],[profit]]/data[[#This Row],[Amount]]</f>
        <v>0.43942394239423938</v>
      </c>
    </row>
    <row r="70" spans="3:11" x14ac:dyDescent="0.3">
      <c r="C70" t="s">
        <v>9</v>
      </c>
      <c r="D70" t="s">
        <v>37</v>
      </c>
      <c r="E70" t="s">
        <v>29</v>
      </c>
      <c r="F70" s="4">
        <v>1085</v>
      </c>
      <c r="G70" s="5">
        <v>273</v>
      </c>
      <c r="H70">
        <f>_xlfn.XLOOKUP(data[[#This Row],[Product]],products[Product],products[Cost per unit])</f>
        <v>7.16</v>
      </c>
      <c r="I70">
        <f>data[[#This Row],[cost per unit]]*data[[#This Row],[Units]]</f>
        <v>1954.68</v>
      </c>
      <c r="J70" s="4">
        <f>data[[#This Row],[Amount]]-data[[#This Row],[cost]]</f>
        <v>-869.68000000000006</v>
      </c>
      <c r="K70" s="60">
        <f>data[[#This Row],[profit]]/data[[#This Row],[Amount]]</f>
        <v>-0.80154838709677423</v>
      </c>
    </row>
    <row r="71" spans="3:11" x14ac:dyDescent="0.3">
      <c r="C71" t="s">
        <v>5</v>
      </c>
      <c r="D71" t="s">
        <v>37</v>
      </c>
      <c r="E71" t="s">
        <v>31</v>
      </c>
      <c r="F71" s="4">
        <v>182</v>
      </c>
      <c r="G71" s="5">
        <v>48</v>
      </c>
      <c r="H71">
        <f>_xlfn.XLOOKUP(data[[#This Row],[Product]],products[Product],products[Cost per unit])</f>
        <v>5.79</v>
      </c>
      <c r="I71">
        <f>data[[#This Row],[cost per unit]]*data[[#This Row],[Units]]</f>
        <v>277.92</v>
      </c>
      <c r="J71" s="4">
        <f>data[[#This Row],[Amount]]-data[[#This Row],[cost]]</f>
        <v>-95.920000000000016</v>
      </c>
      <c r="K71" s="60">
        <f>data[[#This Row],[profit]]/data[[#This Row],[Amount]]</f>
        <v>-0.52703296703296709</v>
      </c>
    </row>
    <row r="72" spans="3:11" x14ac:dyDescent="0.3">
      <c r="C72" t="s">
        <v>6</v>
      </c>
      <c r="D72" t="s">
        <v>34</v>
      </c>
      <c r="E72" t="s">
        <v>27</v>
      </c>
      <c r="F72" s="4">
        <v>4242</v>
      </c>
      <c r="G72" s="5">
        <v>207</v>
      </c>
      <c r="H72">
        <f>_xlfn.XLOOKUP(data[[#This Row],[Product]],products[Product],products[Cost per unit])</f>
        <v>16.73</v>
      </c>
      <c r="I72">
        <f>data[[#This Row],[cost per unit]]*data[[#This Row],[Units]]</f>
        <v>3463.11</v>
      </c>
      <c r="J72" s="4">
        <f>data[[#This Row],[Amount]]-data[[#This Row],[cost]]</f>
        <v>778.88999999999987</v>
      </c>
      <c r="K72" s="60">
        <f>data[[#This Row],[profit]]/data[[#This Row],[Amount]]</f>
        <v>0.18361386138613858</v>
      </c>
    </row>
    <row r="73" spans="3:11" x14ac:dyDescent="0.3">
      <c r="C73" t="s">
        <v>6</v>
      </c>
      <c r="D73" t="s">
        <v>36</v>
      </c>
      <c r="E73" t="s">
        <v>32</v>
      </c>
      <c r="F73" s="4">
        <v>6118</v>
      </c>
      <c r="G73" s="5">
        <v>9</v>
      </c>
      <c r="H73">
        <f>_xlfn.XLOOKUP(data[[#This Row],[Product]],products[Product],products[Cost per unit])</f>
        <v>8.65</v>
      </c>
      <c r="I73">
        <f>data[[#This Row],[cost per unit]]*data[[#This Row],[Units]]</f>
        <v>77.850000000000009</v>
      </c>
      <c r="J73" s="4">
        <f>data[[#This Row],[Amount]]-data[[#This Row],[cost]]</f>
        <v>6040.15</v>
      </c>
      <c r="K73" s="60">
        <f>data[[#This Row],[profit]]/data[[#This Row],[Amount]]</f>
        <v>0.98727525335076816</v>
      </c>
    </row>
    <row r="74" spans="3:11" x14ac:dyDescent="0.3">
      <c r="C74" t="s">
        <v>10</v>
      </c>
      <c r="D74" t="s">
        <v>36</v>
      </c>
      <c r="E74" t="s">
        <v>23</v>
      </c>
      <c r="F74" s="4">
        <v>2317</v>
      </c>
      <c r="G74" s="5">
        <v>261</v>
      </c>
      <c r="H74">
        <f>_xlfn.XLOOKUP(data[[#This Row],[Product]],products[Product],products[Cost per unit])</f>
        <v>6.49</v>
      </c>
      <c r="I74">
        <f>data[[#This Row],[cost per unit]]*data[[#This Row],[Units]]</f>
        <v>1693.89</v>
      </c>
      <c r="J74" s="4">
        <f>data[[#This Row],[Amount]]-data[[#This Row],[cost]]</f>
        <v>623.1099999999999</v>
      </c>
      <c r="K74" s="60">
        <f>data[[#This Row],[profit]]/data[[#This Row],[Amount]]</f>
        <v>0.26892965041001288</v>
      </c>
    </row>
    <row r="75" spans="3:11" x14ac:dyDescent="0.3">
      <c r="C75" t="s">
        <v>6</v>
      </c>
      <c r="D75" t="s">
        <v>38</v>
      </c>
      <c r="E75" t="s">
        <v>16</v>
      </c>
      <c r="F75" s="4">
        <v>938</v>
      </c>
      <c r="G75" s="5">
        <v>6</v>
      </c>
      <c r="H75">
        <f>_xlfn.XLOOKUP(data[[#This Row],[Product]],products[Product],products[Cost per unit])</f>
        <v>8.7899999999999991</v>
      </c>
      <c r="I75">
        <f>data[[#This Row],[cost per unit]]*data[[#This Row],[Units]]</f>
        <v>52.739999999999995</v>
      </c>
      <c r="J75" s="4">
        <f>data[[#This Row],[Amount]]-data[[#This Row],[cost]]</f>
        <v>885.26</v>
      </c>
      <c r="K75" s="60">
        <f>data[[#This Row],[profit]]/data[[#This Row],[Amount]]</f>
        <v>0.94377398720682304</v>
      </c>
    </row>
    <row r="76" spans="3:11" x14ac:dyDescent="0.3">
      <c r="C76" t="s">
        <v>8</v>
      </c>
      <c r="D76" t="s">
        <v>37</v>
      </c>
      <c r="E76" t="s">
        <v>15</v>
      </c>
      <c r="F76" s="4">
        <v>9709</v>
      </c>
      <c r="G76" s="5">
        <v>30</v>
      </c>
      <c r="H76">
        <f>_xlfn.XLOOKUP(data[[#This Row],[Product]],products[Product],products[Cost per unit])</f>
        <v>11.73</v>
      </c>
      <c r="I76">
        <f>data[[#This Row],[cost per unit]]*data[[#This Row],[Units]]</f>
        <v>351.90000000000003</v>
      </c>
      <c r="J76" s="4">
        <f>data[[#This Row],[Amount]]-data[[#This Row],[cost]]</f>
        <v>9357.1</v>
      </c>
      <c r="K76" s="60">
        <f>data[[#This Row],[profit]]/data[[#This Row],[Amount]]</f>
        <v>0.96375527860747767</v>
      </c>
    </row>
    <row r="77" spans="3:11" x14ac:dyDescent="0.3">
      <c r="C77" t="s">
        <v>7</v>
      </c>
      <c r="D77" t="s">
        <v>34</v>
      </c>
      <c r="E77" t="s">
        <v>20</v>
      </c>
      <c r="F77" s="4">
        <v>2205</v>
      </c>
      <c r="G77" s="5">
        <v>138</v>
      </c>
      <c r="H77">
        <f>_xlfn.XLOOKUP(data[[#This Row],[Product]],products[Product],products[Cost per unit])</f>
        <v>10.62</v>
      </c>
      <c r="I77">
        <f>data[[#This Row],[cost per unit]]*data[[#This Row],[Units]]</f>
        <v>1465.56</v>
      </c>
      <c r="J77" s="4">
        <f>data[[#This Row],[Amount]]-data[[#This Row],[cost]]</f>
        <v>739.44</v>
      </c>
      <c r="K77" s="60">
        <f>data[[#This Row],[profit]]/data[[#This Row],[Amount]]</f>
        <v>0.33534693877551025</v>
      </c>
    </row>
    <row r="78" spans="3:11" x14ac:dyDescent="0.3">
      <c r="C78" t="s">
        <v>7</v>
      </c>
      <c r="D78" t="s">
        <v>37</v>
      </c>
      <c r="E78" t="s">
        <v>17</v>
      </c>
      <c r="F78" s="4">
        <v>4487</v>
      </c>
      <c r="G78" s="5">
        <v>111</v>
      </c>
      <c r="H78">
        <f>_xlfn.XLOOKUP(data[[#This Row],[Product]],products[Product],products[Cost per unit])</f>
        <v>3.11</v>
      </c>
      <c r="I78">
        <f>data[[#This Row],[cost per unit]]*data[[#This Row],[Units]]</f>
        <v>345.21</v>
      </c>
      <c r="J78" s="4">
        <f>data[[#This Row],[Amount]]-data[[#This Row],[cost]]</f>
        <v>4141.79</v>
      </c>
      <c r="K78" s="60">
        <f>data[[#This Row],[profit]]/data[[#This Row],[Amount]]</f>
        <v>0.92306440829061731</v>
      </c>
    </row>
    <row r="79" spans="3:11" x14ac:dyDescent="0.3">
      <c r="C79" t="s">
        <v>5</v>
      </c>
      <c r="D79" t="s">
        <v>35</v>
      </c>
      <c r="E79" t="s">
        <v>18</v>
      </c>
      <c r="F79" s="4">
        <v>2415</v>
      </c>
      <c r="G79" s="5">
        <v>15</v>
      </c>
      <c r="H79">
        <f>_xlfn.XLOOKUP(data[[#This Row],[Product]],products[Product],products[Cost per unit])</f>
        <v>6.47</v>
      </c>
      <c r="I79">
        <f>data[[#This Row],[cost per unit]]*data[[#This Row],[Units]]</f>
        <v>97.05</v>
      </c>
      <c r="J79" s="4">
        <f>data[[#This Row],[Amount]]-data[[#This Row],[cost]]</f>
        <v>2317.9499999999998</v>
      </c>
      <c r="K79" s="60">
        <f>data[[#This Row],[profit]]/data[[#This Row],[Amount]]</f>
        <v>0.95981366459627326</v>
      </c>
    </row>
    <row r="80" spans="3:11" x14ac:dyDescent="0.3">
      <c r="C80" t="s">
        <v>40</v>
      </c>
      <c r="D80" t="s">
        <v>34</v>
      </c>
      <c r="E80" t="s">
        <v>19</v>
      </c>
      <c r="F80" s="4">
        <v>4018</v>
      </c>
      <c r="G80" s="5">
        <v>162</v>
      </c>
      <c r="H80">
        <f>_xlfn.XLOOKUP(data[[#This Row],[Product]],products[Product],products[Cost per unit])</f>
        <v>7.64</v>
      </c>
      <c r="I80">
        <f>data[[#This Row],[cost per unit]]*data[[#This Row],[Units]]</f>
        <v>1237.6799999999998</v>
      </c>
      <c r="J80" s="4">
        <f>data[[#This Row],[Amount]]-data[[#This Row],[cost]]</f>
        <v>2780.32</v>
      </c>
      <c r="K80" s="60">
        <f>data[[#This Row],[profit]]/data[[#This Row],[Amount]]</f>
        <v>0.69196615231458436</v>
      </c>
    </row>
    <row r="81" spans="3:11" x14ac:dyDescent="0.3">
      <c r="C81" t="s">
        <v>5</v>
      </c>
      <c r="D81" t="s">
        <v>34</v>
      </c>
      <c r="E81" t="s">
        <v>19</v>
      </c>
      <c r="F81" s="4">
        <v>861</v>
      </c>
      <c r="G81" s="5">
        <v>195</v>
      </c>
      <c r="H81">
        <f>_xlfn.XLOOKUP(data[[#This Row],[Product]],products[Product],products[Cost per unit])</f>
        <v>7.64</v>
      </c>
      <c r="I81">
        <f>data[[#This Row],[cost per unit]]*data[[#This Row],[Units]]</f>
        <v>1489.8</v>
      </c>
      <c r="J81" s="4">
        <f>data[[#This Row],[Amount]]-data[[#This Row],[cost]]</f>
        <v>-628.79999999999995</v>
      </c>
      <c r="K81" s="60">
        <f>data[[#This Row],[profit]]/data[[#This Row],[Amount]]</f>
        <v>-0.73031358885017417</v>
      </c>
    </row>
    <row r="82" spans="3:11" x14ac:dyDescent="0.3">
      <c r="C82" t="s">
        <v>10</v>
      </c>
      <c r="D82" t="s">
        <v>38</v>
      </c>
      <c r="E82" t="s">
        <v>14</v>
      </c>
      <c r="F82" s="4">
        <v>5586</v>
      </c>
      <c r="G82" s="5">
        <v>525</v>
      </c>
      <c r="H82">
        <f>_xlfn.XLOOKUP(data[[#This Row],[Product]],products[Product],products[Cost per unit])</f>
        <v>11.7</v>
      </c>
      <c r="I82">
        <f>data[[#This Row],[cost per unit]]*data[[#This Row],[Units]]</f>
        <v>6142.5</v>
      </c>
      <c r="J82" s="4">
        <f>data[[#This Row],[Amount]]-data[[#This Row],[cost]]</f>
        <v>-556.5</v>
      </c>
      <c r="K82" s="60">
        <f>data[[#This Row],[profit]]/data[[#This Row],[Amount]]</f>
        <v>-9.9624060150375934E-2</v>
      </c>
    </row>
    <row r="83" spans="3:11" x14ac:dyDescent="0.3">
      <c r="C83" t="s">
        <v>7</v>
      </c>
      <c r="D83" t="s">
        <v>34</v>
      </c>
      <c r="E83" t="s">
        <v>33</v>
      </c>
      <c r="F83" s="4">
        <v>2226</v>
      </c>
      <c r="G83" s="5">
        <v>48</v>
      </c>
      <c r="H83">
        <f>_xlfn.XLOOKUP(data[[#This Row],[Product]],products[Product],products[Cost per unit])</f>
        <v>12.37</v>
      </c>
      <c r="I83">
        <f>data[[#This Row],[cost per unit]]*data[[#This Row],[Units]]</f>
        <v>593.76</v>
      </c>
      <c r="J83" s="4">
        <f>data[[#This Row],[Amount]]-data[[#This Row],[cost]]</f>
        <v>1632.24</v>
      </c>
      <c r="K83" s="60">
        <f>data[[#This Row],[profit]]/data[[#This Row],[Amount]]</f>
        <v>0.73326145552560651</v>
      </c>
    </row>
    <row r="84" spans="3:11" x14ac:dyDescent="0.3">
      <c r="C84" t="s">
        <v>9</v>
      </c>
      <c r="D84" t="s">
        <v>34</v>
      </c>
      <c r="E84" t="s">
        <v>28</v>
      </c>
      <c r="F84" s="4">
        <v>14329</v>
      </c>
      <c r="G84" s="5">
        <v>150</v>
      </c>
      <c r="H84">
        <f>_xlfn.XLOOKUP(data[[#This Row],[Product]],products[Product],products[Cost per unit])</f>
        <v>10.38</v>
      </c>
      <c r="I84">
        <f>data[[#This Row],[cost per unit]]*data[[#This Row],[Units]]</f>
        <v>1557.0000000000002</v>
      </c>
      <c r="J84" s="4">
        <f>data[[#This Row],[Amount]]-data[[#This Row],[cost]]</f>
        <v>12772</v>
      </c>
      <c r="K84" s="60">
        <f>data[[#This Row],[profit]]/data[[#This Row],[Amount]]</f>
        <v>0.89133924209644777</v>
      </c>
    </row>
    <row r="85" spans="3:11" x14ac:dyDescent="0.3">
      <c r="C85" t="s">
        <v>9</v>
      </c>
      <c r="D85" t="s">
        <v>34</v>
      </c>
      <c r="E85" t="s">
        <v>20</v>
      </c>
      <c r="F85" s="4">
        <v>8463</v>
      </c>
      <c r="G85" s="5">
        <v>492</v>
      </c>
      <c r="H85">
        <f>_xlfn.XLOOKUP(data[[#This Row],[Product]],products[Product],products[Cost per unit])</f>
        <v>10.62</v>
      </c>
      <c r="I85">
        <f>data[[#This Row],[cost per unit]]*data[[#This Row],[Units]]</f>
        <v>5225.04</v>
      </c>
      <c r="J85" s="4">
        <f>data[[#This Row],[Amount]]-data[[#This Row],[cost]]</f>
        <v>3237.96</v>
      </c>
      <c r="K85" s="60">
        <f>data[[#This Row],[profit]]/data[[#This Row],[Amount]]</f>
        <v>0.38260191421481743</v>
      </c>
    </row>
    <row r="86" spans="3:11" x14ac:dyDescent="0.3">
      <c r="C86" t="s">
        <v>5</v>
      </c>
      <c r="D86" t="s">
        <v>34</v>
      </c>
      <c r="E86" t="s">
        <v>29</v>
      </c>
      <c r="F86" s="4">
        <v>2891</v>
      </c>
      <c r="G86" s="5">
        <v>102</v>
      </c>
      <c r="H86">
        <f>_xlfn.XLOOKUP(data[[#This Row],[Product]],products[Product],products[Cost per unit])</f>
        <v>7.16</v>
      </c>
      <c r="I86">
        <f>data[[#This Row],[cost per unit]]*data[[#This Row],[Units]]</f>
        <v>730.32</v>
      </c>
      <c r="J86" s="4">
        <f>data[[#This Row],[Amount]]-data[[#This Row],[cost]]</f>
        <v>2160.6799999999998</v>
      </c>
      <c r="K86" s="60">
        <f>data[[#This Row],[profit]]/data[[#This Row],[Amount]]</f>
        <v>0.74738152888273945</v>
      </c>
    </row>
    <row r="87" spans="3:11" x14ac:dyDescent="0.3">
      <c r="C87" t="s">
        <v>3</v>
      </c>
      <c r="D87" t="s">
        <v>36</v>
      </c>
      <c r="E87" t="s">
        <v>23</v>
      </c>
      <c r="F87" s="4">
        <v>3773</v>
      </c>
      <c r="G87" s="5">
        <v>165</v>
      </c>
      <c r="H87">
        <f>_xlfn.XLOOKUP(data[[#This Row],[Product]],products[Product],products[Cost per unit])</f>
        <v>6.49</v>
      </c>
      <c r="I87">
        <f>data[[#This Row],[cost per unit]]*data[[#This Row],[Units]]</f>
        <v>1070.8500000000001</v>
      </c>
      <c r="J87" s="4">
        <f>data[[#This Row],[Amount]]-data[[#This Row],[cost]]</f>
        <v>2702.1499999999996</v>
      </c>
      <c r="K87" s="60">
        <f>data[[#This Row],[profit]]/data[[#This Row],[Amount]]</f>
        <v>0.71618075801749259</v>
      </c>
    </row>
    <row r="88" spans="3:11" x14ac:dyDescent="0.3">
      <c r="C88" t="s">
        <v>41</v>
      </c>
      <c r="D88" t="s">
        <v>36</v>
      </c>
      <c r="E88" t="s">
        <v>28</v>
      </c>
      <c r="F88" s="4">
        <v>854</v>
      </c>
      <c r="G88" s="5">
        <v>309</v>
      </c>
      <c r="H88">
        <f>_xlfn.XLOOKUP(data[[#This Row],[Product]],products[Product],products[Cost per unit])</f>
        <v>10.38</v>
      </c>
      <c r="I88">
        <f>data[[#This Row],[cost per unit]]*data[[#This Row],[Units]]</f>
        <v>3207.42</v>
      </c>
      <c r="J88" s="4">
        <f>data[[#This Row],[Amount]]-data[[#This Row],[cost]]</f>
        <v>-2353.42</v>
      </c>
      <c r="K88" s="60">
        <f>data[[#This Row],[profit]]/data[[#This Row],[Amount]]</f>
        <v>-2.7557611241217801</v>
      </c>
    </row>
    <row r="89" spans="3:11" x14ac:dyDescent="0.3">
      <c r="C89" t="s">
        <v>6</v>
      </c>
      <c r="D89" t="s">
        <v>36</v>
      </c>
      <c r="E89" t="s">
        <v>17</v>
      </c>
      <c r="F89" s="4">
        <v>4970</v>
      </c>
      <c r="G89" s="5">
        <v>156</v>
      </c>
      <c r="H89">
        <f>_xlfn.XLOOKUP(data[[#This Row],[Product]],products[Product],products[Cost per unit])</f>
        <v>3.11</v>
      </c>
      <c r="I89">
        <f>data[[#This Row],[cost per unit]]*data[[#This Row],[Units]]</f>
        <v>485.15999999999997</v>
      </c>
      <c r="J89" s="4">
        <f>data[[#This Row],[Amount]]-data[[#This Row],[cost]]</f>
        <v>4484.84</v>
      </c>
      <c r="K89" s="60">
        <f>data[[#This Row],[profit]]/data[[#This Row],[Amount]]</f>
        <v>0.9023822937625755</v>
      </c>
    </row>
    <row r="90" spans="3:11" x14ac:dyDescent="0.3">
      <c r="C90" t="s">
        <v>9</v>
      </c>
      <c r="D90" t="s">
        <v>35</v>
      </c>
      <c r="E90" t="s">
        <v>26</v>
      </c>
      <c r="F90" s="4">
        <v>98</v>
      </c>
      <c r="G90" s="5">
        <v>159</v>
      </c>
      <c r="H90">
        <f>_xlfn.XLOOKUP(data[[#This Row],[Product]],products[Product],products[Cost per unit])</f>
        <v>5.6</v>
      </c>
      <c r="I90">
        <f>data[[#This Row],[cost per unit]]*data[[#This Row],[Units]]</f>
        <v>890.4</v>
      </c>
      <c r="J90" s="4">
        <f>data[[#This Row],[Amount]]-data[[#This Row],[cost]]</f>
        <v>-792.4</v>
      </c>
      <c r="K90" s="60">
        <f>data[[#This Row],[profit]]/data[[#This Row],[Amount]]</f>
        <v>-8.0857142857142854</v>
      </c>
    </row>
    <row r="91" spans="3:11" x14ac:dyDescent="0.3">
      <c r="C91" t="s">
        <v>5</v>
      </c>
      <c r="D91" t="s">
        <v>35</v>
      </c>
      <c r="E91" t="s">
        <v>15</v>
      </c>
      <c r="F91" s="4">
        <v>13391</v>
      </c>
      <c r="G91" s="5">
        <v>201</v>
      </c>
      <c r="H91">
        <f>_xlfn.XLOOKUP(data[[#This Row],[Product]],products[Product],products[Cost per unit])</f>
        <v>11.73</v>
      </c>
      <c r="I91">
        <f>data[[#This Row],[cost per unit]]*data[[#This Row],[Units]]</f>
        <v>2357.73</v>
      </c>
      <c r="J91" s="4">
        <f>data[[#This Row],[Amount]]-data[[#This Row],[cost]]</f>
        <v>11033.27</v>
      </c>
      <c r="K91" s="60">
        <f>data[[#This Row],[profit]]/data[[#This Row],[Amount]]</f>
        <v>0.82393174520200141</v>
      </c>
    </row>
    <row r="92" spans="3:11" x14ac:dyDescent="0.3">
      <c r="C92" t="s">
        <v>8</v>
      </c>
      <c r="D92" t="s">
        <v>39</v>
      </c>
      <c r="E92" t="s">
        <v>31</v>
      </c>
      <c r="F92" s="4">
        <v>8890</v>
      </c>
      <c r="G92" s="5">
        <v>210</v>
      </c>
      <c r="H92">
        <f>_xlfn.XLOOKUP(data[[#This Row],[Product]],products[Product],products[Cost per unit])</f>
        <v>5.79</v>
      </c>
      <c r="I92">
        <f>data[[#This Row],[cost per unit]]*data[[#This Row],[Units]]</f>
        <v>1215.9000000000001</v>
      </c>
      <c r="J92" s="4">
        <f>data[[#This Row],[Amount]]-data[[#This Row],[cost]]</f>
        <v>7674.1</v>
      </c>
      <c r="K92" s="60">
        <f>data[[#This Row],[profit]]/data[[#This Row],[Amount]]</f>
        <v>0.863228346456693</v>
      </c>
    </row>
    <row r="93" spans="3:11" x14ac:dyDescent="0.3">
      <c r="C93" t="s">
        <v>2</v>
      </c>
      <c r="D93" t="s">
        <v>38</v>
      </c>
      <c r="E93" t="s">
        <v>13</v>
      </c>
      <c r="F93" s="4">
        <v>56</v>
      </c>
      <c r="G93" s="5">
        <v>51</v>
      </c>
      <c r="H93">
        <f>_xlfn.XLOOKUP(data[[#This Row],[Product]],products[Product],products[Cost per unit])</f>
        <v>9.33</v>
      </c>
      <c r="I93">
        <f>data[[#This Row],[cost per unit]]*data[[#This Row],[Units]]</f>
        <v>475.83</v>
      </c>
      <c r="J93" s="4">
        <f>data[[#This Row],[Amount]]-data[[#This Row],[cost]]</f>
        <v>-419.83</v>
      </c>
      <c r="K93" s="60">
        <f>data[[#This Row],[profit]]/data[[#This Row],[Amount]]</f>
        <v>-7.4969642857142853</v>
      </c>
    </row>
    <row r="94" spans="3:11" x14ac:dyDescent="0.3">
      <c r="C94" t="s">
        <v>3</v>
      </c>
      <c r="D94" t="s">
        <v>36</v>
      </c>
      <c r="E94" t="s">
        <v>25</v>
      </c>
      <c r="F94" s="4">
        <v>3339</v>
      </c>
      <c r="G94" s="5">
        <v>39</v>
      </c>
      <c r="H94">
        <f>_xlfn.XLOOKUP(data[[#This Row],[Product]],products[Product],products[Cost per unit])</f>
        <v>13.15</v>
      </c>
      <c r="I94">
        <f>data[[#This Row],[cost per unit]]*data[[#This Row],[Units]]</f>
        <v>512.85</v>
      </c>
      <c r="J94" s="4">
        <f>data[[#This Row],[Amount]]-data[[#This Row],[cost]]</f>
        <v>2826.15</v>
      </c>
      <c r="K94" s="60">
        <f>data[[#This Row],[profit]]/data[[#This Row],[Amount]]</f>
        <v>0.84640610961365681</v>
      </c>
    </row>
    <row r="95" spans="3:11" x14ac:dyDescent="0.3">
      <c r="C95" t="s">
        <v>10</v>
      </c>
      <c r="D95" t="s">
        <v>35</v>
      </c>
      <c r="E95" t="s">
        <v>18</v>
      </c>
      <c r="F95" s="4">
        <v>3808</v>
      </c>
      <c r="G95" s="5">
        <v>279</v>
      </c>
      <c r="H95">
        <f>_xlfn.XLOOKUP(data[[#This Row],[Product]],products[Product],products[Cost per unit])</f>
        <v>6.47</v>
      </c>
      <c r="I95">
        <f>data[[#This Row],[cost per unit]]*data[[#This Row],[Units]]</f>
        <v>1805.1299999999999</v>
      </c>
      <c r="J95" s="4">
        <f>data[[#This Row],[Amount]]-data[[#This Row],[cost]]</f>
        <v>2002.8700000000001</v>
      </c>
      <c r="K95" s="60">
        <f>data[[#This Row],[profit]]/data[[#This Row],[Amount]]</f>
        <v>0.52596376050420168</v>
      </c>
    </row>
    <row r="96" spans="3:11" x14ac:dyDescent="0.3">
      <c r="C96" t="s">
        <v>10</v>
      </c>
      <c r="D96" t="s">
        <v>38</v>
      </c>
      <c r="E96" t="s">
        <v>13</v>
      </c>
      <c r="F96" s="4">
        <v>63</v>
      </c>
      <c r="G96" s="5">
        <v>123</v>
      </c>
      <c r="H96">
        <f>_xlfn.XLOOKUP(data[[#This Row],[Product]],products[Product],products[Cost per unit])</f>
        <v>9.33</v>
      </c>
      <c r="I96">
        <f>data[[#This Row],[cost per unit]]*data[[#This Row],[Units]]</f>
        <v>1147.5899999999999</v>
      </c>
      <c r="J96" s="4">
        <f>data[[#This Row],[Amount]]-data[[#This Row],[cost]]</f>
        <v>-1084.5899999999999</v>
      </c>
      <c r="K96" s="60">
        <f>data[[#This Row],[profit]]/data[[#This Row],[Amount]]</f>
        <v>-17.215714285714284</v>
      </c>
    </row>
    <row r="97" spans="3:11" x14ac:dyDescent="0.3">
      <c r="C97" t="s">
        <v>2</v>
      </c>
      <c r="D97" t="s">
        <v>39</v>
      </c>
      <c r="E97" t="s">
        <v>27</v>
      </c>
      <c r="F97" s="4">
        <v>7812</v>
      </c>
      <c r="G97" s="5">
        <v>81</v>
      </c>
      <c r="H97">
        <f>_xlfn.XLOOKUP(data[[#This Row],[Product]],products[Product],products[Cost per unit])</f>
        <v>16.73</v>
      </c>
      <c r="I97">
        <f>data[[#This Row],[cost per unit]]*data[[#This Row],[Units]]</f>
        <v>1355.13</v>
      </c>
      <c r="J97" s="4">
        <f>data[[#This Row],[Amount]]-data[[#This Row],[cost]]</f>
        <v>6456.87</v>
      </c>
      <c r="K97" s="60">
        <f>data[[#This Row],[profit]]/data[[#This Row],[Amount]]</f>
        <v>0.82653225806451613</v>
      </c>
    </row>
    <row r="98" spans="3:11" x14ac:dyDescent="0.3">
      <c r="C98" t="s">
        <v>40</v>
      </c>
      <c r="D98" t="s">
        <v>37</v>
      </c>
      <c r="E98" t="s">
        <v>19</v>
      </c>
      <c r="F98" s="4">
        <v>7693</v>
      </c>
      <c r="G98" s="5">
        <v>21</v>
      </c>
      <c r="H98">
        <f>_xlfn.XLOOKUP(data[[#This Row],[Product]],products[Product],products[Cost per unit])</f>
        <v>7.64</v>
      </c>
      <c r="I98">
        <f>data[[#This Row],[cost per unit]]*data[[#This Row],[Units]]</f>
        <v>160.44</v>
      </c>
      <c r="J98" s="4">
        <f>data[[#This Row],[Amount]]-data[[#This Row],[cost]]</f>
        <v>7532.56</v>
      </c>
      <c r="K98" s="60">
        <f>data[[#This Row],[profit]]/data[[#This Row],[Amount]]</f>
        <v>0.97914467697907193</v>
      </c>
    </row>
    <row r="99" spans="3:11" x14ac:dyDescent="0.3">
      <c r="C99" t="s">
        <v>3</v>
      </c>
      <c r="D99" t="s">
        <v>36</v>
      </c>
      <c r="E99" t="s">
        <v>28</v>
      </c>
      <c r="F99" s="4">
        <v>973</v>
      </c>
      <c r="G99" s="5">
        <v>162</v>
      </c>
      <c r="H99">
        <f>_xlfn.XLOOKUP(data[[#This Row],[Product]],products[Product],products[Cost per unit])</f>
        <v>10.38</v>
      </c>
      <c r="I99">
        <f>data[[#This Row],[cost per unit]]*data[[#This Row],[Units]]</f>
        <v>1681.5600000000002</v>
      </c>
      <c r="J99" s="4">
        <f>data[[#This Row],[Amount]]-data[[#This Row],[cost]]</f>
        <v>-708.56000000000017</v>
      </c>
      <c r="K99" s="60">
        <f>data[[#This Row],[profit]]/data[[#This Row],[Amount]]</f>
        <v>-0.72822199383350483</v>
      </c>
    </row>
    <row r="100" spans="3:11" x14ac:dyDescent="0.3">
      <c r="C100" t="s">
        <v>10</v>
      </c>
      <c r="D100" t="s">
        <v>35</v>
      </c>
      <c r="E100" t="s">
        <v>21</v>
      </c>
      <c r="F100" s="4">
        <v>567</v>
      </c>
      <c r="G100" s="5">
        <v>228</v>
      </c>
      <c r="H100">
        <f>_xlfn.XLOOKUP(data[[#This Row],[Product]],products[Product],products[Cost per unit])</f>
        <v>9</v>
      </c>
      <c r="I100">
        <f>data[[#This Row],[cost per unit]]*data[[#This Row],[Units]]</f>
        <v>2052</v>
      </c>
      <c r="J100" s="4">
        <f>data[[#This Row],[Amount]]-data[[#This Row],[cost]]</f>
        <v>-1485</v>
      </c>
      <c r="K100" s="60">
        <f>data[[#This Row],[profit]]/data[[#This Row],[Amount]]</f>
        <v>-2.6190476190476191</v>
      </c>
    </row>
    <row r="101" spans="3:11" x14ac:dyDescent="0.3">
      <c r="C101" t="s">
        <v>10</v>
      </c>
      <c r="D101" t="s">
        <v>36</v>
      </c>
      <c r="E101" t="s">
        <v>29</v>
      </c>
      <c r="F101" s="4">
        <v>2471</v>
      </c>
      <c r="G101" s="5">
        <v>342</v>
      </c>
      <c r="H101">
        <f>_xlfn.XLOOKUP(data[[#This Row],[Product]],products[Product],products[Cost per unit])</f>
        <v>7.16</v>
      </c>
      <c r="I101">
        <f>data[[#This Row],[cost per unit]]*data[[#This Row],[Units]]</f>
        <v>2448.7200000000003</v>
      </c>
      <c r="J101" s="4">
        <f>data[[#This Row],[Amount]]-data[[#This Row],[cost]]</f>
        <v>22.279999999999745</v>
      </c>
      <c r="K101" s="60">
        <f>data[[#This Row],[profit]]/data[[#This Row],[Amount]]</f>
        <v>9.0165924726830216E-3</v>
      </c>
    </row>
    <row r="102" spans="3:11" x14ac:dyDescent="0.3">
      <c r="C102" t="s">
        <v>5</v>
      </c>
      <c r="D102" t="s">
        <v>38</v>
      </c>
      <c r="E102" t="s">
        <v>13</v>
      </c>
      <c r="F102" s="4">
        <v>7189</v>
      </c>
      <c r="G102" s="5">
        <v>54</v>
      </c>
      <c r="H102">
        <f>_xlfn.XLOOKUP(data[[#This Row],[Product]],products[Product],products[Cost per unit])</f>
        <v>9.33</v>
      </c>
      <c r="I102">
        <f>data[[#This Row],[cost per unit]]*data[[#This Row],[Units]]</f>
        <v>503.82</v>
      </c>
      <c r="J102" s="4">
        <f>data[[#This Row],[Amount]]-data[[#This Row],[cost]]</f>
        <v>6685.18</v>
      </c>
      <c r="K102" s="60">
        <f>data[[#This Row],[profit]]/data[[#This Row],[Amount]]</f>
        <v>0.92991793017109481</v>
      </c>
    </row>
    <row r="103" spans="3:11" x14ac:dyDescent="0.3">
      <c r="C103" t="s">
        <v>41</v>
      </c>
      <c r="D103" t="s">
        <v>35</v>
      </c>
      <c r="E103" t="s">
        <v>28</v>
      </c>
      <c r="F103" s="4">
        <v>7455</v>
      </c>
      <c r="G103" s="5">
        <v>216</v>
      </c>
      <c r="H103">
        <f>_xlfn.XLOOKUP(data[[#This Row],[Product]],products[Product],products[Cost per unit])</f>
        <v>10.38</v>
      </c>
      <c r="I103">
        <f>data[[#This Row],[cost per unit]]*data[[#This Row],[Units]]</f>
        <v>2242.0800000000004</v>
      </c>
      <c r="J103" s="4">
        <f>data[[#This Row],[Amount]]-data[[#This Row],[cost]]</f>
        <v>5212.92</v>
      </c>
      <c r="K103" s="60">
        <f>data[[#This Row],[profit]]/data[[#This Row],[Amount]]</f>
        <v>0.69925150905432598</v>
      </c>
    </row>
    <row r="104" spans="3:11" x14ac:dyDescent="0.3">
      <c r="C104" t="s">
        <v>3</v>
      </c>
      <c r="D104" t="s">
        <v>34</v>
      </c>
      <c r="E104" t="s">
        <v>26</v>
      </c>
      <c r="F104" s="4">
        <v>3108</v>
      </c>
      <c r="G104" s="5">
        <v>54</v>
      </c>
      <c r="H104">
        <f>_xlfn.XLOOKUP(data[[#This Row],[Product]],products[Product],products[Cost per unit])</f>
        <v>5.6</v>
      </c>
      <c r="I104">
        <f>data[[#This Row],[cost per unit]]*data[[#This Row],[Units]]</f>
        <v>302.39999999999998</v>
      </c>
      <c r="J104" s="4">
        <f>data[[#This Row],[Amount]]-data[[#This Row],[cost]]</f>
        <v>2805.6</v>
      </c>
      <c r="K104" s="60">
        <f>data[[#This Row],[profit]]/data[[#This Row],[Amount]]</f>
        <v>0.9027027027027027</v>
      </c>
    </row>
    <row r="105" spans="3:11" x14ac:dyDescent="0.3">
      <c r="C105" t="s">
        <v>6</v>
      </c>
      <c r="D105" t="s">
        <v>38</v>
      </c>
      <c r="E105" t="s">
        <v>25</v>
      </c>
      <c r="F105" s="4">
        <v>469</v>
      </c>
      <c r="G105" s="5">
        <v>75</v>
      </c>
      <c r="H105">
        <f>_xlfn.XLOOKUP(data[[#This Row],[Product]],products[Product],products[Cost per unit])</f>
        <v>13.15</v>
      </c>
      <c r="I105">
        <f>data[[#This Row],[cost per unit]]*data[[#This Row],[Units]]</f>
        <v>986.25</v>
      </c>
      <c r="J105" s="4">
        <f>data[[#This Row],[Amount]]-data[[#This Row],[cost]]</f>
        <v>-517.25</v>
      </c>
      <c r="K105" s="60">
        <f>data[[#This Row],[profit]]/data[[#This Row],[Amount]]</f>
        <v>-1.1028784648187633</v>
      </c>
    </row>
    <row r="106" spans="3:11" x14ac:dyDescent="0.3">
      <c r="C106" t="s">
        <v>9</v>
      </c>
      <c r="D106" t="s">
        <v>37</v>
      </c>
      <c r="E106" t="s">
        <v>23</v>
      </c>
      <c r="F106" s="4">
        <v>2737</v>
      </c>
      <c r="G106" s="5">
        <v>93</v>
      </c>
      <c r="H106">
        <f>_xlfn.XLOOKUP(data[[#This Row],[Product]],products[Product],products[Cost per unit])</f>
        <v>6.49</v>
      </c>
      <c r="I106">
        <f>data[[#This Row],[cost per unit]]*data[[#This Row],[Units]]</f>
        <v>603.57000000000005</v>
      </c>
      <c r="J106" s="4">
        <f>data[[#This Row],[Amount]]-data[[#This Row],[cost]]</f>
        <v>2133.4299999999998</v>
      </c>
      <c r="K106" s="60">
        <f>data[[#This Row],[profit]]/data[[#This Row],[Amount]]</f>
        <v>0.77947753014249177</v>
      </c>
    </row>
    <row r="107" spans="3:11" x14ac:dyDescent="0.3">
      <c r="C107" t="s">
        <v>9</v>
      </c>
      <c r="D107" t="s">
        <v>37</v>
      </c>
      <c r="E107" t="s">
        <v>25</v>
      </c>
      <c r="F107" s="4">
        <v>4305</v>
      </c>
      <c r="G107" s="5">
        <v>156</v>
      </c>
      <c r="H107">
        <f>_xlfn.XLOOKUP(data[[#This Row],[Product]],products[Product],products[Cost per unit])</f>
        <v>13.15</v>
      </c>
      <c r="I107">
        <f>data[[#This Row],[cost per unit]]*data[[#This Row],[Units]]</f>
        <v>2051.4</v>
      </c>
      <c r="J107" s="4">
        <f>data[[#This Row],[Amount]]-data[[#This Row],[cost]]</f>
        <v>2253.6</v>
      </c>
      <c r="K107" s="60">
        <f>data[[#This Row],[profit]]/data[[#This Row],[Amount]]</f>
        <v>0.52348432055749128</v>
      </c>
    </row>
    <row r="108" spans="3:11" x14ac:dyDescent="0.3">
      <c r="C108" t="s">
        <v>9</v>
      </c>
      <c r="D108" t="s">
        <v>38</v>
      </c>
      <c r="E108" t="s">
        <v>17</v>
      </c>
      <c r="F108" s="4">
        <v>2408</v>
      </c>
      <c r="G108" s="5">
        <v>9</v>
      </c>
      <c r="H108">
        <f>_xlfn.XLOOKUP(data[[#This Row],[Product]],products[Product],products[Cost per unit])</f>
        <v>3.11</v>
      </c>
      <c r="I108">
        <f>data[[#This Row],[cost per unit]]*data[[#This Row],[Units]]</f>
        <v>27.99</v>
      </c>
      <c r="J108" s="4">
        <f>data[[#This Row],[Amount]]-data[[#This Row],[cost]]</f>
        <v>2380.0100000000002</v>
      </c>
      <c r="K108" s="60">
        <f>data[[#This Row],[profit]]/data[[#This Row],[Amount]]</f>
        <v>0.9883762458471762</v>
      </c>
    </row>
    <row r="109" spans="3:11" x14ac:dyDescent="0.3">
      <c r="C109" t="s">
        <v>3</v>
      </c>
      <c r="D109" t="s">
        <v>36</v>
      </c>
      <c r="E109" t="s">
        <v>19</v>
      </c>
      <c r="F109" s="4">
        <v>1281</v>
      </c>
      <c r="G109" s="5">
        <v>18</v>
      </c>
      <c r="H109">
        <f>_xlfn.XLOOKUP(data[[#This Row],[Product]],products[Product],products[Cost per unit])</f>
        <v>7.64</v>
      </c>
      <c r="I109">
        <f>data[[#This Row],[cost per unit]]*data[[#This Row],[Units]]</f>
        <v>137.51999999999998</v>
      </c>
      <c r="J109" s="4">
        <f>data[[#This Row],[Amount]]-data[[#This Row],[cost]]</f>
        <v>1143.48</v>
      </c>
      <c r="K109" s="60">
        <f>data[[#This Row],[profit]]/data[[#This Row],[Amount]]</f>
        <v>0.89264637002341918</v>
      </c>
    </row>
    <row r="110" spans="3:11" x14ac:dyDescent="0.3">
      <c r="C110" t="s">
        <v>40</v>
      </c>
      <c r="D110" t="s">
        <v>35</v>
      </c>
      <c r="E110" t="s">
        <v>32</v>
      </c>
      <c r="F110" s="4">
        <v>12348</v>
      </c>
      <c r="G110" s="5">
        <v>234</v>
      </c>
      <c r="H110">
        <f>_xlfn.XLOOKUP(data[[#This Row],[Product]],products[Product],products[Cost per unit])</f>
        <v>8.65</v>
      </c>
      <c r="I110">
        <f>data[[#This Row],[cost per unit]]*data[[#This Row],[Units]]</f>
        <v>2024.1000000000001</v>
      </c>
      <c r="J110" s="4">
        <f>data[[#This Row],[Amount]]-data[[#This Row],[cost]]</f>
        <v>10323.9</v>
      </c>
      <c r="K110" s="60">
        <f>data[[#This Row],[profit]]/data[[#This Row],[Amount]]</f>
        <v>0.83607871720116611</v>
      </c>
    </row>
    <row r="111" spans="3:11" x14ac:dyDescent="0.3">
      <c r="C111" t="s">
        <v>3</v>
      </c>
      <c r="D111" t="s">
        <v>34</v>
      </c>
      <c r="E111" t="s">
        <v>28</v>
      </c>
      <c r="F111" s="4">
        <v>3689</v>
      </c>
      <c r="G111" s="5">
        <v>312</v>
      </c>
      <c r="H111">
        <f>_xlfn.XLOOKUP(data[[#This Row],[Product]],products[Product],products[Cost per unit])</f>
        <v>10.38</v>
      </c>
      <c r="I111">
        <f>data[[#This Row],[cost per unit]]*data[[#This Row],[Units]]</f>
        <v>3238.5600000000004</v>
      </c>
      <c r="J111" s="4">
        <f>data[[#This Row],[Amount]]-data[[#This Row],[cost]]</f>
        <v>450.4399999999996</v>
      </c>
      <c r="K111" s="60">
        <f>data[[#This Row],[profit]]/data[[#This Row],[Amount]]</f>
        <v>0.12210355109785839</v>
      </c>
    </row>
    <row r="112" spans="3:11" x14ac:dyDescent="0.3">
      <c r="C112" t="s">
        <v>7</v>
      </c>
      <c r="D112" t="s">
        <v>36</v>
      </c>
      <c r="E112" t="s">
        <v>19</v>
      </c>
      <c r="F112" s="4">
        <v>2870</v>
      </c>
      <c r="G112" s="5">
        <v>300</v>
      </c>
      <c r="H112">
        <f>_xlfn.XLOOKUP(data[[#This Row],[Product]],products[Product],products[Cost per unit])</f>
        <v>7.64</v>
      </c>
      <c r="I112">
        <f>data[[#This Row],[cost per unit]]*data[[#This Row],[Units]]</f>
        <v>2292</v>
      </c>
      <c r="J112" s="4">
        <f>data[[#This Row],[Amount]]-data[[#This Row],[cost]]</f>
        <v>578</v>
      </c>
      <c r="K112" s="60">
        <f>data[[#This Row],[profit]]/data[[#This Row],[Amount]]</f>
        <v>0.2013937282229965</v>
      </c>
    </row>
    <row r="113" spans="3:11" x14ac:dyDescent="0.3">
      <c r="C113" t="s">
        <v>2</v>
      </c>
      <c r="D113" t="s">
        <v>36</v>
      </c>
      <c r="E113" t="s">
        <v>27</v>
      </c>
      <c r="F113" s="4">
        <v>798</v>
      </c>
      <c r="G113" s="5">
        <v>519</v>
      </c>
      <c r="H113">
        <f>_xlfn.XLOOKUP(data[[#This Row],[Product]],products[Product],products[Cost per unit])</f>
        <v>16.73</v>
      </c>
      <c r="I113">
        <f>data[[#This Row],[cost per unit]]*data[[#This Row],[Units]]</f>
        <v>8682.8700000000008</v>
      </c>
      <c r="J113" s="4">
        <f>data[[#This Row],[Amount]]-data[[#This Row],[cost]]</f>
        <v>-7884.8700000000008</v>
      </c>
      <c r="K113" s="60">
        <f>data[[#This Row],[profit]]/data[[#This Row],[Amount]]</f>
        <v>-9.8807894736842119</v>
      </c>
    </row>
    <row r="114" spans="3:11" x14ac:dyDescent="0.3">
      <c r="C114" t="s">
        <v>41</v>
      </c>
      <c r="D114" t="s">
        <v>37</v>
      </c>
      <c r="E114" t="s">
        <v>21</v>
      </c>
      <c r="F114" s="4">
        <v>2933</v>
      </c>
      <c r="G114" s="5">
        <v>9</v>
      </c>
      <c r="H114">
        <f>_xlfn.XLOOKUP(data[[#This Row],[Product]],products[Product],products[Cost per unit])</f>
        <v>9</v>
      </c>
      <c r="I114">
        <f>data[[#This Row],[cost per unit]]*data[[#This Row],[Units]]</f>
        <v>81</v>
      </c>
      <c r="J114" s="4">
        <f>data[[#This Row],[Amount]]-data[[#This Row],[cost]]</f>
        <v>2852</v>
      </c>
      <c r="K114" s="60">
        <f>data[[#This Row],[profit]]/data[[#This Row],[Amount]]</f>
        <v>0.97238322536651889</v>
      </c>
    </row>
    <row r="115" spans="3:11" x14ac:dyDescent="0.3">
      <c r="C115" t="s">
        <v>5</v>
      </c>
      <c r="D115" t="s">
        <v>35</v>
      </c>
      <c r="E115" t="s">
        <v>4</v>
      </c>
      <c r="F115" s="4">
        <v>2744</v>
      </c>
      <c r="G115" s="5">
        <v>9</v>
      </c>
      <c r="H115">
        <f>_xlfn.XLOOKUP(data[[#This Row],[Product]],products[Product],products[Cost per unit])</f>
        <v>11.88</v>
      </c>
      <c r="I115">
        <f>data[[#This Row],[cost per unit]]*data[[#This Row],[Units]]</f>
        <v>106.92</v>
      </c>
      <c r="J115" s="4">
        <f>data[[#This Row],[Amount]]-data[[#This Row],[cost]]</f>
        <v>2637.08</v>
      </c>
      <c r="K115" s="60">
        <f>data[[#This Row],[profit]]/data[[#This Row],[Amount]]</f>
        <v>0.96103498542274046</v>
      </c>
    </row>
    <row r="116" spans="3:11" x14ac:dyDescent="0.3">
      <c r="C116" t="s">
        <v>40</v>
      </c>
      <c r="D116" t="s">
        <v>36</v>
      </c>
      <c r="E116" t="s">
        <v>33</v>
      </c>
      <c r="F116" s="4">
        <v>9772</v>
      </c>
      <c r="G116" s="5">
        <v>90</v>
      </c>
      <c r="H116">
        <f>_xlfn.XLOOKUP(data[[#This Row],[Product]],products[Product],products[Cost per unit])</f>
        <v>12.37</v>
      </c>
      <c r="I116">
        <f>data[[#This Row],[cost per unit]]*data[[#This Row],[Units]]</f>
        <v>1113.3</v>
      </c>
      <c r="J116" s="4">
        <f>data[[#This Row],[Amount]]-data[[#This Row],[cost]]</f>
        <v>8658.7000000000007</v>
      </c>
      <c r="K116" s="60">
        <f>data[[#This Row],[profit]]/data[[#This Row],[Amount]]</f>
        <v>0.88607245190339756</v>
      </c>
    </row>
    <row r="117" spans="3:11" x14ac:dyDescent="0.3">
      <c r="C117" t="s">
        <v>7</v>
      </c>
      <c r="D117" t="s">
        <v>34</v>
      </c>
      <c r="E117" t="s">
        <v>25</v>
      </c>
      <c r="F117" s="4">
        <v>1568</v>
      </c>
      <c r="G117" s="5">
        <v>96</v>
      </c>
      <c r="H117">
        <f>_xlfn.XLOOKUP(data[[#This Row],[Product]],products[Product],products[Cost per unit])</f>
        <v>13.15</v>
      </c>
      <c r="I117">
        <f>data[[#This Row],[cost per unit]]*data[[#This Row],[Units]]</f>
        <v>1262.4000000000001</v>
      </c>
      <c r="J117" s="4">
        <f>data[[#This Row],[Amount]]-data[[#This Row],[cost]]</f>
        <v>305.59999999999991</v>
      </c>
      <c r="K117" s="60">
        <f>data[[#This Row],[profit]]/data[[#This Row],[Amount]]</f>
        <v>0.19489795918367342</v>
      </c>
    </row>
    <row r="118" spans="3:11" x14ac:dyDescent="0.3">
      <c r="C118" t="s">
        <v>2</v>
      </c>
      <c r="D118" t="s">
        <v>36</v>
      </c>
      <c r="E118" t="s">
        <v>16</v>
      </c>
      <c r="F118" s="4">
        <v>11417</v>
      </c>
      <c r="G118" s="5">
        <v>21</v>
      </c>
      <c r="H118">
        <f>_xlfn.XLOOKUP(data[[#This Row],[Product]],products[Product],products[Cost per unit])</f>
        <v>8.7899999999999991</v>
      </c>
      <c r="I118">
        <f>data[[#This Row],[cost per unit]]*data[[#This Row],[Units]]</f>
        <v>184.58999999999997</v>
      </c>
      <c r="J118" s="4">
        <f>data[[#This Row],[Amount]]-data[[#This Row],[cost]]</f>
        <v>11232.41</v>
      </c>
      <c r="K118" s="60">
        <f>data[[#This Row],[profit]]/data[[#This Row],[Amount]]</f>
        <v>0.98383200490496625</v>
      </c>
    </row>
    <row r="119" spans="3:11" x14ac:dyDescent="0.3">
      <c r="C119" t="s">
        <v>40</v>
      </c>
      <c r="D119" t="s">
        <v>34</v>
      </c>
      <c r="E119" t="s">
        <v>26</v>
      </c>
      <c r="F119" s="4">
        <v>6748</v>
      </c>
      <c r="G119" s="5">
        <v>48</v>
      </c>
      <c r="H119">
        <f>_xlfn.XLOOKUP(data[[#This Row],[Product]],products[Product],products[Cost per unit])</f>
        <v>5.6</v>
      </c>
      <c r="I119">
        <f>data[[#This Row],[cost per unit]]*data[[#This Row],[Units]]</f>
        <v>268.79999999999995</v>
      </c>
      <c r="J119" s="4">
        <f>data[[#This Row],[Amount]]-data[[#This Row],[cost]]</f>
        <v>6479.2</v>
      </c>
      <c r="K119" s="60">
        <f>data[[#This Row],[profit]]/data[[#This Row],[Amount]]</f>
        <v>0.96016597510373436</v>
      </c>
    </row>
    <row r="120" spans="3:11" x14ac:dyDescent="0.3">
      <c r="C120" t="s">
        <v>10</v>
      </c>
      <c r="D120" t="s">
        <v>36</v>
      </c>
      <c r="E120" t="s">
        <v>27</v>
      </c>
      <c r="F120" s="4">
        <v>1407</v>
      </c>
      <c r="G120" s="5">
        <v>72</v>
      </c>
      <c r="H120">
        <f>_xlfn.XLOOKUP(data[[#This Row],[Product]],products[Product],products[Cost per unit])</f>
        <v>16.73</v>
      </c>
      <c r="I120">
        <f>data[[#This Row],[cost per unit]]*data[[#This Row],[Units]]</f>
        <v>1204.56</v>
      </c>
      <c r="J120" s="4">
        <f>data[[#This Row],[Amount]]-data[[#This Row],[cost]]</f>
        <v>202.44000000000005</v>
      </c>
      <c r="K120" s="60">
        <f>data[[#This Row],[profit]]/data[[#This Row],[Amount]]</f>
        <v>0.14388059701492542</v>
      </c>
    </row>
    <row r="121" spans="3:11" x14ac:dyDescent="0.3">
      <c r="C121" t="s">
        <v>8</v>
      </c>
      <c r="D121" t="s">
        <v>35</v>
      </c>
      <c r="E121" t="s">
        <v>29</v>
      </c>
      <c r="F121" s="4">
        <v>2023</v>
      </c>
      <c r="G121" s="5">
        <v>168</v>
      </c>
      <c r="H121">
        <f>_xlfn.XLOOKUP(data[[#This Row],[Product]],products[Product],products[Cost per unit])</f>
        <v>7.16</v>
      </c>
      <c r="I121">
        <f>data[[#This Row],[cost per unit]]*data[[#This Row],[Units]]</f>
        <v>1202.8800000000001</v>
      </c>
      <c r="J121" s="4">
        <f>data[[#This Row],[Amount]]-data[[#This Row],[cost]]</f>
        <v>820.11999999999989</v>
      </c>
      <c r="K121" s="60">
        <f>data[[#This Row],[profit]]/data[[#This Row],[Amount]]</f>
        <v>0.4053979238754325</v>
      </c>
    </row>
    <row r="122" spans="3:11" x14ac:dyDescent="0.3">
      <c r="C122" t="s">
        <v>5</v>
      </c>
      <c r="D122" t="s">
        <v>39</v>
      </c>
      <c r="E122" t="s">
        <v>26</v>
      </c>
      <c r="F122" s="4">
        <v>5236</v>
      </c>
      <c r="G122" s="5">
        <v>51</v>
      </c>
      <c r="H122">
        <f>_xlfn.XLOOKUP(data[[#This Row],[Product]],products[Product],products[Cost per unit])</f>
        <v>5.6</v>
      </c>
      <c r="I122">
        <f>data[[#This Row],[cost per unit]]*data[[#This Row],[Units]]</f>
        <v>285.59999999999997</v>
      </c>
      <c r="J122" s="4">
        <f>data[[#This Row],[Amount]]-data[[#This Row],[cost]]</f>
        <v>4950.3999999999996</v>
      </c>
      <c r="K122" s="60">
        <f>data[[#This Row],[profit]]/data[[#This Row],[Amount]]</f>
        <v>0.94545454545454544</v>
      </c>
    </row>
    <row r="123" spans="3:11" x14ac:dyDescent="0.3">
      <c r="C123" t="s">
        <v>41</v>
      </c>
      <c r="D123" t="s">
        <v>36</v>
      </c>
      <c r="E123" t="s">
        <v>19</v>
      </c>
      <c r="F123" s="4">
        <v>1925</v>
      </c>
      <c r="G123" s="5">
        <v>192</v>
      </c>
      <c r="H123">
        <f>_xlfn.XLOOKUP(data[[#This Row],[Product]],products[Product],products[Cost per unit])</f>
        <v>7.64</v>
      </c>
      <c r="I123">
        <f>data[[#This Row],[cost per unit]]*data[[#This Row],[Units]]</f>
        <v>1466.8799999999999</v>
      </c>
      <c r="J123" s="4">
        <f>data[[#This Row],[Amount]]-data[[#This Row],[cost]]</f>
        <v>458.12000000000012</v>
      </c>
      <c r="K123" s="60">
        <f>data[[#This Row],[profit]]/data[[#This Row],[Amount]]</f>
        <v>0.23798441558441566</v>
      </c>
    </row>
    <row r="124" spans="3:11" x14ac:dyDescent="0.3">
      <c r="C124" t="s">
        <v>7</v>
      </c>
      <c r="D124" t="s">
        <v>37</v>
      </c>
      <c r="E124" t="s">
        <v>14</v>
      </c>
      <c r="F124" s="4">
        <v>6608</v>
      </c>
      <c r="G124" s="5">
        <v>225</v>
      </c>
      <c r="H124">
        <f>_xlfn.XLOOKUP(data[[#This Row],[Product]],products[Product],products[Cost per unit])</f>
        <v>11.7</v>
      </c>
      <c r="I124">
        <f>data[[#This Row],[cost per unit]]*data[[#This Row],[Units]]</f>
        <v>2632.5</v>
      </c>
      <c r="J124" s="4">
        <f>data[[#This Row],[Amount]]-data[[#This Row],[cost]]</f>
        <v>3975.5</v>
      </c>
      <c r="K124" s="60">
        <f>data[[#This Row],[profit]]/data[[#This Row],[Amount]]</f>
        <v>0.60161924939467315</v>
      </c>
    </row>
    <row r="125" spans="3:11" x14ac:dyDescent="0.3">
      <c r="C125" t="s">
        <v>6</v>
      </c>
      <c r="D125" t="s">
        <v>34</v>
      </c>
      <c r="E125" t="s">
        <v>26</v>
      </c>
      <c r="F125" s="4">
        <v>8008</v>
      </c>
      <c r="G125" s="5">
        <v>456</v>
      </c>
      <c r="H125">
        <f>_xlfn.XLOOKUP(data[[#This Row],[Product]],products[Product],products[Cost per unit])</f>
        <v>5.6</v>
      </c>
      <c r="I125">
        <f>data[[#This Row],[cost per unit]]*data[[#This Row],[Units]]</f>
        <v>2553.6</v>
      </c>
      <c r="J125" s="4">
        <f>data[[#This Row],[Amount]]-data[[#This Row],[cost]]</f>
        <v>5454.4</v>
      </c>
      <c r="K125" s="60">
        <f>data[[#This Row],[profit]]/data[[#This Row],[Amount]]</f>
        <v>0.68111888111888108</v>
      </c>
    </row>
    <row r="126" spans="3:11" x14ac:dyDescent="0.3">
      <c r="C126" t="s">
        <v>10</v>
      </c>
      <c r="D126" t="s">
        <v>34</v>
      </c>
      <c r="E126" t="s">
        <v>25</v>
      </c>
      <c r="F126" s="4">
        <v>1428</v>
      </c>
      <c r="G126" s="5">
        <v>93</v>
      </c>
      <c r="H126">
        <f>_xlfn.XLOOKUP(data[[#This Row],[Product]],products[Product],products[Cost per unit])</f>
        <v>13.15</v>
      </c>
      <c r="I126">
        <f>data[[#This Row],[cost per unit]]*data[[#This Row],[Units]]</f>
        <v>1222.95</v>
      </c>
      <c r="J126" s="4">
        <f>data[[#This Row],[Amount]]-data[[#This Row],[cost]]</f>
        <v>205.04999999999995</v>
      </c>
      <c r="K126" s="60">
        <f>data[[#This Row],[profit]]/data[[#This Row],[Amount]]</f>
        <v>0.14359243697478988</v>
      </c>
    </row>
    <row r="127" spans="3:11" x14ac:dyDescent="0.3">
      <c r="C127" t="s">
        <v>6</v>
      </c>
      <c r="D127" t="s">
        <v>34</v>
      </c>
      <c r="E127" t="s">
        <v>4</v>
      </c>
      <c r="F127" s="4">
        <v>525</v>
      </c>
      <c r="G127" s="5">
        <v>48</v>
      </c>
      <c r="H127">
        <f>_xlfn.XLOOKUP(data[[#This Row],[Product]],products[Product],products[Cost per unit])</f>
        <v>11.88</v>
      </c>
      <c r="I127">
        <f>data[[#This Row],[cost per unit]]*data[[#This Row],[Units]]</f>
        <v>570.24</v>
      </c>
      <c r="J127" s="4">
        <f>data[[#This Row],[Amount]]-data[[#This Row],[cost]]</f>
        <v>-45.240000000000009</v>
      </c>
      <c r="K127" s="60">
        <f>data[[#This Row],[profit]]/data[[#This Row],[Amount]]</f>
        <v>-8.6171428571428593E-2</v>
      </c>
    </row>
    <row r="128" spans="3:11" x14ac:dyDescent="0.3">
      <c r="C128" t="s">
        <v>6</v>
      </c>
      <c r="D128" t="s">
        <v>37</v>
      </c>
      <c r="E128" t="s">
        <v>18</v>
      </c>
      <c r="F128" s="4">
        <v>1505</v>
      </c>
      <c r="G128" s="5">
        <v>102</v>
      </c>
      <c r="H128">
        <f>_xlfn.XLOOKUP(data[[#This Row],[Product]],products[Product],products[Cost per unit])</f>
        <v>6.47</v>
      </c>
      <c r="I128">
        <f>data[[#This Row],[cost per unit]]*data[[#This Row],[Units]]</f>
        <v>659.93999999999994</v>
      </c>
      <c r="J128" s="4">
        <f>data[[#This Row],[Amount]]-data[[#This Row],[cost]]</f>
        <v>845.06000000000006</v>
      </c>
      <c r="K128" s="60">
        <f>data[[#This Row],[profit]]/data[[#This Row],[Amount]]</f>
        <v>0.56150166112956812</v>
      </c>
    </row>
    <row r="129" spans="3:11" x14ac:dyDescent="0.3">
      <c r="C129" t="s">
        <v>7</v>
      </c>
      <c r="D129" t="s">
        <v>35</v>
      </c>
      <c r="E129" t="s">
        <v>30</v>
      </c>
      <c r="F129" s="4">
        <v>6755</v>
      </c>
      <c r="G129" s="5">
        <v>252</v>
      </c>
      <c r="H129">
        <f>_xlfn.XLOOKUP(data[[#This Row],[Product]],products[Product],products[Cost per unit])</f>
        <v>14.49</v>
      </c>
      <c r="I129">
        <f>data[[#This Row],[cost per unit]]*data[[#This Row],[Units]]</f>
        <v>3651.48</v>
      </c>
      <c r="J129" s="4">
        <f>data[[#This Row],[Amount]]-data[[#This Row],[cost]]</f>
        <v>3103.52</v>
      </c>
      <c r="K129" s="60">
        <f>data[[#This Row],[profit]]/data[[#This Row],[Amount]]</f>
        <v>0.45944041450777201</v>
      </c>
    </row>
    <row r="130" spans="3:11" x14ac:dyDescent="0.3">
      <c r="C130" t="s">
        <v>2</v>
      </c>
      <c r="D130" t="s">
        <v>37</v>
      </c>
      <c r="E130" t="s">
        <v>18</v>
      </c>
      <c r="F130" s="4">
        <v>11571</v>
      </c>
      <c r="G130" s="5">
        <v>138</v>
      </c>
      <c r="H130">
        <f>_xlfn.XLOOKUP(data[[#This Row],[Product]],products[Product],products[Cost per unit])</f>
        <v>6.47</v>
      </c>
      <c r="I130">
        <f>data[[#This Row],[cost per unit]]*data[[#This Row],[Units]]</f>
        <v>892.86</v>
      </c>
      <c r="J130" s="4">
        <f>data[[#This Row],[Amount]]-data[[#This Row],[cost]]</f>
        <v>10678.14</v>
      </c>
      <c r="K130" s="60">
        <f>data[[#This Row],[profit]]/data[[#This Row],[Amount]]</f>
        <v>0.922836401348198</v>
      </c>
    </row>
    <row r="131" spans="3:11" x14ac:dyDescent="0.3">
      <c r="C131" t="s">
        <v>40</v>
      </c>
      <c r="D131" t="s">
        <v>38</v>
      </c>
      <c r="E131" t="s">
        <v>25</v>
      </c>
      <c r="F131" s="4">
        <v>2541</v>
      </c>
      <c r="G131" s="5">
        <v>90</v>
      </c>
      <c r="H131">
        <f>_xlfn.XLOOKUP(data[[#This Row],[Product]],products[Product],products[Cost per unit])</f>
        <v>13.15</v>
      </c>
      <c r="I131">
        <f>data[[#This Row],[cost per unit]]*data[[#This Row],[Units]]</f>
        <v>1183.5</v>
      </c>
      <c r="J131" s="4">
        <f>data[[#This Row],[Amount]]-data[[#This Row],[cost]]</f>
        <v>1357.5</v>
      </c>
      <c r="K131" s="60">
        <f>data[[#This Row],[profit]]/data[[#This Row],[Amount]]</f>
        <v>0.53423848878394331</v>
      </c>
    </row>
    <row r="132" spans="3:11" x14ac:dyDescent="0.3">
      <c r="C132" t="s">
        <v>41</v>
      </c>
      <c r="D132" t="s">
        <v>37</v>
      </c>
      <c r="E132" t="s">
        <v>30</v>
      </c>
      <c r="F132" s="4">
        <v>1526</v>
      </c>
      <c r="G132" s="5">
        <v>240</v>
      </c>
      <c r="H132">
        <f>_xlfn.XLOOKUP(data[[#This Row],[Product]],products[Product],products[Cost per unit])</f>
        <v>14.49</v>
      </c>
      <c r="I132">
        <f>data[[#This Row],[cost per unit]]*data[[#This Row],[Units]]</f>
        <v>3477.6</v>
      </c>
      <c r="J132" s="4">
        <f>data[[#This Row],[Amount]]-data[[#This Row],[cost]]</f>
        <v>-1951.6</v>
      </c>
      <c r="K132" s="60">
        <f>data[[#This Row],[profit]]/data[[#This Row],[Amount]]</f>
        <v>-1.2788990825688074</v>
      </c>
    </row>
    <row r="133" spans="3:11" x14ac:dyDescent="0.3">
      <c r="C133" t="s">
        <v>40</v>
      </c>
      <c r="D133" t="s">
        <v>38</v>
      </c>
      <c r="E133" t="s">
        <v>4</v>
      </c>
      <c r="F133" s="4">
        <v>6125</v>
      </c>
      <c r="G133" s="5">
        <v>102</v>
      </c>
      <c r="H133">
        <f>_xlfn.XLOOKUP(data[[#This Row],[Product]],products[Product],products[Cost per unit])</f>
        <v>11.88</v>
      </c>
      <c r="I133">
        <f>data[[#This Row],[cost per unit]]*data[[#This Row],[Units]]</f>
        <v>1211.76</v>
      </c>
      <c r="J133" s="4">
        <f>data[[#This Row],[Amount]]-data[[#This Row],[cost]]</f>
        <v>4913.24</v>
      </c>
      <c r="K133" s="60">
        <f>data[[#This Row],[profit]]/data[[#This Row],[Amount]]</f>
        <v>0.80216163265306117</v>
      </c>
    </row>
    <row r="134" spans="3:11" x14ac:dyDescent="0.3">
      <c r="C134" t="s">
        <v>41</v>
      </c>
      <c r="D134" t="s">
        <v>35</v>
      </c>
      <c r="E134" t="s">
        <v>27</v>
      </c>
      <c r="F134" s="4">
        <v>847</v>
      </c>
      <c r="G134" s="5">
        <v>129</v>
      </c>
      <c r="H134">
        <f>_xlfn.XLOOKUP(data[[#This Row],[Product]],products[Product],products[Cost per unit])</f>
        <v>16.73</v>
      </c>
      <c r="I134">
        <f>data[[#This Row],[cost per unit]]*data[[#This Row],[Units]]</f>
        <v>2158.17</v>
      </c>
      <c r="J134" s="4">
        <f>data[[#This Row],[Amount]]-data[[#This Row],[cost]]</f>
        <v>-1311.17</v>
      </c>
      <c r="K134" s="60">
        <f>data[[#This Row],[profit]]/data[[#This Row],[Amount]]</f>
        <v>-1.54801652892562</v>
      </c>
    </row>
    <row r="135" spans="3:11" x14ac:dyDescent="0.3">
      <c r="C135" t="s">
        <v>8</v>
      </c>
      <c r="D135" t="s">
        <v>35</v>
      </c>
      <c r="E135" t="s">
        <v>27</v>
      </c>
      <c r="F135" s="4">
        <v>4753</v>
      </c>
      <c r="G135" s="5">
        <v>300</v>
      </c>
      <c r="H135">
        <f>_xlfn.XLOOKUP(data[[#This Row],[Product]],products[Product],products[Cost per unit])</f>
        <v>16.73</v>
      </c>
      <c r="I135">
        <f>data[[#This Row],[cost per unit]]*data[[#This Row],[Units]]</f>
        <v>5019</v>
      </c>
      <c r="J135" s="4">
        <f>data[[#This Row],[Amount]]-data[[#This Row],[cost]]</f>
        <v>-266</v>
      </c>
      <c r="K135" s="60">
        <f>data[[#This Row],[profit]]/data[[#This Row],[Amount]]</f>
        <v>-5.5964653902798235E-2</v>
      </c>
    </row>
    <row r="136" spans="3:11" x14ac:dyDescent="0.3">
      <c r="C136" t="s">
        <v>6</v>
      </c>
      <c r="D136" t="s">
        <v>38</v>
      </c>
      <c r="E136" t="s">
        <v>33</v>
      </c>
      <c r="F136" s="4">
        <v>959</v>
      </c>
      <c r="G136" s="5">
        <v>135</v>
      </c>
      <c r="H136">
        <f>_xlfn.XLOOKUP(data[[#This Row],[Product]],products[Product],products[Cost per unit])</f>
        <v>12.37</v>
      </c>
      <c r="I136">
        <f>data[[#This Row],[cost per unit]]*data[[#This Row],[Units]]</f>
        <v>1669.9499999999998</v>
      </c>
      <c r="J136" s="4">
        <f>data[[#This Row],[Amount]]-data[[#This Row],[cost]]</f>
        <v>-710.94999999999982</v>
      </c>
      <c r="K136" s="60">
        <f>data[[#This Row],[profit]]/data[[#This Row],[Amount]]</f>
        <v>-0.74134515119916555</v>
      </c>
    </row>
    <row r="137" spans="3:11" x14ac:dyDescent="0.3">
      <c r="C137" t="s">
        <v>7</v>
      </c>
      <c r="D137" t="s">
        <v>35</v>
      </c>
      <c r="E137" t="s">
        <v>24</v>
      </c>
      <c r="F137" s="4">
        <v>2793</v>
      </c>
      <c r="G137" s="5">
        <v>114</v>
      </c>
      <c r="H137">
        <f>_xlfn.XLOOKUP(data[[#This Row],[Product]],products[Product],products[Cost per unit])</f>
        <v>4.97</v>
      </c>
      <c r="I137">
        <f>data[[#This Row],[cost per unit]]*data[[#This Row],[Units]]</f>
        <v>566.57999999999993</v>
      </c>
      <c r="J137" s="4">
        <f>data[[#This Row],[Amount]]-data[[#This Row],[cost]]</f>
        <v>2226.42</v>
      </c>
      <c r="K137" s="60">
        <f>data[[#This Row],[profit]]/data[[#This Row],[Amount]]</f>
        <v>0.79714285714285715</v>
      </c>
    </row>
    <row r="138" spans="3:11" x14ac:dyDescent="0.3">
      <c r="C138" t="s">
        <v>7</v>
      </c>
      <c r="D138" t="s">
        <v>35</v>
      </c>
      <c r="E138" t="s">
        <v>14</v>
      </c>
      <c r="F138" s="4">
        <v>4606</v>
      </c>
      <c r="G138" s="5">
        <v>63</v>
      </c>
      <c r="H138">
        <f>_xlfn.XLOOKUP(data[[#This Row],[Product]],products[Product],products[Cost per unit])</f>
        <v>11.7</v>
      </c>
      <c r="I138">
        <f>data[[#This Row],[cost per unit]]*data[[#This Row],[Units]]</f>
        <v>737.09999999999991</v>
      </c>
      <c r="J138" s="4">
        <f>data[[#This Row],[Amount]]-data[[#This Row],[cost]]</f>
        <v>3868.9</v>
      </c>
      <c r="K138" s="60">
        <f>data[[#This Row],[profit]]/data[[#This Row],[Amount]]</f>
        <v>0.83996960486322192</v>
      </c>
    </row>
    <row r="139" spans="3:11" x14ac:dyDescent="0.3">
      <c r="C139" t="s">
        <v>7</v>
      </c>
      <c r="D139" t="s">
        <v>36</v>
      </c>
      <c r="E139" t="s">
        <v>29</v>
      </c>
      <c r="F139" s="4">
        <v>5551</v>
      </c>
      <c r="G139" s="5">
        <v>252</v>
      </c>
      <c r="H139">
        <f>_xlfn.XLOOKUP(data[[#This Row],[Product]],products[Product],products[Cost per unit])</f>
        <v>7.16</v>
      </c>
      <c r="I139">
        <f>data[[#This Row],[cost per unit]]*data[[#This Row],[Units]]</f>
        <v>1804.32</v>
      </c>
      <c r="J139" s="4">
        <f>data[[#This Row],[Amount]]-data[[#This Row],[cost]]</f>
        <v>3746.6800000000003</v>
      </c>
      <c r="K139" s="60">
        <f>data[[#This Row],[profit]]/data[[#This Row],[Amount]]</f>
        <v>0.67495586380832284</v>
      </c>
    </row>
    <row r="140" spans="3:11" x14ac:dyDescent="0.3">
      <c r="C140" t="s">
        <v>10</v>
      </c>
      <c r="D140" t="s">
        <v>36</v>
      </c>
      <c r="E140" t="s">
        <v>32</v>
      </c>
      <c r="F140" s="4">
        <v>6657</v>
      </c>
      <c r="G140" s="5">
        <v>303</v>
      </c>
      <c r="H140">
        <f>_xlfn.XLOOKUP(data[[#This Row],[Product]],products[Product],products[Cost per unit])</f>
        <v>8.65</v>
      </c>
      <c r="I140">
        <f>data[[#This Row],[cost per unit]]*data[[#This Row],[Units]]</f>
        <v>2620.9500000000003</v>
      </c>
      <c r="J140" s="4">
        <f>data[[#This Row],[Amount]]-data[[#This Row],[cost]]</f>
        <v>4036.0499999999997</v>
      </c>
      <c r="K140" s="60">
        <f>data[[#This Row],[profit]]/data[[#This Row],[Amount]]</f>
        <v>0.60628661559260921</v>
      </c>
    </row>
    <row r="141" spans="3:11" x14ac:dyDescent="0.3">
      <c r="C141" t="s">
        <v>7</v>
      </c>
      <c r="D141" t="s">
        <v>39</v>
      </c>
      <c r="E141" t="s">
        <v>17</v>
      </c>
      <c r="F141" s="4">
        <v>4438</v>
      </c>
      <c r="G141" s="5">
        <v>246</v>
      </c>
      <c r="H141">
        <f>_xlfn.XLOOKUP(data[[#This Row],[Product]],products[Product],products[Cost per unit])</f>
        <v>3.11</v>
      </c>
      <c r="I141">
        <f>data[[#This Row],[cost per unit]]*data[[#This Row],[Units]]</f>
        <v>765.06</v>
      </c>
      <c r="J141" s="4">
        <f>data[[#This Row],[Amount]]-data[[#This Row],[cost]]</f>
        <v>3672.94</v>
      </c>
      <c r="K141" s="60">
        <f>data[[#This Row],[profit]]/data[[#This Row],[Amount]]</f>
        <v>0.82761153672825594</v>
      </c>
    </row>
    <row r="142" spans="3:11" x14ac:dyDescent="0.3">
      <c r="C142" t="s">
        <v>8</v>
      </c>
      <c r="D142" t="s">
        <v>38</v>
      </c>
      <c r="E142" t="s">
        <v>22</v>
      </c>
      <c r="F142" s="4">
        <v>168</v>
      </c>
      <c r="G142" s="5">
        <v>84</v>
      </c>
      <c r="H142">
        <f>_xlfn.XLOOKUP(data[[#This Row],[Product]],products[Product],products[Cost per unit])</f>
        <v>9.77</v>
      </c>
      <c r="I142">
        <f>data[[#This Row],[cost per unit]]*data[[#This Row],[Units]]</f>
        <v>820.68</v>
      </c>
      <c r="J142" s="4">
        <f>data[[#This Row],[Amount]]-data[[#This Row],[cost]]</f>
        <v>-652.67999999999995</v>
      </c>
      <c r="K142" s="60">
        <f>data[[#This Row],[profit]]/data[[#This Row],[Amount]]</f>
        <v>-3.8849999999999998</v>
      </c>
    </row>
    <row r="143" spans="3:11" x14ac:dyDescent="0.3">
      <c r="C143" t="s">
        <v>7</v>
      </c>
      <c r="D143" t="s">
        <v>34</v>
      </c>
      <c r="E143" t="s">
        <v>17</v>
      </c>
      <c r="F143" s="4">
        <v>7777</v>
      </c>
      <c r="G143" s="5">
        <v>39</v>
      </c>
      <c r="H143">
        <f>_xlfn.XLOOKUP(data[[#This Row],[Product]],products[Product],products[Cost per unit])</f>
        <v>3.11</v>
      </c>
      <c r="I143">
        <f>data[[#This Row],[cost per unit]]*data[[#This Row],[Units]]</f>
        <v>121.28999999999999</v>
      </c>
      <c r="J143" s="4">
        <f>data[[#This Row],[Amount]]-data[[#This Row],[cost]]</f>
        <v>7655.71</v>
      </c>
      <c r="K143" s="60">
        <f>data[[#This Row],[profit]]/data[[#This Row],[Amount]]</f>
        <v>0.98440401182975446</v>
      </c>
    </row>
    <row r="144" spans="3:11" x14ac:dyDescent="0.3">
      <c r="C144" t="s">
        <v>5</v>
      </c>
      <c r="D144" t="s">
        <v>36</v>
      </c>
      <c r="E144" t="s">
        <v>17</v>
      </c>
      <c r="F144" s="4">
        <v>3339</v>
      </c>
      <c r="G144" s="5">
        <v>348</v>
      </c>
      <c r="H144">
        <f>_xlfn.XLOOKUP(data[[#This Row],[Product]],products[Product],products[Cost per unit])</f>
        <v>3.11</v>
      </c>
      <c r="I144">
        <f>data[[#This Row],[cost per unit]]*data[[#This Row],[Units]]</f>
        <v>1082.28</v>
      </c>
      <c r="J144" s="4">
        <f>data[[#This Row],[Amount]]-data[[#This Row],[cost]]</f>
        <v>2256.7200000000003</v>
      </c>
      <c r="K144" s="60">
        <f>data[[#This Row],[profit]]/data[[#This Row],[Amount]]</f>
        <v>0.67586702605570537</v>
      </c>
    </row>
    <row r="145" spans="3:11" x14ac:dyDescent="0.3">
      <c r="C145" t="s">
        <v>7</v>
      </c>
      <c r="D145" t="s">
        <v>37</v>
      </c>
      <c r="E145" t="s">
        <v>33</v>
      </c>
      <c r="F145" s="4">
        <v>6391</v>
      </c>
      <c r="G145" s="5">
        <v>48</v>
      </c>
      <c r="H145">
        <f>_xlfn.XLOOKUP(data[[#This Row],[Product]],products[Product],products[Cost per unit])</f>
        <v>12.37</v>
      </c>
      <c r="I145">
        <f>data[[#This Row],[cost per unit]]*data[[#This Row],[Units]]</f>
        <v>593.76</v>
      </c>
      <c r="J145" s="4">
        <f>data[[#This Row],[Amount]]-data[[#This Row],[cost]]</f>
        <v>5797.24</v>
      </c>
      <c r="K145" s="60">
        <f>data[[#This Row],[profit]]/data[[#This Row],[Amount]]</f>
        <v>0.90709435143170081</v>
      </c>
    </row>
    <row r="146" spans="3:11" x14ac:dyDescent="0.3">
      <c r="C146" t="s">
        <v>5</v>
      </c>
      <c r="D146" t="s">
        <v>37</v>
      </c>
      <c r="E146" t="s">
        <v>22</v>
      </c>
      <c r="F146" s="4">
        <v>518</v>
      </c>
      <c r="G146" s="5">
        <v>75</v>
      </c>
      <c r="H146">
        <f>_xlfn.XLOOKUP(data[[#This Row],[Product]],products[Product],products[Cost per unit])</f>
        <v>9.77</v>
      </c>
      <c r="I146">
        <f>data[[#This Row],[cost per unit]]*data[[#This Row],[Units]]</f>
        <v>732.75</v>
      </c>
      <c r="J146" s="4">
        <f>data[[#This Row],[Amount]]-data[[#This Row],[cost]]</f>
        <v>-214.75</v>
      </c>
      <c r="K146" s="60">
        <f>data[[#This Row],[profit]]/data[[#This Row],[Amount]]</f>
        <v>-0.41457528957528955</v>
      </c>
    </row>
    <row r="147" spans="3:11" x14ac:dyDescent="0.3">
      <c r="C147" t="s">
        <v>7</v>
      </c>
      <c r="D147" t="s">
        <v>38</v>
      </c>
      <c r="E147" t="s">
        <v>28</v>
      </c>
      <c r="F147" s="4">
        <v>5677</v>
      </c>
      <c r="G147" s="5">
        <v>258</v>
      </c>
      <c r="H147">
        <f>_xlfn.XLOOKUP(data[[#This Row],[Product]],products[Product],products[Cost per unit])</f>
        <v>10.38</v>
      </c>
      <c r="I147">
        <f>data[[#This Row],[cost per unit]]*data[[#This Row],[Units]]</f>
        <v>2678.0400000000004</v>
      </c>
      <c r="J147" s="4">
        <f>data[[#This Row],[Amount]]-data[[#This Row],[cost]]</f>
        <v>2998.9599999999996</v>
      </c>
      <c r="K147" s="60">
        <f>data[[#This Row],[profit]]/data[[#This Row],[Amount]]</f>
        <v>0.52826492865950314</v>
      </c>
    </row>
    <row r="148" spans="3:11" x14ac:dyDescent="0.3">
      <c r="C148" t="s">
        <v>6</v>
      </c>
      <c r="D148" t="s">
        <v>39</v>
      </c>
      <c r="E148" t="s">
        <v>17</v>
      </c>
      <c r="F148" s="4">
        <v>6048</v>
      </c>
      <c r="G148" s="5">
        <v>27</v>
      </c>
      <c r="H148">
        <f>_xlfn.XLOOKUP(data[[#This Row],[Product]],products[Product],products[Cost per unit])</f>
        <v>3.11</v>
      </c>
      <c r="I148">
        <f>data[[#This Row],[cost per unit]]*data[[#This Row],[Units]]</f>
        <v>83.97</v>
      </c>
      <c r="J148" s="4">
        <f>data[[#This Row],[Amount]]-data[[#This Row],[cost]]</f>
        <v>5964.03</v>
      </c>
      <c r="K148" s="60">
        <f>data[[#This Row],[profit]]/data[[#This Row],[Amount]]</f>
        <v>0.98611607142857138</v>
      </c>
    </row>
    <row r="149" spans="3:11" x14ac:dyDescent="0.3">
      <c r="C149" t="s">
        <v>8</v>
      </c>
      <c r="D149" t="s">
        <v>38</v>
      </c>
      <c r="E149" t="s">
        <v>32</v>
      </c>
      <c r="F149" s="4">
        <v>3752</v>
      </c>
      <c r="G149" s="5">
        <v>213</v>
      </c>
      <c r="H149">
        <f>_xlfn.XLOOKUP(data[[#This Row],[Product]],products[Product],products[Cost per unit])</f>
        <v>8.65</v>
      </c>
      <c r="I149">
        <f>data[[#This Row],[cost per unit]]*data[[#This Row],[Units]]</f>
        <v>1842.45</v>
      </c>
      <c r="J149" s="4">
        <f>data[[#This Row],[Amount]]-data[[#This Row],[cost]]</f>
        <v>1909.55</v>
      </c>
      <c r="K149" s="60">
        <f>data[[#This Row],[profit]]/data[[#This Row],[Amount]]</f>
        <v>0.5089418976545842</v>
      </c>
    </row>
    <row r="150" spans="3:11" x14ac:dyDescent="0.3">
      <c r="C150" t="s">
        <v>5</v>
      </c>
      <c r="D150" t="s">
        <v>35</v>
      </c>
      <c r="E150" t="s">
        <v>29</v>
      </c>
      <c r="F150" s="4">
        <v>4480</v>
      </c>
      <c r="G150" s="5">
        <v>357</v>
      </c>
      <c r="H150">
        <f>_xlfn.XLOOKUP(data[[#This Row],[Product]],products[Product],products[Cost per unit])</f>
        <v>7.16</v>
      </c>
      <c r="I150">
        <f>data[[#This Row],[cost per unit]]*data[[#This Row],[Units]]</f>
        <v>2556.12</v>
      </c>
      <c r="J150" s="4">
        <f>data[[#This Row],[Amount]]-data[[#This Row],[cost]]</f>
        <v>1923.88</v>
      </c>
      <c r="K150" s="60">
        <f>data[[#This Row],[profit]]/data[[#This Row],[Amount]]</f>
        <v>0.42943750000000003</v>
      </c>
    </row>
    <row r="151" spans="3:11" x14ac:dyDescent="0.3">
      <c r="C151" t="s">
        <v>9</v>
      </c>
      <c r="D151" t="s">
        <v>37</v>
      </c>
      <c r="E151" t="s">
        <v>4</v>
      </c>
      <c r="F151" s="4">
        <v>259</v>
      </c>
      <c r="G151" s="5">
        <v>207</v>
      </c>
      <c r="H151">
        <f>_xlfn.XLOOKUP(data[[#This Row],[Product]],products[Product],products[Cost per unit])</f>
        <v>11.88</v>
      </c>
      <c r="I151">
        <f>data[[#This Row],[cost per unit]]*data[[#This Row],[Units]]</f>
        <v>2459.1600000000003</v>
      </c>
      <c r="J151" s="4">
        <f>data[[#This Row],[Amount]]-data[[#This Row],[cost]]</f>
        <v>-2200.1600000000003</v>
      </c>
      <c r="K151" s="60">
        <f>data[[#This Row],[profit]]/data[[#This Row],[Amount]]</f>
        <v>-8.4948262548262559</v>
      </c>
    </row>
    <row r="152" spans="3:11" x14ac:dyDescent="0.3">
      <c r="C152" t="s">
        <v>8</v>
      </c>
      <c r="D152" t="s">
        <v>37</v>
      </c>
      <c r="E152" t="s">
        <v>30</v>
      </c>
      <c r="F152" s="4">
        <v>42</v>
      </c>
      <c r="G152" s="5">
        <v>150</v>
      </c>
      <c r="H152">
        <f>_xlfn.XLOOKUP(data[[#This Row],[Product]],products[Product],products[Cost per unit])</f>
        <v>14.49</v>
      </c>
      <c r="I152">
        <f>data[[#This Row],[cost per unit]]*data[[#This Row],[Units]]</f>
        <v>2173.5</v>
      </c>
      <c r="J152" s="4">
        <f>data[[#This Row],[Amount]]-data[[#This Row],[cost]]</f>
        <v>-2131.5</v>
      </c>
      <c r="K152" s="60">
        <f>data[[#This Row],[profit]]/data[[#This Row],[Amount]]</f>
        <v>-50.75</v>
      </c>
    </row>
    <row r="153" spans="3:11" x14ac:dyDescent="0.3">
      <c r="C153" t="s">
        <v>41</v>
      </c>
      <c r="D153" t="s">
        <v>36</v>
      </c>
      <c r="E153" t="s">
        <v>26</v>
      </c>
      <c r="F153" s="4">
        <v>98</v>
      </c>
      <c r="G153" s="5">
        <v>204</v>
      </c>
      <c r="H153">
        <f>_xlfn.XLOOKUP(data[[#This Row],[Product]],products[Product],products[Cost per unit])</f>
        <v>5.6</v>
      </c>
      <c r="I153">
        <f>data[[#This Row],[cost per unit]]*data[[#This Row],[Units]]</f>
        <v>1142.3999999999999</v>
      </c>
      <c r="J153" s="4">
        <f>data[[#This Row],[Amount]]-data[[#This Row],[cost]]</f>
        <v>-1044.3999999999999</v>
      </c>
      <c r="K153" s="60">
        <f>data[[#This Row],[profit]]/data[[#This Row],[Amount]]</f>
        <v>-10.657142857142857</v>
      </c>
    </row>
    <row r="154" spans="3:11" x14ac:dyDescent="0.3">
      <c r="C154" t="s">
        <v>7</v>
      </c>
      <c r="D154" t="s">
        <v>35</v>
      </c>
      <c r="E154" t="s">
        <v>27</v>
      </c>
      <c r="F154" s="4">
        <v>2478</v>
      </c>
      <c r="G154" s="5">
        <v>21</v>
      </c>
      <c r="H154">
        <f>_xlfn.XLOOKUP(data[[#This Row],[Product]],products[Product],products[Cost per unit])</f>
        <v>16.73</v>
      </c>
      <c r="I154">
        <f>data[[#This Row],[cost per unit]]*data[[#This Row],[Units]]</f>
        <v>351.33</v>
      </c>
      <c r="J154" s="4">
        <f>data[[#This Row],[Amount]]-data[[#This Row],[cost]]</f>
        <v>2126.67</v>
      </c>
      <c r="K154" s="60">
        <f>data[[#This Row],[profit]]/data[[#This Row],[Amount]]</f>
        <v>0.85822033898305083</v>
      </c>
    </row>
    <row r="155" spans="3:11" x14ac:dyDescent="0.3">
      <c r="C155" t="s">
        <v>41</v>
      </c>
      <c r="D155" t="s">
        <v>34</v>
      </c>
      <c r="E155" t="s">
        <v>33</v>
      </c>
      <c r="F155" s="4">
        <v>7847</v>
      </c>
      <c r="G155" s="5">
        <v>174</v>
      </c>
      <c r="H155">
        <f>_xlfn.XLOOKUP(data[[#This Row],[Product]],products[Product],products[Cost per unit])</f>
        <v>12.37</v>
      </c>
      <c r="I155">
        <f>data[[#This Row],[cost per unit]]*data[[#This Row],[Units]]</f>
        <v>2152.3799999999997</v>
      </c>
      <c r="J155" s="4">
        <f>data[[#This Row],[Amount]]-data[[#This Row],[cost]]</f>
        <v>5694.6200000000008</v>
      </c>
      <c r="K155" s="60">
        <f>data[[#This Row],[profit]]/data[[#This Row],[Amount]]</f>
        <v>0.7257066394800562</v>
      </c>
    </row>
    <row r="156" spans="3:11" x14ac:dyDescent="0.3">
      <c r="C156" t="s">
        <v>2</v>
      </c>
      <c r="D156" t="s">
        <v>37</v>
      </c>
      <c r="E156" t="s">
        <v>17</v>
      </c>
      <c r="F156" s="4">
        <v>9926</v>
      </c>
      <c r="G156" s="5">
        <v>201</v>
      </c>
      <c r="H156">
        <f>_xlfn.XLOOKUP(data[[#This Row],[Product]],products[Product],products[Cost per unit])</f>
        <v>3.11</v>
      </c>
      <c r="I156">
        <f>data[[#This Row],[cost per unit]]*data[[#This Row],[Units]]</f>
        <v>625.11</v>
      </c>
      <c r="J156" s="4">
        <f>data[[#This Row],[Amount]]-data[[#This Row],[cost]]</f>
        <v>9300.89</v>
      </c>
      <c r="K156" s="60">
        <f>data[[#This Row],[profit]]/data[[#This Row],[Amount]]</f>
        <v>0.93702296997783596</v>
      </c>
    </row>
    <row r="157" spans="3:11" x14ac:dyDescent="0.3">
      <c r="C157" t="s">
        <v>8</v>
      </c>
      <c r="D157" t="s">
        <v>38</v>
      </c>
      <c r="E157" t="s">
        <v>13</v>
      </c>
      <c r="F157" s="4">
        <v>819</v>
      </c>
      <c r="G157" s="5">
        <v>510</v>
      </c>
      <c r="H157">
        <f>_xlfn.XLOOKUP(data[[#This Row],[Product]],products[Product],products[Cost per unit])</f>
        <v>9.33</v>
      </c>
      <c r="I157">
        <f>data[[#This Row],[cost per unit]]*data[[#This Row],[Units]]</f>
        <v>4758.3</v>
      </c>
      <c r="J157" s="4">
        <f>data[[#This Row],[Amount]]-data[[#This Row],[cost]]</f>
        <v>-3939.3</v>
      </c>
      <c r="K157" s="60">
        <f>data[[#This Row],[profit]]/data[[#This Row],[Amount]]</f>
        <v>-4.8098901098901097</v>
      </c>
    </row>
    <row r="158" spans="3:11" x14ac:dyDescent="0.3">
      <c r="C158" t="s">
        <v>6</v>
      </c>
      <c r="D158" t="s">
        <v>39</v>
      </c>
      <c r="E158" t="s">
        <v>29</v>
      </c>
      <c r="F158" s="4">
        <v>3052</v>
      </c>
      <c r="G158" s="5">
        <v>378</v>
      </c>
      <c r="H158">
        <f>_xlfn.XLOOKUP(data[[#This Row],[Product]],products[Product],products[Cost per unit])</f>
        <v>7.16</v>
      </c>
      <c r="I158">
        <f>data[[#This Row],[cost per unit]]*data[[#This Row],[Units]]</f>
        <v>2706.48</v>
      </c>
      <c r="J158" s="4">
        <f>data[[#This Row],[Amount]]-data[[#This Row],[cost]]</f>
        <v>345.52</v>
      </c>
      <c r="K158" s="60">
        <f>data[[#This Row],[profit]]/data[[#This Row],[Amount]]</f>
        <v>0.11321100917431193</v>
      </c>
    </row>
    <row r="159" spans="3:11" x14ac:dyDescent="0.3">
      <c r="C159" t="s">
        <v>9</v>
      </c>
      <c r="D159" t="s">
        <v>34</v>
      </c>
      <c r="E159" t="s">
        <v>21</v>
      </c>
      <c r="F159" s="4">
        <v>6832</v>
      </c>
      <c r="G159" s="5">
        <v>27</v>
      </c>
      <c r="H159">
        <f>_xlfn.XLOOKUP(data[[#This Row],[Product]],products[Product],products[Cost per unit])</f>
        <v>9</v>
      </c>
      <c r="I159">
        <f>data[[#This Row],[cost per unit]]*data[[#This Row],[Units]]</f>
        <v>243</v>
      </c>
      <c r="J159" s="4">
        <f>data[[#This Row],[Amount]]-data[[#This Row],[cost]]</f>
        <v>6589</v>
      </c>
      <c r="K159" s="60">
        <f>data[[#This Row],[profit]]/data[[#This Row],[Amount]]</f>
        <v>0.96443208430913352</v>
      </c>
    </row>
    <row r="160" spans="3:11" x14ac:dyDescent="0.3">
      <c r="C160" t="s">
        <v>2</v>
      </c>
      <c r="D160" t="s">
        <v>39</v>
      </c>
      <c r="E160" t="s">
        <v>16</v>
      </c>
      <c r="F160" s="4">
        <v>2016</v>
      </c>
      <c r="G160" s="5">
        <v>117</v>
      </c>
      <c r="H160">
        <f>_xlfn.XLOOKUP(data[[#This Row],[Product]],products[Product],products[Cost per unit])</f>
        <v>8.7899999999999991</v>
      </c>
      <c r="I160">
        <f>data[[#This Row],[cost per unit]]*data[[#This Row],[Units]]</f>
        <v>1028.4299999999998</v>
      </c>
      <c r="J160" s="4">
        <f>data[[#This Row],[Amount]]-data[[#This Row],[cost]]</f>
        <v>987.57000000000016</v>
      </c>
      <c r="K160" s="60">
        <f>data[[#This Row],[profit]]/data[[#This Row],[Amount]]</f>
        <v>0.48986607142857153</v>
      </c>
    </row>
    <row r="161" spans="3:11" x14ac:dyDescent="0.3">
      <c r="C161" t="s">
        <v>6</v>
      </c>
      <c r="D161" t="s">
        <v>38</v>
      </c>
      <c r="E161" t="s">
        <v>21</v>
      </c>
      <c r="F161" s="4">
        <v>7322</v>
      </c>
      <c r="G161" s="5">
        <v>36</v>
      </c>
      <c r="H161">
        <f>_xlfn.XLOOKUP(data[[#This Row],[Product]],products[Product],products[Cost per unit])</f>
        <v>9</v>
      </c>
      <c r="I161">
        <f>data[[#This Row],[cost per unit]]*data[[#This Row],[Units]]</f>
        <v>324</v>
      </c>
      <c r="J161" s="4">
        <f>data[[#This Row],[Amount]]-data[[#This Row],[cost]]</f>
        <v>6998</v>
      </c>
      <c r="K161" s="60">
        <f>data[[#This Row],[profit]]/data[[#This Row],[Amount]]</f>
        <v>0.95574979513794045</v>
      </c>
    </row>
    <row r="162" spans="3:11" x14ac:dyDescent="0.3">
      <c r="C162" t="s">
        <v>8</v>
      </c>
      <c r="D162" t="s">
        <v>35</v>
      </c>
      <c r="E162" t="s">
        <v>33</v>
      </c>
      <c r="F162" s="4">
        <v>357</v>
      </c>
      <c r="G162" s="5">
        <v>126</v>
      </c>
      <c r="H162">
        <f>_xlfn.XLOOKUP(data[[#This Row],[Product]],products[Product],products[Cost per unit])</f>
        <v>12.37</v>
      </c>
      <c r="I162">
        <f>data[[#This Row],[cost per unit]]*data[[#This Row],[Units]]</f>
        <v>1558.62</v>
      </c>
      <c r="J162" s="4">
        <f>data[[#This Row],[Amount]]-data[[#This Row],[cost]]</f>
        <v>-1201.6199999999999</v>
      </c>
      <c r="K162" s="60">
        <f>data[[#This Row],[profit]]/data[[#This Row],[Amount]]</f>
        <v>-3.3658823529411763</v>
      </c>
    </row>
    <row r="163" spans="3:11" x14ac:dyDescent="0.3">
      <c r="C163" t="s">
        <v>9</v>
      </c>
      <c r="D163" t="s">
        <v>39</v>
      </c>
      <c r="E163" t="s">
        <v>25</v>
      </c>
      <c r="F163" s="4">
        <v>3192</v>
      </c>
      <c r="G163" s="5">
        <v>72</v>
      </c>
      <c r="H163">
        <f>_xlfn.XLOOKUP(data[[#This Row],[Product]],products[Product],products[Cost per unit])</f>
        <v>13.15</v>
      </c>
      <c r="I163">
        <f>data[[#This Row],[cost per unit]]*data[[#This Row],[Units]]</f>
        <v>946.80000000000007</v>
      </c>
      <c r="J163" s="4">
        <f>data[[#This Row],[Amount]]-data[[#This Row],[cost]]</f>
        <v>2245.1999999999998</v>
      </c>
      <c r="K163" s="60">
        <f>data[[#This Row],[profit]]/data[[#This Row],[Amount]]</f>
        <v>0.70338345864661644</v>
      </c>
    </row>
    <row r="164" spans="3:11" x14ac:dyDescent="0.3">
      <c r="C164" t="s">
        <v>7</v>
      </c>
      <c r="D164" t="s">
        <v>36</v>
      </c>
      <c r="E164" t="s">
        <v>22</v>
      </c>
      <c r="F164" s="4">
        <v>8435</v>
      </c>
      <c r="G164" s="5">
        <v>42</v>
      </c>
      <c r="H164">
        <f>_xlfn.XLOOKUP(data[[#This Row],[Product]],products[Product],products[Cost per unit])</f>
        <v>9.77</v>
      </c>
      <c r="I164">
        <f>data[[#This Row],[cost per unit]]*data[[#This Row],[Units]]</f>
        <v>410.34</v>
      </c>
      <c r="J164" s="4">
        <f>data[[#This Row],[Amount]]-data[[#This Row],[cost]]</f>
        <v>8024.66</v>
      </c>
      <c r="K164" s="60">
        <f>data[[#This Row],[profit]]/data[[#This Row],[Amount]]</f>
        <v>0.95135269709543568</v>
      </c>
    </row>
    <row r="165" spans="3:11" x14ac:dyDescent="0.3">
      <c r="C165" t="s">
        <v>40</v>
      </c>
      <c r="D165" t="s">
        <v>39</v>
      </c>
      <c r="E165" t="s">
        <v>29</v>
      </c>
      <c r="F165" s="4">
        <v>0</v>
      </c>
      <c r="G165" s="5">
        <v>135</v>
      </c>
      <c r="H165">
        <f>_xlfn.XLOOKUP(data[[#This Row],[Product]],products[Product],products[Cost per unit])</f>
        <v>7.16</v>
      </c>
      <c r="I165">
        <f>data[[#This Row],[cost per unit]]*data[[#This Row],[Units]]</f>
        <v>966.6</v>
      </c>
      <c r="J165" s="4">
        <f>data[[#This Row],[Amount]]-data[[#This Row],[cost]]</f>
        <v>-966.6</v>
      </c>
      <c r="K165" s="60" t="e">
        <f>data[[#This Row],[profit]]/data[[#This Row],[Amount]]</f>
        <v>#DIV/0!</v>
      </c>
    </row>
    <row r="166" spans="3:11" x14ac:dyDescent="0.3">
      <c r="C166" t="s">
        <v>7</v>
      </c>
      <c r="D166" t="s">
        <v>34</v>
      </c>
      <c r="E166" t="s">
        <v>24</v>
      </c>
      <c r="F166" s="4">
        <v>8862</v>
      </c>
      <c r="G166" s="5">
        <v>189</v>
      </c>
      <c r="H166">
        <f>_xlfn.XLOOKUP(data[[#This Row],[Product]],products[Product],products[Cost per unit])</f>
        <v>4.97</v>
      </c>
      <c r="I166">
        <f>data[[#This Row],[cost per unit]]*data[[#This Row],[Units]]</f>
        <v>939.32999999999993</v>
      </c>
      <c r="J166" s="4">
        <f>data[[#This Row],[Amount]]-data[[#This Row],[cost]]</f>
        <v>7922.67</v>
      </c>
      <c r="K166" s="60">
        <f>data[[#This Row],[profit]]/data[[#This Row],[Amount]]</f>
        <v>0.89400473933649294</v>
      </c>
    </row>
    <row r="167" spans="3:11" x14ac:dyDescent="0.3">
      <c r="C167" t="s">
        <v>6</v>
      </c>
      <c r="D167" t="s">
        <v>37</v>
      </c>
      <c r="E167" t="s">
        <v>28</v>
      </c>
      <c r="F167" s="4">
        <v>3556</v>
      </c>
      <c r="G167" s="5">
        <v>459</v>
      </c>
      <c r="H167">
        <f>_xlfn.XLOOKUP(data[[#This Row],[Product]],products[Product],products[Cost per unit])</f>
        <v>10.38</v>
      </c>
      <c r="I167">
        <f>data[[#This Row],[cost per unit]]*data[[#This Row],[Units]]</f>
        <v>4764.42</v>
      </c>
      <c r="J167" s="4">
        <f>data[[#This Row],[Amount]]-data[[#This Row],[cost]]</f>
        <v>-1208.42</v>
      </c>
      <c r="K167" s="60">
        <f>data[[#This Row],[profit]]/data[[#This Row],[Amount]]</f>
        <v>-0.33982564679415073</v>
      </c>
    </row>
    <row r="168" spans="3:11" x14ac:dyDescent="0.3">
      <c r="C168" t="s">
        <v>5</v>
      </c>
      <c r="D168" t="s">
        <v>34</v>
      </c>
      <c r="E168" t="s">
        <v>15</v>
      </c>
      <c r="F168" s="4">
        <v>7280</v>
      </c>
      <c r="G168" s="5">
        <v>201</v>
      </c>
      <c r="H168">
        <f>_xlfn.XLOOKUP(data[[#This Row],[Product]],products[Product],products[Cost per unit])</f>
        <v>11.73</v>
      </c>
      <c r="I168">
        <f>data[[#This Row],[cost per unit]]*data[[#This Row],[Units]]</f>
        <v>2357.73</v>
      </c>
      <c r="J168" s="4">
        <f>data[[#This Row],[Amount]]-data[[#This Row],[cost]]</f>
        <v>4922.2700000000004</v>
      </c>
      <c r="K168" s="60">
        <f>data[[#This Row],[profit]]/data[[#This Row],[Amount]]</f>
        <v>0.67613598901098904</v>
      </c>
    </row>
    <row r="169" spans="3:11" x14ac:dyDescent="0.3">
      <c r="C169" t="s">
        <v>6</v>
      </c>
      <c r="D169" t="s">
        <v>34</v>
      </c>
      <c r="E169" t="s">
        <v>30</v>
      </c>
      <c r="F169" s="4">
        <v>3402</v>
      </c>
      <c r="G169" s="5">
        <v>366</v>
      </c>
      <c r="H169">
        <f>_xlfn.XLOOKUP(data[[#This Row],[Product]],products[Product],products[Cost per unit])</f>
        <v>14.49</v>
      </c>
      <c r="I169">
        <f>data[[#This Row],[cost per unit]]*data[[#This Row],[Units]]</f>
        <v>5303.34</v>
      </c>
      <c r="J169" s="4">
        <f>data[[#This Row],[Amount]]-data[[#This Row],[cost]]</f>
        <v>-1901.3400000000001</v>
      </c>
      <c r="K169" s="60">
        <f>data[[#This Row],[profit]]/data[[#This Row],[Amount]]</f>
        <v>-0.55888888888888888</v>
      </c>
    </row>
    <row r="170" spans="3:11" x14ac:dyDescent="0.3">
      <c r="C170" t="s">
        <v>3</v>
      </c>
      <c r="D170" t="s">
        <v>37</v>
      </c>
      <c r="E170" t="s">
        <v>29</v>
      </c>
      <c r="F170" s="4">
        <v>4592</v>
      </c>
      <c r="G170" s="5">
        <v>324</v>
      </c>
      <c r="H170">
        <f>_xlfn.XLOOKUP(data[[#This Row],[Product]],products[Product],products[Cost per unit])</f>
        <v>7.16</v>
      </c>
      <c r="I170">
        <f>data[[#This Row],[cost per unit]]*data[[#This Row],[Units]]</f>
        <v>2319.84</v>
      </c>
      <c r="J170" s="4">
        <f>data[[#This Row],[Amount]]-data[[#This Row],[cost]]</f>
        <v>2272.16</v>
      </c>
      <c r="K170" s="60">
        <f>data[[#This Row],[profit]]/data[[#This Row],[Amount]]</f>
        <v>0.49480836236933795</v>
      </c>
    </row>
    <row r="171" spans="3:11" x14ac:dyDescent="0.3">
      <c r="C171" t="s">
        <v>9</v>
      </c>
      <c r="D171" t="s">
        <v>35</v>
      </c>
      <c r="E171" t="s">
        <v>15</v>
      </c>
      <c r="F171" s="4">
        <v>7833</v>
      </c>
      <c r="G171" s="5">
        <v>243</v>
      </c>
      <c r="H171">
        <f>_xlfn.XLOOKUP(data[[#This Row],[Product]],products[Product],products[Cost per unit])</f>
        <v>11.73</v>
      </c>
      <c r="I171">
        <f>data[[#This Row],[cost per unit]]*data[[#This Row],[Units]]</f>
        <v>2850.3900000000003</v>
      </c>
      <c r="J171" s="4">
        <f>data[[#This Row],[Amount]]-data[[#This Row],[cost]]</f>
        <v>4982.6099999999997</v>
      </c>
      <c r="K171" s="60">
        <f>data[[#This Row],[profit]]/data[[#This Row],[Amount]]</f>
        <v>0.63610494063577172</v>
      </c>
    </row>
    <row r="172" spans="3:11" x14ac:dyDescent="0.3">
      <c r="C172" t="s">
        <v>2</v>
      </c>
      <c r="D172" t="s">
        <v>39</v>
      </c>
      <c r="E172" t="s">
        <v>21</v>
      </c>
      <c r="F172" s="4">
        <v>7651</v>
      </c>
      <c r="G172" s="5">
        <v>213</v>
      </c>
      <c r="H172">
        <f>_xlfn.XLOOKUP(data[[#This Row],[Product]],products[Product],products[Cost per unit])</f>
        <v>9</v>
      </c>
      <c r="I172">
        <f>data[[#This Row],[cost per unit]]*data[[#This Row],[Units]]</f>
        <v>1917</v>
      </c>
      <c r="J172" s="4">
        <f>data[[#This Row],[Amount]]-data[[#This Row],[cost]]</f>
        <v>5734</v>
      </c>
      <c r="K172" s="60">
        <f>data[[#This Row],[profit]]/data[[#This Row],[Amount]]</f>
        <v>0.74944451705659387</v>
      </c>
    </row>
    <row r="173" spans="3:11" x14ac:dyDescent="0.3">
      <c r="C173" t="s">
        <v>40</v>
      </c>
      <c r="D173" t="s">
        <v>35</v>
      </c>
      <c r="E173" t="s">
        <v>30</v>
      </c>
      <c r="F173" s="4">
        <v>2275</v>
      </c>
      <c r="G173" s="5">
        <v>447</v>
      </c>
      <c r="H173">
        <f>_xlfn.XLOOKUP(data[[#This Row],[Product]],products[Product],products[Cost per unit])</f>
        <v>14.49</v>
      </c>
      <c r="I173">
        <f>data[[#This Row],[cost per unit]]*data[[#This Row],[Units]]</f>
        <v>6477.03</v>
      </c>
      <c r="J173" s="4">
        <f>data[[#This Row],[Amount]]-data[[#This Row],[cost]]</f>
        <v>-4202.03</v>
      </c>
      <c r="K173" s="60">
        <f>data[[#This Row],[profit]]/data[[#This Row],[Amount]]</f>
        <v>-1.8470461538461538</v>
      </c>
    </row>
    <row r="174" spans="3:11" x14ac:dyDescent="0.3">
      <c r="C174" t="s">
        <v>40</v>
      </c>
      <c r="D174" t="s">
        <v>38</v>
      </c>
      <c r="E174" t="s">
        <v>13</v>
      </c>
      <c r="F174" s="4">
        <v>5670</v>
      </c>
      <c r="G174" s="5">
        <v>297</v>
      </c>
      <c r="H174">
        <f>_xlfn.XLOOKUP(data[[#This Row],[Product]],products[Product],products[Cost per unit])</f>
        <v>9.33</v>
      </c>
      <c r="I174">
        <f>data[[#This Row],[cost per unit]]*data[[#This Row],[Units]]</f>
        <v>2771.01</v>
      </c>
      <c r="J174" s="4">
        <f>data[[#This Row],[Amount]]-data[[#This Row],[cost]]</f>
        <v>2898.99</v>
      </c>
      <c r="K174" s="60">
        <f>data[[#This Row],[profit]]/data[[#This Row],[Amount]]</f>
        <v>0.51128571428571423</v>
      </c>
    </row>
    <row r="175" spans="3:11" x14ac:dyDescent="0.3">
      <c r="C175" t="s">
        <v>7</v>
      </c>
      <c r="D175" t="s">
        <v>35</v>
      </c>
      <c r="E175" t="s">
        <v>16</v>
      </c>
      <c r="F175" s="4">
        <v>2135</v>
      </c>
      <c r="G175" s="5">
        <v>27</v>
      </c>
      <c r="H175">
        <f>_xlfn.XLOOKUP(data[[#This Row],[Product]],products[Product],products[Cost per unit])</f>
        <v>8.7899999999999991</v>
      </c>
      <c r="I175">
        <f>data[[#This Row],[cost per unit]]*data[[#This Row],[Units]]</f>
        <v>237.32999999999998</v>
      </c>
      <c r="J175" s="4">
        <f>data[[#This Row],[Amount]]-data[[#This Row],[cost]]</f>
        <v>1897.67</v>
      </c>
      <c r="K175" s="60">
        <f>data[[#This Row],[profit]]/data[[#This Row],[Amount]]</f>
        <v>0.88883840749414522</v>
      </c>
    </row>
    <row r="176" spans="3:11" x14ac:dyDescent="0.3">
      <c r="C176" t="s">
        <v>40</v>
      </c>
      <c r="D176" t="s">
        <v>34</v>
      </c>
      <c r="E176" t="s">
        <v>23</v>
      </c>
      <c r="F176" s="4">
        <v>2779</v>
      </c>
      <c r="G176" s="5">
        <v>75</v>
      </c>
      <c r="H176">
        <f>_xlfn.XLOOKUP(data[[#This Row],[Product]],products[Product],products[Cost per unit])</f>
        <v>6.49</v>
      </c>
      <c r="I176">
        <f>data[[#This Row],[cost per unit]]*data[[#This Row],[Units]]</f>
        <v>486.75</v>
      </c>
      <c r="J176" s="4">
        <f>data[[#This Row],[Amount]]-data[[#This Row],[cost]]</f>
        <v>2292.25</v>
      </c>
      <c r="K176" s="60">
        <f>data[[#This Row],[profit]]/data[[#This Row],[Amount]]</f>
        <v>0.82484706729039226</v>
      </c>
    </row>
    <row r="177" spans="3:11" x14ac:dyDescent="0.3">
      <c r="C177" t="s">
        <v>10</v>
      </c>
      <c r="D177" t="s">
        <v>39</v>
      </c>
      <c r="E177" t="s">
        <v>33</v>
      </c>
      <c r="F177" s="4">
        <v>12950</v>
      </c>
      <c r="G177" s="5">
        <v>30</v>
      </c>
      <c r="H177">
        <f>_xlfn.XLOOKUP(data[[#This Row],[Product]],products[Product],products[Cost per unit])</f>
        <v>12.37</v>
      </c>
      <c r="I177">
        <f>data[[#This Row],[cost per unit]]*data[[#This Row],[Units]]</f>
        <v>371.09999999999997</v>
      </c>
      <c r="J177" s="4">
        <f>data[[#This Row],[Amount]]-data[[#This Row],[cost]]</f>
        <v>12578.9</v>
      </c>
      <c r="K177" s="60">
        <f>data[[#This Row],[profit]]/data[[#This Row],[Amount]]</f>
        <v>0.97134362934362928</v>
      </c>
    </row>
    <row r="178" spans="3:11" x14ac:dyDescent="0.3">
      <c r="C178" t="s">
        <v>7</v>
      </c>
      <c r="D178" t="s">
        <v>36</v>
      </c>
      <c r="E178" t="s">
        <v>18</v>
      </c>
      <c r="F178" s="4">
        <v>2646</v>
      </c>
      <c r="G178" s="5">
        <v>177</v>
      </c>
      <c r="H178">
        <f>_xlfn.XLOOKUP(data[[#This Row],[Product]],products[Product],products[Cost per unit])</f>
        <v>6.47</v>
      </c>
      <c r="I178">
        <f>data[[#This Row],[cost per unit]]*data[[#This Row],[Units]]</f>
        <v>1145.19</v>
      </c>
      <c r="J178" s="4">
        <f>data[[#This Row],[Amount]]-data[[#This Row],[cost]]</f>
        <v>1500.81</v>
      </c>
      <c r="K178" s="60">
        <f>data[[#This Row],[profit]]/data[[#This Row],[Amount]]</f>
        <v>0.56719954648526072</v>
      </c>
    </row>
    <row r="179" spans="3:11" x14ac:dyDescent="0.3">
      <c r="C179" t="s">
        <v>40</v>
      </c>
      <c r="D179" t="s">
        <v>34</v>
      </c>
      <c r="E179" t="s">
        <v>33</v>
      </c>
      <c r="F179" s="4">
        <v>3794</v>
      </c>
      <c r="G179" s="5">
        <v>159</v>
      </c>
      <c r="H179">
        <f>_xlfn.XLOOKUP(data[[#This Row],[Product]],products[Product],products[Cost per unit])</f>
        <v>12.37</v>
      </c>
      <c r="I179">
        <f>data[[#This Row],[cost per unit]]*data[[#This Row],[Units]]</f>
        <v>1966.83</v>
      </c>
      <c r="J179" s="4">
        <f>data[[#This Row],[Amount]]-data[[#This Row],[cost]]</f>
        <v>1827.17</v>
      </c>
      <c r="K179" s="60">
        <f>data[[#This Row],[profit]]/data[[#This Row],[Amount]]</f>
        <v>0.48159462308908807</v>
      </c>
    </row>
    <row r="180" spans="3:11" x14ac:dyDescent="0.3">
      <c r="C180" t="s">
        <v>3</v>
      </c>
      <c r="D180" t="s">
        <v>35</v>
      </c>
      <c r="E180" t="s">
        <v>33</v>
      </c>
      <c r="F180" s="4">
        <v>819</v>
      </c>
      <c r="G180" s="5">
        <v>306</v>
      </c>
      <c r="H180">
        <f>_xlfn.XLOOKUP(data[[#This Row],[Product]],products[Product],products[Cost per unit])</f>
        <v>12.37</v>
      </c>
      <c r="I180">
        <f>data[[#This Row],[cost per unit]]*data[[#This Row],[Units]]</f>
        <v>3785.22</v>
      </c>
      <c r="J180" s="4">
        <f>data[[#This Row],[Amount]]-data[[#This Row],[cost]]</f>
        <v>-2966.22</v>
      </c>
      <c r="K180" s="60">
        <f>data[[#This Row],[profit]]/data[[#This Row],[Amount]]</f>
        <v>-3.6217582417582417</v>
      </c>
    </row>
    <row r="181" spans="3:11" x14ac:dyDescent="0.3">
      <c r="C181" t="s">
        <v>3</v>
      </c>
      <c r="D181" t="s">
        <v>34</v>
      </c>
      <c r="E181" t="s">
        <v>20</v>
      </c>
      <c r="F181" s="4">
        <v>2583</v>
      </c>
      <c r="G181" s="5">
        <v>18</v>
      </c>
      <c r="H181">
        <f>_xlfn.XLOOKUP(data[[#This Row],[Product]],products[Product],products[Cost per unit])</f>
        <v>10.62</v>
      </c>
      <c r="I181">
        <f>data[[#This Row],[cost per unit]]*data[[#This Row],[Units]]</f>
        <v>191.16</v>
      </c>
      <c r="J181" s="4">
        <f>data[[#This Row],[Amount]]-data[[#This Row],[cost]]</f>
        <v>2391.84</v>
      </c>
      <c r="K181" s="60">
        <f>data[[#This Row],[profit]]/data[[#This Row],[Amount]]</f>
        <v>0.92599303135888511</v>
      </c>
    </row>
    <row r="182" spans="3:11" x14ac:dyDescent="0.3">
      <c r="C182" t="s">
        <v>7</v>
      </c>
      <c r="D182" t="s">
        <v>35</v>
      </c>
      <c r="E182" t="s">
        <v>19</v>
      </c>
      <c r="F182" s="4">
        <v>4585</v>
      </c>
      <c r="G182" s="5">
        <v>240</v>
      </c>
      <c r="H182">
        <f>_xlfn.XLOOKUP(data[[#This Row],[Product]],products[Product],products[Cost per unit])</f>
        <v>7.64</v>
      </c>
      <c r="I182">
        <f>data[[#This Row],[cost per unit]]*data[[#This Row],[Units]]</f>
        <v>1833.6</v>
      </c>
      <c r="J182" s="4">
        <f>data[[#This Row],[Amount]]-data[[#This Row],[cost]]</f>
        <v>2751.4</v>
      </c>
      <c r="K182" s="60">
        <f>data[[#This Row],[profit]]/data[[#This Row],[Amount]]</f>
        <v>0.6000872410032716</v>
      </c>
    </row>
    <row r="183" spans="3:11" x14ac:dyDescent="0.3">
      <c r="C183" t="s">
        <v>5</v>
      </c>
      <c r="D183" t="s">
        <v>34</v>
      </c>
      <c r="E183" t="s">
        <v>33</v>
      </c>
      <c r="F183" s="4">
        <v>1652</v>
      </c>
      <c r="G183" s="5">
        <v>93</v>
      </c>
      <c r="H183">
        <f>_xlfn.XLOOKUP(data[[#This Row],[Product]],products[Product],products[Cost per unit])</f>
        <v>12.37</v>
      </c>
      <c r="I183">
        <f>data[[#This Row],[cost per unit]]*data[[#This Row],[Units]]</f>
        <v>1150.4099999999999</v>
      </c>
      <c r="J183" s="4">
        <f>data[[#This Row],[Amount]]-data[[#This Row],[cost]]</f>
        <v>501.59000000000015</v>
      </c>
      <c r="K183" s="60">
        <f>data[[#This Row],[profit]]/data[[#This Row],[Amount]]</f>
        <v>0.30362590799031486</v>
      </c>
    </row>
    <row r="184" spans="3:11" x14ac:dyDescent="0.3">
      <c r="C184" t="s">
        <v>10</v>
      </c>
      <c r="D184" t="s">
        <v>34</v>
      </c>
      <c r="E184" t="s">
        <v>26</v>
      </c>
      <c r="F184" s="4">
        <v>4991</v>
      </c>
      <c r="G184" s="5">
        <v>9</v>
      </c>
      <c r="H184">
        <f>_xlfn.XLOOKUP(data[[#This Row],[Product]],products[Product],products[Cost per unit])</f>
        <v>5.6</v>
      </c>
      <c r="I184">
        <f>data[[#This Row],[cost per unit]]*data[[#This Row],[Units]]</f>
        <v>50.4</v>
      </c>
      <c r="J184" s="4">
        <f>data[[#This Row],[Amount]]-data[[#This Row],[cost]]</f>
        <v>4940.6000000000004</v>
      </c>
      <c r="K184" s="60">
        <f>data[[#This Row],[profit]]/data[[#This Row],[Amount]]</f>
        <v>0.98990182328190746</v>
      </c>
    </row>
    <row r="185" spans="3:11" x14ac:dyDescent="0.3">
      <c r="C185" t="s">
        <v>8</v>
      </c>
      <c r="D185" t="s">
        <v>34</v>
      </c>
      <c r="E185" t="s">
        <v>16</v>
      </c>
      <c r="F185" s="4">
        <v>2009</v>
      </c>
      <c r="G185" s="5">
        <v>219</v>
      </c>
      <c r="H185">
        <f>_xlfn.XLOOKUP(data[[#This Row],[Product]],products[Product],products[Cost per unit])</f>
        <v>8.7899999999999991</v>
      </c>
      <c r="I185">
        <f>data[[#This Row],[cost per unit]]*data[[#This Row],[Units]]</f>
        <v>1925.0099999999998</v>
      </c>
      <c r="J185" s="4">
        <f>data[[#This Row],[Amount]]-data[[#This Row],[cost]]</f>
        <v>83.990000000000236</v>
      </c>
      <c r="K185" s="60">
        <f>data[[#This Row],[profit]]/data[[#This Row],[Amount]]</f>
        <v>4.1806869089099169E-2</v>
      </c>
    </row>
    <row r="186" spans="3:11" x14ac:dyDescent="0.3">
      <c r="C186" t="s">
        <v>2</v>
      </c>
      <c r="D186" t="s">
        <v>39</v>
      </c>
      <c r="E186" t="s">
        <v>22</v>
      </c>
      <c r="F186" s="4">
        <v>1568</v>
      </c>
      <c r="G186" s="5">
        <v>141</v>
      </c>
      <c r="H186">
        <f>_xlfn.XLOOKUP(data[[#This Row],[Product]],products[Product],products[Cost per unit])</f>
        <v>9.77</v>
      </c>
      <c r="I186">
        <f>data[[#This Row],[cost per unit]]*data[[#This Row],[Units]]</f>
        <v>1377.57</v>
      </c>
      <c r="J186" s="4">
        <f>data[[#This Row],[Amount]]-data[[#This Row],[cost]]</f>
        <v>190.43000000000006</v>
      </c>
      <c r="K186" s="60">
        <f>data[[#This Row],[profit]]/data[[#This Row],[Amount]]</f>
        <v>0.12144770408163269</v>
      </c>
    </row>
    <row r="187" spans="3:11" x14ac:dyDescent="0.3">
      <c r="C187" t="s">
        <v>41</v>
      </c>
      <c r="D187" t="s">
        <v>37</v>
      </c>
      <c r="E187" t="s">
        <v>20</v>
      </c>
      <c r="F187" s="4">
        <v>3388</v>
      </c>
      <c r="G187" s="5">
        <v>123</v>
      </c>
      <c r="H187">
        <f>_xlfn.XLOOKUP(data[[#This Row],[Product]],products[Product],products[Cost per unit])</f>
        <v>10.62</v>
      </c>
      <c r="I187">
        <f>data[[#This Row],[cost per unit]]*data[[#This Row],[Units]]</f>
        <v>1306.26</v>
      </c>
      <c r="J187" s="4">
        <f>data[[#This Row],[Amount]]-data[[#This Row],[cost]]</f>
        <v>2081.7399999999998</v>
      </c>
      <c r="K187" s="60">
        <f>data[[#This Row],[profit]]/data[[#This Row],[Amount]]</f>
        <v>0.6144451003541912</v>
      </c>
    </row>
    <row r="188" spans="3:11" x14ac:dyDescent="0.3">
      <c r="C188" t="s">
        <v>40</v>
      </c>
      <c r="D188" t="s">
        <v>38</v>
      </c>
      <c r="E188" t="s">
        <v>24</v>
      </c>
      <c r="F188" s="4">
        <v>623</v>
      </c>
      <c r="G188" s="5">
        <v>51</v>
      </c>
      <c r="H188">
        <f>_xlfn.XLOOKUP(data[[#This Row],[Product]],products[Product],products[Cost per unit])</f>
        <v>4.97</v>
      </c>
      <c r="I188">
        <f>data[[#This Row],[cost per unit]]*data[[#This Row],[Units]]</f>
        <v>253.47</v>
      </c>
      <c r="J188" s="4">
        <f>data[[#This Row],[Amount]]-data[[#This Row],[cost]]</f>
        <v>369.53</v>
      </c>
      <c r="K188" s="60">
        <f>data[[#This Row],[profit]]/data[[#This Row],[Amount]]</f>
        <v>0.59314606741573028</v>
      </c>
    </row>
    <row r="189" spans="3:11" x14ac:dyDescent="0.3">
      <c r="C189" t="s">
        <v>6</v>
      </c>
      <c r="D189" t="s">
        <v>36</v>
      </c>
      <c r="E189" t="s">
        <v>4</v>
      </c>
      <c r="F189" s="4">
        <v>10073</v>
      </c>
      <c r="G189" s="5">
        <v>120</v>
      </c>
      <c r="H189">
        <f>_xlfn.XLOOKUP(data[[#This Row],[Product]],products[Product],products[Cost per unit])</f>
        <v>11.88</v>
      </c>
      <c r="I189">
        <f>data[[#This Row],[cost per unit]]*data[[#This Row],[Units]]</f>
        <v>1425.6000000000001</v>
      </c>
      <c r="J189" s="4">
        <f>data[[#This Row],[Amount]]-data[[#This Row],[cost]]</f>
        <v>8647.4</v>
      </c>
      <c r="K189" s="60">
        <f>data[[#This Row],[profit]]/data[[#This Row],[Amount]]</f>
        <v>0.85847314603395208</v>
      </c>
    </row>
    <row r="190" spans="3:11" x14ac:dyDescent="0.3">
      <c r="C190" t="s">
        <v>8</v>
      </c>
      <c r="D190" t="s">
        <v>39</v>
      </c>
      <c r="E190" t="s">
        <v>26</v>
      </c>
      <c r="F190" s="4">
        <v>1561</v>
      </c>
      <c r="G190" s="5">
        <v>27</v>
      </c>
      <c r="H190">
        <f>_xlfn.XLOOKUP(data[[#This Row],[Product]],products[Product],products[Cost per unit])</f>
        <v>5.6</v>
      </c>
      <c r="I190">
        <f>data[[#This Row],[cost per unit]]*data[[#This Row],[Units]]</f>
        <v>151.19999999999999</v>
      </c>
      <c r="J190" s="4">
        <f>data[[#This Row],[Amount]]-data[[#This Row],[cost]]</f>
        <v>1409.8</v>
      </c>
      <c r="K190" s="60">
        <f>data[[#This Row],[profit]]/data[[#This Row],[Amount]]</f>
        <v>0.90313901345291481</v>
      </c>
    </row>
    <row r="191" spans="3:11" x14ac:dyDescent="0.3">
      <c r="C191" t="s">
        <v>9</v>
      </c>
      <c r="D191" t="s">
        <v>36</v>
      </c>
      <c r="E191" t="s">
        <v>27</v>
      </c>
      <c r="F191" s="4">
        <v>11522</v>
      </c>
      <c r="G191" s="5">
        <v>204</v>
      </c>
      <c r="H191">
        <f>_xlfn.XLOOKUP(data[[#This Row],[Product]],products[Product],products[Cost per unit])</f>
        <v>16.73</v>
      </c>
      <c r="I191">
        <f>data[[#This Row],[cost per unit]]*data[[#This Row],[Units]]</f>
        <v>3412.92</v>
      </c>
      <c r="J191" s="4">
        <f>data[[#This Row],[Amount]]-data[[#This Row],[cost]]</f>
        <v>8109.08</v>
      </c>
      <c r="K191" s="60">
        <f>data[[#This Row],[profit]]/data[[#This Row],[Amount]]</f>
        <v>0.70379100850546783</v>
      </c>
    </row>
    <row r="192" spans="3:11" x14ac:dyDescent="0.3">
      <c r="C192" t="s">
        <v>6</v>
      </c>
      <c r="D192" t="s">
        <v>38</v>
      </c>
      <c r="E192" t="s">
        <v>13</v>
      </c>
      <c r="F192" s="4">
        <v>2317</v>
      </c>
      <c r="G192" s="5">
        <v>123</v>
      </c>
      <c r="H192">
        <f>_xlfn.XLOOKUP(data[[#This Row],[Product]],products[Product],products[Cost per unit])</f>
        <v>9.33</v>
      </c>
      <c r="I192">
        <f>data[[#This Row],[cost per unit]]*data[[#This Row],[Units]]</f>
        <v>1147.5899999999999</v>
      </c>
      <c r="J192" s="4">
        <f>data[[#This Row],[Amount]]-data[[#This Row],[cost]]</f>
        <v>1169.4100000000001</v>
      </c>
      <c r="K192" s="60">
        <f>data[[#This Row],[profit]]/data[[#This Row],[Amount]]</f>
        <v>0.50470867501078986</v>
      </c>
    </row>
    <row r="193" spans="3:11" x14ac:dyDescent="0.3">
      <c r="C193" t="s">
        <v>10</v>
      </c>
      <c r="D193" t="s">
        <v>37</v>
      </c>
      <c r="E193" t="s">
        <v>28</v>
      </c>
      <c r="F193" s="4">
        <v>3059</v>
      </c>
      <c r="G193" s="5">
        <v>27</v>
      </c>
      <c r="H193">
        <f>_xlfn.XLOOKUP(data[[#This Row],[Product]],products[Product],products[Cost per unit])</f>
        <v>10.38</v>
      </c>
      <c r="I193">
        <f>data[[#This Row],[cost per unit]]*data[[#This Row],[Units]]</f>
        <v>280.26000000000005</v>
      </c>
      <c r="J193" s="4">
        <f>data[[#This Row],[Amount]]-data[[#This Row],[cost]]</f>
        <v>2778.74</v>
      </c>
      <c r="K193" s="60">
        <f>data[[#This Row],[profit]]/data[[#This Row],[Amount]]</f>
        <v>0.90838182412553115</v>
      </c>
    </row>
    <row r="194" spans="3:11" x14ac:dyDescent="0.3">
      <c r="C194" t="s">
        <v>41</v>
      </c>
      <c r="D194" t="s">
        <v>37</v>
      </c>
      <c r="E194" t="s">
        <v>26</v>
      </c>
      <c r="F194" s="4">
        <v>2324</v>
      </c>
      <c r="G194" s="5">
        <v>177</v>
      </c>
      <c r="H194">
        <f>_xlfn.XLOOKUP(data[[#This Row],[Product]],products[Product],products[Cost per unit])</f>
        <v>5.6</v>
      </c>
      <c r="I194">
        <f>data[[#This Row],[cost per unit]]*data[[#This Row],[Units]]</f>
        <v>991.19999999999993</v>
      </c>
      <c r="J194" s="4">
        <f>data[[#This Row],[Amount]]-data[[#This Row],[cost]]</f>
        <v>1332.8000000000002</v>
      </c>
      <c r="K194" s="60">
        <f>data[[#This Row],[profit]]/data[[#This Row],[Amount]]</f>
        <v>0.57349397590361451</v>
      </c>
    </row>
    <row r="195" spans="3:11" x14ac:dyDescent="0.3">
      <c r="C195" t="s">
        <v>3</v>
      </c>
      <c r="D195" t="s">
        <v>39</v>
      </c>
      <c r="E195" t="s">
        <v>26</v>
      </c>
      <c r="F195" s="4">
        <v>4956</v>
      </c>
      <c r="G195" s="5">
        <v>171</v>
      </c>
      <c r="H195">
        <f>_xlfn.XLOOKUP(data[[#This Row],[Product]],products[Product],products[Cost per unit])</f>
        <v>5.6</v>
      </c>
      <c r="I195">
        <f>data[[#This Row],[cost per unit]]*data[[#This Row],[Units]]</f>
        <v>957.59999999999991</v>
      </c>
      <c r="J195" s="4">
        <f>data[[#This Row],[Amount]]-data[[#This Row],[cost]]</f>
        <v>3998.4</v>
      </c>
      <c r="K195" s="60">
        <f>data[[#This Row],[profit]]/data[[#This Row],[Amount]]</f>
        <v>0.8067796610169492</v>
      </c>
    </row>
    <row r="196" spans="3:11" x14ac:dyDescent="0.3">
      <c r="C196" t="s">
        <v>10</v>
      </c>
      <c r="D196" t="s">
        <v>34</v>
      </c>
      <c r="E196" t="s">
        <v>19</v>
      </c>
      <c r="F196" s="4">
        <v>5355</v>
      </c>
      <c r="G196" s="5">
        <v>204</v>
      </c>
      <c r="H196">
        <f>_xlfn.XLOOKUP(data[[#This Row],[Product]],products[Product],products[Cost per unit])</f>
        <v>7.64</v>
      </c>
      <c r="I196">
        <f>data[[#This Row],[cost per unit]]*data[[#This Row],[Units]]</f>
        <v>1558.56</v>
      </c>
      <c r="J196" s="4">
        <f>data[[#This Row],[Amount]]-data[[#This Row],[cost]]</f>
        <v>3796.44</v>
      </c>
      <c r="K196" s="60">
        <f>data[[#This Row],[profit]]/data[[#This Row],[Amount]]</f>
        <v>0.708952380952381</v>
      </c>
    </row>
    <row r="197" spans="3:11" x14ac:dyDescent="0.3">
      <c r="C197" t="s">
        <v>3</v>
      </c>
      <c r="D197" t="s">
        <v>34</v>
      </c>
      <c r="E197" t="s">
        <v>14</v>
      </c>
      <c r="F197" s="4">
        <v>7259</v>
      </c>
      <c r="G197" s="5">
        <v>276</v>
      </c>
      <c r="H197">
        <f>_xlfn.XLOOKUP(data[[#This Row],[Product]],products[Product],products[Cost per unit])</f>
        <v>11.7</v>
      </c>
      <c r="I197">
        <f>data[[#This Row],[cost per unit]]*data[[#This Row],[Units]]</f>
        <v>3229.2</v>
      </c>
      <c r="J197" s="4">
        <f>data[[#This Row],[Amount]]-data[[#This Row],[cost]]</f>
        <v>4029.8</v>
      </c>
      <c r="K197" s="60">
        <f>data[[#This Row],[profit]]/data[[#This Row],[Amount]]</f>
        <v>0.55514533682325395</v>
      </c>
    </row>
    <row r="198" spans="3:11" x14ac:dyDescent="0.3">
      <c r="C198" t="s">
        <v>8</v>
      </c>
      <c r="D198" t="s">
        <v>37</v>
      </c>
      <c r="E198" t="s">
        <v>26</v>
      </c>
      <c r="F198" s="4">
        <v>6279</v>
      </c>
      <c r="G198" s="5">
        <v>45</v>
      </c>
      <c r="H198">
        <f>_xlfn.XLOOKUP(data[[#This Row],[Product]],products[Product],products[Cost per unit])</f>
        <v>5.6</v>
      </c>
      <c r="I198">
        <f>data[[#This Row],[cost per unit]]*data[[#This Row],[Units]]</f>
        <v>251.99999999999997</v>
      </c>
      <c r="J198" s="4">
        <f>data[[#This Row],[Amount]]-data[[#This Row],[cost]]</f>
        <v>6027</v>
      </c>
      <c r="K198" s="60">
        <f>data[[#This Row],[profit]]/data[[#This Row],[Amount]]</f>
        <v>0.95986622073578598</v>
      </c>
    </row>
    <row r="199" spans="3:11" x14ac:dyDescent="0.3">
      <c r="C199" t="s">
        <v>40</v>
      </c>
      <c r="D199" t="s">
        <v>38</v>
      </c>
      <c r="E199" t="s">
        <v>29</v>
      </c>
      <c r="F199" s="4">
        <v>2541</v>
      </c>
      <c r="G199" s="5">
        <v>45</v>
      </c>
      <c r="H199">
        <f>_xlfn.XLOOKUP(data[[#This Row],[Product]],products[Product],products[Cost per unit])</f>
        <v>7.16</v>
      </c>
      <c r="I199">
        <f>data[[#This Row],[cost per unit]]*data[[#This Row],[Units]]</f>
        <v>322.2</v>
      </c>
      <c r="J199" s="4">
        <f>data[[#This Row],[Amount]]-data[[#This Row],[cost]]</f>
        <v>2218.8000000000002</v>
      </c>
      <c r="K199" s="60">
        <f>data[[#This Row],[profit]]/data[[#This Row],[Amount]]</f>
        <v>0.87319952774498233</v>
      </c>
    </row>
    <row r="200" spans="3:11" x14ac:dyDescent="0.3">
      <c r="C200" t="s">
        <v>6</v>
      </c>
      <c r="D200" t="s">
        <v>35</v>
      </c>
      <c r="E200" t="s">
        <v>27</v>
      </c>
      <c r="F200" s="4">
        <v>3864</v>
      </c>
      <c r="G200" s="5">
        <v>177</v>
      </c>
      <c r="H200">
        <f>_xlfn.XLOOKUP(data[[#This Row],[Product]],products[Product],products[Cost per unit])</f>
        <v>16.73</v>
      </c>
      <c r="I200">
        <f>data[[#This Row],[cost per unit]]*data[[#This Row],[Units]]</f>
        <v>2961.21</v>
      </c>
      <c r="J200" s="4">
        <f>data[[#This Row],[Amount]]-data[[#This Row],[cost]]</f>
        <v>902.79</v>
      </c>
      <c r="K200" s="60">
        <f>data[[#This Row],[profit]]/data[[#This Row],[Amount]]</f>
        <v>0.23364130434782607</v>
      </c>
    </row>
    <row r="201" spans="3:11" x14ac:dyDescent="0.3">
      <c r="C201" t="s">
        <v>5</v>
      </c>
      <c r="D201" t="s">
        <v>36</v>
      </c>
      <c r="E201" t="s">
        <v>13</v>
      </c>
      <c r="F201" s="4">
        <v>6146</v>
      </c>
      <c r="G201" s="5">
        <v>63</v>
      </c>
      <c r="H201">
        <f>_xlfn.XLOOKUP(data[[#This Row],[Product]],products[Product],products[Cost per unit])</f>
        <v>9.33</v>
      </c>
      <c r="I201">
        <f>data[[#This Row],[cost per unit]]*data[[#This Row],[Units]]</f>
        <v>587.79</v>
      </c>
      <c r="J201" s="4">
        <f>data[[#This Row],[Amount]]-data[[#This Row],[cost]]</f>
        <v>5558.21</v>
      </c>
      <c r="K201" s="60">
        <f>data[[#This Row],[profit]]/data[[#This Row],[Amount]]</f>
        <v>0.90436218678815494</v>
      </c>
    </row>
    <row r="202" spans="3:11" x14ac:dyDescent="0.3">
      <c r="C202" t="s">
        <v>9</v>
      </c>
      <c r="D202" t="s">
        <v>39</v>
      </c>
      <c r="E202" t="s">
        <v>18</v>
      </c>
      <c r="F202" s="4">
        <v>2639</v>
      </c>
      <c r="G202" s="5">
        <v>204</v>
      </c>
      <c r="H202">
        <f>_xlfn.XLOOKUP(data[[#This Row],[Product]],products[Product],products[Cost per unit])</f>
        <v>6.47</v>
      </c>
      <c r="I202">
        <f>data[[#This Row],[cost per unit]]*data[[#This Row],[Units]]</f>
        <v>1319.8799999999999</v>
      </c>
      <c r="J202" s="4">
        <f>data[[#This Row],[Amount]]-data[[#This Row],[cost]]</f>
        <v>1319.1200000000001</v>
      </c>
      <c r="K202" s="60">
        <f>data[[#This Row],[profit]]/data[[#This Row],[Amount]]</f>
        <v>0.49985600606290265</v>
      </c>
    </row>
    <row r="203" spans="3:11" x14ac:dyDescent="0.3">
      <c r="C203" t="s">
        <v>8</v>
      </c>
      <c r="D203" t="s">
        <v>37</v>
      </c>
      <c r="E203" t="s">
        <v>22</v>
      </c>
      <c r="F203" s="4">
        <v>1890</v>
      </c>
      <c r="G203" s="5">
        <v>195</v>
      </c>
      <c r="H203">
        <f>_xlfn.XLOOKUP(data[[#This Row],[Product]],products[Product],products[Cost per unit])</f>
        <v>9.77</v>
      </c>
      <c r="I203">
        <f>data[[#This Row],[cost per unit]]*data[[#This Row],[Units]]</f>
        <v>1905.1499999999999</v>
      </c>
      <c r="J203" s="4">
        <f>data[[#This Row],[Amount]]-data[[#This Row],[cost]]</f>
        <v>-15.149999999999864</v>
      </c>
      <c r="K203" s="60">
        <f>data[[#This Row],[profit]]/data[[#This Row],[Amount]]</f>
        <v>-8.0158730158729433E-3</v>
      </c>
    </row>
    <row r="204" spans="3:11" x14ac:dyDescent="0.3">
      <c r="C204" t="s">
        <v>7</v>
      </c>
      <c r="D204" t="s">
        <v>34</v>
      </c>
      <c r="E204" t="s">
        <v>14</v>
      </c>
      <c r="F204" s="4">
        <v>1932</v>
      </c>
      <c r="G204" s="5">
        <v>369</v>
      </c>
      <c r="H204">
        <f>_xlfn.XLOOKUP(data[[#This Row],[Product]],products[Product],products[Cost per unit])</f>
        <v>11.7</v>
      </c>
      <c r="I204">
        <f>data[[#This Row],[cost per unit]]*data[[#This Row],[Units]]</f>
        <v>4317.3</v>
      </c>
      <c r="J204" s="4">
        <f>data[[#This Row],[Amount]]-data[[#This Row],[cost]]</f>
        <v>-2385.3000000000002</v>
      </c>
      <c r="K204" s="60">
        <f>data[[#This Row],[profit]]/data[[#This Row],[Amount]]</f>
        <v>-1.2346273291925467</v>
      </c>
    </row>
    <row r="205" spans="3:11" x14ac:dyDescent="0.3">
      <c r="C205" t="s">
        <v>3</v>
      </c>
      <c r="D205" t="s">
        <v>34</v>
      </c>
      <c r="E205" t="s">
        <v>25</v>
      </c>
      <c r="F205" s="4">
        <v>6300</v>
      </c>
      <c r="G205" s="5">
        <v>42</v>
      </c>
      <c r="H205">
        <f>_xlfn.XLOOKUP(data[[#This Row],[Product]],products[Product],products[Cost per unit])</f>
        <v>13.15</v>
      </c>
      <c r="I205">
        <f>data[[#This Row],[cost per unit]]*data[[#This Row],[Units]]</f>
        <v>552.30000000000007</v>
      </c>
      <c r="J205" s="4">
        <f>data[[#This Row],[Amount]]-data[[#This Row],[cost]]</f>
        <v>5747.7</v>
      </c>
      <c r="K205" s="60">
        <f>data[[#This Row],[profit]]/data[[#This Row],[Amount]]</f>
        <v>0.91233333333333333</v>
      </c>
    </row>
    <row r="206" spans="3:11" x14ac:dyDescent="0.3">
      <c r="C206" t="s">
        <v>6</v>
      </c>
      <c r="D206" t="s">
        <v>37</v>
      </c>
      <c r="E206" t="s">
        <v>30</v>
      </c>
      <c r="F206" s="4">
        <v>560</v>
      </c>
      <c r="G206" s="5">
        <v>81</v>
      </c>
      <c r="H206">
        <f>_xlfn.XLOOKUP(data[[#This Row],[Product]],products[Product],products[Cost per unit])</f>
        <v>14.49</v>
      </c>
      <c r="I206">
        <f>data[[#This Row],[cost per unit]]*data[[#This Row],[Units]]</f>
        <v>1173.69</v>
      </c>
      <c r="J206" s="4">
        <f>data[[#This Row],[Amount]]-data[[#This Row],[cost]]</f>
        <v>-613.69000000000005</v>
      </c>
      <c r="K206" s="60">
        <f>data[[#This Row],[profit]]/data[[#This Row],[Amount]]</f>
        <v>-1.0958750000000002</v>
      </c>
    </row>
    <row r="207" spans="3:11" x14ac:dyDescent="0.3">
      <c r="C207" t="s">
        <v>9</v>
      </c>
      <c r="D207" t="s">
        <v>37</v>
      </c>
      <c r="E207" t="s">
        <v>26</v>
      </c>
      <c r="F207" s="4">
        <v>2856</v>
      </c>
      <c r="G207" s="5">
        <v>246</v>
      </c>
      <c r="H207">
        <f>_xlfn.XLOOKUP(data[[#This Row],[Product]],products[Product],products[Cost per unit])</f>
        <v>5.6</v>
      </c>
      <c r="I207">
        <f>data[[#This Row],[cost per unit]]*data[[#This Row],[Units]]</f>
        <v>1377.6</v>
      </c>
      <c r="J207" s="4">
        <f>data[[#This Row],[Amount]]-data[[#This Row],[cost]]</f>
        <v>1478.4</v>
      </c>
      <c r="K207" s="60">
        <f>data[[#This Row],[profit]]/data[[#This Row],[Amount]]</f>
        <v>0.51764705882352946</v>
      </c>
    </row>
    <row r="208" spans="3:11" x14ac:dyDescent="0.3">
      <c r="C208" t="s">
        <v>9</v>
      </c>
      <c r="D208" t="s">
        <v>34</v>
      </c>
      <c r="E208" t="s">
        <v>17</v>
      </c>
      <c r="F208" s="4">
        <v>707</v>
      </c>
      <c r="G208" s="5">
        <v>174</v>
      </c>
      <c r="H208">
        <f>_xlfn.XLOOKUP(data[[#This Row],[Product]],products[Product],products[Cost per unit])</f>
        <v>3.11</v>
      </c>
      <c r="I208">
        <f>data[[#This Row],[cost per unit]]*data[[#This Row],[Units]]</f>
        <v>541.14</v>
      </c>
      <c r="J208" s="4">
        <f>data[[#This Row],[Amount]]-data[[#This Row],[cost]]</f>
        <v>165.86</v>
      </c>
      <c r="K208" s="60">
        <f>data[[#This Row],[profit]]/data[[#This Row],[Amount]]</f>
        <v>0.23459688826025463</v>
      </c>
    </row>
    <row r="209" spans="3:11" x14ac:dyDescent="0.3">
      <c r="C209" t="s">
        <v>8</v>
      </c>
      <c r="D209" t="s">
        <v>35</v>
      </c>
      <c r="E209" t="s">
        <v>30</v>
      </c>
      <c r="F209" s="4">
        <v>3598</v>
      </c>
      <c r="G209" s="5">
        <v>81</v>
      </c>
      <c r="H209">
        <f>_xlfn.XLOOKUP(data[[#This Row],[Product]],products[Product],products[Cost per unit])</f>
        <v>14.49</v>
      </c>
      <c r="I209">
        <f>data[[#This Row],[cost per unit]]*data[[#This Row],[Units]]</f>
        <v>1173.69</v>
      </c>
      <c r="J209" s="4">
        <f>data[[#This Row],[Amount]]-data[[#This Row],[cost]]</f>
        <v>2424.31</v>
      </c>
      <c r="K209" s="60">
        <f>data[[#This Row],[profit]]/data[[#This Row],[Amount]]</f>
        <v>0.67379377431906617</v>
      </c>
    </row>
    <row r="210" spans="3:11" x14ac:dyDescent="0.3">
      <c r="C210" t="s">
        <v>40</v>
      </c>
      <c r="D210" t="s">
        <v>35</v>
      </c>
      <c r="E210" t="s">
        <v>22</v>
      </c>
      <c r="F210" s="4">
        <v>6853</v>
      </c>
      <c r="G210" s="5">
        <v>372</v>
      </c>
      <c r="H210">
        <f>_xlfn.XLOOKUP(data[[#This Row],[Product]],products[Product],products[Cost per unit])</f>
        <v>9.77</v>
      </c>
      <c r="I210">
        <f>data[[#This Row],[cost per unit]]*data[[#This Row],[Units]]</f>
        <v>3634.44</v>
      </c>
      <c r="J210" s="4">
        <f>data[[#This Row],[Amount]]-data[[#This Row],[cost]]</f>
        <v>3218.56</v>
      </c>
      <c r="K210" s="60">
        <f>data[[#This Row],[profit]]/data[[#This Row],[Amount]]</f>
        <v>0.46965708448854515</v>
      </c>
    </row>
    <row r="211" spans="3:11" x14ac:dyDescent="0.3">
      <c r="C211" t="s">
        <v>40</v>
      </c>
      <c r="D211" t="s">
        <v>35</v>
      </c>
      <c r="E211" t="s">
        <v>16</v>
      </c>
      <c r="F211" s="4">
        <v>4725</v>
      </c>
      <c r="G211" s="5">
        <v>174</v>
      </c>
      <c r="H211">
        <f>_xlfn.XLOOKUP(data[[#This Row],[Product]],products[Product],products[Cost per unit])</f>
        <v>8.7899999999999991</v>
      </c>
      <c r="I211">
        <f>data[[#This Row],[cost per unit]]*data[[#This Row],[Units]]</f>
        <v>1529.4599999999998</v>
      </c>
      <c r="J211" s="4">
        <f>data[[#This Row],[Amount]]-data[[#This Row],[cost]]</f>
        <v>3195.54</v>
      </c>
      <c r="K211" s="60">
        <f>data[[#This Row],[profit]]/data[[#This Row],[Amount]]</f>
        <v>0.67630476190476185</v>
      </c>
    </row>
    <row r="212" spans="3:11" x14ac:dyDescent="0.3">
      <c r="C212" t="s">
        <v>41</v>
      </c>
      <c r="D212" t="s">
        <v>36</v>
      </c>
      <c r="E212" t="s">
        <v>32</v>
      </c>
      <c r="F212" s="4">
        <v>10304</v>
      </c>
      <c r="G212" s="5">
        <v>84</v>
      </c>
      <c r="H212">
        <f>_xlfn.XLOOKUP(data[[#This Row],[Product]],products[Product],products[Cost per unit])</f>
        <v>8.65</v>
      </c>
      <c r="I212">
        <f>data[[#This Row],[cost per unit]]*data[[#This Row],[Units]]</f>
        <v>726.6</v>
      </c>
      <c r="J212" s="4">
        <f>data[[#This Row],[Amount]]-data[[#This Row],[cost]]</f>
        <v>9577.4</v>
      </c>
      <c r="K212" s="60">
        <f>data[[#This Row],[profit]]/data[[#This Row],[Amount]]</f>
        <v>0.92948369565217392</v>
      </c>
    </row>
    <row r="213" spans="3:11" x14ac:dyDescent="0.3">
      <c r="C213" t="s">
        <v>41</v>
      </c>
      <c r="D213" t="s">
        <v>34</v>
      </c>
      <c r="E213" t="s">
        <v>16</v>
      </c>
      <c r="F213" s="4">
        <v>1274</v>
      </c>
      <c r="G213" s="5">
        <v>225</v>
      </c>
      <c r="H213">
        <f>_xlfn.XLOOKUP(data[[#This Row],[Product]],products[Product],products[Cost per unit])</f>
        <v>8.7899999999999991</v>
      </c>
      <c r="I213">
        <f>data[[#This Row],[cost per unit]]*data[[#This Row],[Units]]</f>
        <v>1977.7499999999998</v>
      </c>
      <c r="J213" s="4">
        <f>data[[#This Row],[Amount]]-data[[#This Row],[cost]]</f>
        <v>-703.74999999999977</v>
      </c>
      <c r="K213" s="60">
        <f>data[[#This Row],[profit]]/data[[#This Row],[Amount]]</f>
        <v>-0.55239403453689151</v>
      </c>
    </row>
    <row r="214" spans="3:11" x14ac:dyDescent="0.3">
      <c r="C214" t="s">
        <v>5</v>
      </c>
      <c r="D214" t="s">
        <v>36</v>
      </c>
      <c r="E214" t="s">
        <v>30</v>
      </c>
      <c r="F214" s="4">
        <v>1526</v>
      </c>
      <c r="G214" s="5">
        <v>105</v>
      </c>
      <c r="H214">
        <f>_xlfn.XLOOKUP(data[[#This Row],[Product]],products[Product],products[Cost per unit])</f>
        <v>14.49</v>
      </c>
      <c r="I214">
        <f>data[[#This Row],[cost per unit]]*data[[#This Row],[Units]]</f>
        <v>1521.45</v>
      </c>
      <c r="J214" s="4">
        <f>data[[#This Row],[Amount]]-data[[#This Row],[cost]]</f>
        <v>4.5499999999999545</v>
      </c>
      <c r="K214" s="60">
        <f>data[[#This Row],[profit]]/data[[#This Row],[Amount]]</f>
        <v>2.9816513761467592E-3</v>
      </c>
    </row>
    <row r="215" spans="3:11" x14ac:dyDescent="0.3">
      <c r="C215" t="s">
        <v>40</v>
      </c>
      <c r="D215" t="s">
        <v>39</v>
      </c>
      <c r="E215" t="s">
        <v>28</v>
      </c>
      <c r="F215" s="4">
        <v>3101</v>
      </c>
      <c r="G215" s="5">
        <v>225</v>
      </c>
      <c r="H215">
        <f>_xlfn.XLOOKUP(data[[#This Row],[Product]],products[Product],products[Cost per unit])</f>
        <v>10.38</v>
      </c>
      <c r="I215">
        <f>data[[#This Row],[cost per unit]]*data[[#This Row],[Units]]</f>
        <v>2335.5</v>
      </c>
      <c r="J215" s="4">
        <f>data[[#This Row],[Amount]]-data[[#This Row],[cost]]</f>
        <v>765.5</v>
      </c>
      <c r="K215" s="60">
        <f>data[[#This Row],[profit]]/data[[#This Row],[Amount]]</f>
        <v>0.24685585295066106</v>
      </c>
    </row>
    <row r="216" spans="3:11" x14ac:dyDescent="0.3">
      <c r="C216" t="s">
        <v>2</v>
      </c>
      <c r="D216" t="s">
        <v>37</v>
      </c>
      <c r="E216" t="s">
        <v>14</v>
      </c>
      <c r="F216" s="4">
        <v>1057</v>
      </c>
      <c r="G216" s="5">
        <v>54</v>
      </c>
      <c r="H216">
        <f>_xlfn.XLOOKUP(data[[#This Row],[Product]],products[Product],products[Cost per unit])</f>
        <v>11.7</v>
      </c>
      <c r="I216">
        <f>data[[#This Row],[cost per unit]]*data[[#This Row],[Units]]</f>
        <v>631.79999999999995</v>
      </c>
      <c r="J216" s="4">
        <f>data[[#This Row],[Amount]]-data[[#This Row],[cost]]</f>
        <v>425.20000000000005</v>
      </c>
      <c r="K216" s="60">
        <f>data[[#This Row],[profit]]/data[[#This Row],[Amount]]</f>
        <v>0.40227057710501424</v>
      </c>
    </row>
    <row r="217" spans="3:11" x14ac:dyDescent="0.3">
      <c r="C217" t="s">
        <v>7</v>
      </c>
      <c r="D217" t="s">
        <v>37</v>
      </c>
      <c r="E217" t="s">
        <v>26</v>
      </c>
      <c r="F217" s="4">
        <v>5306</v>
      </c>
      <c r="G217" s="5">
        <v>0</v>
      </c>
      <c r="H217">
        <f>_xlfn.XLOOKUP(data[[#This Row],[Product]],products[Product],products[Cost per unit])</f>
        <v>5.6</v>
      </c>
      <c r="I217">
        <f>data[[#This Row],[cost per unit]]*data[[#This Row],[Units]]</f>
        <v>0</v>
      </c>
      <c r="J217" s="4">
        <f>data[[#This Row],[Amount]]-data[[#This Row],[cost]]</f>
        <v>5306</v>
      </c>
      <c r="K217" s="60">
        <f>data[[#This Row],[profit]]/data[[#This Row],[Amount]]</f>
        <v>1</v>
      </c>
    </row>
    <row r="218" spans="3:11" x14ac:dyDescent="0.3">
      <c r="C218" t="s">
        <v>5</v>
      </c>
      <c r="D218" t="s">
        <v>39</v>
      </c>
      <c r="E218" t="s">
        <v>24</v>
      </c>
      <c r="F218" s="4">
        <v>4018</v>
      </c>
      <c r="G218" s="5">
        <v>171</v>
      </c>
      <c r="H218">
        <f>_xlfn.XLOOKUP(data[[#This Row],[Product]],products[Product],products[Cost per unit])</f>
        <v>4.97</v>
      </c>
      <c r="I218">
        <f>data[[#This Row],[cost per unit]]*data[[#This Row],[Units]]</f>
        <v>849.87</v>
      </c>
      <c r="J218" s="4">
        <f>data[[#This Row],[Amount]]-data[[#This Row],[cost]]</f>
        <v>3168.13</v>
      </c>
      <c r="K218" s="60">
        <f>data[[#This Row],[profit]]/data[[#This Row],[Amount]]</f>
        <v>0.78848432055749129</v>
      </c>
    </row>
    <row r="219" spans="3:11" x14ac:dyDescent="0.3">
      <c r="C219" t="s">
        <v>9</v>
      </c>
      <c r="D219" t="s">
        <v>34</v>
      </c>
      <c r="E219" t="s">
        <v>16</v>
      </c>
      <c r="F219" s="4">
        <v>938</v>
      </c>
      <c r="G219" s="5">
        <v>189</v>
      </c>
      <c r="H219">
        <f>_xlfn.XLOOKUP(data[[#This Row],[Product]],products[Product],products[Cost per unit])</f>
        <v>8.7899999999999991</v>
      </c>
      <c r="I219">
        <f>data[[#This Row],[cost per unit]]*data[[#This Row],[Units]]</f>
        <v>1661.31</v>
      </c>
      <c r="J219" s="4">
        <f>data[[#This Row],[Amount]]-data[[#This Row],[cost]]</f>
        <v>-723.31</v>
      </c>
      <c r="K219" s="60">
        <f>data[[#This Row],[profit]]/data[[#This Row],[Amount]]</f>
        <v>-0.77111940298507453</v>
      </c>
    </row>
    <row r="220" spans="3:11" x14ac:dyDescent="0.3">
      <c r="C220" t="s">
        <v>7</v>
      </c>
      <c r="D220" t="s">
        <v>38</v>
      </c>
      <c r="E220" t="s">
        <v>18</v>
      </c>
      <c r="F220" s="4">
        <v>1778</v>
      </c>
      <c r="G220" s="5">
        <v>270</v>
      </c>
      <c r="H220">
        <f>_xlfn.XLOOKUP(data[[#This Row],[Product]],products[Product],products[Cost per unit])</f>
        <v>6.47</v>
      </c>
      <c r="I220">
        <f>data[[#This Row],[cost per unit]]*data[[#This Row],[Units]]</f>
        <v>1746.8999999999999</v>
      </c>
      <c r="J220" s="4">
        <f>data[[#This Row],[Amount]]-data[[#This Row],[cost]]</f>
        <v>31.100000000000136</v>
      </c>
      <c r="K220" s="60">
        <f>data[[#This Row],[profit]]/data[[#This Row],[Amount]]</f>
        <v>1.7491563554555757E-2</v>
      </c>
    </row>
    <row r="221" spans="3:11" x14ac:dyDescent="0.3">
      <c r="C221" t="s">
        <v>6</v>
      </c>
      <c r="D221" t="s">
        <v>39</v>
      </c>
      <c r="E221" t="s">
        <v>30</v>
      </c>
      <c r="F221" s="4">
        <v>1638</v>
      </c>
      <c r="G221" s="5">
        <v>63</v>
      </c>
      <c r="H221">
        <f>_xlfn.XLOOKUP(data[[#This Row],[Product]],products[Product],products[Cost per unit])</f>
        <v>14.49</v>
      </c>
      <c r="I221">
        <f>data[[#This Row],[cost per unit]]*data[[#This Row],[Units]]</f>
        <v>912.87</v>
      </c>
      <c r="J221" s="4">
        <f>data[[#This Row],[Amount]]-data[[#This Row],[cost]]</f>
        <v>725.13</v>
      </c>
      <c r="K221" s="60">
        <f>data[[#This Row],[profit]]/data[[#This Row],[Amount]]</f>
        <v>0.44269230769230766</v>
      </c>
    </row>
    <row r="222" spans="3:11" x14ac:dyDescent="0.3">
      <c r="C222" t="s">
        <v>41</v>
      </c>
      <c r="D222" t="s">
        <v>38</v>
      </c>
      <c r="E222" t="s">
        <v>25</v>
      </c>
      <c r="F222" s="4">
        <v>154</v>
      </c>
      <c r="G222" s="5">
        <v>21</v>
      </c>
      <c r="H222">
        <f>_xlfn.XLOOKUP(data[[#This Row],[Product]],products[Product],products[Cost per unit])</f>
        <v>13.15</v>
      </c>
      <c r="I222">
        <f>data[[#This Row],[cost per unit]]*data[[#This Row],[Units]]</f>
        <v>276.15000000000003</v>
      </c>
      <c r="J222" s="4">
        <f>data[[#This Row],[Amount]]-data[[#This Row],[cost]]</f>
        <v>-122.15000000000003</v>
      </c>
      <c r="K222" s="60">
        <f>data[[#This Row],[profit]]/data[[#This Row],[Amount]]</f>
        <v>-0.79318181818181843</v>
      </c>
    </row>
    <row r="223" spans="3:11" x14ac:dyDescent="0.3">
      <c r="C223" t="s">
        <v>7</v>
      </c>
      <c r="D223" t="s">
        <v>37</v>
      </c>
      <c r="E223" t="s">
        <v>22</v>
      </c>
      <c r="F223" s="4">
        <v>9835</v>
      </c>
      <c r="G223" s="5">
        <v>207</v>
      </c>
      <c r="H223">
        <f>_xlfn.XLOOKUP(data[[#This Row],[Product]],products[Product],products[Cost per unit])</f>
        <v>9.77</v>
      </c>
      <c r="I223">
        <f>data[[#This Row],[cost per unit]]*data[[#This Row],[Units]]</f>
        <v>2022.3899999999999</v>
      </c>
      <c r="J223" s="4">
        <f>data[[#This Row],[Amount]]-data[[#This Row],[cost]]</f>
        <v>7812.6100000000006</v>
      </c>
      <c r="K223" s="60">
        <f>data[[#This Row],[profit]]/data[[#This Row],[Amount]]</f>
        <v>0.7943680732079309</v>
      </c>
    </row>
    <row r="224" spans="3:11" x14ac:dyDescent="0.3">
      <c r="C224" t="s">
        <v>9</v>
      </c>
      <c r="D224" t="s">
        <v>37</v>
      </c>
      <c r="E224" t="s">
        <v>20</v>
      </c>
      <c r="F224" s="4">
        <v>7273</v>
      </c>
      <c r="G224" s="5">
        <v>96</v>
      </c>
      <c r="H224">
        <f>_xlfn.XLOOKUP(data[[#This Row],[Product]],products[Product],products[Cost per unit])</f>
        <v>10.62</v>
      </c>
      <c r="I224">
        <f>data[[#This Row],[cost per unit]]*data[[#This Row],[Units]]</f>
        <v>1019.52</v>
      </c>
      <c r="J224" s="4">
        <f>data[[#This Row],[Amount]]-data[[#This Row],[cost]]</f>
        <v>6253.48</v>
      </c>
      <c r="K224" s="60">
        <f>data[[#This Row],[profit]]/data[[#This Row],[Amount]]</f>
        <v>0.85982125670287357</v>
      </c>
    </row>
    <row r="225" spans="3:11" x14ac:dyDescent="0.3">
      <c r="C225" t="s">
        <v>5</v>
      </c>
      <c r="D225" t="s">
        <v>39</v>
      </c>
      <c r="E225" t="s">
        <v>22</v>
      </c>
      <c r="F225" s="4">
        <v>6909</v>
      </c>
      <c r="G225" s="5">
        <v>81</v>
      </c>
      <c r="H225">
        <f>_xlfn.XLOOKUP(data[[#This Row],[Product]],products[Product],products[Cost per unit])</f>
        <v>9.77</v>
      </c>
      <c r="I225">
        <f>data[[#This Row],[cost per unit]]*data[[#This Row],[Units]]</f>
        <v>791.37</v>
      </c>
      <c r="J225" s="4">
        <f>data[[#This Row],[Amount]]-data[[#This Row],[cost]]</f>
        <v>6117.63</v>
      </c>
      <c r="K225" s="60">
        <f>data[[#This Row],[profit]]/data[[#This Row],[Amount]]</f>
        <v>0.88545809813287013</v>
      </c>
    </row>
    <row r="226" spans="3:11" x14ac:dyDescent="0.3">
      <c r="C226" t="s">
        <v>9</v>
      </c>
      <c r="D226" t="s">
        <v>39</v>
      </c>
      <c r="E226" t="s">
        <v>24</v>
      </c>
      <c r="F226" s="4">
        <v>3920</v>
      </c>
      <c r="G226" s="5">
        <v>306</v>
      </c>
      <c r="H226">
        <f>_xlfn.XLOOKUP(data[[#This Row],[Product]],products[Product],products[Cost per unit])</f>
        <v>4.97</v>
      </c>
      <c r="I226">
        <f>data[[#This Row],[cost per unit]]*data[[#This Row],[Units]]</f>
        <v>1520.82</v>
      </c>
      <c r="J226" s="4">
        <f>data[[#This Row],[Amount]]-data[[#This Row],[cost]]</f>
        <v>2399.1800000000003</v>
      </c>
      <c r="K226" s="60">
        <f>data[[#This Row],[profit]]/data[[#This Row],[Amount]]</f>
        <v>0.61203571428571435</v>
      </c>
    </row>
    <row r="227" spans="3:11" x14ac:dyDescent="0.3">
      <c r="C227" t="s">
        <v>10</v>
      </c>
      <c r="D227" t="s">
        <v>39</v>
      </c>
      <c r="E227" t="s">
        <v>21</v>
      </c>
      <c r="F227" s="4">
        <v>4858</v>
      </c>
      <c r="G227" s="5">
        <v>279</v>
      </c>
      <c r="H227">
        <f>_xlfn.XLOOKUP(data[[#This Row],[Product]],products[Product],products[Cost per unit])</f>
        <v>9</v>
      </c>
      <c r="I227">
        <f>data[[#This Row],[cost per unit]]*data[[#This Row],[Units]]</f>
        <v>2511</v>
      </c>
      <c r="J227" s="4">
        <f>data[[#This Row],[Amount]]-data[[#This Row],[cost]]</f>
        <v>2347</v>
      </c>
      <c r="K227" s="60">
        <f>data[[#This Row],[profit]]/data[[#This Row],[Amount]]</f>
        <v>0.48312062577192261</v>
      </c>
    </row>
    <row r="228" spans="3:11" x14ac:dyDescent="0.3">
      <c r="C228" t="s">
        <v>2</v>
      </c>
      <c r="D228" t="s">
        <v>38</v>
      </c>
      <c r="E228" t="s">
        <v>4</v>
      </c>
      <c r="F228" s="4">
        <v>3549</v>
      </c>
      <c r="G228" s="5">
        <v>3</v>
      </c>
      <c r="H228">
        <f>_xlfn.XLOOKUP(data[[#This Row],[Product]],products[Product],products[Cost per unit])</f>
        <v>11.88</v>
      </c>
      <c r="I228">
        <f>data[[#This Row],[cost per unit]]*data[[#This Row],[Units]]</f>
        <v>35.64</v>
      </c>
      <c r="J228" s="4">
        <f>data[[#This Row],[Amount]]-data[[#This Row],[cost]]</f>
        <v>3513.36</v>
      </c>
      <c r="K228" s="60">
        <f>data[[#This Row],[profit]]/data[[#This Row],[Amount]]</f>
        <v>0.9899577345731192</v>
      </c>
    </row>
    <row r="229" spans="3:11" x14ac:dyDescent="0.3">
      <c r="C229" t="s">
        <v>7</v>
      </c>
      <c r="D229" t="s">
        <v>39</v>
      </c>
      <c r="E229" t="s">
        <v>27</v>
      </c>
      <c r="F229" s="4">
        <v>966</v>
      </c>
      <c r="G229" s="5">
        <v>198</v>
      </c>
      <c r="H229">
        <f>_xlfn.XLOOKUP(data[[#This Row],[Product]],products[Product],products[Cost per unit])</f>
        <v>16.73</v>
      </c>
      <c r="I229">
        <f>data[[#This Row],[cost per unit]]*data[[#This Row],[Units]]</f>
        <v>3312.54</v>
      </c>
      <c r="J229" s="4">
        <f>data[[#This Row],[Amount]]-data[[#This Row],[cost]]</f>
        <v>-2346.54</v>
      </c>
      <c r="K229" s="60">
        <f>data[[#This Row],[profit]]/data[[#This Row],[Amount]]</f>
        <v>-2.4291304347826088</v>
      </c>
    </row>
    <row r="230" spans="3:11" x14ac:dyDescent="0.3">
      <c r="C230" t="s">
        <v>5</v>
      </c>
      <c r="D230" t="s">
        <v>39</v>
      </c>
      <c r="E230" t="s">
        <v>18</v>
      </c>
      <c r="F230" s="4">
        <v>385</v>
      </c>
      <c r="G230" s="5">
        <v>249</v>
      </c>
      <c r="H230">
        <f>_xlfn.XLOOKUP(data[[#This Row],[Product]],products[Product],products[Cost per unit])</f>
        <v>6.47</v>
      </c>
      <c r="I230">
        <f>data[[#This Row],[cost per unit]]*data[[#This Row],[Units]]</f>
        <v>1611.03</v>
      </c>
      <c r="J230" s="4">
        <f>data[[#This Row],[Amount]]-data[[#This Row],[cost]]</f>
        <v>-1226.03</v>
      </c>
      <c r="K230" s="60">
        <f>data[[#This Row],[profit]]/data[[#This Row],[Amount]]</f>
        <v>-3.1844935064935065</v>
      </c>
    </row>
    <row r="231" spans="3:11" x14ac:dyDescent="0.3">
      <c r="C231" t="s">
        <v>6</v>
      </c>
      <c r="D231" t="s">
        <v>34</v>
      </c>
      <c r="E231" t="s">
        <v>16</v>
      </c>
      <c r="F231" s="4">
        <v>2219</v>
      </c>
      <c r="G231" s="5">
        <v>75</v>
      </c>
      <c r="H231">
        <f>_xlfn.XLOOKUP(data[[#This Row],[Product]],products[Product],products[Cost per unit])</f>
        <v>8.7899999999999991</v>
      </c>
      <c r="I231">
        <f>data[[#This Row],[cost per unit]]*data[[#This Row],[Units]]</f>
        <v>659.24999999999989</v>
      </c>
      <c r="J231" s="4">
        <f>data[[#This Row],[Amount]]-data[[#This Row],[cost]]</f>
        <v>1559.75</v>
      </c>
      <c r="K231" s="60">
        <f>data[[#This Row],[profit]]/data[[#This Row],[Amount]]</f>
        <v>0.70290671473636779</v>
      </c>
    </row>
    <row r="232" spans="3:11" x14ac:dyDescent="0.3">
      <c r="C232" t="s">
        <v>9</v>
      </c>
      <c r="D232" t="s">
        <v>36</v>
      </c>
      <c r="E232" t="s">
        <v>32</v>
      </c>
      <c r="F232" s="4">
        <v>2954</v>
      </c>
      <c r="G232" s="5">
        <v>189</v>
      </c>
      <c r="H232">
        <f>_xlfn.XLOOKUP(data[[#This Row],[Product]],products[Product],products[Cost per unit])</f>
        <v>8.65</v>
      </c>
      <c r="I232">
        <f>data[[#This Row],[cost per unit]]*data[[#This Row],[Units]]</f>
        <v>1634.8500000000001</v>
      </c>
      <c r="J232" s="4">
        <f>data[[#This Row],[Amount]]-data[[#This Row],[cost]]</f>
        <v>1319.1499999999999</v>
      </c>
      <c r="K232" s="60">
        <f>data[[#This Row],[profit]]/data[[#This Row],[Amount]]</f>
        <v>0.44656398104265399</v>
      </c>
    </row>
    <row r="233" spans="3:11" x14ac:dyDescent="0.3">
      <c r="C233" t="s">
        <v>7</v>
      </c>
      <c r="D233" t="s">
        <v>36</v>
      </c>
      <c r="E233" t="s">
        <v>32</v>
      </c>
      <c r="F233" s="4">
        <v>280</v>
      </c>
      <c r="G233" s="5">
        <v>87</v>
      </c>
      <c r="H233">
        <f>_xlfn.XLOOKUP(data[[#This Row],[Product]],products[Product],products[Cost per unit])</f>
        <v>8.65</v>
      </c>
      <c r="I233">
        <f>data[[#This Row],[cost per unit]]*data[[#This Row],[Units]]</f>
        <v>752.55000000000007</v>
      </c>
      <c r="J233" s="4">
        <f>data[[#This Row],[Amount]]-data[[#This Row],[cost]]</f>
        <v>-472.55000000000007</v>
      </c>
      <c r="K233" s="60">
        <f>data[[#This Row],[profit]]/data[[#This Row],[Amount]]</f>
        <v>-1.6876785714285716</v>
      </c>
    </row>
    <row r="234" spans="3:11" x14ac:dyDescent="0.3">
      <c r="C234" t="s">
        <v>41</v>
      </c>
      <c r="D234" t="s">
        <v>36</v>
      </c>
      <c r="E234" t="s">
        <v>30</v>
      </c>
      <c r="F234" s="4">
        <v>6118</v>
      </c>
      <c r="G234" s="5">
        <v>174</v>
      </c>
      <c r="H234">
        <f>_xlfn.XLOOKUP(data[[#This Row],[Product]],products[Product],products[Cost per unit])</f>
        <v>14.49</v>
      </c>
      <c r="I234">
        <f>data[[#This Row],[cost per unit]]*data[[#This Row],[Units]]</f>
        <v>2521.2600000000002</v>
      </c>
      <c r="J234" s="4">
        <f>data[[#This Row],[Amount]]-data[[#This Row],[cost]]</f>
        <v>3596.74</v>
      </c>
      <c r="K234" s="60">
        <f>data[[#This Row],[profit]]/data[[#This Row],[Amount]]</f>
        <v>0.58789473684210525</v>
      </c>
    </row>
    <row r="235" spans="3:11" x14ac:dyDescent="0.3">
      <c r="C235" t="s">
        <v>2</v>
      </c>
      <c r="D235" t="s">
        <v>39</v>
      </c>
      <c r="E235" t="s">
        <v>15</v>
      </c>
      <c r="F235" s="4">
        <v>4802</v>
      </c>
      <c r="G235" s="5">
        <v>36</v>
      </c>
      <c r="H235">
        <f>_xlfn.XLOOKUP(data[[#This Row],[Product]],products[Product],products[Cost per unit])</f>
        <v>11.73</v>
      </c>
      <c r="I235">
        <f>data[[#This Row],[cost per unit]]*data[[#This Row],[Units]]</f>
        <v>422.28000000000003</v>
      </c>
      <c r="J235" s="4">
        <f>data[[#This Row],[Amount]]-data[[#This Row],[cost]]</f>
        <v>4379.72</v>
      </c>
      <c r="K235" s="60">
        <f>data[[#This Row],[profit]]/data[[#This Row],[Amount]]</f>
        <v>0.91206164098292386</v>
      </c>
    </row>
    <row r="236" spans="3:11" x14ac:dyDescent="0.3">
      <c r="C236" t="s">
        <v>9</v>
      </c>
      <c r="D236" t="s">
        <v>38</v>
      </c>
      <c r="E236" t="s">
        <v>24</v>
      </c>
      <c r="F236" s="4">
        <v>4137</v>
      </c>
      <c r="G236" s="5">
        <v>60</v>
      </c>
      <c r="H236">
        <f>_xlfn.XLOOKUP(data[[#This Row],[Product]],products[Product],products[Cost per unit])</f>
        <v>4.97</v>
      </c>
      <c r="I236">
        <f>data[[#This Row],[cost per unit]]*data[[#This Row],[Units]]</f>
        <v>298.2</v>
      </c>
      <c r="J236" s="4">
        <f>data[[#This Row],[Amount]]-data[[#This Row],[cost]]</f>
        <v>3838.8</v>
      </c>
      <c r="K236" s="60">
        <f>data[[#This Row],[profit]]/data[[#This Row],[Amount]]</f>
        <v>0.92791878172588838</v>
      </c>
    </row>
    <row r="237" spans="3:11" x14ac:dyDescent="0.3">
      <c r="C237" t="s">
        <v>3</v>
      </c>
      <c r="D237" t="s">
        <v>35</v>
      </c>
      <c r="E237" t="s">
        <v>23</v>
      </c>
      <c r="F237" s="4">
        <v>2023</v>
      </c>
      <c r="G237" s="5">
        <v>78</v>
      </c>
      <c r="H237">
        <f>_xlfn.XLOOKUP(data[[#This Row],[Product]],products[Product],products[Cost per unit])</f>
        <v>6.49</v>
      </c>
      <c r="I237">
        <f>data[[#This Row],[cost per unit]]*data[[#This Row],[Units]]</f>
        <v>506.22</v>
      </c>
      <c r="J237" s="4">
        <f>data[[#This Row],[Amount]]-data[[#This Row],[cost]]</f>
        <v>1516.78</v>
      </c>
      <c r="K237" s="60">
        <f>data[[#This Row],[profit]]/data[[#This Row],[Amount]]</f>
        <v>0.74976767177459214</v>
      </c>
    </row>
    <row r="238" spans="3:11" x14ac:dyDescent="0.3">
      <c r="C238" t="s">
        <v>9</v>
      </c>
      <c r="D238" t="s">
        <v>36</v>
      </c>
      <c r="E238" t="s">
        <v>30</v>
      </c>
      <c r="F238" s="4">
        <v>9051</v>
      </c>
      <c r="G238" s="5">
        <v>57</v>
      </c>
      <c r="H238">
        <f>_xlfn.XLOOKUP(data[[#This Row],[Product]],products[Product],products[Cost per unit])</f>
        <v>14.49</v>
      </c>
      <c r="I238">
        <f>data[[#This Row],[cost per unit]]*data[[#This Row],[Units]]</f>
        <v>825.93000000000006</v>
      </c>
      <c r="J238" s="4">
        <f>data[[#This Row],[Amount]]-data[[#This Row],[cost]]</f>
        <v>8225.07</v>
      </c>
      <c r="K238" s="60">
        <f>data[[#This Row],[profit]]/data[[#This Row],[Amount]]</f>
        <v>0.9087470997679814</v>
      </c>
    </row>
    <row r="239" spans="3:11" x14ac:dyDescent="0.3">
      <c r="C239" t="s">
        <v>9</v>
      </c>
      <c r="D239" t="s">
        <v>37</v>
      </c>
      <c r="E239" t="s">
        <v>28</v>
      </c>
      <c r="F239" s="4">
        <v>2919</v>
      </c>
      <c r="G239" s="5">
        <v>45</v>
      </c>
      <c r="H239">
        <f>_xlfn.XLOOKUP(data[[#This Row],[Product]],products[Product],products[Cost per unit])</f>
        <v>10.38</v>
      </c>
      <c r="I239">
        <f>data[[#This Row],[cost per unit]]*data[[#This Row],[Units]]</f>
        <v>467.1</v>
      </c>
      <c r="J239" s="4">
        <f>data[[#This Row],[Amount]]-data[[#This Row],[cost]]</f>
        <v>2451.9</v>
      </c>
      <c r="K239" s="60">
        <f>data[[#This Row],[profit]]/data[[#This Row],[Amount]]</f>
        <v>0.83997944501541622</v>
      </c>
    </row>
    <row r="240" spans="3:11" x14ac:dyDescent="0.3">
      <c r="C240" t="s">
        <v>41</v>
      </c>
      <c r="D240" t="s">
        <v>38</v>
      </c>
      <c r="E240" t="s">
        <v>22</v>
      </c>
      <c r="F240" s="4">
        <v>5915</v>
      </c>
      <c r="G240" s="5">
        <v>3</v>
      </c>
      <c r="H240">
        <f>_xlfn.XLOOKUP(data[[#This Row],[Product]],products[Product],products[Cost per unit])</f>
        <v>9.77</v>
      </c>
      <c r="I240">
        <f>data[[#This Row],[cost per unit]]*data[[#This Row],[Units]]</f>
        <v>29.31</v>
      </c>
      <c r="J240" s="4">
        <f>data[[#This Row],[Amount]]-data[[#This Row],[cost]]</f>
        <v>5885.69</v>
      </c>
      <c r="K240" s="60">
        <f>data[[#This Row],[profit]]/data[[#This Row],[Amount]]</f>
        <v>0.99504480135249362</v>
      </c>
    </row>
    <row r="241" spans="3:11" x14ac:dyDescent="0.3">
      <c r="C241" t="s">
        <v>10</v>
      </c>
      <c r="D241" t="s">
        <v>35</v>
      </c>
      <c r="E241" t="s">
        <v>15</v>
      </c>
      <c r="F241" s="4">
        <v>2562</v>
      </c>
      <c r="G241" s="5">
        <v>6</v>
      </c>
      <c r="H241">
        <f>_xlfn.XLOOKUP(data[[#This Row],[Product]],products[Product],products[Cost per unit])</f>
        <v>11.73</v>
      </c>
      <c r="I241">
        <f>data[[#This Row],[cost per unit]]*data[[#This Row],[Units]]</f>
        <v>70.38</v>
      </c>
      <c r="J241" s="4">
        <f>data[[#This Row],[Amount]]-data[[#This Row],[cost]]</f>
        <v>2491.62</v>
      </c>
      <c r="K241" s="60">
        <f>data[[#This Row],[profit]]/data[[#This Row],[Amount]]</f>
        <v>0.97252927400468381</v>
      </c>
    </row>
    <row r="242" spans="3:11" x14ac:dyDescent="0.3">
      <c r="C242" t="s">
        <v>5</v>
      </c>
      <c r="D242" t="s">
        <v>37</v>
      </c>
      <c r="E242" t="s">
        <v>25</v>
      </c>
      <c r="F242" s="4">
        <v>8813</v>
      </c>
      <c r="G242" s="5">
        <v>21</v>
      </c>
      <c r="H242">
        <f>_xlfn.XLOOKUP(data[[#This Row],[Product]],products[Product],products[Cost per unit])</f>
        <v>13.15</v>
      </c>
      <c r="I242">
        <f>data[[#This Row],[cost per unit]]*data[[#This Row],[Units]]</f>
        <v>276.15000000000003</v>
      </c>
      <c r="J242" s="4">
        <f>data[[#This Row],[Amount]]-data[[#This Row],[cost]]</f>
        <v>8536.85</v>
      </c>
      <c r="K242" s="60">
        <f>data[[#This Row],[profit]]/data[[#This Row],[Amount]]</f>
        <v>0.96866560762509935</v>
      </c>
    </row>
    <row r="243" spans="3:11" x14ac:dyDescent="0.3">
      <c r="C243" t="s">
        <v>5</v>
      </c>
      <c r="D243" t="s">
        <v>36</v>
      </c>
      <c r="E243" t="s">
        <v>18</v>
      </c>
      <c r="F243" s="4">
        <v>6111</v>
      </c>
      <c r="G243" s="5">
        <v>3</v>
      </c>
      <c r="H243">
        <f>_xlfn.XLOOKUP(data[[#This Row],[Product]],products[Product],products[Cost per unit])</f>
        <v>6.47</v>
      </c>
      <c r="I243">
        <f>data[[#This Row],[cost per unit]]*data[[#This Row],[Units]]</f>
        <v>19.41</v>
      </c>
      <c r="J243" s="4">
        <f>data[[#This Row],[Amount]]-data[[#This Row],[cost]]</f>
        <v>6091.59</v>
      </c>
      <c r="K243" s="60">
        <f>data[[#This Row],[profit]]/data[[#This Row],[Amount]]</f>
        <v>0.99682376043200793</v>
      </c>
    </row>
    <row r="244" spans="3:11" x14ac:dyDescent="0.3">
      <c r="C244" t="s">
        <v>8</v>
      </c>
      <c r="D244" t="s">
        <v>34</v>
      </c>
      <c r="E244" t="s">
        <v>31</v>
      </c>
      <c r="F244" s="4">
        <v>3507</v>
      </c>
      <c r="G244" s="5">
        <v>288</v>
      </c>
      <c r="H244">
        <f>_xlfn.XLOOKUP(data[[#This Row],[Product]],products[Product],products[Cost per unit])</f>
        <v>5.79</v>
      </c>
      <c r="I244">
        <f>data[[#This Row],[cost per unit]]*data[[#This Row],[Units]]</f>
        <v>1667.52</v>
      </c>
      <c r="J244" s="4">
        <f>data[[#This Row],[Amount]]-data[[#This Row],[cost]]</f>
        <v>1839.48</v>
      </c>
      <c r="K244" s="60">
        <f>data[[#This Row],[profit]]/data[[#This Row],[Amount]]</f>
        <v>0.52451668092386661</v>
      </c>
    </row>
    <row r="245" spans="3:11" x14ac:dyDescent="0.3">
      <c r="C245" t="s">
        <v>6</v>
      </c>
      <c r="D245" t="s">
        <v>36</v>
      </c>
      <c r="E245" t="s">
        <v>13</v>
      </c>
      <c r="F245" s="4">
        <v>4319</v>
      </c>
      <c r="G245" s="5">
        <v>30</v>
      </c>
      <c r="H245">
        <f>_xlfn.XLOOKUP(data[[#This Row],[Product]],products[Product],products[Cost per unit])</f>
        <v>9.33</v>
      </c>
      <c r="I245">
        <f>data[[#This Row],[cost per unit]]*data[[#This Row],[Units]]</f>
        <v>279.89999999999998</v>
      </c>
      <c r="J245" s="4">
        <f>data[[#This Row],[Amount]]-data[[#This Row],[cost]]</f>
        <v>4039.1</v>
      </c>
      <c r="K245" s="60">
        <f>data[[#This Row],[profit]]/data[[#This Row],[Amount]]</f>
        <v>0.93519333178976616</v>
      </c>
    </row>
    <row r="246" spans="3:11" x14ac:dyDescent="0.3">
      <c r="C246" t="s">
        <v>40</v>
      </c>
      <c r="D246" t="s">
        <v>38</v>
      </c>
      <c r="E246" t="s">
        <v>26</v>
      </c>
      <c r="F246" s="4">
        <v>609</v>
      </c>
      <c r="G246" s="5">
        <v>87</v>
      </c>
      <c r="H246">
        <f>_xlfn.XLOOKUP(data[[#This Row],[Product]],products[Product],products[Cost per unit])</f>
        <v>5.6</v>
      </c>
      <c r="I246">
        <f>data[[#This Row],[cost per unit]]*data[[#This Row],[Units]]</f>
        <v>487.2</v>
      </c>
      <c r="J246" s="4">
        <f>data[[#This Row],[Amount]]-data[[#This Row],[cost]]</f>
        <v>121.80000000000001</v>
      </c>
      <c r="K246" s="60">
        <f>data[[#This Row],[profit]]/data[[#This Row],[Amount]]</f>
        <v>0.2</v>
      </c>
    </row>
    <row r="247" spans="3:11" x14ac:dyDescent="0.3">
      <c r="C247" t="s">
        <v>40</v>
      </c>
      <c r="D247" t="s">
        <v>39</v>
      </c>
      <c r="E247" t="s">
        <v>27</v>
      </c>
      <c r="F247" s="4">
        <v>6370</v>
      </c>
      <c r="G247" s="5">
        <v>30</v>
      </c>
      <c r="H247">
        <f>_xlfn.XLOOKUP(data[[#This Row],[Product]],products[Product],products[Cost per unit])</f>
        <v>16.73</v>
      </c>
      <c r="I247">
        <f>data[[#This Row],[cost per unit]]*data[[#This Row],[Units]]</f>
        <v>501.90000000000003</v>
      </c>
      <c r="J247" s="4">
        <f>data[[#This Row],[Amount]]-data[[#This Row],[cost]]</f>
        <v>5868.1</v>
      </c>
      <c r="K247" s="60">
        <f>data[[#This Row],[profit]]/data[[#This Row],[Amount]]</f>
        <v>0.92120879120879129</v>
      </c>
    </row>
    <row r="248" spans="3:11" x14ac:dyDescent="0.3">
      <c r="C248" t="s">
        <v>5</v>
      </c>
      <c r="D248" t="s">
        <v>38</v>
      </c>
      <c r="E248" t="s">
        <v>19</v>
      </c>
      <c r="F248" s="4">
        <v>5474</v>
      </c>
      <c r="G248" s="5">
        <v>168</v>
      </c>
      <c r="H248">
        <f>_xlfn.XLOOKUP(data[[#This Row],[Product]],products[Product],products[Cost per unit])</f>
        <v>7.64</v>
      </c>
      <c r="I248">
        <f>data[[#This Row],[cost per unit]]*data[[#This Row],[Units]]</f>
        <v>1283.52</v>
      </c>
      <c r="J248" s="4">
        <f>data[[#This Row],[Amount]]-data[[#This Row],[cost]]</f>
        <v>4190.4799999999996</v>
      </c>
      <c r="K248" s="60">
        <f>data[[#This Row],[profit]]/data[[#This Row],[Amount]]</f>
        <v>0.76552429667519173</v>
      </c>
    </row>
    <row r="249" spans="3:11" x14ac:dyDescent="0.3">
      <c r="C249" t="s">
        <v>40</v>
      </c>
      <c r="D249" t="s">
        <v>36</v>
      </c>
      <c r="E249" t="s">
        <v>27</v>
      </c>
      <c r="F249" s="4">
        <v>3164</v>
      </c>
      <c r="G249" s="5">
        <v>306</v>
      </c>
      <c r="H249">
        <f>_xlfn.XLOOKUP(data[[#This Row],[Product]],products[Product],products[Cost per unit])</f>
        <v>16.73</v>
      </c>
      <c r="I249">
        <f>data[[#This Row],[cost per unit]]*data[[#This Row],[Units]]</f>
        <v>5119.38</v>
      </c>
      <c r="J249" s="4">
        <f>data[[#This Row],[Amount]]-data[[#This Row],[cost]]</f>
        <v>-1955.38</v>
      </c>
      <c r="K249" s="60">
        <f>data[[#This Row],[profit]]/data[[#This Row],[Amount]]</f>
        <v>-0.61800884955752211</v>
      </c>
    </row>
    <row r="250" spans="3:11" x14ac:dyDescent="0.3">
      <c r="C250" t="s">
        <v>6</v>
      </c>
      <c r="D250" t="s">
        <v>35</v>
      </c>
      <c r="E250" t="s">
        <v>4</v>
      </c>
      <c r="F250" s="4">
        <v>1302</v>
      </c>
      <c r="G250" s="5">
        <v>402</v>
      </c>
      <c r="H250">
        <f>_xlfn.XLOOKUP(data[[#This Row],[Product]],products[Product],products[Cost per unit])</f>
        <v>11.88</v>
      </c>
      <c r="I250">
        <f>data[[#This Row],[cost per unit]]*data[[#This Row],[Units]]</f>
        <v>4775.76</v>
      </c>
      <c r="J250" s="4">
        <f>data[[#This Row],[Amount]]-data[[#This Row],[cost]]</f>
        <v>-3473.76</v>
      </c>
      <c r="K250" s="60">
        <f>data[[#This Row],[profit]]/data[[#This Row],[Amount]]</f>
        <v>-2.6680184331797236</v>
      </c>
    </row>
    <row r="251" spans="3:11" x14ac:dyDescent="0.3">
      <c r="C251" t="s">
        <v>3</v>
      </c>
      <c r="D251" t="s">
        <v>37</v>
      </c>
      <c r="E251" t="s">
        <v>28</v>
      </c>
      <c r="F251" s="4">
        <v>7308</v>
      </c>
      <c r="G251" s="5">
        <v>327</v>
      </c>
      <c r="H251">
        <f>_xlfn.XLOOKUP(data[[#This Row],[Product]],products[Product],products[Cost per unit])</f>
        <v>10.38</v>
      </c>
      <c r="I251">
        <f>data[[#This Row],[cost per unit]]*data[[#This Row],[Units]]</f>
        <v>3394.26</v>
      </c>
      <c r="J251" s="4">
        <f>data[[#This Row],[Amount]]-data[[#This Row],[cost]]</f>
        <v>3913.74</v>
      </c>
      <c r="K251" s="60">
        <f>data[[#This Row],[profit]]/data[[#This Row],[Amount]]</f>
        <v>0.53554187192118219</v>
      </c>
    </row>
    <row r="252" spans="3:11" x14ac:dyDescent="0.3">
      <c r="C252" t="s">
        <v>40</v>
      </c>
      <c r="D252" t="s">
        <v>37</v>
      </c>
      <c r="E252" t="s">
        <v>27</v>
      </c>
      <c r="F252" s="4">
        <v>6132</v>
      </c>
      <c r="G252" s="5">
        <v>93</v>
      </c>
      <c r="H252">
        <f>_xlfn.XLOOKUP(data[[#This Row],[Product]],products[Product],products[Cost per unit])</f>
        <v>16.73</v>
      </c>
      <c r="I252">
        <f>data[[#This Row],[cost per unit]]*data[[#This Row],[Units]]</f>
        <v>1555.89</v>
      </c>
      <c r="J252" s="4">
        <f>data[[#This Row],[Amount]]-data[[#This Row],[cost]]</f>
        <v>4576.1099999999997</v>
      </c>
      <c r="K252" s="60">
        <f>data[[#This Row],[profit]]/data[[#This Row],[Amount]]</f>
        <v>0.7462671232876712</v>
      </c>
    </row>
    <row r="253" spans="3:11" x14ac:dyDescent="0.3">
      <c r="C253" t="s">
        <v>10</v>
      </c>
      <c r="D253" t="s">
        <v>35</v>
      </c>
      <c r="E253" t="s">
        <v>14</v>
      </c>
      <c r="F253" s="4">
        <v>3472</v>
      </c>
      <c r="G253" s="5">
        <v>96</v>
      </c>
      <c r="H253">
        <f>_xlfn.XLOOKUP(data[[#This Row],[Product]],products[Product],products[Cost per unit])</f>
        <v>11.7</v>
      </c>
      <c r="I253">
        <f>data[[#This Row],[cost per unit]]*data[[#This Row],[Units]]</f>
        <v>1123.1999999999998</v>
      </c>
      <c r="J253" s="4">
        <f>data[[#This Row],[Amount]]-data[[#This Row],[cost]]</f>
        <v>2348.8000000000002</v>
      </c>
      <c r="K253" s="60">
        <f>data[[#This Row],[profit]]/data[[#This Row],[Amount]]</f>
        <v>0.67649769585253461</v>
      </c>
    </row>
    <row r="254" spans="3:11" x14ac:dyDescent="0.3">
      <c r="C254" t="s">
        <v>8</v>
      </c>
      <c r="D254" t="s">
        <v>39</v>
      </c>
      <c r="E254" t="s">
        <v>18</v>
      </c>
      <c r="F254" s="4">
        <v>9660</v>
      </c>
      <c r="G254" s="5">
        <v>27</v>
      </c>
      <c r="H254">
        <f>_xlfn.XLOOKUP(data[[#This Row],[Product]],products[Product],products[Cost per unit])</f>
        <v>6.47</v>
      </c>
      <c r="I254">
        <f>data[[#This Row],[cost per unit]]*data[[#This Row],[Units]]</f>
        <v>174.69</v>
      </c>
      <c r="J254" s="4">
        <f>data[[#This Row],[Amount]]-data[[#This Row],[cost]]</f>
        <v>9485.31</v>
      </c>
      <c r="K254" s="60">
        <f>data[[#This Row],[profit]]/data[[#This Row],[Amount]]</f>
        <v>0.98191614906832292</v>
      </c>
    </row>
    <row r="255" spans="3:11" x14ac:dyDescent="0.3">
      <c r="C255" t="s">
        <v>9</v>
      </c>
      <c r="D255" t="s">
        <v>38</v>
      </c>
      <c r="E255" t="s">
        <v>26</v>
      </c>
      <c r="F255" s="4">
        <v>2436</v>
      </c>
      <c r="G255" s="5">
        <v>99</v>
      </c>
      <c r="H255">
        <f>_xlfn.XLOOKUP(data[[#This Row],[Product]],products[Product],products[Cost per unit])</f>
        <v>5.6</v>
      </c>
      <c r="I255">
        <f>data[[#This Row],[cost per unit]]*data[[#This Row],[Units]]</f>
        <v>554.4</v>
      </c>
      <c r="J255" s="4">
        <f>data[[#This Row],[Amount]]-data[[#This Row],[cost]]</f>
        <v>1881.6</v>
      </c>
      <c r="K255" s="60">
        <f>data[[#This Row],[profit]]/data[[#This Row],[Amount]]</f>
        <v>0.77241379310344827</v>
      </c>
    </row>
    <row r="256" spans="3:11" x14ac:dyDescent="0.3">
      <c r="C256" t="s">
        <v>9</v>
      </c>
      <c r="D256" t="s">
        <v>38</v>
      </c>
      <c r="E256" t="s">
        <v>33</v>
      </c>
      <c r="F256" s="4">
        <v>9506</v>
      </c>
      <c r="G256" s="5">
        <v>87</v>
      </c>
      <c r="H256">
        <f>_xlfn.XLOOKUP(data[[#This Row],[Product]],products[Product],products[Cost per unit])</f>
        <v>12.37</v>
      </c>
      <c r="I256">
        <f>data[[#This Row],[cost per unit]]*data[[#This Row],[Units]]</f>
        <v>1076.1899999999998</v>
      </c>
      <c r="J256" s="4">
        <f>data[[#This Row],[Amount]]-data[[#This Row],[cost]]</f>
        <v>8429.81</v>
      </c>
      <c r="K256" s="60">
        <f>data[[#This Row],[profit]]/data[[#This Row],[Amount]]</f>
        <v>0.88678834420366082</v>
      </c>
    </row>
    <row r="257" spans="3:11" x14ac:dyDescent="0.3">
      <c r="C257" t="s">
        <v>10</v>
      </c>
      <c r="D257" t="s">
        <v>37</v>
      </c>
      <c r="E257" t="s">
        <v>21</v>
      </c>
      <c r="F257" s="4">
        <v>245</v>
      </c>
      <c r="G257" s="5">
        <v>288</v>
      </c>
      <c r="H257">
        <f>_xlfn.XLOOKUP(data[[#This Row],[Product]],products[Product],products[Cost per unit])</f>
        <v>9</v>
      </c>
      <c r="I257">
        <f>data[[#This Row],[cost per unit]]*data[[#This Row],[Units]]</f>
        <v>2592</v>
      </c>
      <c r="J257" s="4">
        <f>data[[#This Row],[Amount]]-data[[#This Row],[cost]]</f>
        <v>-2347</v>
      </c>
      <c r="K257" s="60">
        <f>data[[#This Row],[profit]]/data[[#This Row],[Amount]]</f>
        <v>-9.5795918367346946</v>
      </c>
    </row>
    <row r="258" spans="3:11" x14ac:dyDescent="0.3">
      <c r="C258" t="s">
        <v>8</v>
      </c>
      <c r="D258" t="s">
        <v>35</v>
      </c>
      <c r="E258" t="s">
        <v>20</v>
      </c>
      <c r="F258" s="4">
        <v>2702</v>
      </c>
      <c r="G258" s="5">
        <v>363</v>
      </c>
      <c r="H258">
        <f>_xlfn.XLOOKUP(data[[#This Row],[Product]],products[Product],products[Cost per unit])</f>
        <v>10.62</v>
      </c>
      <c r="I258">
        <f>data[[#This Row],[cost per unit]]*data[[#This Row],[Units]]</f>
        <v>3855.0599999999995</v>
      </c>
      <c r="J258" s="4">
        <f>data[[#This Row],[Amount]]-data[[#This Row],[cost]]</f>
        <v>-1153.0599999999995</v>
      </c>
      <c r="K258" s="60">
        <f>data[[#This Row],[profit]]/data[[#This Row],[Amount]]</f>
        <v>-0.42674315321983697</v>
      </c>
    </row>
    <row r="259" spans="3:11" x14ac:dyDescent="0.3">
      <c r="C259" t="s">
        <v>10</v>
      </c>
      <c r="D259" t="s">
        <v>34</v>
      </c>
      <c r="E259" t="s">
        <v>17</v>
      </c>
      <c r="F259" s="4">
        <v>700</v>
      </c>
      <c r="G259" s="5">
        <v>87</v>
      </c>
      <c r="H259">
        <f>_xlfn.XLOOKUP(data[[#This Row],[Product]],products[Product],products[Cost per unit])</f>
        <v>3.11</v>
      </c>
      <c r="I259">
        <f>data[[#This Row],[cost per unit]]*data[[#This Row],[Units]]</f>
        <v>270.57</v>
      </c>
      <c r="J259" s="4">
        <f>data[[#This Row],[Amount]]-data[[#This Row],[cost]]</f>
        <v>429.43</v>
      </c>
      <c r="K259" s="60">
        <f>data[[#This Row],[profit]]/data[[#This Row],[Amount]]</f>
        <v>0.61347142857142856</v>
      </c>
    </row>
    <row r="260" spans="3:11" x14ac:dyDescent="0.3">
      <c r="C260" t="s">
        <v>6</v>
      </c>
      <c r="D260" t="s">
        <v>34</v>
      </c>
      <c r="E260" t="s">
        <v>17</v>
      </c>
      <c r="F260" s="4">
        <v>3759</v>
      </c>
      <c r="G260" s="5">
        <v>150</v>
      </c>
      <c r="H260">
        <f>_xlfn.XLOOKUP(data[[#This Row],[Product]],products[Product],products[Cost per unit])</f>
        <v>3.11</v>
      </c>
      <c r="I260">
        <f>data[[#This Row],[cost per unit]]*data[[#This Row],[Units]]</f>
        <v>466.5</v>
      </c>
      <c r="J260" s="4">
        <f>data[[#This Row],[Amount]]-data[[#This Row],[cost]]</f>
        <v>3292.5</v>
      </c>
      <c r="K260" s="60">
        <f>data[[#This Row],[profit]]/data[[#This Row],[Amount]]</f>
        <v>0.8758978451715882</v>
      </c>
    </row>
    <row r="261" spans="3:11" x14ac:dyDescent="0.3">
      <c r="C261" t="s">
        <v>2</v>
      </c>
      <c r="D261" t="s">
        <v>35</v>
      </c>
      <c r="E261" t="s">
        <v>17</v>
      </c>
      <c r="F261" s="4">
        <v>1589</v>
      </c>
      <c r="G261" s="5">
        <v>303</v>
      </c>
      <c r="H261">
        <f>_xlfn.XLOOKUP(data[[#This Row],[Product]],products[Product],products[Cost per unit])</f>
        <v>3.11</v>
      </c>
      <c r="I261">
        <f>data[[#This Row],[cost per unit]]*data[[#This Row],[Units]]</f>
        <v>942.32999999999993</v>
      </c>
      <c r="J261" s="4">
        <f>data[[#This Row],[Amount]]-data[[#This Row],[cost]]</f>
        <v>646.67000000000007</v>
      </c>
      <c r="K261" s="60">
        <f>data[[#This Row],[profit]]/data[[#This Row],[Amount]]</f>
        <v>0.40696664568911267</v>
      </c>
    </row>
    <row r="262" spans="3:11" x14ac:dyDescent="0.3">
      <c r="C262" t="s">
        <v>7</v>
      </c>
      <c r="D262" t="s">
        <v>35</v>
      </c>
      <c r="E262" t="s">
        <v>28</v>
      </c>
      <c r="F262" s="4">
        <v>5194</v>
      </c>
      <c r="G262" s="5">
        <v>288</v>
      </c>
      <c r="H262">
        <f>_xlfn.XLOOKUP(data[[#This Row],[Product]],products[Product],products[Cost per unit])</f>
        <v>10.38</v>
      </c>
      <c r="I262">
        <f>data[[#This Row],[cost per unit]]*data[[#This Row],[Units]]</f>
        <v>2989.44</v>
      </c>
      <c r="J262" s="4">
        <f>data[[#This Row],[Amount]]-data[[#This Row],[cost]]</f>
        <v>2204.56</v>
      </c>
      <c r="K262" s="60">
        <f>data[[#This Row],[profit]]/data[[#This Row],[Amount]]</f>
        <v>0.42444358875625721</v>
      </c>
    </row>
    <row r="263" spans="3:11" x14ac:dyDescent="0.3">
      <c r="C263" t="s">
        <v>10</v>
      </c>
      <c r="D263" t="s">
        <v>36</v>
      </c>
      <c r="E263" t="s">
        <v>13</v>
      </c>
      <c r="F263" s="4">
        <v>945</v>
      </c>
      <c r="G263" s="5">
        <v>75</v>
      </c>
      <c r="H263">
        <f>_xlfn.XLOOKUP(data[[#This Row],[Product]],products[Product],products[Cost per unit])</f>
        <v>9.33</v>
      </c>
      <c r="I263">
        <f>data[[#This Row],[cost per unit]]*data[[#This Row],[Units]]</f>
        <v>699.75</v>
      </c>
      <c r="J263" s="4">
        <f>data[[#This Row],[Amount]]-data[[#This Row],[cost]]</f>
        <v>245.25</v>
      </c>
      <c r="K263" s="60">
        <f>data[[#This Row],[profit]]/data[[#This Row],[Amount]]</f>
        <v>0.25952380952380955</v>
      </c>
    </row>
    <row r="264" spans="3:11" x14ac:dyDescent="0.3">
      <c r="C264" t="s">
        <v>40</v>
      </c>
      <c r="D264" t="s">
        <v>38</v>
      </c>
      <c r="E264" t="s">
        <v>31</v>
      </c>
      <c r="F264" s="4">
        <v>1988</v>
      </c>
      <c r="G264" s="5">
        <v>39</v>
      </c>
      <c r="H264">
        <f>_xlfn.XLOOKUP(data[[#This Row],[Product]],products[Product],products[Cost per unit])</f>
        <v>5.79</v>
      </c>
      <c r="I264">
        <f>data[[#This Row],[cost per unit]]*data[[#This Row],[Units]]</f>
        <v>225.81</v>
      </c>
      <c r="J264" s="4">
        <f>data[[#This Row],[Amount]]-data[[#This Row],[cost]]</f>
        <v>1762.19</v>
      </c>
      <c r="K264" s="60">
        <f>data[[#This Row],[profit]]/data[[#This Row],[Amount]]</f>
        <v>0.88641348088531191</v>
      </c>
    </row>
    <row r="265" spans="3:11" x14ac:dyDescent="0.3">
      <c r="C265" t="s">
        <v>6</v>
      </c>
      <c r="D265" t="s">
        <v>34</v>
      </c>
      <c r="E265" t="s">
        <v>32</v>
      </c>
      <c r="F265" s="4">
        <v>6734</v>
      </c>
      <c r="G265" s="5">
        <v>123</v>
      </c>
      <c r="H265">
        <f>_xlfn.XLOOKUP(data[[#This Row],[Product]],products[Product],products[Cost per unit])</f>
        <v>8.65</v>
      </c>
      <c r="I265">
        <f>data[[#This Row],[cost per unit]]*data[[#This Row],[Units]]</f>
        <v>1063.95</v>
      </c>
      <c r="J265" s="4">
        <f>data[[#This Row],[Amount]]-data[[#This Row],[cost]]</f>
        <v>5670.05</v>
      </c>
      <c r="K265" s="60">
        <f>data[[#This Row],[profit]]/data[[#This Row],[Amount]]</f>
        <v>0.842003267003267</v>
      </c>
    </row>
    <row r="266" spans="3:11" x14ac:dyDescent="0.3">
      <c r="C266" t="s">
        <v>40</v>
      </c>
      <c r="D266" t="s">
        <v>36</v>
      </c>
      <c r="E266" t="s">
        <v>4</v>
      </c>
      <c r="F266" s="4">
        <v>217</v>
      </c>
      <c r="G266" s="5">
        <v>36</v>
      </c>
      <c r="H266">
        <f>_xlfn.XLOOKUP(data[[#This Row],[Product]],products[Product],products[Cost per unit])</f>
        <v>11.88</v>
      </c>
      <c r="I266">
        <f>data[[#This Row],[cost per unit]]*data[[#This Row],[Units]]</f>
        <v>427.68</v>
      </c>
      <c r="J266" s="4">
        <f>data[[#This Row],[Amount]]-data[[#This Row],[cost]]</f>
        <v>-210.68</v>
      </c>
      <c r="K266" s="60">
        <f>data[[#This Row],[profit]]/data[[#This Row],[Amount]]</f>
        <v>-0.97087557603686636</v>
      </c>
    </row>
    <row r="267" spans="3:11" x14ac:dyDescent="0.3">
      <c r="C267" t="s">
        <v>5</v>
      </c>
      <c r="D267" t="s">
        <v>34</v>
      </c>
      <c r="E267" t="s">
        <v>22</v>
      </c>
      <c r="F267" s="4">
        <v>6279</v>
      </c>
      <c r="G267" s="5">
        <v>237</v>
      </c>
      <c r="H267">
        <f>_xlfn.XLOOKUP(data[[#This Row],[Product]],products[Product],products[Cost per unit])</f>
        <v>9.77</v>
      </c>
      <c r="I267">
        <f>data[[#This Row],[cost per unit]]*data[[#This Row],[Units]]</f>
        <v>2315.4899999999998</v>
      </c>
      <c r="J267" s="4">
        <f>data[[#This Row],[Amount]]-data[[#This Row],[cost]]</f>
        <v>3963.51</v>
      </c>
      <c r="K267" s="60">
        <f>data[[#This Row],[profit]]/data[[#This Row],[Amount]]</f>
        <v>0.6312326803631152</v>
      </c>
    </row>
    <row r="268" spans="3:11" x14ac:dyDescent="0.3">
      <c r="C268" t="s">
        <v>40</v>
      </c>
      <c r="D268" t="s">
        <v>36</v>
      </c>
      <c r="E268" t="s">
        <v>13</v>
      </c>
      <c r="F268" s="4">
        <v>4424</v>
      </c>
      <c r="G268" s="5">
        <v>201</v>
      </c>
      <c r="H268">
        <f>_xlfn.XLOOKUP(data[[#This Row],[Product]],products[Product],products[Cost per unit])</f>
        <v>9.33</v>
      </c>
      <c r="I268">
        <f>data[[#This Row],[cost per unit]]*data[[#This Row],[Units]]</f>
        <v>1875.33</v>
      </c>
      <c r="J268" s="4">
        <f>data[[#This Row],[Amount]]-data[[#This Row],[cost]]</f>
        <v>2548.67</v>
      </c>
      <c r="K268" s="60">
        <f>data[[#This Row],[profit]]/data[[#This Row],[Amount]]</f>
        <v>0.57610081374321886</v>
      </c>
    </row>
    <row r="269" spans="3:11" x14ac:dyDescent="0.3">
      <c r="C269" t="s">
        <v>2</v>
      </c>
      <c r="D269" t="s">
        <v>36</v>
      </c>
      <c r="E269" t="s">
        <v>17</v>
      </c>
      <c r="F269" s="4">
        <v>189</v>
      </c>
      <c r="G269" s="5">
        <v>48</v>
      </c>
      <c r="H269">
        <f>_xlfn.XLOOKUP(data[[#This Row],[Product]],products[Product],products[Cost per unit])</f>
        <v>3.11</v>
      </c>
      <c r="I269">
        <f>data[[#This Row],[cost per unit]]*data[[#This Row],[Units]]</f>
        <v>149.28</v>
      </c>
      <c r="J269" s="4">
        <f>data[[#This Row],[Amount]]-data[[#This Row],[cost]]</f>
        <v>39.72</v>
      </c>
      <c r="K269" s="60">
        <f>data[[#This Row],[profit]]/data[[#This Row],[Amount]]</f>
        <v>0.21015873015873016</v>
      </c>
    </row>
    <row r="270" spans="3:11" x14ac:dyDescent="0.3">
      <c r="C270" t="s">
        <v>5</v>
      </c>
      <c r="D270" t="s">
        <v>35</v>
      </c>
      <c r="E270" t="s">
        <v>22</v>
      </c>
      <c r="F270" s="4">
        <v>490</v>
      </c>
      <c r="G270" s="5">
        <v>84</v>
      </c>
      <c r="H270">
        <f>_xlfn.XLOOKUP(data[[#This Row],[Product]],products[Product],products[Cost per unit])</f>
        <v>9.77</v>
      </c>
      <c r="I270">
        <f>data[[#This Row],[cost per unit]]*data[[#This Row],[Units]]</f>
        <v>820.68</v>
      </c>
      <c r="J270" s="4">
        <f>data[[#This Row],[Amount]]-data[[#This Row],[cost]]</f>
        <v>-330.67999999999995</v>
      </c>
      <c r="K270" s="60">
        <f>data[[#This Row],[profit]]/data[[#This Row],[Amount]]</f>
        <v>-0.67485714285714271</v>
      </c>
    </row>
    <row r="271" spans="3:11" x14ac:dyDescent="0.3">
      <c r="C271" t="s">
        <v>8</v>
      </c>
      <c r="D271" t="s">
        <v>37</v>
      </c>
      <c r="E271" t="s">
        <v>21</v>
      </c>
      <c r="F271" s="4">
        <v>434</v>
      </c>
      <c r="G271" s="5">
        <v>87</v>
      </c>
      <c r="H271">
        <f>_xlfn.XLOOKUP(data[[#This Row],[Product]],products[Product],products[Cost per unit])</f>
        <v>9</v>
      </c>
      <c r="I271">
        <f>data[[#This Row],[cost per unit]]*data[[#This Row],[Units]]</f>
        <v>783</v>
      </c>
      <c r="J271" s="4">
        <f>data[[#This Row],[Amount]]-data[[#This Row],[cost]]</f>
        <v>-349</v>
      </c>
      <c r="K271" s="60">
        <f>data[[#This Row],[profit]]/data[[#This Row],[Amount]]</f>
        <v>-0.80414746543778803</v>
      </c>
    </row>
    <row r="272" spans="3:11" x14ac:dyDescent="0.3">
      <c r="C272" t="s">
        <v>7</v>
      </c>
      <c r="D272" t="s">
        <v>38</v>
      </c>
      <c r="E272" t="s">
        <v>30</v>
      </c>
      <c r="F272" s="4">
        <v>10129</v>
      </c>
      <c r="G272" s="5">
        <v>312</v>
      </c>
      <c r="H272">
        <f>_xlfn.XLOOKUP(data[[#This Row],[Product]],products[Product],products[Cost per unit])</f>
        <v>14.49</v>
      </c>
      <c r="I272">
        <f>data[[#This Row],[cost per unit]]*data[[#This Row],[Units]]</f>
        <v>4520.88</v>
      </c>
      <c r="J272" s="4">
        <f>data[[#This Row],[Amount]]-data[[#This Row],[cost]]</f>
        <v>5608.12</v>
      </c>
      <c r="K272" s="60">
        <f>data[[#This Row],[profit]]/data[[#This Row],[Amount]]</f>
        <v>0.55366966136834828</v>
      </c>
    </row>
    <row r="273" spans="3:11" x14ac:dyDescent="0.3">
      <c r="C273" t="s">
        <v>3</v>
      </c>
      <c r="D273" t="s">
        <v>39</v>
      </c>
      <c r="E273" t="s">
        <v>28</v>
      </c>
      <c r="F273" s="4">
        <v>1652</v>
      </c>
      <c r="G273" s="5">
        <v>102</v>
      </c>
      <c r="H273">
        <f>_xlfn.XLOOKUP(data[[#This Row],[Product]],products[Product],products[Cost per unit])</f>
        <v>10.38</v>
      </c>
      <c r="I273">
        <f>data[[#This Row],[cost per unit]]*data[[#This Row],[Units]]</f>
        <v>1058.76</v>
      </c>
      <c r="J273" s="4">
        <f>data[[#This Row],[Amount]]-data[[#This Row],[cost]]</f>
        <v>593.24</v>
      </c>
      <c r="K273" s="60">
        <f>data[[#This Row],[profit]]/data[[#This Row],[Amount]]</f>
        <v>0.35910411622276028</v>
      </c>
    </row>
    <row r="274" spans="3:11" x14ac:dyDescent="0.3">
      <c r="C274" t="s">
        <v>8</v>
      </c>
      <c r="D274" t="s">
        <v>38</v>
      </c>
      <c r="E274" t="s">
        <v>21</v>
      </c>
      <c r="F274" s="4">
        <v>6433</v>
      </c>
      <c r="G274" s="5">
        <v>78</v>
      </c>
      <c r="H274">
        <f>_xlfn.XLOOKUP(data[[#This Row],[Product]],products[Product],products[Cost per unit])</f>
        <v>9</v>
      </c>
      <c r="I274">
        <f>data[[#This Row],[cost per unit]]*data[[#This Row],[Units]]</f>
        <v>702</v>
      </c>
      <c r="J274" s="4">
        <f>data[[#This Row],[Amount]]-data[[#This Row],[cost]]</f>
        <v>5731</v>
      </c>
      <c r="K274" s="60">
        <f>data[[#This Row],[profit]]/data[[#This Row],[Amount]]</f>
        <v>0.89087517487952739</v>
      </c>
    </row>
    <row r="275" spans="3:11" x14ac:dyDescent="0.3">
      <c r="C275" t="s">
        <v>3</v>
      </c>
      <c r="D275" t="s">
        <v>34</v>
      </c>
      <c r="E275" t="s">
        <v>23</v>
      </c>
      <c r="F275" s="4">
        <v>2212</v>
      </c>
      <c r="G275" s="5">
        <v>117</v>
      </c>
      <c r="H275">
        <f>_xlfn.XLOOKUP(data[[#This Row],[Product]],products[Product],products[Cost per unit])</f>
        <v>6.49</v>
      </c>
      <c r="I275">
        <f>data[[#This Row],[cost per unit]]*data[[#This Row],[Units]]</f>
        <v>759.33</v>
      </c>
      <c r="J275" s="4">
        <f>data[[#This Row],[Amount]]-data[[#This Row],[cost]]</f>
        <v>1452.67</v>
      </c>
      <c r="K275" s="60">
        <f>data[[#This Row],[profit]]/data[[#This Row],[Amount]]</f>
        <v>0.65672242314647378</v>
      </c>
    </row>
    <row r="276" spans="3:11" x14ac:dyDescent="0.3">
      <c r="C276" t="s">
        <v>41</v>
      </c>
      <c r="D276" t="s">
        <v>35</v>
      </c>
      <c r="E276" t="s">
        <v>19</v>
      </c>
      <c r="F276" s="4">
        <v>609</v>
      </c>
      <c r="G276" s="5">
        <v>99</v>
      </c>
      <c r="H276">
        <f>_xlfn.XLOOKUP(data[[#This Row],[Product]],products[Product],products[Cost per unit])</f>
        <v>7.64</v>
      </c>
      <c r="I276">
        <f>data[[#This Row],[cost per unit]]*data[[#This Row],[Units]]</f>
        <v>756.36</v>
      </c>
      <c r="J276" s="4">
        <f>data[[#This Row],[Amount]]-data[[#This Row],[cost]]</f>
        <v>-147.36000000000001</v>
      </c>
      <c r="K276" s="60">
        <f>data[[#This Row],[profit]]/data[[#This Row],[Amount]]</f>
        <v>-0.24197044334975371</v>
      </c>
    </row>
    <row r="277" spans="3:11" x14ac:dyDescent="0.3">
      <c r="C277" t="s">
        <v>40</v>
      </c>
      <c r="D277" t="s">
        <v>35</v>
      </c>
      <c r="E277" t="s">
        <v>24</v>
      </c>
      <c r="F277" s="4">
        <v>1638</v>
      </c>
      <c r="G277" s="5">
        <v>48</v>
      </c>
      <c r="H277">
        <f>_xlfn.XLOOKUP(data[[#This Row],[Product]],products[Product],products[Cost per unit])</f>
        <v>4.97</v>
      </c>
      <c r="I277">
        <f>data[[#This Row],[cost per unit]]*data[[#This Row],[Units]]</f>
        <v>238.56</v>
      </c>
      <c r="J277" s="4">
        <f>data[[#This Row],[Amount]]-data[[#This Row],[cost]]</f>
        <v>1399.44</v>
      </c>
      <c r="K277" s="60">
        <f>data[[#This Row],[profit]]/data[[#This Row],[Amount]]</f>
        <v>0.85435897435897434</v>
      </c>
    </row>
    <row r="278" spans="3:11" x14ac:dyDescent="0.3">
      <c r="C278" t="s">
        <v>7</v>
      </c>
      <c r="D278" t="s">
        <v>34</v>
      </c>
      <c r="E278" t="s">
        <v>15</v>
      </c>
      <c r="F278" s="4">
        <v>3829</v>
      </c>
      <c r="G278" s="5">
        <v>24</v>
      </c>
      <c r="H278">
        <f>_xlfn.XLOOKUP(data[[#This Row],[Product]],products[Product],products[Cost per unit])</f>
        <v>11.73</v>
      </c>
      <c r="I278">
        <f>data[[#This Row],[cost per unit]]*data[[#This Row],[Units]]</f>
        <v>281.52</v>
      </c>
      <c r="J278" s="4">
        <f>data[[#This Row],[Amount]]-data[[#This Row],[cost]]</f>
        <v>3547.48</v>
      </c>
      <c r="K278" s="60">
        <f>data[[#This Row],[profit]]/data[[#This Row],[Amount]]</f>
        <v>0.92647688691564378</v>
      </c>
    </row>
    <row r="279" spans="3:11" x14ac:dyDescent="0.3">
      <c r="C279" t="s">
        <v>40</v>
      </c>
      <c r="D279" t="s">
        <v>39</v>
      </c>
      <c r="E279" t="s">
        <v>15</v>
      </c>
      <c r="F279" s="4">
        <v>5775</v>
      </c>
      <c r="G279" s="5">
        <v>42</v>
      </c>
      <c r="H279">
        <f>_xlfn.XLOOKUP(data[[#This Row],[Product]],products[Product],products[Cost per unit])</f>
        <v>11.73</v>
      </c>
      <c r="I279">
        <f>data[[#This Row],[cost per unit]]*data[[#This Row],[Units]]</f>
        <v>492.66</v>
      </c>
      <c r="J279" s="4">
        <f>data[[#This Row],[Amount]]-data[[#This Row],[cost]]</f>
        <v>5282.34</v>
      </c>
      <c r="K279" s="60">
        <f>data[[#This Row],[profit]]/data[[#This Row],[Amount]]</f>
        <v>0.91469090909090911</v>
      </c>
    </row>
    <row r="280" spans="3:11" x14ac:dyDescent="0.3">
      <c r="C280" t="s">
        <v>6</v>
      </c>
      <c r="D280" t="s">
        <v>35</v>
      </c>
      <c r="E280" t="s">
        <v>20</v>
      </c>
      <c r="F280" s="4">
        <v>1071</v>
      </c>
      <c r="G280" s="5">
        <v>270</v>
      </c>
      <c r="H280">
        <f>_xlfn.XLOOKUP(data[[#This Row],[Product]],products[Product],products[Cost per unit])</f>
        <v>10.62</v>
      </c>
      <c r="I280">
        <f>data[[#This Row],[cost per unit]]*data[[#This Row],[Units]]</f>
        <v>2867.3999999999996</v>
      </c>
      <c r="J280" s="4">
        <f>data[[#This Row],[Amount]]-data[[#This Row],[cost]]</f>
        <v>-1796.3999999999996</v>
      </c>
      <c r="K280" s="60">
        <f>data[[#This Row],[profit]]/data[[#This Row],[Amount]]</f>
        <v>-1.6773109243697475</v>
      </c>
    </row>
    <row r="281" spans="3:11" x14ac:dyDescent="0.3">
      <c r="C281" t="s">
        <v>8</v>
      </c>
      <c r="D281" t="s">
        <v>36</v>
      </c>
      <c r="E281" t="s">
        <v>23</v>
      </c>
      <c r="F281" s="4">
        <v>5019</v>
      </c>
      <c r="G281" s="5">
        <v>150</v>
      </c>
      <c r="H281">
        <f>_xlfn.XLOOKUP(data[[#This Row],[Product]],products[Product],products[Cost per unit])</f>
        <v>6.49</v>
      </c>
      <c r="I281">
        <f>data[[#This Row],[cost per unit]]*data[[#This Row],[Units]]</f>
        <v>973.5</v>
      </c>
      <c r="J281" s="4">
        <f>data[[#This Row],[Amount]]-data[[#This Row],[cost]]</f>
        <v>4045.5</v>
      </c>
      <c r="K281" s="60">
        <f>data[[#This Row],[profit]]/data[[#This Row],[Amount]]</f>
        <v>0.80603705917513446</v>
      </c>
    </row>
    <row r="282" spans="3:11" x14ac:dyDescent="0.3">
      <c r="C282" t="s">
        <v>2</v>
      </c>
      <c r="D282" t="s">
        <v>37</v>
      </c>
      <c r="E282" t="s">
        <v>15</v>
      </c>
      <c r="F282" s="4">
        <v>2863</v>
      </c>
      <c r="G282" s="5">
        <v>42</v>
      </c>
      <c r="H282">
        <f>_xlfn.XLOOKUP(data[[#This Row],[Product]],products[Product],products[Cost per unit])</f>
        <v>11.73</v>
      </c>
      <c r="I282">
        <f>data[[#This Row],[cost per unit]]*data[[#This Row],[Units]]</f>
        <v>492.66</v>
      </c>
      <c r="J282" s="4">
        <f>data[[#This Row],[Amount]]-data[[#This Row],[cost]]</f>
        <v>2370.34</v>
      </c>
      <c r="K282" s="60">
        <f>data[[#This Row],[profit]]/data[[#This Row],[Amount]]</f>
        <v>0.82792176039119814</v>
      </c>
    </row>
    <row r="283" spans="3:11" x14ac:dyDescent="0.3">
      <c r="C283" t="s">
        <v>40</v>
      </c>
      <c r="D283" t="s">
        <v>35</v>
      </c>
      <c r="E283" t="s">
        <v>29</v>
      </c>
      <c r="F283" s="4">
        <v>1617</v>
      </c>
      <c r="G283" s="5">
        <v>126</v>
      </c>
      <c r="H283">
        <f>_xlfn.XLOOKUP(data[[#This Row],[Product]],products[Product],products[Cost per unit])</f>
        <v>7.16</v>
      </c>
      <c r="I283">
        <f>data[[#This Row],[cost per unit]]*data[[#This Row],[Units]]</f>
        <v>902.16</v>
      </c>
      <c r="J283" s="4">
        <f>data[[#This Row],[Amount]]-data[[#This Row],[cost]]</f>
        <v>714.84</v>
      </c>
      <c r="K283" s="60">
        <f>data[[#This Row],[profit]]/data[[#This Row],[Amount]]</f>
        <v>0.44207792207792213</v>
      </c>
    </row>
    <row r="284" spans="3:11" x14ac:dyDescent="0.3">
      <c r="C284" t="s">
        <v>6</v>
      </c>
      <c r="D284" t="s">
        <v>37</v>
      </c>
      <c r="E284" t="s">
        <v>26</v>
      </c>
      <c r="F284" s="4">
        <v>6818</v>
      </c>
      <c r="G284" s="5">
        <v>6</v>
      </c>
      <c r="H284">
        <f>_xlfn.XLOOKUP(data[[#This Row],[Product]],products[Product],products[Cost per unit])</f>
        <v>5.6</v>
      </c>
      <c r="I284">
        <f>data[[#This Row],[cost per unit]]*data[[#This Row],[Units]]</f>
        <v>33.599999999999994</v>
      </c>
      <c r="J284" s="4">
        <f>data[[#This Row],[Amount]]-data[[#This Row],[cost]]</f>
        <v>6784.4</v>
      </c>
      <c r="K284" s="60">
        <f>data[[#This Row],[profit]]/data[[#This Row],[Amount]]</f>
        <v>0.99507186858316221</v>
      </c>
    </row>
    <row r="285" spans="3:11" x14ac:dyDescent="0.3">
      <c r="C285" t="s">
        <v>3</v>
      </c>
      <c r="D285" t="s">
        <v>35</v>
      </c>
      <c r="E285" t="s">
        <v>15</v>
      </c>
      <c r="F285" s="4">
        <v>6657</v>
      </c>
      <c r="G285" s="5">
        <v>276</v>
      </c>
      <c r="H285">
        <f>_xlfn.XLOOKUP(data[[#This Row],[Product]],products[Product],products[Cost per unit])</f>
        <v>11.73</v>
      </c>
      <c r="I285">
        <f>data[[#This Row],[cost per unit]]*data[[#This Row],[Units]]</f>
        <v>3237.48</v>
      </c>
      <c r="J285" s="4">
        <f>data[[#This Row],[Amount]]-data[[#This Row],[cost]]</f>
        <v>3419.52</v>
      </c>
      <c r="K285" s="60">
        <f>data[[#This Row],[profit]]/data[[#This Row],[Amount]]</f>
        <v>0.5136728255971158</v>
      </c>
    </row>
    <row r="286" spans="3:11" x14ac:dyDescent="0.3">
      <c r="C286" t="s">
        <v>3</v>
      </c>
      <c r="D286" t="s">
        <v>34</v>
      </c>
      <c r="E286" t="s">
        <v>17</v>
      </c>
      <c r="F286" s="4">
        <v>2919</v>
      </c>
      <c r="G286" s="5">
        <v>93</v>
      </c>
      <c r="H286">
        <f>_xlfn.XLOOKUP(data[[#This Row],[Product]],products[Product],products[Cost per unit])</f>
        <v>3.11</v>
      </c>
      <c r="I286">
        <f>data[[#This Row],[cost per unit]]*data[[#This Row],[Units]]</f>
        <v>289.22999999999996</v>
      </c>
      <c r="J286" s="4">
        <f>data[[#This Row],[Amount]]-data[[#This Row],[cost]]</f>
        <v>2629.77</v>
      </c>
      <c r="K286" s="60">
        <f>data[[#This Row],[profit]]/data[[#This Row],[Amount]]</f>
        <v>0.9009146968139774</v>
      </c>
    </row>
    <row r="287" spans="3:11" x14ac:dyDescent="0.3">
      <c r="C287" t="s">
        <v>2</v>
      </c>
      <c r="D287" t="s">
        <v>36</v>
      </c>
      <c r="E287" t="s">
        <v>31</v>
      </c>
      <c r="F287" s="4">
        <v>3094</v>
      </c>
      <c r="G287" s="5">
        <v>246</v>
      </c>
      <c r="H287">
        <f>_xlfn.XLOOKUP(data[[#This Row],[Product]],products[Product],products[Cost per unit])</f>
        <v>5.79</v>
      </c>
      <c r="I287">
        <f>data[[#This Row],[cost per unit]]*data[[#This Row],[Units]]</f>
        <v>1424.34</v>
      </c>
      <c r="J287" s="4">
        <f>data[[#This Row],[Amount]]-data[[#This Row],[cost]]</f>
        <v>1669.66</v>
      </c>
      <c r="K287" s="60">
        <f>data[[#This Row],[profit]]/data[[#This Row],[Amount]]</f>
        <v>0.53964447317388498</v>
      </c>
    </row>
    <row r="288" spans="3:11" x14ac:dyDescent="0.3">
      <c r="C288" t="s">
        <v>6</v>
      </c>
      <c r="D288" t="s">
        <v>39</v>
      </c>
      <c r="E288" t="s">
        <v>24</v>
      </c>
      <c r="F288" s="4">
        <v>2989</v>
      </c>
      <c r="G288" s="5">
        <v>3</v>
      </c>
      <c r="H288">
        <f>_xlfn.XLOOKUP(data[[#This Row],[Product]],products[Product],products[Cost per unit])</f>
        <v>4.97</v>
      </c>
      <c r="I288">
        <f>data[[#This Row],[cost per unit]]*data[[#This Row],[Units]]</f>
        <v>14.91</v>
      </c>
      <c r="J288" s="4">
        <f>data[[#This Row],[Amount]]-data[[#This Row],[cost]]</f>
        <v>2974.09</v>
      </c>
      <c r="K288" s="60">
        <f>data[[#This Row],[profit]]/data[[#This Row],[Amount]]</f>
        <v>0.99501170960187357</v>
      </c>
    </row>
    <row r="289" spans="3:11" x14ac:dyDescent="0.3">
      <c r="C289" t="s">
        <v>8</v>
      </c>
      <c r="D289" t="s">
        <v>38</v>
      </c>
      <c r="E289" t="s">
        <v>27</v>
      </c>
      <c r="F289" s="4">
        <v>2268</v>
      </c>
      <c r="G289" s="5">
        <v>63</v>
      </c>
      <c r="H289">
        <f>_xlfn.XLOOKUP(data[[#This Row],[Product]],products[Product],products[Cost per unit])</f>
        <v>16.73</v>
      </c>
      <c r="I289">
        <f>data[[#This Row],[cost per unit]]*data[[#This Row],[Units]]</f>
        <v>1053.99</v>
      </c>
      <c r="J289" s="4">
        <f>data[[#This Row],[Amount]]-data[[#This Row],[cost]]</f>
        <v>1214.01</v>
      </c>
      <c r="K289" s="60">
        <f>data[[#This Row],[profit]]/data[[#This Row],[Amount]]</f>
        <v>0.53527777777777774</v>
      </c>
    </row>
    <row r="290" spans="3:11" x14ac:dyDescent="0.3">
      <c r="C290" t="s">
        <v>5</v>
      </c>
      <c r="D290" t="s">
        <v>35</v>
      </c>
      <c r="E290" t="s">
        <v>31</v>
      </c>
      <c r="F290" s="4">
        <v>4753</v>
      </c>
      <c r="G290" s="5">
        <v>246</v>
      </c>
      <c r="H290">
        <f>_xlfn.XLOOKUP(data[[#This Row],[Product]],products[Product],products[Cost per unit])</f>
        <v>5.79</v>
      </c>
      <c r="I290">
        <f>data[[#This Row],[cost per unit]]*data[[#This Row],[Units]]</f>
        <v>1424.34</v>
      </c>
      <c r="J290" s="4">
        <f>data[[#This Row],[Amount]]-data[[#This Row],[cost]]</f>
        <v>3328.66</v>
      </c>
      <c r="K290" s="60">
        <f>data[[#This Row],[profit]]/data[[#This Row],[Amount]]</f>
        <v>0.70032821375973064</v>
      </c>
    </row>
    <row r="291" spans="3:11" x14ac:dyDescent="0.3">
      <c r="C291" t="s">
        <v>2</v>
      </c>
      <c r="D291" t="s">
        <v>34</v>
      </c>
      <c r="E291" t="s">
        <v>19</v>
      </c>
      <c r="F291" s="4">
        <v>7511</v>
      </c>
      <c r="G291" s="5">
        <v>120</v>
      </c>
      <c r="H291">
        <f>_xlfn.XLOOKUP(data[[#This Row],[Product]],products[Product],products[Cost per unit])</f>
        <v>7.64</v>
      </c>
      <c r="I291">
        <f>data[[#This Row],[cost per unit]]*data[[#This Row],[Units]]</f>
        <v>916.8</v>
      </c>
      <c r="J291" s="4">
        <f>data[[#This Row],[Amount]]-data[[#This Row],[cost]]</f>
        <v>6594.2</v>
      </c>
      <c r="K291" s="60">
        <f>data[[#This Row],[profit]]/data[[#This Row],[Amount]]</f>
        <v>0.87793902276660896</v>
      </c>
    </row>
    <row r="292" spans="3:11" x14ac:dyDescent="0.3">
      <c r="C292" t="s">
        <v>2</v>
      </c>
      <c r="D292" t="s">
        <v>38</v>
      </c>
      <c r="E292" t="s">
        <v>31</v>
      </c>
      <c r="F292" s="4">
        <v>4326</v>
      </c>
      <c r="G292" s="5">
        <v>348</v>
      </c>
      <c r="H292">
        <f>_xlfn.XLOOKUP(data[[#This Row],[Product]],products[Product],products[Cost per unit])</f>
        <v>5.79</v>
      </c>
      <c r="I292">
        <f>data[[#This Row],[cost per unit]]*data[[#This Row],[Units]]</f>
        <v>2014.92</v>
      </c>
      <c r="J292" s="4">
        <f>data[[#This Row],[Amount]]-data[[#This Row],[cost]]</f>
        <v>2311.08</v>
      </c>
      <c r="K292" s="60">
        <f>data[[#This Row],[profit]]/data[[#This Row],[Amount]]</f>
        <v>0.53423023578363382</v>
      </c>
    </row>
    <row r="293" spans="3:11" x14ac:dyDescent="0.3">
      <c r="C293" t="s">
        <v>41</v>
      </c>
      <c r="D293" t="s">
        <v>34</v>
      </c>
      <c r="E293" t="s">
        <v>23</v>
      </c>
      <c r="F293" s="4">
        <v>4935</v>
      </c>
      <c r="G293" s="5">
        <v>126</v>
      </c>
      <c r="H293">
        <f>_xlfn.XLOOKUP(data[[#This Row],[Product]],products[Product],products[Cost per unit])</f>
        <v>6.49</v>
      </c>
      <c r="I293">
        <f>data[[#This Row],[cost per unit]]*data[[#This Row],[Units]]</f>
        <v>817.74</v>
      </c>
      <c r="J293" s="4">
        <f>data[[#This Row],[Amount]]-data[[#This Row],[cost]]</f>
        <v>4117.26</v>
      </c>
      <c r="K293" s="60">
        <f>data[[#This Row],[profit]]/data[[#This Row],[Amount]]</f>
        <v>0.83429787234042563</v>
      </c>
    </row>
    <row r="294" spans="3:11" x14ac:dyDescent="0.3">
      <c r="C294" t="s">
        <v>6</v>
      </c>
      <c r="D294" t="s">
        <v>35</v>
      </c>
      <c r="E294" t="s">
        <v>30</v>
      </c>
      <c r="F294" s="4">
        <v>4781</v>
      </c>
      <c r="G294" s="5">
        <v>123</v>
      </c>
      <c r="H294">
        <f>_xlfn.XLOOKUP(data[[#This Row],[Product]],products[Product],products[Cost per unit])</f>
        <v>14.49</v>
      </c>
      <c r="I294">
        <f>data[[#This Row],[cost per unit]]*data[[#This Row],[Units]]</f>
        <v>1782.27</v>
      </c>
      <c r="J294" s="4">
        <f>data[[#This Row],[Amount]]-data[[#This Row],[cost]]</f>
        <v>2998.73</v>
      </c>
      <c r="K294" s="60">
        <f>data[[#This Row],[profit]]/data[[#This Row],[Amount]]</f>
        <v>0.62721815519765745</v>
      </c>
    </row>
    <row r="295" spans="3:11" x14ac:dyDescent="0.3">
      <c r="C295" t="s">
        <v>5</v>
      </c>
      <c r="D295" t="s">
        <v>38</v>
      </c>
      <c r="E295" t="s">
        <v>25</v>
      </c>
      <c r="F295" s="4">
        <v>7483</v>
      </c>
      <c r="G295" s="5">
        <v>45</v>
      </c>
      <c r="H295">
        <f>_xlfn.XLOOKUP(data[[#This Row],[Product]],products[Product],products[Cost per unit])</f>
        <v>13.15</v>
      </c>
      <c r="I295">
        <f>data[[#This Row],[cost per unit]]*data[[#This Row],[Units]]</f>
        <v>591.75</v>
      </c>
      <c r="J295" s="4">
        <f>data[[#This Row],[Amount]]-data[[#This Row],[cost]]</f>
        <v>6891.25</v>
      </c>
      <c r="K295" s="60">
        <f>data[[#This Row],[profit]]/data[[#This Row],[Amount]]</f>
        <v>0.92092075370840576</v>
      </c>
    </row>
    <row r="296" spans="3:11" x14ac:dyDescent="0.3">
      <c r="C296" t="s">
        <v>10</v>
      </c>
      <c r="D296" t="s">
        <v>38</v>
      </c>
      <c r="E296" t="s">
        <v>4</v>
      </c>
      <c r="F296" s="4">
        <v>6860</v>
      </c>
      <c r="G296" s="5">
        <v>126</v>
      </c>
      <c r="H296">
        <f>_xlfn.XLOOKUP(data[[#This Row],[Product]],products[Product],products[Cost per unit])</f>
        <v>11.88</v>
      </c>
      <c r="I296">
        <f>data[[#This Row],[cost per unit]]*data[[#This Row],[Units]]</f>
        <v>1496.88</v>
      </c>
      <c r="J296" s="4">
        <f>data[[#This Row],[Amount]]-data[[#This Row],[cost]]</f>
        <v>5363.12</v>
      </c>
      <c r="K296" s="60">
        <f>data[[#This Row],[profit]]/data[[#This Row],[Amount]]</f>
        <v>0.78179591836734696</v>
      </c>
    </row>
    <row r="297" spans="3:11" x14ac:dyDescent="0.3">
      <c r="C297" t="s">
        <v>40</v>
      </c>
      <c r="D297" t="s">
        <v>37</v>
      </c>
      <c r="E297" t="s">
        <v>29</v>
      </c>
      <c r="F297" s="4">
        <v>9002</v>
      </c>
      <c r="G297" s="5">
        <v>72</v>
      </c>
      <c r="H297">
        <f>_xlfn.XLOOKUP(data[[#This Row],[Product]],products[Product],products[Cost per unit])</f>
        <v>7.16</v>
      </c>
      <c r="I297">
        <f>data[[#This Row],[cost per unit]]*data[[#This Row],[Units]]</f>
        <v>515.52</v>
      </c>
      <c r="J297" s="4">
        <f>data[[#This Row],[Amount]]-data[[#This Row],[cost]]</f>
        <v>8486.48</v>
      </c>
      <c r="K297" s="60">
        <f>data[[#This Row],[profit]]/data[[#This Row],[Amount]]</f>
        <v>0.94273272606087533</v>
      </c>
    </row>
    <row r="298" spans="3:11" x14ac:dyDescent="0.3">
      <c r="C298" t="s">
        <v>6</v>
      </c>
      <c r="D298" t="s">
        <v>36</v>
      </c>
      <c r="E298" t="s">
        <v>29</v>
      </c>
      <c r="F298" s="4">
        <v>1400</v>
      </c>
      <c r="G298" s="5">
        <v>135</v>
      </c>
      <c r="H298">
        <f>_xlfn.XLOOKUP(data[[#This Row],[Product]],products[Product],products[Cost per unit])</f>
        <v>7.16</v>
      </c>
      <c r="I298">
        <f>data[[#This Row],[cost per unit]]*data[[#This Row],[Units]]</f>
        <v>966.6</v>
      </c>
      <c r="J298" s="4">
        <f>data[[#This Row],[Amount]]-data[[#This Row],[cost]]</f>
        <v>433.4</v>
      </c>
      <c r="K298" s="60">
        <f>data[[#This Row],[profit]]/data[[#This Row],[Amount]]</f>
        <v>0.30957142857142855</v>
      </c>
    </row>
    <row r="299" spans="3:11" x14ac:dyDescent="0.3">
      <c r="C299" t="s">
        <v>10</v>
      </c>
      <c r="D299" t="s">
        <v>34</v>
      </c>
      <c r="E299" t="s">
        <v>22</v>
      </c>
      <c r="F299" s="4">
        <v>4053</v>
      </c>
      <c r="G299" s="5">
        <v>24</v>
      </c>
      <c r="H299">
        <f>_xlfn.XLOOKUP(data[[#This Row],[Product]],products[Product],products[Cost per unit])</f>
        <v>9.77</v>
      </c>
      <c r="I299">
        <f>data[[#This Row],[cost per unit]]*data[[#This Row],[Units]]</f>
        <v>234.48</v>
      </c>
      <c r="J299" s="4">
        <f>data[[#This Row],[Amount]]-data[[#This Row],[cost]]</f>
        <v>3818.52</v>
      </c>
      <c r="K299" s="60">
        <f>data[[#This Row],[profit]]/data[[#This Row],[Amount]]</f>
        <v>0.94214655810510728</v>
      </c>
    </row>
    <row r="300" spans="3:11" x14ac:dyDescent="0.3">
      <c r="C300" t="s">
        <v>7</v>
      </c>
      <c r="D300" t="s">
        <v>36</v>
      </c>
      <c r="E300" t="s">
        <v>31</v>
      </c>
      <c r="F300" s="4">
        <v>2149</v>
      </c>
      <c r="G300" s="5">
        <v>117</v>
      </c>
      <c r="H300">
        <f>_xlfn.XLOOKUP(data[[#This Row],[Product]],products[Product],products[Cost per unit])</f>
        <v>5.79</v>
      </c>
      <c r="I300">
        <f>data[[#This Row],[cost per unit]]*data[[#This Row],[Units]]</f>
        <v>677.43</v>
      </c>
      <c r="J300" s="4">
        <f>data[[#This Row],[Amount]]-data[[#This Row],[cost]]</f>
        <v>1471.5700000000002</v>
      </c>
      <c r="K300" s="60">
        <f>data[[#This Row],[profit]]/data[[#This Row],[Amount]]</f>
        <v>0.68476966030711972</v>
      </c>
    </row>
    <row r="301" spans="3:11" x14ac:dyDescent="0.3">
      <c r="C301" t="s">
        <v>3</v>
      </c>
      <c r="D301" t="s">
        <v>39</v>
      </c>
      <c r="E301" t="s">
        <v>29</v>
      </c>
      <c r="F301" s="4">
        <v>3640</v>
      </c>
      <c r="G301" s="5">
        <v>51</v>
      </c>
      <c r="H301">
        <f>_xlfn.XLOOKUP(data[[#This Row],[Product]],products[Product],products[Cost per unit])</f>
        <v>7.16</v>
      </c>
      <c r="I301">
        <f>data[[#This Row],[cost per unit]]*data[[#This Row],[Units]]</f>
        <v>365.16</v>
      </c>
      <c r="J301" s="4">
        <f>data[[#This Row],[Amount]]-data[[#This Row],[cost]]</f>
        <v>3274.84</v>
      </c>
      <c r="K301" s="60">
        <f>data[[#This Row],[profit]]/data[[#This Row],[Amount]]</f>
        <v>0.89968131868131873</v>
      </c>
    </row>
    <row r="302" spans="3:11" x14ac:dyDescent="0.3">
      <c r="C302" t="s">
        <v>2</v>
      </c>
      <c r="D302" t="s">
        <v>39</v>
      </c>
      <c r="E302" t="s">
        <v>23</v>
      </c>
      <c r="F302" s="4">
        <v>630</v>
      </c>
      <c r="G302" s="5">
        <v>36</v>
      </c>
      <c r="H302">
        <f>_xlfn.XLOOKUP(data[[#This Row],[Product]],products[Product],products[Cost per unit])</f>
        <v>6.49</v>
      </c>
      <c r="I302">
        <f>data[[#This Row],[cost per unit]]*data[[#This Row],[Units]]</f>
        <v>233.64000000000001</v>
      </c>
      <c r="J302" s="4">
        <f>data[[#This Row],[Amount]]-data[[#This Row],[cost]]</f>
        <v>396.36</v>
      </c>
      <c r="K302" s="60">
        <f>data[[#This Row],[profit]]/data[[#This Row],[Amount]]</f>
        <v>0.62914285714285711</v>
      </c>
    </row>
    <row r="303" spans="3:11" x14ac:dyDescent="0.3">
      <c r="C303" t="s">
        <v>9</v>
      </c>
      <c r="D303" t="s">
        <v>35</v>
      </c>
      <c r="E303" t="s">
        <v>27</v>
      </c>
      <c r="F303" s="4">
        <v>2429</v>
      </c>
      <c r="G303" s="5">
        <v>144</v>
      </c>
      <c r="H303">
        <f>_xlfn.XLOOKUP(data[[#This Row],[Product]],products[Product],products[Cost per unit])</f>
        <v>16.73</v>
      </c>
      <c r="I303">
        <f>data[[#This Row],[cost per unit]]*data[[#This Row],[Units]]</f>
        <v>2409.12</v>
      </c>
      <c r="J303" s="4">
        <f>data[[#This Row],[Amount]]-data[[#This Row],[cost]]</f>
        <v>19.880000000000109</v>
      </c>
      <c r="K303" s="60">
        <f>data[[#This Row],[profit]]/data[[#This Row],[Amount]]</f>
        <v>8.184438040345866E-3</v>
      </c>
    </row>
    <row r="304" spans="3:11" x14ac:dyDescent="0.3">
      <c r="C304" t="s">
        <v>9</v>
      </c>
      <c r="D304" t="s">
        <v>36</v>
      </c>
      <c r="E304" t="s">
        <v>25</v>
      </c>
      <c r="F304" s="4">
        <v>2142</v>
      </c>
      <c r="G304" s="5">
        <v>114</v>
      </c>
      <c r="H304">
        <f>_xlfn.XLOOKUP(data[[#This Row],[Product]],products[Product],products[Cost per unit])</f>
        <v>13.15</v>
      </c>
      <c r="I304">
        <f>data[[#This Row],[cost per unit]]*data[[#This Row],[Units]]</f>
        <v>1499.1000000000001</v>
      </c>
      <c r="J304" s="4">
        <f>data[[#This Row],[Amount]]-data[[#This Row],[cost]]</f>
        <v>642.89999999999986</v>
      </c>
      <c r="K304" s="60">
        <f>data[[#This Row],[profit]]/data[[#This Row],[Amount]]</f>
        <v>0.3001400560224089</v>
      </c>
    </row>
    <row r="305" spans="3:11" x14ac:dyDescent="0.3">
      <c r="C305" t="s">
        <v>7</v>
      </c>
      <c r="D305" t="s">
        <v>37</v>
      </c>
      <c r="E305" t="s">
        <v>30</v>
      </c>
      <c r="F305" s="4">
        <v>6454</v>
      </c>
      <c r="G305" s="5">
        <v>54</v>
      </c>
      <c r="H305">
        <f>_xlfn.XLOOKUP(data[[#This Row],[Product]],products[Product],products[Cost per unit])</f>
        <v>14.49</v>
      </c>
      <c r="I305">
        <f>data[[#This Row],[cost per unit]]*data[[#This Row],[Units]]</f>
        <v>782.46</v>
      </c>
      <c r="J305" s="4">
        <f>data[[#This Row],[Amount]]-data[[#This Row],[cost]]</f>
        <v>5671.54</v>
      </c>
      <c r="K305" s="60">
        <f>data[[#This Row],[profit]]/data[[#This Row],[Amount]]</f>
        <v>0.87876355748373103</v>
      </c>
    </row>
    <row r="306" spans="3:11" x14ac:dyDescent="0.3">
      <c r="C306" t="s">
        <v>7</v>
      </c>
      <c r="D306" t="s">
        <v>37</v>
      </c>
      <c r="E306" t="s">
        <v>16</v>
      </c>
      <c r="F306" s="4">
        <v>4487</v>
      </c>
      <c r="G306" s="5">
        <v>333</v>
      </c>
      <c r="H306">
        <f>_xlfn.XLOOKUP(data[[#This Row],[Product]],products[Product],products[Cost per unit])</f>
        <v>8.7899999999999991</v>
      </c>
      <c r="I306">
        <f>data[[#This Row],[cost per unit]]*data[[#This Row],[Units]]</f>
        <v>2927.0699999999997</v>
      </c>
      <c r="J306" s="4">
        <f>data[[#This Row],[Amount]]-data[[#This Row],[cost]]</f>
        <v>1559.9300000000003</v>
      </c>
      <c r="K306" s="60">
        <f>data[[#This Row],[profit]]/data[[#This Row],[Amount]]</f>
        <v>0.34765544907510593</v>
      </c>
    </row>
    <row r="307" spans="3:11" x14ac:dyDescent="0.3">
      <c r="C307" t="s">
        <v>3</v>
      </c>
      <c r="D307" t="s">
        <v>37</v>
      </c>
      <c r="E307" t="s">
        <v>4</v>
      </c>
      <c r="F307" s="4">
        <v>938</v>
      </c>
      <c r="G307" s="5">
        <v>366</v>
      </c>
      <c r="H307">
        <f>_xlfn.XLOOKUP(data[[#This Row],[Product]],products[Product],products[Cost per unit])</f>
        <v>11.88</v>
      </c>
      <c r="I307">
        <f>data[[#This Row],[cost per unit]]*data[[#This Row],[Units]]</f>
        <v>4348.08</v>
      </c>
      <c r="J307" s="4">
        <f>data[[#This Row],[Amount]]-data[[#This Row],[cost]]</f>
        <v>-3410.08</v>
      </c>
      <c r="K307" s="60">
        <f>data[[#This Row],[profit]]/data[[#This Row],[Amount]]</f>
        <v>-3.6354797441364606</v>
      </c>
    </row>
    <row r="308" spans="3:11" x14ac:dyDescent="0.3">
      <c r="C308" t="s">
        <v>3</v>
      </c>
      <c r="D308" t="s">
        <v>38</v>
      </c>
      <c r="E308" t="s">
        <v>26</v>
      </c>
      <c r="F308" s="4">
        <v>8841</v>
      </c>
      <c r="G308" s="5">
        <v>303</v>
      </c>
      <c r="H308">
        <f>_xlfn.XLOOKUP(data[[#This Row],[Product]],products[Product],products[Cost per unit])</f>
        <v>5.6</v>
      </c>
      <c r="I308">
        <f>data[[#This Row],[cost per unit]]*data[[#This Row],[Units]]</f>
        <v>1696.8</v>
      </c>
      <c r="J308" s="4">
        <f>data[[#This Row],[Amount]]-data[[#This Row],[cost]]</f>
        <v>7144.2</v>
      </c>
      <c r="K308" s="60">
        <f>data[[#This Row],[profit]]/data[[#This Row],[Amount]]</f>
        <v>0.80807600950118763</v>
      </c>
    </row>
    <row r="309" spans="3:11" x14ac:dyDescent="0.3">
      <c r="C309" t="s">
        <v>2</v>
      </c>
      <c r="D309" t="s">
        <v>39</v>
      </c>
      <c r="E309" t="s">
        <v>33</v>
      </c>
      <c r="F309" s="4">
        <v>4018</v>
      </c>
      <c r="G309" s="5">
        <v>126</v>
      </c>
      <c r="H309">
        <f>_xlfn.XLOOKUP(data[[#This Row],[Product]],products[Product],products[Cost per unit])</f>
        <v>12.37</v>
      </c>
      <c r="I309">
        <f>data[[#This Row],[cost per unit]]*data[[#This Row],[Units]]</f>
        <v>1558.62</v>
      </c>
      <c r="J309" s="4">
        <f>data[[#This Row],[Amount]]-data[[#This Row],[cost]]</f>
        <v>2459.38</v>
      </c>
      <c r="K309" s="60">
        <f>data[[#This Row],[profit]]/data[[#This Row],[Amount]]</f>
        <v>0.61209059233449481</v>
      </c>
    </row>
    <row r="310" spans="3:11" x14ac:dyDescent="0.3">
      <c r="C310" t="s">
        <v>41</v>
      </c>
      <c r="D310" t="s">
        <v>37</v>
      </c>
      <c r="E310" t="s">
        <v>15</v>
      </c>
      <c r="F310" s="4">
        <v>714</v>
      </c>
      <c r="G310" s="5">
        <v>231</v>
      </c>
      <c r="H310">
        <f>_xlfn.XLOOKUP(data[[#This Row],[Product]],products[Product],products[Cost per unit])</f>
        <v>11.73</v>
      </c>
      <c r="I310">
        <f>data[[#This Row],[cost per unit]]*data[[#This Row],[Units]]</f>
        <v>2709.63</v>
      </c>
      <c r="J310" s="4">
        <f>data[[#This Row],[Amount]]-data[[#This Row],[cost]]</f>
        <v>-1995.63</v>
      </c>
      <c r="K310" s="60">
        <f>data[[#This Row],[profit]]/data[[#This Row],[Amount]]</f>
        <v>-2.7950000000000004</v>
      </c>
    </row>
    <row r="311" spans="3:11" x14ac:dyDescent="0.3">
      <c r="C311" t="s">
        <v>9</v>
      </c>
      <c r="D311" t="s">
        <v>38</v>
      </c>
      <c r="E311" t="s">
        <v>25</v>
      </c>
      <c r="F311" s="4">
        <v>3850</v>
      </c>
      <c r="G311" s="5">
        <v>102</v>
      </c>
      <c r="H311">
        <f>_xlfn.XLOOKUP(data[[#This Row],[Product]],products[Product],products[Cost per unit])</f>
        <v>13.15</v>
      </c>
      <c r="I311">
        <f>data[[#This Row],[cost per unit]]*data[[#This Row],[Units]]</f>
        <v>1341.3</v>
      </c>
      <c r="J311" s="4">
        <f>data[[#This Row],[Amount]]-data[[#This Row],[cost]]</f>
        <v>2508.6999999999998</v>
      </c>
      <c r="K311" s="60">
        <f>data[[#This Row],[profit]]/data[[#This Row],[Amount]]</f>
        <v>0.65161038961038953</v>
      </c>
    </row>
    <row r="312" spans="3:11" x14ac:dyDescent="0.3">
      <c r="F312" s="4"/>
      <c r="G312" s="5"/>
    </row>
    <row r="313" spans="3:11" x14ac:dyDescent="0.3">
      <c r="F313" s="4"/>
      <c r="G313" s="5"/>
    </row>
    <row r="314" spans="3:11" x14ac:dyDescent="0.3">
      <c r="F314" s="4"/>
      <c r="G314" s="5"/>
    </row>
    <row r="315" spans="3:11" x14ac:dyDescent="0.3">
      <c r="F315" s="4"/>
      <c r="G315" s="5"/>
    </row>
    <row r="316" spans="3:11" x14ac:dyDescent="0.3">
      <c r="F316" s="4"/>
      <c r="G316" s="5"/>
    </row>
    <row r="317" spans="3:11" x14ac:dyDescent="0.3">
      <c r="F317" s="4"/>
      <c r="G317" s="5"/>
    </row>
    <row r="318" spans="3:11" x14ac:dyDescent="0.3">
      <c r="F318" s="4"/>
      <c r="G318" s="5"/>
    </row>
    <row r="319" spans="3:11" x14ac:dyDescent="0.3">
      <c r="F319" s="4"/>
      <c r="G319" s="5"/>
    </row>
    <row r="320" spans="3:11"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69B32-72B4-47DC-9C19-61C2B66932F3}">
  <dimension ref="A1:M18"/>
  <sheetViews>
    <sheetView workbookViewId="0">
      <selection activeCell="K13" sqref="K13"/>
    </sheetView>
  </sheetViews>
  <sheetFormatPr defaultRowHeight="14.4" x14ac:dyDescent="0.3"/>
  <cols>
    <col min="1" max="1" width="17.88671875" customWidth="1"/>
    <col min="2" max="2" width="12.109375" bestFit="1" customWidth="1"/>
    <col min="3" max="3" width="10.109375" bestFit="1" customWidth="1"/>
    <col min="6" max="6" width="17.44140625" customWidth="1"/>
    <col min="7" max="7" width="18" customWidth="1"/>
  </cols>
  <sheetData>
    <row r="1" spans="1:13" s="40" customFormat="1" ht="40.200000000000003" customHeight="1" x14ac:dyDescent="0.7">
      <c r="A1" s="63" t="s">
        <v>79</v>
      </c>
      <c r="B1" s="63"/>
      <c r="C1" s="63"/>
      <c r="D1" s="63"/>
      <c r="E1" s="63"/>
      <c r="F1" s="63"/>
    </row>
    <row r="3" spans="1:13" x14ac:dyDescent="0.3">
      <c r="A3" s="6" t="s">
        <v>63</v>
      </c>
      <c r="B3" s="49" t="s">
        <v>39</v>
      </c>
    </row>
    <row r="4" spans="1:13" ht="18" customHeight="1" x14ac:dyDescent="0.3">
      <c r="A4" s="6"/>
      <c r="B4" s="6"/>
    </row>
    <row r="5" spans="1:13" ht="15.6" x14ac:dyDescent="0.3">
      <c r="A5" s="64" t="s">
        <v>80</v>
      </c>
      <c r="B5" s="64"/>
      <c r="C5" s="47">
        <f>COUNTIFS(data[Geography],B3)</f>
        <v>40</v>
      </c>
      <c r="D5" s="47"/>
    </row>
    <row r="6" spans="1:13" ht="18" x14ac:dyDescent="0.35">
      <c r="F6" s="65" t="s">
        <v>86</v>
      </c>
      <c r="G6" s="65"/>
    </row>
    <row r="7" spans="1:13" x14ac:dyDescent="0.3">
      <c r="A7" s="48"/>
      <c r="B7" s="56" t="s">
        <v>84</v>
      </c>
      <c r="C7" s="56" t="s">
        <v>85</v>
      </c>
      <c r="D7" s="48"/>
    </row>
    <row r="8" spans="1:13" x14ac:dyDescent="0.3">
      <c r="A8" t="s">
        <v>81</v>
      </c>
      <c r="B8" s="57">
        <f>SUMIFS(data[Amount],data[Geography],$B3)</f>
        <v>173530</v>
      </c>
      <c r="C8" s="57">
        <f>AVERAGEIFS(data[Amount],data[Geography],B$3)</f>
        <v>4338.25</v>
      </c>
      <c r="F8" s="50"/>
      <c r="G8" s="54" t="s">
        <v>1</v>
      </c>
      <c r="H8" s="54" t="s">
        <v>87</v>
      </c>
      <c r="I8" s="55"/>
    </row>
    <row r="9" spans="1:13" x14ac:dyDescent="0.3">
      <c r="A9" t="s">
        <v>75</v>
      </c>
      <c r="B9" s="57">
        <f>SUMIFS(data[cost],data[Geography],$B3)</f>
        <v>53938.530000000028</v>
      </c>
      <c r="C9" s="57">
        <f>AVERAGEIFS(data[cost],data[Geography],B$3)</f>
        <v>1348.4632500000007</v>
      </c>
      <c r="F9" s="51" t="s">
        <v>2</v>
      </c>
      <c r="G9">
        <f>SUMIFS(data[Amount],data[Sales Person],$F9,data[Geography],$B$3)</f>
        <v>45752</v>
      </c>
      <c r="H9">
        <f>SUMIFS(data[Units],data[Sales Person],$F9,data[Geography],$B$3)</f>
        <v>1518</v>
      </c>
      <c r="I9">
        <f>IF(G9&gt;12000,1,-1)</f>
        <v>1</v>
      </c>
    </row>
    <row r="10" spans="1:13" x14ac:dyDescent="0.3">
      <c r="A10" t="s">
        <v>82</v>
      </c>
      <c r="B10" s="57">
        <f>SUMIFS(data[profit],data[Geography],$B3)</f>
        <v>119591.47000000002</v>
      </c>
      <c r="C10" s="57">
        <f>AVERAGEIFS(data[profit],data[Geography],B$3)</f>
        <v>2989.7867500000002</v>
      </c>
      <c r="F10" s="52" t="s">
        <v>8</v>
      </c>
      <c r="G10">
        <f>SUMIFS(data[Amount],data[Sales Person],$F10,data[Geography],$B$3)</f>
        <v>27132</v>
      </c>
      <c r="H10">
        <f>SUMIFS(data[Units],data[Sales Person],$F10,data[Geography],$B$3)</f>
        <v>447</v>
      </c>
      <c r="I10">
        <f t="shared" ref="I10:I18" si="0">IF(G10&gt;12000,1,-1)</f>
        <v>1</v>
      </c>
    </row>
    <row r="11" spans="1:13" x14ac:dyDescent="0.3">
      <c r="A11" t="s">
        <v>83</v>
      </c>
      <c r="B11" s="58">
        <f>SUMIFS(data[Units],data[Geography],$B3)</f>
        <v>5745</v>
      </c>
      <c r="C11" s="58">
        <f>AVERAGEIFS(data[Units],data[Geography],B$3)</f>
        <v>143.625</v>
      </c>
      <c r="F11" s="52" t="s">
        <v>41</v>
      </c>
      <c r="G11">
        <f>SUMIFS(data[Amount],data[Sales Person],$F11,data[Geography],$B$3)</f>
        <v>3976</v>
      </c>
      <c r="H11">
        <f>SUMIFS(data[Units],data[Sales Person],$F11,data[Geography],$B$3)</f>
        <v>72</v>
      </c>
      <c r="I11">
        <f t="shared" si="0"/>
        <v>-1</v>
      </c>
    </row>
    <row r="12" spans="1:13" x14ac:dyDescent="0.3">
      <c r="F12" s="51" t="s">
        <v>7</v>
      </c>
      <c r="G12">
        <f>SUMIFS(data[Amount],data[Sales Person],$F12,data[Geography],$B$3)</f>
        <v>5404</v>
      </c>
      <c r="H12">
        <f>SUMIFS(data[Units],data[Sales Person],$F12,data[Geography],$B$3)</f>
        <v>444</v>
      </c>
      <c r="I12">
        <f t="shared" si="0"/>
        <v>-1</v>
      </c>
      <c r="M12" s="46"/>
    </row>
    <row r="13" spans="1:13" x14ac:dyDescent="0.3">
      <c r="F13" s="51" t="s">
        <v>6</v>
      </c>
      <c r="G13">
        <f>SUMIFS(data[Amount],data[Sales Person],$F13,data[Geography],$B$3)</f>
        <v>15827</v>
      </c>
      <c r="H13">
        <f>SUMIFS(data[Units],data[Sales Person],$F13,data[Geography],$B$3)</f>
        <v>885</v>
      </c>
      <c r="I13">
        <f t="shared" si="0"/>
        <v>1</v>
      </c>
    </row>
    <row r="14" spans="1:13" x14ac:dyDescent="0.3">
      <c r="F14" s="52" t="s">
        <v>5</v>
      </c>
      <c r="G14">
        <f>SUMIFS(data[Amount],data[Sales Person],$F14,data[Geography],$B$3)</f>
        <v>16548</v>
      </c>
      <c r="H14">
        <f>SUMIFS(data[Units],data[Sales Person],$F14,data[Geography],$B$3)</f>
        <v>552</v>
      </c>
      <c r="I14">
        <f t="shared" si="0"/>
        <v>1</v>
      </c>
    </row>
    <row r="15" spans="1:13" x14ac:dyDescent="0.3">
      <c r="F15" s="53" t="s">
        <v>3</v>
      </c>
      <c r="G15">
        <f>SUMIFS(data[Amount],data[Sales Person],$F15,data[Geography],$B$3)</f>
        <v>10269</v>
      </c>
      <c r="H15">
        <f>SUMIFS(data[Units],data[Sales Person],$F15,data[Geography],$B$3)</f>
        <v>492</v>
      </c>
      <c r="I15">
        <f t="shared" si="0"/>
        <v>-1</v>
      </c>
    </row>
    <row r="16" spans="1:13" x14ac:dyDescent="0.3">
      <c r="F16" s="51" t="s">
        <v>9</v>
      </c>
      <c r="G16">
        <f>SUMIFS(data[Amount],data[Sales Person],$F16,data[Geography],$B$3)</f>
        <v>9751</v>
      </c>
      <c r="H16">
        <f>SUMIFS(data[Units],data[Sales Person],$F16,data[Geography],$B$3)</f>
        <v>582</v>
      </c>
      <c r="I16">
        <f t="shared" si="0"/>
        <v>-1</v>
      </c>
    </row>
    <row r="17" spans="6:9" x14ac:dyDescent="0.3">
      <c r="F17" s="51" t="s">
        <v>10</v>
      </c>
      <c r="G17">
        <f>SUMIFS(data[Amount],data[Sales Person],$F17,data[Geography],$B$3)</f>
        <v>17808</v>
      </c>
      <c r="H17">
        <f>SUMIFS(data[Units],data[Sales Person],$F17,data[Geography],$B$3)</f>
        <v>309</v>
      </c>
      <c r="I17">
        <f t="shared" si="0"/>
        <v>1</v>
      </c>
    </row>
    <row r="18" spans="6:9" x14ac:dyDescent="0.3">
      <c r="F18" s="51" t="s">
        <v>40</v>
      </c>
      <c r="G18">
        <f>SUMIFS(data[Amount],data[Sales Person],$F18,data[Geography],$B$3)</f>
        <v>21063</v>
      </c>
      <c r="H18">
        <f>SUMIFS(data[Units],data[Sales Person],$F18,data[Geography],$B$3)</f>
        <v>444</v>
      </c>
      <c r="I18">
        <f t="shared" si="0"/>
        <v>1</v>
      </c>
    </row>
  </sheetData>
  <sortState xmlns:xlrd2="http://schemas.microsoft.com/office/spreadsheetml/2017/richdata2" ref="F9:F18">
    <sortCondition ref="F9:F18"/>
  </sortState>
  <mergeCells count="3">
    <mergeCell ref="A1:F1"/>
    <mergeCell ref="A5:B5"/>
    <mergeCell ref="F6:G6"/>
  </mergeCells>
  <conditionalFormatting sqref="G9:G18">
    <cfRule type="dataBar" priority="2">
      <dataBar>
        <cfvo type="min"/>
        <cfvo type="max"/>
        <color rgb="FF638EC6"/>
      </dataBar>
      <extLst>
        <ext xmlns:x14="http://schemas.microsoft.com/office/spreadsheetml/2009/9/main" uri="{B025F937-C7B1-47D3-B67F-A62EFF666E3E}">
          <x14:id>{90F68235-4A34-4471-8831-F48C6B3FA5B9}</x14:id>
        </ext>
      </extLst>
    </cfRule>
  </conditionalFormatting>
  <dataValidations count="1">
    <dataValidation type="list" allowBlank="1" showInputMessage="1" showErrorMessage="1" sqref="B3" xr:uid="{EFA8A9DC-EFF4-4103-B073-7302002F8094}">
      <formula1>"India, Canada, USA,Australia, New Zealand, UK"</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F68235-4A34-4471-8831-F48C6B3FA5B9}">
            <x14:dataBar minLength="0" maxLength="100" border="1" negativeBarBorderColorSameAsPositive="0">
              <x14:cfvo type="autoMin"/>
              <x14:cfvo type="autoMax"/>
              <x14:borderColor rgb="FF638EC6"/>
              <x14:negativeFillColor rgb="FFFF0000"/>
              <x14:negativeBorderColor rgb="FFFF0000"/>
              <x14:axisColor rgb="FF000000"/>
            </x14:dataBar>
          </x14:cfRule>
          <xm:sqref>G9:G18</xm:sqref>
        </x14:conditionalFormatting>
        <x14:conditionalFormatting xmlns:xm="http://schemas.microsoft.com/office/excel/2006/main">
          <x14:cfRule type="iconSet" priority="1" id="{CDA53F51-07A6-4280-94F0-5D2AB5595203}">
            <x14:iconSet iconSet="3Symbols" custom="1">
              <x14:cfvo type="percent">
                <xm:f>0</xm:f>
              </x14:cfvo>
              <x14:cfvo type="num">
                <xm:f>0</xm:f>
              </x14:cfvo>
              <x14:cfvo type="num">
                <xm:f>1</xm:f>
              </x14:cfvo>
              <x14:cfIcon iconSet="3Symbols" iconId="0"/>
              <x14:cfIcon iconSet="NoIcons" iconId="0"/>
              <x14:cfIcon iconSet="3Symbols" iconId="2"/>
            </x14:iconSet>
          </x14:cfRule>
          <xm:sqref>I9:I18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40C4-B862-4079-8173-55490B3181F6}">
  <dimension ref="A1:G21"/>
  <sheetViews>
    <sheetView tabSelected="1" workbookViewId="0">
      <selection activeCell="F3" sqref="F3"/>
    </sheetView>
  </sheetViews>
  <sheetFormatPr defaultRowHeight="14.4" x14ac:dyDescent="0.3"/>
  <cols>
    <col min="2" max="2" width="20.21875" bestFit="1" customWidth="1"/>
    <col min="3" max="3" width="14.44140625" bestFit="1" customWidth="1"/>
    <col min="4" max="4" width="11.77734375" bestFit="1" customWidth="1"/>
    <col min="5" max="5" width="12.44140625" bestFit="1" customWidth="1"/>
    <col min="6" max="6" width="12.5546875" bestFit="1" customWidth="1"/>
    <col min="8" max="8" width="20.21875" bestFit="1" customWidth="1"/>
  </cols>
  <sheetData>
    <row r="1" spans="1:7" ht="25.8" x14ac:dyDescent="0.5">
      <c r="A1" s="66" t="s">
        <v>88</v>
      </c>
      <c r="B1" s="66"/>
      <c r="C1" s="66"/>
      <c r="D1" s="66"/>
      <c r="E1" s="66"/>
      <c r="F1" s="66"/>
      <c r="G1" s="66"/>
    </row>
    <row r="2" spans="1:7" x14ac:dyDescent="0.3">
      <c r="B2" s="33" t="s">
        <v>65</v>
      </c>
      <c r="C2" t="s">
        <v>67</v>
      </c>
      <c r="D2" t="s">
        <v>68</v>
      </c>
      <c r="E2" t="s">
        <v>90</v>
      </c>
      <c r="F2" t="s">
        <v>91</v>
      </c>
    </row>
    <row r="3" spans="1:7" x14ac:dyDescent="0.3">
      <c r="B3" s="13" t="s">
        <v>26</v>
      </c>
      <c r="C3" s="61">
        <v>98</v>
      </c>
      <c r="D3" s="67">
        <v>204</v>
      </c>
      <c r="E3" s="42">
        <v>-439605.7300000001</v>
      </c>
      <c r="F3" s="59">
        <v>-4485.7727551020416</v>
      </c>
    </row>
    <row r="4" spans="1:7" x14ac:dyDescent="0.3">
      <c r="B4" s="13" t="s">
        <v>21</v>
      </c>
      <c r="C4" s="61">
        <v>497</v>
      </c>
      <c r="D4" s="67">
        <v>63</v>
      </c>
      <c r="E4" s="42">
        <v>-439206.7300000001</v>
      </c>
      <c r="F4" s="59">
        <v>-883.7157545271632</v>
      </c>
    </row>
    <row r="5" spans="1:7" x14ac:dyDescent="0.3">
      <c r="B5" s="13" t="s">
        <v>28</v>
      </c>
      <c r="C5" s="61">
        <v>1827</v>
      </c>
      <c r="D5" s="67">
        <v>471</v>
      </c>
      <c r="E5" s="42">
        <v>-437876.7300000001</v>
      </c>
      <c r="F5" s="59">
        <v>-239.66980295566509</v>
      </c>
    </row>
    <row r="6" spans="1:7" x14ac:dyDescent="0.3">
      <c r="B6" s="13" t="s">
        <v>31</v>
      </c>
      <c r="C6" s="61">
        <v>5243</v>
      </c>
      <c r="D6" s="67">
        <v>363</v>
      </c>
      <c r="E6" s="42">
        <v>-434460.7300000001</v>
      </c>
      <c r="F6" s="59">
        <v>-82.864911310318533</v>
      </c>
    </row>
    <row r="7" spans="1:7" x14ac:dyDescent="0.3">
      <c r="B7" s="13" t="s">
        <v>19</v>
      </c>
      <c r="C7" s="61">
        <v>6076</v>
      </c>
      <c r="D7" s="67">
        <v>510</v>
      </c>
      <c r="E7" s="42">
        <v>-433627.7300000001</v>
      </c>
      <c r="F7" s="59">
        <v>-71.367302501645838</v>
      </c>
    </row>
    <row r="8" spans="1:7" x14ac:dyDescent="0.3">
      <c r="B8" s="13" t="s">
        <v>22</v>
      </c>
      <c r="C8" s="61">
        <v>8435</v>
      </c>
      <c r="D8" s="67">
        <v>42</v>
      </c>
      <c r="E8" s="42">
        <v>-431268.7300000001</v>
      </c>
      <c r="F8" s="59">
        <v>-51.128480142264387</v>
      </c>
    </row>
    <row r="9" spans="1:7" x14ac:dyDescent="0.3">
      <c r="B9" s="13" t="s">
        <v>17</v>
      </c>
      <c r="C9" s="61">
        <v>8498</v>
      </c>
      <c r="D9" s="67">
        <v>552</v>
      </c>
      <c r="E9" s="42">
        <v>-431205.7300000001</v>
      </c>
      <c r="F9" s="59">
        <v>-50.742025182395871</v>
      </c>
    </row>
    <row r="10" spans="1:7" x14ac:dyDescent="0.3">
      <c r="B10" s="13" t="s">
        <v>33</v>
      </c>
      <c r="C10" s="61">
        <v>9772</v>
      </c>
      <c r="D10" s="67">
        <v>90</v>
      </c>
      <c r="E10" s="42">
        <v>-429931.7300000001</v>
      </c>
      <c r="F10" s="59">
        <v>-43.996288374948847</v>
      </c>
    </row>
    <row r="11" spans="1:7" x14ac:dyDescent="0.3">
      <c r="B11" s="13" t="s">
        <v>4</v>
      </c>
      <c r="C11" s="61">
        <v>10290</v>
      </c>
      <c r="D11" s="67">
        <v>156</v>
      </c>
      <c r="E11" s="42">
        <v>-429413.7300000001</v>
      </c>
      <c r="F11" s="59">
        <v>-41.731169096209925</v>
      </c>
    </row>
    <row r="12" spans="1:7" x14ac:dyDescent="0.3">
      <c r="B12" s="13" t="s">
        <v>25</v>
      </c>
      <c r="C12" s="61">
        <v>10920</v>
      </c>
      <c r="D12" s="67">
        <v>183</v>
      </c>
      <c r="E12" s="42">
        <v>-428783.7300000001</v>
      </c>
      <c r="F12" s="59">
        <v>-39.265909340659348</v>
      </c>
    </row>
    <row r="13" spans="1:7" x14ac:dyDescent="0.3">
      <c r="B13" s="13" t="s">
        <v>30</v>
      </c>
      <c r="C13" s="61">
        <v>16695</v>
      </c>
      <c r="D13" s="67">
        <v>336</v>
      </c>
      <c r="E13" s="42">
        <v>-423008.7300000001</v>
      </c>
      <c r="F13" s="59">
        <v>-25.337450134770894</v>
      </c>
    </row>
    <row r="14" spans="1:7" x14ac:dyDescent="0.3">
      <c r="B14" s="13" t="s">
        <v>27</v>
      </c>
      <c r="C14" s="61">
        <v>16891</v>
      </c>
      <c r="D14" s="67">
        <v>1101</v>
      </c>
      <c r="E14" s="42">
        <v>-422812.7300000001</v>
      </c>
      <c r="F14" s="59">
        <v>-25.031835296903683</v>
      </c>
    </row>
    <row r="15" spans="1:7" x14ac:dyDescent="0.3">
      <c r="B15" s="13" t="s">
        <v>23</v>
      </c>
      <c r="C15" s="61">
        <v>17423</v>
      </c>
      <c r="D15" s="67">
        <v>591</v>
      </c>
      <c r="E15" s="42">
        <v>-422280.7300000001</v>
      </c>
      <c r="F15" s="59">
        <v>-24.236970096998228</v>
      </c>
    </row>
    <row r="16" spans="1:7" x14ac:dyDescent="0.3">
      <c r="B16" s="13" t="s">
        <v>29</v>
      </c>
      <c r="C16" s="61">
        <v>17633</v>
      </c>
      <c r="D16" s="67">
        <v>804</v>
      </c>
      <c r="E16" s="42">
        <v>-422070.7300000001</v>
      </c>
      <c r="F16" s="59">
        <v>-23.936410707196739</v>
      </c>
    </row>
    <row r="17" spans="2:6" x14ac:dyDescent="0.3">
      <c r="B17" s="13" t="s">
        <v>18</v>
      </c>
      <c r="C17" s="61">
        <v>18389</v>
      </c>
      <c r="D17" s="67">
        <v>468</v>
      </c>
      <c r="E17" s="42">
        <v>-421314.7300000001</v>
      </c>
      <c r="F17" s="59">
        <v>-22.911236608842248</v>
      </c>
    </row>
    <row r="18" spans="2:6" x14ac:dyDescent="0.3">
      <c r="B18" s="13" t="s">
        <v>13</v>
      </c>
      <c r="C18" s="61">
        <v>26145</v>
      </c>
      <c r="D18" s="67">
        <v>600</v>
      </c>
      <c r="E18" s="42">
        <v>-413558.7300000001</v>
      </c>
      <c r="F18" s="59">
        <v>-15.817889845094669</v>
      </c>
    </row>
    <row r="19" spans="2:6" x14ac:dyDescent="0.3">
      <c r="B19" s="13" t="s">
        <v>32</v>
      </c>
      <c r="C19" s="61">
        <v>26313</v>
      </c>
      <c r="D19" s="67">
        <v>672</v>
      </c>
      <c r="E19" s="42">
        <v>-413390.7300000001</v>
      </c>
      <c r="F19" s="59">
        <v>-15.710513054383769</v>
      </c>
    </row>
    <row r="20" spans="2:6" x14ac:dyDescent="0.3">
      <c r="B20" s="13" t="s">
        <v>16</v>
      </c>
      <c r="C20" s="61">
        <v>36799</v>
      </c>
      <c r="D20" s="67">
        <v>96</v>
      </c>
      <c r="E20" s="42">
        <v>-402904.7300000001</v>
      </c>
      <c r="F20" s="59">
        <v>-10.948795619446184</v>
      </c>
    </row>
    <row r="21" spans="2:6" x14ac:dyDescent="0.3">
      <c r="B21" s="13" t="s">
        <v>66</v>
      </c>
      <c r="C21" s="61">
        <v>237944</v>
      </c>
      <c r="D21" s="67">
        <v>7302</v>
      </c>
      <c r="E21" s="42">
        <v>-201759.7300000001</v>
      </c>
      <c r="F21" s="59">
        <v>-0.84792947079985248</v>
      </c>
    </row>
  </sheetData>
  <mergeCells count="1">
    <mergeCell ref="A1:G1"/>
  </mergeCells>
  <conditionalFormatting pivot="1" sqref="F3:F2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4F355-377E-406E-83E7-4B2C52394604}">
  <dimension ref="B1:F8"/>
  <sheetViews>
    <sheetView workbookViewId="0">
      <selection activeCell="G7" sqref="G7"/>
    </sheetView>
  </sheetViews>
  <sheetFormatPr defaultRowHeight="14.4" x14ac:dyDescent="0.3"/>
  <cols>
    <col min="2" max="2" width="15.77734375" customWidth="1"/>
    <col min="6" max="6" width="10.5546875" bestFit="1" customWidth="1"/>
  </cols>
  <sheetData>
    <row r="1" spans="2:6" x14ac:dyDescent="0.3">
      <c r="C1" s="6" t="s">
        <v>1</v>
      </c>
      <c r="D1" s="6" t="s">
        <v>50</v>
      </c>
      <c r="F1" s="12"/>
    </row>
    <row r="2" spans="2:6" x14ac:dyDescent="0.3">
      <c r="B2" s="6" t="s">
        <v>56</v>
      </c>
      <c r="C2">
        <f>AVERAGE(data[Amount])</f>
        <v>4136.2299999999996</v>
      </c>
      <c r="D2">
        <f>AVERAGE(data[Units])</f>
        <v>152.19999999999999</v>
      </c>
    </row>
    <row r="3" spans="2:6" x14ac:dyDescent="0.3">
      <c r="B3" s="6" t="s">
        <v>57</v>
      </c>
      <c r="C3">
        <f>MEDIAN(data[Amount])</f>
        <v>3437</v>
      </c>
      <c r="D3">
        <f>MEDIAN(data[Units])</f>
        <v>124.5</v>
      </c>
    </row>
    <row r="4" spans="2:6" x14ac:dyDescent="0.3">
      <c r="B4" s="6" t="s">
        <v>58</v>
      </c>
      <c r="C4">
        <f>MAX(data[Amount])</f>
        <v>16184</v>
      </c>
      <c r="D4">
        <f>MAX(data[Units])</f>
        <v>525</v>
      </c>
    </row>
    <row r="5" spans="2:6" x14ac:dyDescent="0.3">
      <c r="B5" s="6" t="s">
        <v>59</v>
      </c>
      <c r="C5">
        <f>MIN(data[Amount])</f>
        <v>0</v>
      </c>
      <c r="D5">
        <f>MIN(data[Units])</f>
        <v>0</v>
      </c>
    </row>
    <row r="6" spans="2:6" x14ac:dyDescent="0.3">
      <c r="B6" s="6" t="s">
        <v>60</v>
      </c>
      <c r="C6">
        <f>C4-C5</f>
        <v>16184</v>
      </c>
      <c r="D6">
        <f>D4-D5</f>
        <v>525</v>
      </c>
    </row>
    <row r="7" spans="2:6" x14ac:dyDescent="0.3">
      <c r="B7" s="6" t="s">
        <v>61</v>
      </c>
      <c r="C7">
        <f>COUNTA(_xlfn.UNIQUE(data[Product]))</f>
        <v>22</v>
      </c>
      <c r="D7">
        <f>COUNTA(_xlfn.UNIQUE(data[Amount]))</f>
        <v>268</v>
      </c>
    </row>
    <row r="8" spans="2:6" x14ac:dyDescent="0.3">
      <c r="B8" s="6" t="s">
        <v>62</v>
      </c>
      <c r="C8">
        <f>_xlfn.PERCENTILE.EXC(data[Amount],0.25)</f>
        <v>1652</v>
      </c>
      <c r="D8">
        <f>_xlfn.PERCENTILE.EXC(data[Units],0.25)</f>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0597-BF0F-4008-B595-435A8FB4BF98}">
  <dimension ref="A1:G9"/>
  <sheetViews>
    <sheetView workbookViewId="0">
      <selection activeCell="B15" sqref="B15"/>
    </sheetView>
  </sheetViews>
  <sheetFormatPr defaultRowHeight="14.4" x14ac:dyDescent="0.3"/>
  <cols>
    <col min="1" max="1" width="12.5546875" bestFit="1" customWidth="1"/>
    <col min="2" max="2" width="14.44140625" bestFit="1" customWidth="1"/>
    <col min="3" max="3" width="1.44140625" bestFit="1" customWidth="1"/>
    <col min="4" max="4" width="11.77734375" bestFit="1" customWidth="1"/>
  </cols>
  <sheetData>
    <row r="1" spans="1:7" ht="23.4" x14ac:dyDescent="0.45">
      <c r="A1" s="30" t="s">
        <v>64</v>
      </c>
      <c r="B1" s="31"/>
      <c r="C1" s="31"/>
      <c r="D1" s="31"/>
      <c r="E1" s="31"/>
      <c r="F1" s="31"/>
      <c r="G1" s="32"/>
    </row>
    <row r="3" spans="1:7" x14ac:dyDescent="0.3">
      <c r="A3" s="33" t="s">
        <v>65</v>
      </c>
      <c r="B3" t="s">
        <v>67</v>
      </c>
      <c r="C3" t="s">
        <v>69</v>
      </c>
      <c r="D3" t="s">
        <v>68</v>
      </c>
    </row>
    <row r="4" spans="1:7" x14ac:dyDescent="0.3">
      <c r="A4" s="13" t="s">
        <v>34</v>
      </c>
      <c r="B4" s="39">
        <v>252469</v>
      </c>
      <c r="C4">
        <v>252469</v>
      </c>
      <c r="D4">
        <v>8760</v>
      </c>
    </row>
    <row r="5" spans="1:7" x14ac:dyDescent="0.3">
      <c r="A5" s="13" t="s">
        <v>36</v>
      </c>
      <c r="B5" s="39">
        <v>237944</v>
      </c>
      <c r="C5">
        <v>237944</v>
      </c>
      <c r="D5">
        <v>7302</v>
      </c>
    </row>
    <row r="6" spans="1:7" x14ac:dyDescent="0.3">
      <c r="A6" s="13" t="s">
        <v>37</v>
      </c>
      <c r="B6" s="39">
        <v>218813</v>
      </c>
      <c r="C6">
        <v>218813</v>
      </c>
      <c r="D6">
        <v>7431</v>
      </c>
    </row>
    <row r="7" spans="1:7" x14ac:dyDescent="0.3">
      <c r="A7" s="13" t="s">
        <v>35</v>
      </c>
      <c r="B7" s="39">
        <v>189434</v>
      </c>
      <c r="C7">
        <v>189434</v>
      </c>
      <c r="D7">
        <v>10158</v>
      </c>
    </row>
    <row r="8" spans="1:7" x14ac:dyDescent="0.3">
      <c r="A8" s="13" t="s">
        <v>39</v>
      </c>
      <c r="B8" s="39">
        <v>173530</v>
      </c>
      <c r="C8">
        <v>173530</v>
      </c>
      <c r="D8">
        <v>5745</v>
      </c>
    </row>
    <row r="9" spans="1:7" x14ac:dyDescent="0.3">
      <c r="A9" s="13" t="s">
        <v>38</v>
      </c>
      <c r="B9" s="39">
        <v>168679</v>
      </c>
      <c r="C9">
        <v>168679</v>
      </c>
      <c r="D9">
        <v>6264</v>
      </c>
    </row>
  </sheetData>
  <conditionalFormatting pivot="1" sqref="C4:C9">
    <cfRule type="dataBar" priority="1">
      <dataBar showValue="0">
        <cfvo type="min"/>
        <cfvo type="max"/>
        <color theme="8" tint="-0.499984740745262"/>
      </dataBar>
      <extLst>
        <ext xmlns:x14="http://schemas.microsoft.com/office/spreadsheetml/2009/9/main" uri="{B025F937-C7B1-47D3-B67F-A62EFF666E3E}">
          <x14:id>{830A13E9-9CB9-4911-B13D-68E10DBD56A8}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30A13E9-9CB9-4911-B13D-68E10DBD56A8}">
            <x14:dataBar minLength="0" maxLength="100" gradient="0">
              <x14:cfvo type="autoMin"/>
              <x14:cfvo type="autoMax"/>
              <x14:negativeFillColor rgb="FFFF0000"/>
              <x14:axisColor rgb="FF000000"/>
            </x14:dataBar>
          </x14:cfRule>
          <xm:sqref>C4:C9</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A1AA-8805-4C97-8DC4-4AEEE904ADF6}">
  <dimension ref="A1:E302"/>
  <sheetViews>
    <sheetView workbookViewId="0">
      <selection activeCell="I82" sqref="I82"/>
    </sheetView>
  </sheetViews>
  <sheetFormatPr defaultRowHeight="14.4" x14ac:dyDescent="0.3"/>
  <cols>
    <col min="1" max="1" width="15.44140625" customWidth="1"/>
    <col min="2" max="2" width="17.44140625" customWidth="1"/>
    <col min="3" max="3" width="16" customWidth="1"/>
    <col min="4" max="4" width="17.21875" customWidth="1"/>
    <col min="5" max="5" width="11.6640625" customWidth="1"/>
  </cols>
  <sheetData>
    <row r="1" spans="1:5" ht="31.2" customHeight="1" x14ac:dyDescent="0.5">
      <c r="B1" s="62" t="s">
        <v>92</v>
      </c>
      <c r="C1" s="62"/>
      <c r="D1" s="62"/>
      <c r="E1" s="62"/>
    </row>
    <row r="2" spans="1:5" x14ac:dyDescent="0.3">
      <c r="A2" s="6" t="s">
        <v>11</v>
      </c>
      <c r="B2" s="6" t="s">
        <v>12</v>
      </c>
      <c r="C2" s="6" t="s">
        <v>0</v>
      </c>
      <c r="D2" s="10" t="s">
        <v>1</v>
      </c>
      <c r="E2" s="10" t="s">
        <v>50</v>
      </c>
    </row>
    <row r="3" spans="1:5" x14ac:dyDescent="0.3">
      <c r="A3" t="s">
        <v>5</v>
      </c>
      <c r="B3" t="s">
        <v>36</v>
      </c>
      <c r="C3" t="s">
        <v>16</v>
      </c>
      <c r="D3" s="4">
        <v>16184</v>
      </c>
      <c r="E3" s="5">
        <v>39</v>
      </c>
    </row>
    <row r="4" spans="1:5" x14ac:dyDescent="0.3">
      <c r="A4" t="s">
        <v>5</v>
      </c>
      <c r="B4" t="s">
        <v>34</v>
      </c>
      <c r="C4" t="s">
        <v>20</v>
      </c>
      <c r="D4" s="4">
        <v>15610</v>
      </c>
      <c r="E4" s="5">
        <v>339</v>
      </c>
    </row>
    <row r="5" spans="1:5" x14ac:dyDescent="0.3">
      <c r="A5" t="s">
        <v>9</v>
      </c>
      <c r="B5" t="s">
        <v>34</v>
      </c>
      <c r="C5" t="s">
        <v>28</v>
      </c>
      <c r="D5" s="4">
        <v>14329</v>
      </c>
      <c r="E5" s="5">
        <v>150</v>
      </c>
    </row>
    <row r="6" spans="1:5" x14ac:dyDescent="0.3">
      <c r="A6" t="s">
        <v>5</v>
      </c>
      <c r="B6" t="s">
        <v>35</v>
      </c>
      <c r="C6" t="s">
        <v>15</v>
      </c>
      <c r="D6" s="4">
        <v>13391</v>
      </c>
      <c r="E6" s="5">
        <v>201</v>
      </c>
    </row>
    <row r="7" spans="1:5" x14ac:dyDescent="0.3">
      <c r="A7" t="s">
        <v>10</v>
      </c>
      <c r="B7" t="s">
        <v>39</v>
      </c>
      <c r="C7" t="s">
        <v>33</v>
      </c>
      <c r="D7" s="4">
        <v>12950</v>
      </c>
      <c r="E7" s="5">
        <v>30</v>
      </c>
    </row>
    <row r="8" spans="1:5" x14ac:dyDescent="0.3">
      <c r="A8" t="s">
        <v>40</v>
      </c>
      <c r="B8" t="s">
        <v>35</v>
      </c>
      <c r="C8" t="s">
        <v>32</v>
      </c>
      <c r="D8" s="4">
        <v>12348</v>
      </c>
      <c r="E8" s="5">
        <v>234</v>
      </c>
    </row>
    <row r="9" spans="1:5" x14ac:dyDescent="0.3">
      <c r="A9" t="s">
        <v>2</v>
      </c>
      <c r="B9" t="s">
        <v>37</v>
      </c>
      <c r="C9" t="s">
        <v>18</v>
      </c>
      <c r="D9" s="4">
        <v>11571</v>
      </c>
      <c r="E9" s="5">
        <v>138</v>
      </c>
    </row>
    <row r="10" spans="1:5" x14ac:dyDescent="0.3">
      <c r="A10" t="s">
        <v>9</v>
      </c>
      <c r="B10" t="s">
        <v>36</v>
      </c>
      <c r="C10" t="s">
        <v>27</v>
      </c>
      <c r="D10" s="4">
        <v>11522</v>
      </c>
      <c r="E10" s="5">
        <v>204</v>
      </c>
    </row>
    <row r="11" spans="1:5" x14ac:dyDescent="0.3">
      <c r="A11" t="s">
        <v>2</v>
      </c>
      <c r="B11" t="s">
        <v>36</v>
      </c>
      <c r="C11" t="s">
        <v>16</v>
      </c>
      <c r="D11" s="4">
        <v>11417</v>
      </c>
      <c r="E11" s="5">
        <v>21</v>
      </c>
    </row>
    <row r="12" spans="1:5" x14ac:dyDescent="0.3">
      <c r="A12" t="s">
        <v>41</v>
      </c>
      <c r="B12" t="s">
        <v>36</v>
      </c>
      <c r="C12" t="s">
        <v>13</v>
      </c>
      <c r="D12" s="4">
        <v>10311</v>
      </c>
      <c r="E12" s="5">
        <v>231</v>
      </c>
    </row>
    <row r="13" spans="1:5" x14ac:dyDescent="0.3">
      <c r="A13" t="s">
        <v>41</v>
      </c>
      <c r="B13" t="s">
        <v>36</v>
      </c>
      <c r="C13" t="s">
        <v>32</v>
      </c>
      <c r="D13" s="4">
        <v>10304</v>
      </c>
      <c r="E13" s="5">
        <v>84</v>
      </c>
    </row>
    <row r="14" spans="1:5" x14ac:dyDescent="0.3">
      <c r="A14" t="s">
        <v>7</v>
      </c>
      <c r="B14" t="s">
        <v>38</v>
      </c>
      <c r="C14" t="s">
        <v>30</v>
      </c>
      <c r="D14" s="4">
        <v>10129</v>
      </c>
      <c r="E14" s="5">
        <v>312</v>
      </c>
    </row>
    <row r="15" spans="1:5" x14ac:dyDescent="0.3">
      <c r="A15" t="s">
        <v>6</v>
      </c>
      <c r="B15" t="s">
        <v>36</v>
      </c>
      <c r="C15" t="s">
        <v>4</v>
      </c>
      <c r="D15" s="4">
        <v>10073</v>
      </c>
      <c r="E15" s="5">
        <v>120</v>
      </c>
    </row>
    <row r="16" spans="1:5" x14ac:dyDescent="0.3">
      <c r="A16" t="s">
        <v>2</v>
      </c>
      <c r="B16" t="s">
        <v>37</v>
      </c>
      <c r="C16" t="s">
        <v>17</v>
      </c>
      <c r="D16" s="4">
        <v>9926</v>
      </c>
      <c r="E16" s="5">
        <v>201</v>
      </c>
    </row>
    <row r="17" spans="1:5" x14ac:dyDescent="0.3">
      <c r="A17" t="s">
        <v>7</v>
      </c>
      <c r="B17" t="s">
        <v>37</v>
      </c>
      <c r="C17" t="s">
        <v>22</v>
      </c>
      <c r="D17" s="4">
        <v>9835</v>
      </c>
      <c r="E17" s="5">
        <v>207</v>
      </c>
    </row>
    <row r="18" spans="1:5" x14ac:dyDescent="0.3">
      <c r="A18" t="s">
        <v>40</v>
      </c>
      <c r="B18" t="s">
        <v>36</v>
      </c>
      <c r="C18" t="s">
        <v>33</v>
      </c>
      <c r="D18" s="4">
        <v>9772</v>
      </c>
      <c r="E18" s="5">
        <v>90</v>
      </c>
    </row>
    <row r="19" spans="1:5" x14ac:dyDescent="0.3">
      <c r="A19" t="s">
        <v>8</v>
      </c>
      <c r="B19" t="s">
        <v>37</v>
      </c>
      <c r="C19" t="s">
        <v>15</v>
      </c>
      <c r="D19" s="4">
        <v>9709</v>
      </c>
      <c r="E19" s="5">
        <v>30</v>
      </c>
    </row>
    <row r="20" spans="1:5" x14ac:dyDescent="0.3">
      <c r="A20" t="s">
        <v>8</v>
      </c>
      <c r="B20" t="s">
        <v>39</v>
      </c>
      <c r="C20" t="s">
        <v>18</v>
      </c>
      <c r="D20" s="4">
        <v>9660</v>
      </c>
      <c r="E20" s="5">
        <v>27</v>
      </c>
    </row>
    <row r="21" spans="1:5" x14ac:dyDescent="0.3">
      <c r="A21" t="s">
        <v>41</v>
      </c>
      <c r="B21" t="s">
        <v>36</v>
      </c>
      <c r="C21" t="s">
        <v>18</v>
      </c>
      <c r="D21" s="4">
        <v>9632</v>
      </c>
      <c r="E21" s="5">
        <v>288</v>
      </c>
    </row>
    <row r="22" spans="1:5" x14ac:dyDescent="0.3">
      <c r="A22" t="s">
        <v>9</v>
      </c>
      <c r="B22" t="s">
        <v>38</v>
      </c>
      <c r="C22" t="s">
        <v>33</v>
      </c>
      <c r="D22" s="4">
        <v>9506</v>
      </c>
      <c r="E22" s="5">
        <v>87</v>
      </c>
    </row>
    <row r="23" spans="1:5" x14ac:dyDescent="0.3">
      <c r="A23" t="s">
        <v>2</v>
      </c>
      <c r="B23" t="s">
        <v>39</v>
      </c>
      <c r="C23" t="s">
        <v>20</v>
      </c>
      <c r="D23" s="4">
        <v>9443</v>
      </c>
      <c r="E23" s="5">
        <v>162</v>
      </c>
    </row>
    <row r="24" spans="1:5" x14ac:dyDescent="0.3">
      <c r="A24" t="s">
        <v>3</v>
      </c>
      <c r="B24" t="s">
        <v>36</v>
      </c>
      <c r="C24" t="s">
        <v>16</v>
      </c>
      <c r="D24" s="4">
        <v>9198</v>
      </c>
      <c r="E24" s="5">
        <v>36</v>
      </c>
    </row>
    <row r="25" spans="1:5" x14ac:dyDescent="0.3">
      <c r="A25" t="s">
        <v>9</v>
      </c>
      <c r="B25" t="s">
        <v>36</v>
      </c>
      <c r="C25" t="s">
        <v>30</v>
      </c>
      <c r="D25" s="4">
        <v>9051</v>
      </c>
      <c r="E25" s="5">
        <v>57</v>
      </c>
    </row>
    <row r="26" spans="1:5" x14ac:dyDescent="0.3">
      <c r="A26" t="s">
        <v>40</v>
      </c>
      <c r="B26" t="s">
        <v>37</v>
      </c>
      <c r="C26" t="s">
        <v>29</v>
      </c>
      <c r="D26" s="4">
        <v>9002</v>
      </c>
      <c r="E26" s="5">
        <v>72</v>
      </c>
    </row>
    <row r="27" spans="1:5" x14ac:dyDescent="0.3">
      <c r="A27" t="s">
        <v>8</v>
      </c>
      <c r="B27" t="s">
        <v>39</v>
      </c>
      <c r="C27" t="s">
        <v>31</v>
      </c>
      <c r="D27" s="4">
        <v>8890</v>
      </c>
      <c r="E27" s="5">
        <v>210</v>
      </c>
    </row>
    <row r="28" spans="1:5" x14ac:dyDescent="0.3">
      <c r="A28" t="s">
        <v>40</v>
      </c>
      <c r="B28" t="s">
        <v>35</v>
      </c>
      <c r="C28" t="s">
        <v>33</v>
      </c>
      <c r="D28" s="4">
        <v>8869</v>
      </c>
      <c r="E28" s="5">
        <v>432</v>
      </c>
    </row>
    <row r="29" spans="1:5" x14ac:dyDescent="0.3">
      <c r="A29" t="s">
        <v>7</v>
      </c>
      <c r="B29" t="s">
        <v>34</v>
      </c>
      <c r="C29" t="s">
        <v>24</v>
      </c>
      <c r="D29" s="4">
        <v>8862</v>
      </c>
      <c r="E29" s="5">
        <v>189</v>
      </c>
    </row>
    <row r="30" spans="1:5" x14ac:dyDescent="0.3">
      <c r="A30" t="s">
        <v>3</v>
      </c>
      <c r="B30" t="s">
        <v>38</v>
      </c>
      <c r="C30" t="s">
        <v>26</v>
      </c>
      <c r="D30" s="4">
        <v>8841</v>
      </c>
      <c r="E30" s="5">
        <v>303</v>
      </c>
    </row>
    <row r="31" spans="1:5" x14ac:dyDescent="0.3">
      <c r="A31" t="s">
        <v>5</v>
      </c>
      <c r="B31" t="s">
        <v>37</v>
      </c>
      <c r="C31" t="s">
        <v>25</v>
      </c>
      <c r="D31" s="4">
        <v>8813</v>
      </c>
      <c r="E31" s="5">
        <v>21</v>
      </c>
    </row>
    <row r="32" spans="1:5" x14ac:dyDescent="0.3">
      <c r="A32" t="s">
        <v>9</v>
      </c>
      <c r="B32" t="s">
        <v>34</v>
      </c>
      <c r="C32" t="s">
        <v>20</v>
      </c>
      <c r="D32" s="4">
        <v>8463</v>
      </c>
      <c r="E32" s="5">
        <v>492</v>
      </c>
    </row>
    <row r="33" spans="1:5" x14ac:dyDescent="0.3">
      <c r="A33" t="s">
        <v>7</v>
      </c>
      <c r="B33" t="s">
        <v>36</v>
      </c>
      <c r="C33" t="s">
        <v>22</v>
      </c>
      <c r="D33" s="4">
        <v>8435</v>
      </c>
      <c r="E33" s="5">
        <v>42</v>
      </c>
    </row>
    <row r="34" spans="1:5" x14ac:dyDescent="0.3">
      <c r="A34" t="s">
        <v>2</v>
      </c>
      <c r="B34" t="s">
        <v>36</v>
      </c>
      <c r="C34" t="s">
        <v>29</v>
      </c>
      <c r="D34" s="4">
        <v>8211</v>
      </c>
      <c r="E34" s="5">
        <v>75</v>
      </c>
    </row>
    <row r="35" spans="1:5" x14ac:dyDescent="0.3">
      <c r="A35" t="s">
        <v>9</v>
      </c>
      <c r="B35" t="s">
        <v>34</v>
      </c>
      <c r="C35" t="s">
        <v>23</v>
      </c>
      <c r="D35" s="4">
        <v>8155</v>
      </c>
      <c r="E35" s="5">
        <v>90</v>
      </c>
    </row>
    <row r="36" spans="1:5" x14ac:dyDescent="0.3">
      <c r="A36" t="s">
        <v>6</v>
      </c>
      <c r="B36" t="s">
        <v>34</v>
      </c>
      <c r="C36" t="s">
        <v>26</v>
      </c>
      <c r="D36" s="4">
        <v>8008</v>
      </c>
      <c r="E36" s="5">
        <v>456</v>
      </c>
    </row>
    <row r="37" spans="1:5" x14ac:dyDescent="0.3">
      <c r="A37" t="s">
        <v>41</v>
      </c>
      <c r="B37" t="s">
        <v>34</v>
      </c>
      <c r="C37" t="s">
        <v>33</v>
      </c>
      <c r="D37" s="4">
        <v>7847</v>
      </c>
      <c r="E37" s="5">
        <v>174</v>
      </c>
    </row>
    <row r="38" spans="1:5" x14ac:dyDescent="0.3">
      <c r="A38" t="s">
        <v>9</v>
      </c>
      <c r="B38" t="s">
        <v>35</v>
      </c>
      <c r="C38" t="s">
        <v>15</v>
      </c>
      <c r="D38" s="4">
        <v>7833</v>
      </c>
      <c r="E38" s="5">
        <v>243</v>
      </c>
    </row>
    <row r="39" spans="1:5" x14ac:dyDescent="0.3">
      <c r="A39" t="s">
        <v>2</v>
      </c>
      <c r="B39" t="s">
        <v>39</v>
      </c>
      <c r="C39" t="s">
        <v>27</v>
      </c>
      <c r="D39" s="4">
        <v>7812</v>
      </c>
      <c r="E39" s="5">
        <v>81</v>
      </c>
    </row>
    <row r="40" spans="1:5" x14ac:dyDescent="0.3">
      <c r="A40" t="s">
        <v>3</v>
      </c>
      <c r="B40" t="s">
        <v>34</v>
      </c>
      <c r="C40" t="s">
        <v>32</v>
      </c>
      <c r="D40" s="4">
        <v>7777</v>
      </c>
      <c r="E40" s="5">
        <v>504</v>
      </c>
    </row>
    <row r="41" spans="1:5" x14ac:dyDescent="0.3">
      <c r="A41" t="s">
        <v>7</v>
      </c>
      <c r="B41" t="s">
        <v>34</v>
      </c>
      <c r="C41" t="s">
        <v>17</v>
      </c>
      <c r="D41" s="4">
        <v>7777</v>
      </c>
      <c r="E41" s="5">
        <v>39</v>
      </c>
    </row>
    <row r="42" spans="1:5" x14ac:dyDescent="0.3">
      <c r="A42" t="s">
        <v>6</v>
      </c>
      <c r="B42" t="s">
        <v>37</v>
      </c>
      <c r="C42" t="s">
        <v>31</v>
      </c>
      <c r="D42" s="4">
        <v>7693</v>
      </c>
      <c r="E42" s="5">
        <v>87</v>
      </c>
    </row>
    <row r="43" spans="1:5" x14ac:dyDescent="0.3">
      <c r="A43" t="s">
        <v>40</v>
      </c>
      <c r="B43" t="s">
        <v>37</v>
      </c>
      <c r="C43" t="s">
        <v>19</v>
      </c>
      <c r="D43" s="4">
        <v>7693</v>
      </c>
      <c r="E43" s="5">
        <v>21</v>
      </c>
    </row>
    <row r="44" spans="1:5" x14ac:dyDescent="0.3">
      <c r="A44" t="s">
        <v>2</v>
      </c>
      <c r="B44" t="s">
        <v>39</v>
      </c>
      <c r="C44" t="s">
        <v>21</v>
      </c>
      <c r="D44" s="4">
        <v>7651</v>
      </c>
      <c r="E44" s="5">
        <v>213</v>
      </c>
    </row>
    <row r="45" spans="1:5" x14ac:dyDescent="0.3">
      <c r="A45" t="s">
        <v>2</v>
      </c>
      <c r="B45" t="s">
        <v>34</v>
      </c>
      <c r="C45" t="s">
        <v>19</v>
      </c>
      <c r="D45" s="4">
        <v>7511</v>
      </c>
      <c r="E45" s="5">
        <v>120</v>
      </c>
    </row>
    <row r="46" spans="1:5" x14ac:dyDescent="0.3">
      <c r="A46" t="s">
        <v>5</v>
      </c>
      <c r="B46" t="s">
        <v>38</v>
      </c>
      <c r="C46" t="s">
        <v>25</v>
      </c>
      <c r="D46" s="4">
        <v>7483</v>
      </c>
      <c r="E46" s="5">
        <v>45</v>
      </c>
    </row>
    <row r="47" spans="1:5" x14ac:dyDescent="0.3">
      <c r="A47" t="s">
        <v>41</v>
      </c>
      <c r="B47" t="s">
        <v>35</v>
      </c>
      <c r="C47" t="s">
        <v>28</v>
      </c>
      <c r="D47" s="4">
        <v>7455</v>
      </c>
      <c r="E47" s="5">
        <v>216</v>
      </c>
    </row>
    <row r="48" spans="1:5" x14ac:dyDescent="0.3">
      <c r="A48" t="s">
        <v>6</v>
      </c>
      <c r="B48" t="s">
        <v>38</v>
      </c>
      <c r="C48" t="s">
        <v>21</v>
      </c>
      <c r="D48" s="4">
        <v>7322</v>
      </c>
      <c r="E48" s="5">
        <v>36</v>
      </c>
    </row>
    <row r="49" spans="1:5" x14ac:dyDescent="0.3">
      <c r="A49" t="s">
        <v>3</v>
      </c>
      <c r="B49" t="s">
        <v>37</v>
      </c>
      <c r="C49" t="s">
        <v>28</v>
      </c>
      <c r="D49" s="4">
        <v>7308</v>
      </c>
      <c r="E49" s="5">
        <v>327</v>
      </c>
    </row>
    <row r="50" spans="1:5" x14ac:dyDescent="0.3">
      <c r="A50" t="s">
        <v>5</v>
      </c>
      <c r="B50" t="s">
        <v>34</v>
      </c>
      <c r="C50" t="s">
        <v>15</v>
      </c>
      <c r="D50" s="4">
        <v>7280</v>
      </c>
      <c r="E50" s="5">
        <v>201</v>
      </c>
    </row>
    <row r="51" spans="1:5" x14ac:dyDescent="0.3">
      <c r="A51" t="s">
        <v>9</v>
      </c>
      <c r="B51" t="s">
        <v>37</v>
      </c>
      <c r="C51" t="s">
        <v>20</v>
      </c>
      <c r="D51" s="4">
        <v>7273</v>
      </c>
      <c r="E51" s="5">
        <v>96</v>
      </c>
    </row>
    <row r="52" spans="1:5" x14ac:dyDescent="0.3">
      <c r="A52" t="s">
        <v>3</v>
      </c>
      <c r="B52" t="s">
        <v>34</v>
      </c>
      <c r="C52" t="s">
        <v>14</v>
      </c>
      <c r="D52" s="4">
        <v>7259</v>
      </c>
      <c r="E52" s="5">
        <v>276</v>
      </c>
    </row>
    <row r="53" spans="1:5" x14ac:dyDescent="0.3">
      <c r="A53" t="s">
        <v>5</v>
      </c>
      <c r="B53" t="s">
        <v>38</v>
      </c>
      <c r="C53" t="s">
        <v>13</v>
      </c>
      <c r="D53" s="4">
        <v>7189</v>
      </c>
      <c r="E53" s="5">
        <v>54</v>
      </c>
    </row>
    <row r="54" spans="1:5" x14ac:dyDescent="0.3">
      <c r="A54" t="s">
        <v>8</v>
      </c>
      <c r="B54" t="s">
        <v>39</v>
      </c>
      <c r="C54" t="s">
        <v>30</v>
      </c>
      <c r="D54" s="4">
        <v>7021</v>
      </c>
      <c r="E54" s="5">
        <v>183</v>
      </c>
    </row>
    <row r="55" spans="1:5" x14ac:dyDescent="0.3">
      <c r="A55" t="s">
        <v>5</v>
      </c>
      <c r="B55" t="s">
        <v>34</v>
      </c>
      <c r="C55" t="s">
        <v>27</v>
      </c>
      <c r="D55" s="4">
        <v>6986</v>
      </c>
      <c r="E55" s="5">
        <v>21</v>
      </c>
    </row>
    <row r="56" spans="1:5" x14ac:dyDescent="0.3">
      <c r="A56" t="s">
        <v>5</v>
      </c>
      <c r="B56" t="s">
        <v>39</v>
      </c>
      <c r="C56" t="s">
        <v>22</v>
      </c>
      <c r="D56" s="4">
        <v>6909</v>
      </c>
      <c r="E56" s="5">
        <v>81</v>
      </c>
    </row>
    <row r="57" spans="1:5" x14ac:dyDescent="0.3">
      <c r="A57" t="s">
        <v>10</v>
      </c>
      <c r="B57" t="s">
        <v>38</v>
      </c>
      <c r="C57" t="s">
        <v>4</v>
      </c>
      <c r="D57" s="4">
        <v>6860</v>
      </c>
      <c r="E57" s="5">
        <v>126</v>
      </c>
    </row>
    <row r="58" spans="1:5" x14ac:dyDescent="0.3">
      <c r="A58" t="s">
        <v>40</v>
      </c>
      <c r="B58" t="s">
        <v>35</v>
      </c>
      <c r="C58" t="s">
        <v>22</v>
      </c>
      <c r="D58" s="4">
        <v>6853</v>
      </c>
      <c r="E58" s="5">
        <v>372</v>
      </c>
    </row>
    <row r="59" spans="1:5" x14ac:dyDescent="0.3">
      <c r="A59" t="s">
        <v>9</v>
      </c>
      <c r="B59" t="s">
        <v>34</v>
      </c>
      <c r="C59" t="s">
        <v>21</v>
      </c>
      <c r="D59" s="4">
        <v>6832</v>
      </c>
      <c r="E59" s="5">
        <v>27</v>
      </c>
    </row>
    <row r="60" spans="1:5" x14ac:dyDescent="0.3">
      <c r="A60" t="s">
        <v>6</v>
      </c>
      <c r="B60" t="s">
        <v>37</v>
      </c>
      <c r="C60" t="s">
        <v>26</v>
      </c>
      <c r="D60" s="4">
        <v>6818</v>
      </c>
      <c r="E60" s="5">
        <v>6</v>
      </c>
    </row>
    <row r="61" spans="1:5" x14ac:dyDescent="0.3">
      <c r="A61" t="s">
        <v>7</v>
      </c>
      <c r="B61" t="s">
        <v>35</v>
      </c>
      <c r="C61" t="s">
        <v>30</v>
      </c>
      <c r="D61" s="4">
        <v>6755</v>
      </c>
      <c r="E61" s="5">
        <v>252</v>
      </c>
    </row>
    <row r="62" spans="1:5" x14ac:dyDescent="0.3">
      <c r="A62" t="s">
        <v>40</v>
      </c>
      <c r="B62" t="s">
        <v>34</v>
      </c>
      <c r="C62" t="s">
        <v>26</v>
      </c>
      <c r="D62" s="4">
        <v>6748</v>
      </c>
      <c r="E62" s="5">
        <v>48</v>
      </c>
    </row>
    <row r="63" spans="1:5" x14ac:dyDescent="0.3">
      <c r="A63" t="s">
        <v>6</v>
      </c>
      <c r="B63" t="s">
        <v>34</v>
      </c>
      <c r="C63" t="s">
        <v>32</v>
      </c>
      <c r="D63" s="4">
        <v>6734</v>
      </c>
      <c r="E63" s="5">
        <v>123</v>
      </c>
    </row>
    <row r="64" spans="1:5" x14ac:dyDescent="0.3">
      <c r="A64" t="s">
        <v>8</v>
      </c>
      <c r="B64" t="s">
        <v>35</v>
      </c>
      <c r="C64" t="s">
        <v>32</v>
      </c>
      <c r="D64" s="4">
        <v>6706</v>
      </c>
      <c r="E64" s="5">
        <v>459</v>
      </c>
    </row>
    <row r="65" spans="1:5" x14ac:dyDescent="0.3">
      <c r="A65" t="s">
        <v>10</v>
      </c>
      <c r="B65" t="s">
        <v>36</v>
      </c>
      <c r="C65" t="s">
        <v>32</v>
      </c>
      <c r="D65" s="4">
        <v>6657</v>
      </c>
      <c r="E65" s="5">
        <v>303</v>
      </c>
    </row>
    <row r="66" spans="1:5" x14ac:dyDescent="0.3">
      <c r="A66" t="s">
        <v>3</v>
      </c>
      <c r="B66" t="s">
        <v>35</v>
      </c>
      <c r="C66" t="s">
        <v>15</v>
      </c>
      <c r="D66" s="4">
        <v>6657</v>
      </c>
      <c r="E66" s="5">
        <v>276</v>
      </c>
    </row>
    <row r="67" spans="1:5" x14ac:dyDescent="0.3">
      <c r="A67" t="s">
        <v>7</v>
      </c>
      <c r="B67" t="s">
        <v>37</v>
      </c>
      <c r="C67" t="s">
        <v>14</v>
      </c>
      <c r="D67" s="4">
        <v>6608</v>
      </c>
      <c r="E67" s="5">
        <v>225</v>
      </c>
    </row>
    <row r="68" spans="1:5" x14ac:dyDescent="0.3">
      <c r="A68" t="s">
        <v>2</v>
      </c>
      <c r="B68" t="s">
        <v>38</v>
      </c>
      <c r="C68" t="s">
        <v>28</v>
      </c>
      <c r="D68" s="4">
        <v>6580</v>
      </c>
      <c r="E68" s="5">
        <v>183</v>
      </c>
    </row>
    <row r="69" spans="1:5" x14ac:dyDescent="0.3">
      <c r="A69" t="s">
        <v>7</v>
      </c>
      <c r="B69" t="s">
        <v>37</v>
      </c>
      <c r="C69" t="s">
        <v>30</v>
      </c>
      <c r="D69" s="4">
        <v>6454</v>
      </c>
      <c r="E69" s="5">
        <v>54</v>
      </c>
    </row>
    <row r="70" spans="1:5" x14ac:dyDescent="0.3">
      <c r="A70" t="s">
        <v>8</v>
      </c>
      <c r="B70" t="s">
        <v>38</v>
      </c>
      <c r="C70" t="s">
        <v>21</v>
      </c>
      <c r="D70" s="4">
        <v>6433</v>
      </c>
      <c r="E70" s="5">
        <v>78</v>
      </c>
    </row>
    <row r="71" spans="1:5" x14ac:dyDescent="0.3">
      <c r="A71" t="s">
        <v>41</v>
      </c>
      <c r="B71" t="s">
        <v>37</v>
      </c>
      <c r="C71" t="s">
        <v>24</v>
      </c>
      <c r="D71" s="4">
        <v>6398</v>
      </c>
      <c r="E71" s="5">
        <v>102</v>
      </c>
    </row>
    <row r="72" spans="1:5" x14ac:dyDescent="0.3">
      <c r="A72" t="s">
        <v>7</v>
      </c>
      <c r="B72" t="s">
        <v>37</v>
      </c>
      <c r="C72" t="s">
        <v>33</v>
      </c>
      <c r="D72" s="4">
        <v>6391</v>
      </c>
      <c r="E72" s="5">
        <v>48</v>
      </c>
    </row>
    <row r="73" spans="1:5" x14ac:dyDescent="0.3">
      <c r="A73" t="s">
        <v>40</v>
      </c>
      <c r="B73" t="s">
        <v>39</v>
      </c>
      <c r="C73" t="s">
        <v>27</v>
      </c>
      <c r="D73" s="4">
        <v>6370</v>
      </c>
      <c r="E73" s="5">
        <v>30</v>
      </c>
    </row>
    <row r="74" spans="1:5" x14ac:dyDescent="0.3">
      <c r="A74" t="s">
        <v>5</v>
      </c>
      <c r="B74" t="s">
        <v>36</v>
      </c>
      <c r="C74" t="s">
        <v>23</v>
      </c>
      <c r="D74" s="4">
        <v>6314</v>
      </c>
      <c r="E74" s="5">
        <v>15</v>
      </c>
    </row>
    <row r="75" spans="1:5" x14ac:dyDescent="0.3">
      <c r="A75" t="s">
        <v>3</v>
      </c>
      <c r="B75" t="s">
        <v>34</v>
      </c>
      <c r="C75" t="s">
        <v>25</v>
      </c>
      <c r="D75" s="4">
        <v>6300</v>
      </c>
      <c r="E75" s="5">
        <v>42</v>
      </c>
    </row>
    <row r="76" spans="1:5" x14ac:dyDescent="0.3">
      <c r="A76" t="s">
        <v>8</v>
      </c>
      <c r="B76" t="s">
        <v>37</v>
      </c>
      <c r="C76" t="s">
        <v>26</v>
      </c>
      <c r="D76" s="4">
        <v>6279</v>
      </c>
      <c r="E76" s="5">
        <v>45</v>
      </c>
    </row>
    <row r="77" spans="1:5" x14ac:dyDescent="0.3">
      <c r="A77" t="s">
        <v>5</v>
      </c>
      <c r="B77" t="s">
        <v>34</v>
      </c>
      <c r="C77" t="s">
        <v>22</v>
      </c>
      <c r="D77" s="4">
        <v>6279</v>
      </c>
      <c r="E77" s="5">
        <v>237</v>
      </c>
    </row>
    <row r="78" spans="1:5" x14ac:dyDescent="0.3">
      <c r="A78" t="s">
        <v>5</v>
      </c>
      <c r="B78" t="s">
        <v>36</v>
      </c>
      <c r="C78" t="s">
        <v>13</v>
      </c>
      <c r="D78" s="4">
        <v>6146</v>
      </c>
      <c r="E78" s="5">
        <v>63</v>
      </c>
    </row>
    <row r="79" spans="1:5" x14ac:dyDescent="0.3">
      <c r="A79" t="s">
        <v>40</v>
      </c>
      <c r="B79" t="s">
        <v>37</v>
      </c>
      <c r="C79" t="s">
        <v>27</v>
      </c>
      <c r="D79" s="4">
        <v>6132</v>
      </c>
      <c r="E79" s="5">
        <v>93</v>
      </c>
    </row>
    <row r="80" spans="1:5" x14ac:dyDescent="0.3">
      <c r="A80" t="s">
        <v>40</v>
      </c>
      <c r="B80" t="s">
        <v>38</v>
      </c>
      <c r="C80" t="s">
        <v>4</v>
      </c>
      <c r="D80" s="4">
        <v>6125</v>
      </c>
      <c r="E80" s="5">
        <v>102</v>
      </c>
    </row>
    <row r="81" spans="1:5" x14ac:dyDescent="0.3">
      <c r="A81" t="s">
        <v>6</v>
      </c>
      <c r="B81" t="s">
        <v>36</v>
      </c>
      <c r="C81" t="s">
        <v>32</v>
      </c>
      <c r="D81" s="4">
        <v>6118</v>
      </c>
      <c r="E81" s="5">
        <v>9</v>
      </c>
    </row>
    <row r="82" spans="1:5" x14ac:dyDescent="0.3">
      <c r="A82" t="s">
        <v>41</v>
      </c>
      <c r="B82" t="s">
        <v>36</v>
      </c>
      <c r="C82" t="s">
        <v>30</v>
      </c>
      <c r="D82" s="4">
        <v>6118</v>
      </c>
      <c r="E82" s="5">
        <v>174</v>
      </c>
    </row>
    <row r="83" spans="1:5" x14ac:dyDescent="0.3">
      <c r="A83" t="s">
        <v>5</v>
      </c>
      <c r="B83" t="s">
        <v>36</v>
      </c>
      <c r="C83" t="s">
        <v>18</v>
      </c>
      <c r="D83" s="4">
        <v>6111</v>
      </c>
      <c r="E83" s="5">
        <v>3</v>
      </c>
    </row>
    <row r="84" spans="1:5" x14ac:dyDescent="0.3">
      <c r="A84" t="s">
        <v>6</v>
      </c>
      <c r="B84" t="s">
        <v>39</v>
      </c>
      <c r="C84" t="s">
        <v>17</v>
      </c>
      <c r="D84" s="4">
        <v>6048</v>
      </c>
      <c r="E84" s="5">
        <v>27</v>
      </c>
    </row>
    <row r="85" spans="1:5" x14ac:dyDescent="0.3">
      <c r="A85" t="s">
        <v>2</v>
      </c>
      <c r="B85" t="s">
        <v>39</v>
      </c>
      <c r="C85" t="s">
        <v>28</v>
      </c>
      <c r="D85" s="4">
        <v>6027</v>
      </c>
      <c r="E85" s="5">
        <v>144</v>
      </c>
    </row>
    <row r="86" spans="1:5" x14ac:dyDescent="0.3">
      <c r="A86" t="s">
        <v>41</v>
      </c>
      <c r="B86" t="s">
        <v>38</v>
      </c>
      <c r="C86" t="s">
        <v>22</v>
      </c>
      <c r="D86" s="4">
        <v>5915</v>
      </c>
      <c r="E86" s="5">
        <v>3</v>
      </c>
    </row>
    <row r="87" spans="1:5" x14ac:dyDescent="0.3">
      <c r="A87" t="s">
        <v>40</v>
      </c>
      <c r="B87" t="s">
        <v>39</v>
      </c>
      <c r="C87" t="s">
        <v>22</v>
      </c>
      <c r="D87" s="4">
        <v>5817</v>
      </c>
      <c r="E87" s="5">
        <v>12</v>
      </c>
    </row>
    <row r="88" spans="1:5" x14ac:dyDescent="0.3">
      <c r="A88" t="s">
        <v>40</v>
      </c>
      <c r="B88" t="s">
        <v>39</v>
      </c>
      <c r="C88" t="s">
        <v>15</v>
      </c>
      <c r="D88" s="4">
        <v>5775</v>
      </c>
      <c r="E88" s="5">
        <v>42</v>
      </c>
    </row>
    <row r="89" spans="1:5" x14ac:dyDescent="0.3">
      <c r="A89" t="s">
        <v>7</v>
      </c>
      <c r="B89" t="s">
        <v>38</v>
      </c>
      <c r="C89" t="s">
        <v>28</v>
      </c>
      <c r="D89" s="4">
        <v>5677</v>
      </c>
      <c r="E89" s="5">
        <v>258</v>
      </c>
    </row>
    <row r="90" spans="1:5" x14ac:dyDescent="0.3">
      <c r="A90" t="s">
        <v>40</v>
      </c>
      <c r="B90" t="s">
        <v>38</v>
      </c>
      <c r="C90" t="s">
        <v>13</v>
      </c>
      <c r="D90" s="4">
        <v>5670</v>
      </c>
      <c r="E90" s="5">
        <v>297</v>
      </c>
    </row>
    <row r="91" spans="1:5" x14ac:dyDescent="0.3">
      <c r="A91" t="s">
        <v>10</v>
      </c>
      <c r="B91" t="s">
        <v>38</v>
      </c>
      <c r="C91" t="s">
        <v>14</v>
      </c>
      <c r="D91" s="4">
        <v>5586</v>
      </c>
      <c r="E91" s="5">
        <v>525</v>
      </c>
    </row>
    <row r="92" spans="1:5" x14ac:dyDescent="0.3">
      <c r="A92" t="s">
        <v>7</v>
      </c>
      <c r="B92" t="s">
        <v>36</v>
      </c>
      <c r="C92" t="s">
        <v>29</v>
      </c>
      <c r="D92" s="4">
        <v>5551</v>
      </c>
      <c r="E92" s="5">
        <v>252</v>
      </c>
    </row>
    <row r="93" spans="1:5" x14ac:dyDescent="0.3">
      <c r="A93" t="s">
        <v>5</v>
      </c>
      <c r="B93" t="s">
        <v>38</v>
      </c>
      <c r="C93" t="s">
        <v>19</v>
      </c>
      <c r="D93" s="4">
        <v>5474</v>
      </c>
      <c r="E93" s="5">
        <v>168</v>
      </c>
    </row>
    <row r="94" spans="1:5" x14ac:dyDescent="0.3">
      <c r="A94" t="s">
        <v>40</v>
      </c>
      <c r="B94" t="s">
        <v>36</v>
      </c>
      <c r="C94" t="s">
        <v>25</v>
      </c>
      <c r="D94" s="4">
        <v>5439</v>
      </c>
      <c r="E94" s="5">
        <v>30</v>
      </c>
    </row>
    <row r="95" spans="1:5" x14ac:dyDescent="0.3">
      <c r="A95" t="s">
        <v>10</v>
      </c>
      <c r="B95" t="s">
        <v>34</v>
      </c>
      <c r="C95" t="s">
        <v>19</v>
      </c>
      <c r="D95" s="4">
        <v>5355</v>
      </c>
      <c r="E95" s="5">
        <v>204</v>
      </c>
    </row>
    <row r="96" spans="1:5" x14ac:dyDescent="0.3">
      <c r="A96" t="s">
        <v>7</v>
      </c>
      <c r="B96" t="s">
        <v>37</v>
      </c>
      <c r="C96" t="s">
        <v>26</v>
      </c>
      <c r="D96" s="4">
        <v>5306</v>
      </c>
      <c r="E96" s="5">
        <v>0</v>
      </c>
    </row>
    <row r="97" spans="1:5" x14ac:dyDescent="0.3">
      <c r="A97" t="s">
        <v>5</v>
      </c>
      <c r="B97" t="s">
        <v>39</v>
      </c>
      <c r="C97" t="s">
        <v>26</v>
      </c>
      <c r="D97" s="4">
        <v>5236</v>
      </c>
      <c r="E97" s="5">
        <v>51</v>
      </c>
    </row>
    <row r="98" spans="1:5" x14ac:dyDescent="0.3">
      <c r="A98" t="s">
        <v>7</v>
      </c>
      <c r="B98" t="s">
        <v>35</v>
      </c>
      <c r="C98" t="s">
        <v>28</v>
      </c>
      <c r="D98" s="4">
        <v>5194</v>
      </c>
      <c r="E98" s="5">
        <v>288</v>
      </c>
    </row>
    <row r="99" spans="1:5" x14ac:dyDescent="0.3">
      <c r="A99" t="s">
        <v>5</v>
      </c>
      <c r="B99" t="s">
        <v>38</v>
      </c>
      <c r="C99" t="s">
        <v>32</v>
      </c>
      <c r="D99" s="4">
        <v>5075</v>
      </c>
      <c r="E99" s="5">
        <v>21</v>
      </c>
    </row>
    <row r="100" spans="1:5" x14ac:dyDescent="0.3">
      <c r="A100" t="s">
        <v>40</v>
      </c>
      <c r="B100" t="s">
        <v>34</v>
      </c>
      <c r="C100" t="s">
        <v>17</v>
      </c>
      <c r="D100" s="4">
        <v>5019</v>
      </c>
      <c r="E100" s="5">
        <v>156</v>
      </c>
    </row>
    <row r="101" spans="1:5" x14ac:dyDescent="0.3">
      <c r="A101" t="s">
        <v>8</v>
      </c>
      <c r="B101" t="s">
        <v>36</v>
      </c>
      <c r="C101" t="s">
        <v>23</v>
      </c>
      <c r="D101" s="4">
        <v>5019</v>
      </c>
      <c r="E101" s="5">
        <v>150</v>
      </c>
    </row>
    <row r="102" spans="1:5" x14ac:dyDescent="0.3">
      <c r="A102" t="s">
        <v>8</v>
      </c>
      <c r="B102" t="s">
        <v>35</v>
      </c>
      <c r="C102" t="s">
        <v>22</v>
      </c>
      <c r="D102" s="4">
        <v>5012</v>
      </c>
      <c r="E102" s="5">
        <v>210</v>
      </c>
    </row>
    <row r="103" spans="1:5" x14ac:dyDescent="0.3">
      <c r="A103" t="s">
        <v>5</v>
      </c>
      <c r="B103" t="s">
        <v>37</v>
      </c>
      <c r="C103" t="s">
        <v>14</v>
      </c>
      <c r="D103" s="4">
        <v>4991</v>
      </c>
      <c r="E103" s="5">
        <v>12</v>
      </c>
    </row>
    <row r="104" spans="1:5" x14ac:dyDescent="0.3">
      <c r="A104" t="s">
        <v>10</v>
      </c>
      <c r="B104" t="s">
        <v>34</v>
      </c>
      <c r="C104" t="s">
        <v>26</v>
      </c>
      <c r="D104" s="4">
        <v>4991</v>
      </c>
      <c r="E104" s="5">
        <v>9</v>
      </c>
    </row>
    <row r="105" spans="1:5" x14ac:dyDescent="0.3">
      <c r="A105" t="s">
        <v>6</v>
      </c>
      <c r="B105" t="s">
        <v>36</v>
      </c>
      <c r="C105" t="s">
        <v>17</v>
      </c>
      <c r="D105" s="4">
        <v>4970</v>
      </c>
      <c r="E105" s="5">
        <v>156</v>
      </c>
    </row>
    <row r="106" spans="1:5" x14ac:dyDescent="0.3">
      <c r="A106" t="s">
        <v>3</v>
      </c>
      <c r="B106" t="s">
        <v>39</v>
      </c>
      <c r="C106" t="s">
        <v>26</v>
      </c>
      <c r="D106" s="4">
        <v>4956</v>
      </c>
      <c r="E106" s="5">
        <v>171</v>
      </c>
    </row>
    <row r="107" spans="1:5" x14ac:dyDescent="0.3">
      <c r="A107" t="s">
        <v>6</v>
      </c>
      <c r="B107" t="s">
        <v>37</v>
      </c>
      <c r="C107" t="s">
        <v>23</v>
      </c>
      <c r="D107" s="4">
        <v>4949</v>
      </c>
      <c r="E107" s="5">
        <v>189</v>
      </c>
    </row>
    <row r="108" spans="1:5" x14ac:dyDescent="0.3">
      <c r="A108" t="s">
        <v>41</v>
      </c>
      <c r="B108" t="s">
        <v>34</v>
      </c>
      <c r="C108" t="s">
        <v>23</v>
      </c>
      <c r="D108" s="4">
        <v>4935</v>
      </c>
      <c r="E108" s="5">
        <v>126</v>
      </c>
    </row>
    <row r="109" spans="1:5" x14ac:dyDescent="0.3">
      <c r="A109" t="s">
        <v>10</v>
      </c>
      <c r="B109" t="s">
        <v>39</v>
      </c>
      <c r="C109" t="s">
        <v>21</v>
      </c>
      <c r="D109" s="4">
        <v>4858</v>
      </c>
      <c r="E109" s="5">
        <v>279</v>
      </c>
    </row>
    <row r="110" spans="1:5" x14ac:dyDescent="0.3">
      <c r="A110" t="s">
        <v>2</v>
      </c>
      <c r="B110" t="s">
        <v>39</v>
      </c>
      <c r="C110" t="s">
        <v>15</v>
      </c>
      <c r="D110" s="4">
        <v>4802</v>
      </c>
      <c r="E110" s="5">
        <v>36</v>
      </c>
    </row>
    <row r="111" spans="1:5" x14ac:dyDescent="0.3">
      <c r="A111" t="s">
        <v>6</v>
      </c>
      <c r="B111" t="s">
        <v>35</v>
      </c>
      <c r="C111" t="s">
        <v>30</v>
      </c>
      <c r="D111" s="4">
        <v>4781</v>
      </c>
      <c r="E111" s="5">
        <v>123</v>
      </c>
    </row>
    <row r="112" spans="1:5" x14ac:dyDescent="0.3">
      <c r="A112" t="s">
        <v>41</v>
      </c>
      <c r="B112" t="s">
        <v>35</v>
      </c>
      <c r="C112" t="s">
        <v>13</v>
      </c>
      <c r="D112" s="4">
        <v>4760</v>
      </c>
      <c r="E112" s="5">
        <v>69</v>
      </c>
    </row>
    <row r="113" spans="1:5" x14ac:dyDescent="0.3">
      <c r="A113" t="s">
        <v>8</v>
      </c>
      <c r="B113" t="s">
        <v>35</v>
      </c>
      <c r="C113" t="s">
        <v>27</v>
      </c>
      <c r="D113" s="4">
        <v>4753</v>
      </c>
      <c r="E113" s="5">
        <v>300</v>
      </c>
    </row>
    <row r="114" spans="1:5" x14ac:dyDescent="0.3">
      <c r="A114" t="s">
        <v>5</v>
      </c>
      <c r="B114" t="s">
        <v>35</v>
      </c>
      <c r="C114" t="s">
        <v>31</v>
      </c>
      <c r="D114" s="4">
        <v>4753</v>
      </c>
      <c r="E114" s="5">
        <v>246</v>
      </c>
    </row>
    <row r="115" spans="1:5" x14ac:dyDescent="0.3">
      <c r="A115" t="s">
        <v>40</v>
      </c>
      <c r="B115" t="s">
        <v>35</v>
      </c>
      <c r="C115" t="s">
        <v>16</v>
      </c>
      <c r="D115" s="4">
        <v>4725</v>
      </c>
      <c r="E115" s="5">
        <v>174</v>
      </c>
    </row>
    <row r="116" spans="1:5" x14ac:dyDescent="0.3">
      <c r="A116" t="s">
        <v>10</v>
      </c>
      <c r="B116" t="s">
        <v>37</v>
      </c>
      <c r="C116" t="s">
        <v>23</v>
      </c>
      <c r="D116" s="4">
        <v>4683</v>
      </c>
      <c r="E116" s="5">
        <v>30</v>
      </c>
    </row>
    <row r="117" spans="1:5" x14ac:dyDescent="0.3">
      <c r="A117" t="s">
        <v>7</v>
      </c>
      <c r="B117" t="s">
        <v>35</v>
      </c>
      <c r="C117" t="s">
        <v>14</v>
      </c>
      <c r="D117" s="4">
        <v>4606</v>
      </c>
      <c r="E117" s="5">
        <v>63</v>
      </c>
    </row>
    <row r="118" spans="1:5" x14ac:dyDescent="0.3">
      <c r="A118" t="s">
        <v>3</v>
      </c>
      <c r="B118" t="s">
        <v>37</v>
      </c>
      <c r="C118" t="s">
        <v>29</v>
      </c>
      <c r="D118" s="4">
        <v>4592</v>
      </c>
      <c r="E118" s="5">
        <v>324</v>
      </c>
    </row>
    <row r="119" spans="1:5" x14ac:dyDescent="0.3">
      <c r="A119" t="s">
        <v>7</v>
      </c>
      <c r="B119" t="s">
        <v>35</v>
      </c>
      <c r="C119" t="s">
        <v>19</v>
      </c>
      <c r="D119" s="4">
        <v>4585</v>
      </c>
      <c r="E119" s="5">
        <v>240</v>
      </c>
    </row>
    <row r="120" spans="1:5" x14ac:dyDescent="0.3">
      <c r="A120" t="s">
        <v>7</v>
      </c>
      <c r="B120" t="s">
        <v>37</v>
      </c>
      <c r="C120" t="s">
        <v>17</v>
      </c>
      <c r="D120" s="4">
        <v>4487</v>
      </c>
      <c r="E120" s="5">
        <v>111</v>
      </c>
    </row>
    <row r="121" spans="1:5" x14ac:dyDescent="0.3">
      <c r="A121" t="s">
        <v>7</v>
      </c>
      <c r="B121" t="s">
        <v>37</v>
      </c>
      <c r="C121" t="s">
        <v>16</v>
      </c>
      <c r="D121" s="4">
        <v>4487</v>
      </c>
      <c r="E121" s="5">
        <v>333</v>
      </c>
    </row>
    <row r="122" spans="1:5" x14ac:dyDescent="0.3">
      <c r="A122" t="s">
        <v>5</v>
      </c>
      <c r="B122" t="s">
        <v>35</v>
      </c>
      <c r="C122" t="s">
        <v>29</v>
      </c>
      <c r="D122" s="4">
        <v>4480</v>
      </c>
      <c r="E122" s="5">
        <v>357</v>
      </c>
    </row>
    <row r="123" spans="1:5" x14ac:dyDescent="0.3">
      <c r="A123" t="s">
        <v>7</v>
      </c>
      <c r="B123" t="s">
        <v>39</v>
      </c>
      <c r="C123" t="s">
        <v>17</v>
      </c>
      <c r="D123" s="4">
        <v>4438</v>
      </c>
      <c r="E123" s="5">
        <v>246</v>
      </c>
    </row>
    <row r="124" spans="1:5" x14ac:dyDescent="0.3">
      <c r="A124" t="s">
        <v>40</v>
      </c>
      <c r="B124" t="s">
        <v>36</v>
      </c>
      <c r="C124" t="s">
        <v>13</v>
      </c>
      <c r="D124" s="4">
        <v>4424</v>
      </c>
      <c r="E124" s="5">
        <v>201</v>
      </c>
    </row>
    <row r="125" spans="1:5" x14ac:dyDescent="0.3">
      <c r="A125" t="s">
        <v>2</v>
      </c>
      <c r="B125" t="s">
        <v>38</v>
      </c>
      <c r="C125" t="s">
        <v>23</v>
      </c>
      <c r="D125" s="4">
        <v>4417</v>
      </c>
      <c r="E125" s="5">
        <v>153</v>
      </c>
    </row>
    <row r="126" spans="1:5" x14ac:dyDescent="0.3">
      <c r="A126" t="s">
        <v>2</v>
      </c>
      <c r="B126" t="s">
        <v>38</v>
      </c>
      <c r="C126" t="s">
        <v>31</v>
      </c>
      <c r="D126" s="4">
        <v>4326</v>
      </c>
      <c r="E126" s="5">
        <v>348</v>
      </c>
    </row>
    <row r="127" spans="1:5" x14ac:dyDescent="0.3">
      <c r="A127" t="s">
        <v>6</v>
      </c>
      <c r="B127" t="s">
        <v>36</v>
      </c>
      <c r="C127" t="s">
        <v>13</v>
      </c>
      <c r="D127" s="4">
        <v>4319</v>
      </c>
      <c r="E127" s="5">
        <v>30</v>
      </c>
    </row>
    <row r="128" spans="1:5" x14ac:dyDescent="0.3">
      <c r="A128" t="s">
        <v>9</v>
      </c>
      <c r="B128" t="s">
        <v>37</v>
      </c>
      <c r="C128" t="s">
        <v>25</v>
      </c>
      <c r="D128" s="4">
        <v>4305</v>
      </c>
      <c r="E128" s="5">
        <v>156</v>
      </c>
    </row>
    <row r="129" spans="1:5" x14ac:dyDescent="0.3">
      <c r="A129" t="s">
        <v>6</v>
      </c>
      <c r="B129" t="s">
        <v>34</v>
      </c>
      <c r="C129" t="s">
        <v>27</v>
      </c>
      <c r="D129" s="4">
        <v>4242</v>
      </c>
      <c r="E129" s="5">
        <v>207</v>
      </c>
    </row>
    <row r="130" spans="1:5" x14ac:dyDescent="0.3">
      <c r="A130" t="s">
        <v>9</v>
      </c>
      <c r="B130" t="s">
        <v>38</v>
      </c>
      <c r="C130" t="s">
        <v>24</v>
      </c>
      <c r="D130" s="4">
        <v>4137</v>
      </c>
      <c r="E130" s="5">
        <v>60</v>
      </c>
    </row>
    <row r="131" spans="1:5" x14ac:dyDescent="0.3">
      <c r="A131" t="s">
        <v>10</v>
      </c>
      <c r="B131" t="s">
        <v>34</v>
      </c>
      <c r="C131" t="s">
        <v>22</v>
      </c>
      <c r="D131" s="4">
        <v>4053</v>
      </c>
      <c r="E131" s="5">
        <v>24</v>
      </c>
    </row>
    <row r="132" spans="1:5" x14ac:dyDescent="0.3">
      <c r="A132" t="s">
        <v>40</v>
      </c>
      <c r="B132" t="s">
        <v>34</v>
      </c>
      <c r="C132" t="s">
        <v>19</v>
      </c>
      <c r="D132" s="4">
        <v>4018</v>
      </c>
      <c r="E132" s="5">
        <v>162</v>
      </c>
    </row>
    <row r="133" spans="1:5" x14ac:dyDescent="0.3">
      <c r="A133" t="s">
        <v>5</v>
      </c>
      <c r="B133" t="s">
        <v>39</v>
      </c>
      <c r="C133" t="s">
        <v>24</v>
      </c>
      <c r="D133" s="4">
        <v>4018</v>
      </c>
      <c r="E133" s="5">
        <v>171</v>
      </c>
    </row>
    <row r="134" spans="1:5" x14ac:dyDescent="0.3">
      <c r="A134" t="s">
        <v>2</v>
      </c>
      <c r="B134" t="s">
        <v>39</v>
      </c>
      <c r="C134" t="s">
        <v>33</v>
      </c>
      <c r="D134" s="4">
        <v>4018</v>
      </c>
      <c r="E134" s="5">
        <v>126</v>
      </c>
    </row>
    <row r="135" spans="1:5" x14ac:dyDescent="0.3">
      <c r="A135" t="s">
        <v>3</v>
      </c>
      <c r="B135" t="s">
        <v>37</v>
      </c>
      <c r="C135" t="s">
        <v>17</v>
      </c>
      <c r="D135" s="4">
        <v>3983</v>
      </c>
      <c r="E135" s="5">
        <v>144</v>
      </c>
    </row>
    <row r="136" spans="1:5" x14ac:dyDescent="0.3">
      <c r="A136" t="s">
        <v>41</v>
      </c>
      <c r="B136" t="s">
        <v>39</v>
      </c>
      <c r="C136" t="s">
        <v>14</v>
      </c>
      <c r="D136" s="4">
        <v>3976</v>
      </c>
      <c r="E136" s="5">
        <v>72</v>
      </c>
    </row>
    <row r="137" spans="1:5" x14ac:dyDescent="0.3">
      <c r="A137" t="s">
        <v>9</v>
      </c>
      <c r="B137" t="s">
        <v>39</v>
      </c>
      <c r="C137" t="s">
        <v>24</v>
      </c>
      <c r="D137" s="4">
        <v>3920</v>
      </c>
      <c r="E137" s="5">
        <v>306</v>
      </c>
    </row>
    <row r="138" spans="1:5" x14ac:dyDescent="0.3">
      <c r="A138" t="s">
        <v>6</v>
      </c>
      <c r="B138" t="s">
        <v>35</v>
      </c>
      <c r="C138" t="s">
        <v>27</v>
      </c>
      <c r="D138" s="4">
        <v>3864</v>
      </c>
      <c r="E138" s="5">
        <v>177</v>
      </c>
    </row>
    <row r="139" spans="1:5" x14ac:dyDescent="0.3">
      <c r="A139" t="s">
        <v>9</v>
      </c>
      <c r="B139" t="s">
        <v>38</v>
      </c>
      <c r="C139" t="s">
        <v>25</v>
      </c>
      <c r="D139" s="4">
        <v>3850</v>
      </c>
      <c r="E139" s="5">
        <v>102</v>
      </c>
    </row>
    <row r="140" spans="1:5" x14ac:dyDescent="0.3">
      <c r="A140" t="s">
        <v>7</v>
      </c>
      <c r="B140" t="s">
        <v>34</v>
      </c>
      <c r="C140" t="s">
        <v>15</v>
      </c>
      <c r="D140" s="4">
        <v>3829</v>
      </c>
      <c r="E140" s="5">
        <v>24</v>
      </c>
    </row>
    <row r="141" spans="1:5" x14ac:dyDescent="0.3">
      <c r="A141" t="s">
        <v>10</v>
      </c>
      <c r="B141" t="s">
        <v>35</v>
      </c>
      <c r="C141" t="s">
        <v>18</v>
      </c>
      <c r="D141" s="4">
        <v>3808</v>
      </c>
      <c r="E141" s="5">
        <v>279</v>
      </c>
    </row>
    <row r="142" spans="1:5" x14ac:dyDescent="0.3">
      <c r="A142" t="s">
        <v>40</v>
      </c>
      <c r="B142" t="s">
        <v>34</v>
      </c>
      <c r="C142" t="s">
        <v>33</v>
      </c>
      <c r="D142" s="4">
        <v>3794</v>
      </c>
      <c r="E142" s="5">
        <v>159</v>
      </c>
    </row>
    <row r="143" spans="1:5" x14ac:dyDescent="0.3">
      <c r="A143" t="s">
        <v>3</v>
      </c>
      <c r="B143" t="s">
        <v>36</v>
      </c>
      <c r="C143" t="s">
        <v>23</v>
      </c>
      <c r="D143" s="4">
        <v>3773</v>
      </c>
      <c r="E143" s="5">
        <v>165</v>
      </c>
    </row>
    <row r="144" spans="1:5" x14ac:dyDescent="0.3">
      <c r="A144" t="s">
        <v>6</v>
      </c>
      <c r="B144" t="s">
        <v>34</v>
      </c>
      <c r="C144" t="s">
        <v>17</v>
      </c>
      <c r="D144" s="4">
        <v>3759</v>
      </c>
      <c r="E144" s="5">
        <v>150</v>
      </c>
    </row>
    <row r="145" spans="1:5" x14ac:dyDescent="0.3">
      <c r="A145" t="s">
        <v>8</v>
      </c>
      <c r="B145" t="s">
        <v>38</v>
      </c>
      <c r="C145" t="s">
        <v>32</v>
      </c>
      <c r="D145" s="4">
        <v>3752</v>
      </c>
      <c r="E145" s="5">
        <v>213</v>
      </c>
    </row>
    <row r="146" spans="1:5" x14ac:dyDescent="0.3">
      <c r="A146" t="s">
        <v>3</v>
      </c>
      <c r="B146" t="s">
        <v>34</v>
      </c>
      <c r="C146" t="s">
        <v>28</v>
      </c>
      <c r="D146" s="4">
        <v>3689</v>
      </c>
      <c r="E146" s="5">
        <v>312</v>
      </c>
    </row>
    <row r="147" spans="1:5" x14ac:dyDescent="0.3">
      <c r="A147" t="s">
        <v>3</v>
      </c>
      <c r="B147" t="s">
        <v>39</v>
      </c>
      <c r="C147" t="s">
        <v>29</v>
      </c>
      <c r="D147" s="4">
        <v>3640</v>
      </c>
      <c r="E147" s="5">
        <v>51</v>
      </c>
    </row>
    <row r="148" spans="1:5" x14ac:dyDescent="0.3">
      <c r="A148" t="s">
        <v>8</v>
      </c>
      <c r="B148" t="s">
        <v>35</v>
      </c>
      <c r="C148" t="s">
        <v>30</v>
      </c>
      <c r="D148" s="4">
        <v>3598</v>
      </c>
      <c r="E148" s="5">
        <v>81</v>
      </c>
    </row>
    <row r="149" spans="1:5" x14ac:dyDescent="0.3">
      <c r="A149" t="s">
        <v>6</v>
      </c>
      <c r="B149" t="s">
        <v>37</v>
      </c>
      <c r="C149" t="s">
        <v>28</v>
      </c>
      <c r="D149" s="4">
        <v>3556</v>
      </c>
      <c r="E149" s="5">
        <v>459</v>
      </c>
    </row>
    <row r="150" spans="1:5" x14ac:dyDescent="0.3">
      <c r="A150" t="s">
        <v>2</v>
      </c>
      <c r="B150" t="s">
        <v>38</v>
      </c>
      <c r="C150" t="s">
        <v>4</v>
      </c>
      <c r="D150" s="4">
        <v>3549</v>
      </c>
      <c r="E150" s="5">
        <v>3</v>
      </c>
    </row>
    <row r="151" spans="1:5" x14ac:dyDescent="0.3">
      <c r="A151" t="s">
        <v>8</v>
      </c>
      <c r="B151" t="s">
        <v>34</v>
      </c>
      <c r="C151" t="s">
        <v>31</v>
      </c>
      <c r="D151" s="4">
        <v>3507</v>
      </c>
      <c r="E151" s="5">
        <v>288</v>
      </c>
    </row>
    <row r="152" spans="1:5" x14ac:dyDescent="0.3">
      <c r="A152" t="s">
        <v>10</v>
      </c>
      <c r="B152" t="s">
        <v>35</v>
      </c>
      <c r="C152" t="s">
        <v>14</v>
      </c>
      <c r="D152" s="4">
        <v>3472</v>
      </c>
      <c r="E152" s="5">
        <v>96</v>
      </c>
    </row>
    <row r="153" spans="1:5" x14ac:dyDescent="0.3">
      <c r="A153" t="s">
        <v>6</v>
      </c>
      <c r="B153" t="s">
        <v>34</v>
      </c>
      <c r="C153" t="s">
        <v>30</v>
      </c>
      <c r="D153" s="4">
        <v>3402</v>
      </c>
      <c r="E153" s="5">
        <v>366</v>
      </c>
    </row>
    <row r="154" spans="1:5" x14ac:dyDescent="0.3">
      <c r="A154" t="s">
        <v>41</v>
      </c>
      <c r="B154" t="s">
        <v>37</v>
      </c>
      <c r="C154" t="s">
        <v>20</v>
      </c>
      <c r="D154" s="4">
        <v>3388</v>
      </c>
      <c r="E154" s="5">
        <v>123</v>
      </c>
    </row>
    <row r="155" spans="1:5" x14ac:dyDescent="0.3">
      <c r="A155" t="s">
        <v>6</v>
      </c>
      <c r="B155" t="s">
        <v>34</v>
      </c>
      <c r="C155" t="s">
        <v>29</v>
      </c>
      <c r="D155" s="4">
        <v>3339</v>
      </c>
      <c r="E155" s="5">
        <v>75</v>
      </c>
    </row>
    <row r="156" spans="1:5" x14ac:dyDescent="0.3">
      <c r="A156" t="s">
        <v>3</v>
      </c>
      <c r="B156" t="s">
        <v>36</v>
      </c>
      <c r="C156" t="s">
        <v>25</v>
      </c>
      <c r="D156" s="4">
        <v>3339</v>
      </c>
      <c r="E156" s="5">
        <v>39</v>
      </c>
    </row>
    <row r="157" spans="1:5" x14ac:dyDescent="0.3">
      <c r="A157" t="s">
        <v>5</v>
      </c>
      <c r="B157" t="s">
        <v>36</v>
      </c>
      <c r="C157" t="s">
        <v>17</v>
      </c>
      <c r="D157" s="4">
        <v>3339</v>
      </c>
      <c r="E157" s="5">
        <v>348</v>
      </c>
    </row>
    <row r="158" spans="1:5" x14ac:dyDescent="0.3">
      <c r="A158" t="s">
        <v>7</v>
      </c>
      <c r="B158" t="s">
        <v>34</v>
      </c>
      <c r="C158" t="s">
        <v>32</v>
      </c>
      <c r="D158" s="4">
        <v>3262</v>
      </c>
      <c r="E158" s="5">
        <v>75</v>
      </c>
    </row>
    <row r="159" spans="1:5" x14ac:dyDescent="0.3">
      <c r="A159" t="s">
        <v>9</v>
      </c>
      <c r="B159" t="s">
        <v>39</v>
      </c>
      <c r="C159" t="s">
        <v>25</v>
      </c>
      <c r="D159" s="4">
        <v>3192</v>
      </c>
      <c r="E159" s="5">
        <v>72</v>
      </c>
    </row>
    <row r="160" spans="1:5" x14ac:dyDescent="0.3">
      <c r="A160" t="s">
        <v>40</v>
      </c>
      <c r="B160" t="s">
        <v>36</v>
      </c>
      <c r="C160" t="s">
        <v>27</v>
      </c>
      <c r="D160" s="4">
        <v>3164</v>
      </c>
      <c r="E160" s="5">
        <v>306</v>
      </c>
    </row>
    <row r="161" spans="1:5" x14ac:dyDescent="0.3">
      <c r="A161" t="s">
        <v>3</v>
      </c>
      <c r="B161" t="s">
        <v>34</v>
      </c>
      <c r="C161" t="s">
        <v>26</v>
      </c>
      <c r="D161" s="4">
        <v>3108</v>
      </c>
      <c r="E161" s="5">
        <v>54</v>
      </c>
    </row>
    <row r="162" spans="1:5" x14ac:dyDescent="0.3">
      <c r="A162" t="s">
        <v>40</v>
      </c>
      <c r="B162" t="s">
        <v>39</v>
      </c>
      <c r="C162" t="s">
        <v>28</v>
      </c>
      <c r="D162" s="4">
        <v>3101</v>
      </c>
      <c r="E162" s="5">
        <v>225</v>
      </c>
    </row>
    <row r="163" spans="1:5" x14ac:dyDescent="0.3">
      <c r="A163" t="s">
        <v>2</v>
      </c>
      <c r="B163" t="s">
        <v>36</v>
      </c>
      <c r="C163" t="s">
        <v>31</v>
      </c>
      <c r="D163" s="4">
        <v>3094</v>
      </c>
      <c r="E163" s="5">
        <v>246</v>
      </c>
    </row>
    <row r="164" spans="1:5" x14ac:dyDescent="0.3">
      <c r="A164" t="s">
        <v>10</v>
      </c>
      <c r="B164" t="s">
        <v>37</v>
      </c>
      <c r="C164" t="s">
        <v>28</v>
      </c>
      <c r="D164" s="4">
        <v>3059</v>
      </c>
      <c r="E164" s="5">
        <v>27</v>
      </c>
    </row>
    <row r="165" spans="1:5" x14ac:dyDescent="0.3">
      <c r="A165" t="s">
        <v>6</v>
      </c>
      <c r="B165" t="s">
        <v>39</v>
      </c>
      <c r="C165" t="s">
        <v>29</v>
      </c>
      <c r="D165" s="4">
        <v>3052</v>
      </c>
      <c r="E165" s="5">
        <v>378</v>
      </c>
    </row>
    <row r="166" spans="1:5" x14ac:dyDescent="0.3">
      <c r="A166" t="s">
        <v>6</v>
      </c>
      <c r="B166" t="s">
        <v>39</v>
      </c>
      <c r="C166" t="s">
        <v>24</v>
      </c>
      <c r="D166" s="4">
        <v>2989</v>
      </c>
      <c r="E166" s="5">
        <v>3</v>
      </c>
    </row>
    <row r="167" spans="1:5" x14ac:dyDescent="0.3">
      <c r="A167" t="s">
        <v>9</v>
      </c>
      <c r="B167" t="s">
        <v>36</v>
      </c>
      <c r="C167" t="s">
        <v>32</v>
      </c>
      <c r="D167" s="4">
        <v>2954</v>
      </c>
      <c r="E167" s="5">
        <v>189</v>
      </c>
    </row>
    <row r="168" spans="1:5" x14ac:dyDescent="0.3">
      <c r="A168" t="s">
        <v>41</v>
      </c>
      <c r="B168" t="s">
        <v>37</v>
      </c>
      <c r="C168" t="s">
        <v>21</v>
      </c>
      <c r="D168" s="4">
        <v>2933</v>
      </c>
      <c r="E168" s="5">
        <v>9</v>
      </c>
    </row>
    <row r="169" spans="1:5" x14ac:dyDescent="0.3">
      <c r="A169" t="s">
        <v>9</v>
      </c>
      <c r="B169" t="s">
        <v>37</v>
      </c>
      <c r="C169" t="s">
        <v>28</v>
      </c>
      <c r="D169" s="4">
        <v>2919</v>
      </c>
      <c r="E169" s="5">
        <v>45</v>
      </c>
    </row>
    <row r="170" spans="1:5" x14ac:dyDescent="0.3">
      <c r="A170" t="s">
        <v>3</v>
      </c>
      <c r="B170" t="s">
        <v>34</v>
      </c>
      <c r="C170" t="s">
        <v>17</v>
      </c>
      <c r="D170" s="4">
        <v>2919</v>
      </c>
      <c r="E170" s="5">
        <v>93</v>
      </c>
    </row>
    <row r="171" spans="1:5" x14ac:dyDescent="0.3">
      <c r="A171" t="s">
        <v>5</v>
      </c>
      <c r="B171" t="s">
        <v>34</v>
      </c>
      <c r="C171" t="s">
        <v>29</v>
      </c>
      <c r="D171" s="4">
        <v>2891</v>
      </c>
      <c r="E171" s="5">
        <v>102</v>
      </c>
    </row>
    <row r="172" spans="1:5" x14ac:dyDescent="0.3">
      <c r="A172" t="s">
        <v>7</v>
      </c>
      <c r="B172" t="s">
        <v>36</v>
      </c>
      <c r="C172" t="s">
        <v>19</v>
      </c>
      <c r="D172" s="4">
        <v>2870</v>
      </c>
      <c r="E172" s="5">
        <v>300</v>
      </c>
    </row>
    <row r="173" spans="1:5" x14ac:dyDescent="0.3">
      <c r="A173" t="s">
        <v>2</v>
      </c>
      <c r="B173" t="s">
        <v>37</v>
      </c>
      <c r="C173" t="s">
        <v>15</v>
      </c>
      <c r="D173" s="4">
        <v>2863</v>
      </c>
      <c r="E173" s="5">
        <v>42</v>
      </c>
    </row>
    <row r="174" spans="1:5" x14ac:dyDescent="0.3">
      <c r="A174" t="s">
        <v>9</v>
      </c>
      <c r="B174" t="s">
        <v>37</v>
      </c>
      <c r="C174" t="s">
        <v>26</v>
      </c>
      <c r="D174" s="4">
        <v>2856</v>
      </c>
      <c r="E174" s="5">
        <v>246</v>
      </c>
    </row>
    <row r="175" spans="1:5" x14ac:dyDescent="0.3">
      <c r="A175" t="s">
        <v>7</v>
      </c>
      <c r="B175" t="s">
        <v>35</v>
      </c>
      <c r="C175" t="s">
        <v>24</v>
      </c>
      <c r="D175" s="4">
        <v>2793</v>
      </c>
      <c r="E175" s="5">
        <v>114</v>
      </c>
    </row>
    <row r="176" spans="1:5" x14ac:dyDescent="0.3">
      <c r="A176" t="s">
        <v>40</v>
      </c>
      <c r="B176" t="s">
        <v>34</v>
      </c>
      <c r="C176" t="s">
        <v>23</v>
      </c>
      <c r="D176" s="4">
        <v>2779</v>
      </c>
      <c r="E176" s="5">
        <v>75</v>
      </c>
    </row>
    <row r="177" spans="1:5" x14ac:dyDescent="0.3">
      <c r="A177" t="s">
        <v>5</v>
      </c>
      <c r="B177" t="s">
        <v>35</v>
      </c>
      <c r="C177" t="s">
        <v>4</v>
      </c>
      <c r="D177" s="4">
        <v>2744</v>
      </c>
      <c r="E177" s="5">
        <v>9</v>
      </c>
    </row>
    <row r="178" spans="1:5" x14ac:dyDescent="0.3">
      <c r="A178" t="s">
        <v>9</v>
      </c>
      <c r="B178" t="s">
        <v>37</v>
      </c>
      <c r="C178" t="s">
        <v>23</v>
      </c>
      <c r="D178" s="4">
        <v>2737</v>
      </c>
      <c r="E178" s="5">
        <v>93</v>
      </c>
    </row>
    <row r="179" spans="1:5" x14ac:dyDescent="0.3">
      <c r="A179" t="s">
        <v>8</v>
      </c>
      <c r="B179" t="s">
        <v>35</v>
      </c>
      <c r="C179" t="s">
        <v>20</v>
      </c>
      <c r="D179" s="4">
        <v>2702</v>
      </c>
      <c r="E179" s="5">
        <v>363</v>
      </c>
    </row>
    <row r="180" spans="1:5" x14ac:dyDescent="0.3">
      <c r="A180" t="s">
        <v>6</v>
      </c>
      <c r="B180" t="s">
        <v>38</v>
      </c>
      <c r="C180" t="s">
        <v>31</v>
      </c>
      <c r="D180" s="4">
        <v>2681</v>
      </c>
      <c r="E180" s="5">
        <v>54</v>
      </c>
    </row>
    <row r="181" spans="1:5" x14ac:dyDescent="0.3">
      <c r="A181" t="s">
        <v>9</v>
      </c>
      <c r="B181" t="s">
        <v>38</v>
      </c>
      <c r="C181" t="s">
        <v>16</v>
      </c>
      <c r="D181" s="4">
        <v>2646</v>
      </c>
      <c r="E181" s="5">
        <v>120</v>
      </c>
    </row>
    <row r="182" spans="1:5" x14ac:dyDescent="0.3">
      <c r="A182" t="s">
        <v>7</v>
      </c>
      <c r="B182" t="s">
        <v>36</v>
      </c>
      <c r="C182" t="s">
        <v>18</v>
      </c>
      <c r="D182" s="4">
        <v>2646</v>
      </c>
      <c r="E182" s="5">
        <v>177</v>
      </c>
    </row>
    <row r="183" spans="1:5" x14ac:dyDescent="0.3">
      <c r="A183" t="s">
        <v>9</v>
      </c>
      <c r="B183" t="s">
        <v>39</v>
      </c>
      <c r="C183" t="s">
        <v>18</v>
      </c>
      <c r="D183" s="4">
        <v>2639</v>
      </c>
      <c r="E183" s="5">
        <v>204</v>
      </c>
    </row>
    <row r="184" spans="1:5" x14ac:dyDescent="0.3">
      <c r="A184" t="s">
        <v>3</v>
      </c>
      <c r="B184" t="s">
        <v>34</v>
      </c>
      <c r="C184" t="s">
        <v>20</v>
      </c>
      <c r="D184" s="4">
        <v>2583</v>
      </c>
      <c r="E184" s="5">
        <v>18</v>
      </c>
    </row>
    <row r="185" spans="1:5" x14ac:dyDescent="0.3">
      <c r="A185" t="s">
        <v>10</v>
      </c>
      <c r="B185" t="s">
        <v>35</v>
      </c>
      <c r="C185" t="s">
        <v>15</v>
      </c>
      <c r="D185" s="4">
        <v>2562</v>
      </c>
      <c r="E185" s="5">
        <v>6</v>
      </c>
    </row>
    <row r="186" spans="1:5" x14ac:dyDescent="0.3">
      <c r="A186" t="s">
        <v>40</v>
      </c>
      <c r="B186" t="s">
        <v>38</v>
      </c>
      <c r="C186" t="s">
        <v>25</v>
      </c>
      <c r="D186" s="4">
        <v>2541</v>
      </c>
      <c r="E186" s="5">
        <v>90</v>
      </c>
    </row>
    <row r="187" spans="1:5" x14ac:dyDescent="0.3">
      <c r="A187" t="s">
        <v>40</v>
      </c>
      <c r="B187" t="s">
        <v>38</v>
      </c>
      <c r="C187" t="s">
        <v>29</v>
      </c>
      <c r="D187" s="4">
        <v>2541</v>
      </c>
      <c r="E187" s="5">
        <v>45</v>
      </c>
    </row>
    <row r="188" spans="1:5" x14ac:dyDescent="0.3">
      <c r="A188" t="s">
        <v>7</v>
      </c>
      <c r="B188" t="s">
        <v>35</v>
      </c>
      <c r="C188" t="s">
        <v>27</v>
      </c>
      <c r="D188" s="4">
        <v>2478</v>
      </c>
      <c r="E188" s="5">
        <v>21</v>
      </c>
    </row>
    <row r="189" spans="1:5" x14ac:dyDescent="0.3">
      <c r="A189" t="s">
        <v>10</v>
      </c>
      <c r="B189" t="s">
        <v>36</v>
      </c>
      <c r="C189" t="s">
        <v>29</v>
      </c>
      <c r="D189" s="4">
        <v>2471</v>
      </c>
      <c r="E189" s="5">
        <v>342</v>
      </c>
    </row>
    <row r="190" spans="1:5" x14ac:dyDescent="0.3">
      <c r="A190" t="s">
        <v>3</v>
      </c>
      <c r="B190" t="s">
        <v>35</v>
      </c>
      <c r="C190" t="s">
        <v>25</v>
      </c>
      <c r="D190" s="4">
        <v>2464</v>
      </c>
      <c r="E190" s="5">
        <v>234</v>
      </c>
    </row>
    <row r="191" spans="1:5" x14ac:dyDescent="0.3">
      <c r="A191" t="s">
        <v>9</v>
      </c>
      <c r="B191" t="s">
        <v>38</v>
      </c>
      <c r="C191" t="s">
        <v>26</v>
      </c>
      <c r="D191" s="4">
        <v>2436</v>
      </c>
      <c r="E191" s="5">
        <v>99</v>
      </c>
    </row>
    <row r="192" spans="1:5" x14ac:dyDescent="0.3">
      <c r="A192" t="s">
        <v>9</v>
      </c>
      <c r="B192" t="s">
        <v>35</v>
      </c>
      <c r="C192" t="s">
        <v>27</v>
      </c>
      <c r="D192" s="4">
        <v>2429</v>
      </c>
      <c r="E192" s="5">
        <v>144</v>
      </c>
    </row>
    <row r="193" spans="1:5" x14ac:dyDescent="0.3">
      <c r="A193" t="s">
        <v>3</v>
      </c>
      <c r="B193" t="s">
        <v>35</v>
      </c>
      <c r="C193" t="s">
        <v>14</v>
      </c>
      <c r="D193" s="4">
        <v>2415</v>
      </c>
      <c r="E193" s="5">
        <v>255</v>
      </c>
    </row>
    <row r="194" spans="1:5" x14ac:dyDescent="0.3">
      <c r="A194" t="s">
        <v>5</v>
      </c>
      <c r="B194" t="s">
        <v>35</v>
      </c>
      <c r="C194" t="s">
        <v>18</v>
      </c>
      <c r="D194" s="4">
        <v>2415</v>
      </c>
      <c r="E194" s="5">
        <v>15</v>
      </c>
    </row>
    <row r="195" spans="1:5" x14ac:dyDescent="0.3">
      <c r="A195" t="s">
        <v>9</v>
      </c>
      <c r="B195" t="s">
        <v>38</v>
      </c>
      <c r="C195" t="s">
        <v>17</v>
      </c>
      <c r="D195" s="4">
        <v>2408</v>
      </c>
      <c r="E195" s="5">
        <v>9</v>
      </c>
    </row>
    <row r="196" spans="1:5" x14ac:dyDescent="0.3">
      <c r="A196" t="s">
        <v>41</v>
      </c>
      <c r="B196" t="s">
        <v>37</v>
      </c>
      <c r="C196" t="s">
        <v>26</v>
      </c>
      <c r="D196" s="4">
        <v>2324</v>
      </c>
      <c r="E196" s="5">
        <v>177</v>
      </c>
    </row>
    <row r="197" spans="1:5" x14ac:dyDescent="0.3">
      <c r="A197" t="s">
        <v>10</v>
      </c>
      <c r="B197" t="s">
        <v>36</v>
      </c>
      <c r="C197" t="s">
        <v>23</v>
      </c>
      <c r="D197" s="4">
        <v>2317</v>
      </c>
      <c r="E197" s="5">
        <v>261</v>
      </c>
    </row>
    <row r="198" spans="1:5" x14ac:dyDescent="0.3">
      <c r="A198" t="s">
        <v>6</v>
      </c>
      <c r="B198" t="s">
        <v>38</v>
      </c>
      <c r="C198" t="s">
        <v>13</v>
      </c>
      <c r="D198" s="4">
        <v>2317</v>
      </c>
      <c r="E198" s="5">
        <v>123</v>
      </c>
    </row>
    <row r="199" spans="1:5" x14ac:dyDescent="0.3">
      <c r="A199" t="s">
        <v>40</v>
      </c>
      <c r="B199" t="s">
        <v>34</v>
      </c>
      <c r="C199" t="s">
        <v>27</v>
      </c>
      <c r="D199" s="4">
        <v>2289</v>
      </c>
      <c r="E199" s="5">
        <v>135</v>
      </c>
    </row>
    <row r="200" spans="1:5" x14ac:dyDescent="0.3">
      <c r="A200" t="s">
        <v>40</v>
      </c>
      <c r="B200" t="s">
        <v>35</v>
      </c>
      <c r="C200" t="s">
        <v>30</v>
      </c>
      <c r="D200" s="4">
        <v>2275</v>
      </c>
      <c r="E200" s="5">
        <v>447</v>
      </c>
    </row>
    <row r="201" spans="1:5" x14ac:dyDescent="0.3">
      <c r="A201" t="s">
        <v>8</v>
      </c>
      <c r="B201" t="s">
        <v>38</v>
      </c>
      <c r="C201" t="s">
        <v>27</v>
      </c>
      <c r="D201" s="4">
        <v>2268</v>
      </c>
      <c r="E201" s="5">
        <v>63</v>
      </c>
    </row>
    <row r="202" spans="1:5" x14ac:dyDescent="0.3">
      <c r="A202" t="s">
        <v>7</v>
      </c>
      <c r="B202" t="s">
        <v>34</v>
      </c>
      <c r="C202" t="s">
        <v>33</v>
      </c>
      <c r="D202" s="4">
        <v>2226</v>
      </c>
      <c r="E202" s="5">
        <v>48</v>
      </c>
    </row>
    <row r="203" spans="1:5" x14ac:dyDescent="0.3">
      <c r="A203" t="s">
        <v>6</v>
      </c>
      <c r="B203" t="s">
        <v>34</v>
      </c>
      <c r="C203" t="s">
        <v>16</v>
      </c>
      <c r="D203" s="4">
        <v>2219</v>
      </c>
      <c r="E203" s="5">
        <v>75</v>
      </c>
    </row>
    <row r="204" spans="1:5" x14ac:dyDescent="0.3">
      <c r="A204" t="s">
        <v>3</v>
      </c>
      <c r="B204" t="s">
        <v>34</v>
      </c>
      <c r="C204" t="s">
        <v>23</v>
      </c>
      <c r="D204" s="4">
        <v>2212</v>
      </c>
      <c r="E204" s="5">
        <v>117</v>
      </c>
    </row>
    <row r="205" spans="1:5" x14ac:dyDescent="0.3">
      <c r="A205" t="s">
        <v>10</v>
      </c>
      <c r="B205" t="s">
        <v>38</v>
      </c>
      <c r="C205" t="s">
        <v>22</v>
      </c>
      <c r="D205" s="4">
        <v>2205</v>
      </c>
      <c r="E205" s="5">
        <v>141</v>
      </c>
    </row>
    <row r="206" spans="1:5" x14ac:dyDescent="0.3">
      <c r="A206" t="s">
        <v>7</v>
      </c>
      <c r="B206" t="s">
        <v>34</v>
      </c>
      <c r="C206" t="s">
        <v>20</v>
      </c>
      <c r="D206" s="4">
        <v>2205</v>
      </c>
      <c r="E206" s="5">
        <v>138</v>
      </c>
    </row>
    <row r="207" spans="1:5" x14ac:dyDescent="0.3">
      <c r="A207" t="s">
        <v>7</v>
      </c>
      <c r="B207" t="s">
        <v>36</v>
      </c>
      <c r="C207" t="s">
        <v>31</v>
      </c>
      <c r="D207" s="4">
        <v>2149</v>
      </c>
      <c r="E207" s="5">
        <v>117</v>
      </c>
    </row>
    <row r="208" spans="1:5" x14ac:dyDescent="0.3">
      <c r="A208" t="s">
        <v>9</v>
      </c>
      <c r="B208" t="s">
        <v>36</v>
      </c>
      <c r="C208" t="s">
        <v>25</v>
      </c>
      <c r="D208" s="4">
        <v>2142</v>
      </c>
      <c r="E208" s="5">
        <v>114</v>
      </c>
    </row>
    <row r="209" spans="1:5" x14ac:dyDescent="0.3">
      <c r="A209" t="s">
        <v>7</v>
      </c>
      <c r="B209" t="s">
        <v>35</v>
      </c>
      <c r="C209" t="s">
        <v>16</v>
      </c>
      <c r="D209" s="4">
        <v>2135</v>
      </c>
      <c r="E209" s="5">
        <v>27</v>
      </c>
    </row>
    <row r="210" spans="1:5" x14ac:dyDescent="0.3">
      <c r="A210" t="s">
        <v>3</v>
      </c>
      <c r="B210" t="s">
        <v>35</v>
      </c>
      <c r="C210" t="s">
        <v>29</v>
      </c>
      <c r="D210" s="4">
        <v>2114</v>
      </c>
      <c r="E210" s="5">
        <v>66</v>
      </c>
    </row>
    <row r="211" spans="1:5" x14ac:dyDescent="0.3">
      <c r="A211" t="s">
        <v>41</v>
      </c>
      <c r="B211" t="s">
        <v>35</v>
      </c>
      <c r="C211" t="s">
        <v>15</v>
      </c>
      <c r="D211" s="4">
        <v>2114</v>
      </c>
      <c r="E211" s="5">
        <v>186</v>
      </c>
    </row>
    <row r="212" spans="1:5" x14ac:dyDescent="0.3">
      <c r="A212" t="s">
        <v>6</v>
      </c>
      <c r="B212" t="s">
        <v>39</v>
      </c>
      <c r="C212" t="s">
        <v>25</v>
      </c>
      <c r="D212" s="4">
        <v>2100</v>
      </c>
      <c r="E212" s="5">
        <v>414</v>
      </c>
    </row>
    <row r="213" spans="1:5" x14ac:dyDescent="0.3">
      <c r="A213" t="s">
        <v>8</v>
      </c>
      <c r="B213" t="s">
        <v>35</v>
      </c>
      <c r="C213" t="s">
        <v>29</v>
      </c>
      <c r="D213" s="4">
        <v>2023</v>
      </c>
      <c r="E213" s="5">
        <v>168</v>
      </c>
    </row>
    <row r="214" spans="1:5" x14ac:dyDescent="0.3">
      <c r="A214" t="s">
        <v>3</v>
      </c>
      <c r="B214" t="s">
        <v>35</v>
      </c>
      <c r="C214" t="s">
        <v>23</v>
      </c>
      <c r="D214" s="4">
        <v>2023</v>
      </c>
      <c r="E214" s="5">
        <v>78</v>
      </c>
    </row>
    <row r="215" spans="1:5" x14ac:dyDescent="0.3">
      <c r="A215" t="s">
        <v>2</v>
      </c>
      <c r="B215" t="s">
        <v>39</v>
      </c>
      <c r="C215" t="s">
        <v>16</v>
      </c>
      <c r="D215" s="4">
        <v>2016</v>
      </c>
      <c r="E215" s="5">
        <v>117</v>
      </c>
    </row>
    <row r="216" spans="1:5" x14ac:dyDescent="0.3">
      <c r="A216" t="s">
        <v>8</v>
      </c>
      <c r="B216" t="s">
        <v>34</v>
      </c>
      <c r="C216" t="s">
        <v>16</v>
      </c>
      <c r="D216" s="4">
        <v>2009</v>
      </c>
      <c r="E216" s="5">
        <v>219</v>
      </c>
    </row>
    <row r="217" spans="1:5" x14ac:dyDescent="0.3">
      <c r="A217" t="s">
        <v>40</v>
      </c>
      <c r="B217" t="s">
        <v>38</v>
      </c>
      <c r="C217" t="s">
        <v>31</v>
      </c>
      <c r="D217" s="4">
        <v>1988</v>
      </c>
      <c r="E217" s="5">
        <v>39</v>
      </c>
    </row>
    <row r="218" spans="1:5" x14ac:dyDescent="0.3">
      <c r="A218" t="s">
        <v>10</v>
      </c>
      <c r="B218" t="s">
        <v>35</v>
      </c>
      <c r="C218" t="s">
        <v>20</v>
      </c>
      <c r="D218" s="4">
        <v>1974</v>
      </c>
      <c r="E218" s="5">
        <v>195</v>
      </c>
    </row>
    <row r="219" spans="1:5" x14ac:dyDescent="0.3">
      <c r="A219" t="s">
        <v>7</v>
      </c>
      <c r="B219" t="s">
        <v>34</v>
      </c>
      <c r="C219" t="s">
        <v>14</v>
      </c>
      <c r="D219" s="4">
        <v>1932</v>
      </c>
      <c r="E219" s="5">
        <v>369</v>
      </c>
    </row>
    <row r="220" spans="1:5" x14ac:dyDescent="0.3">
      <c r="A220" t="s">
        <v>41</v>
      </c>
      <c r="B220" t="s">
        <v>36</v>
      </c>
      <c r="C220" t="s">
        <v>19</v>
      </c>
      <c r="D220" s="4">
        <v>1925</v>
      </c>
      <c r="E220" s="5">
        <v>192</v>
      </c>
    </row>
    <row r="221" spans="1:5" x14ac:dyDescent="0.3">
      <c r="A221" t="s">
        <v>6</v>
      </c>
      <c r="B221" t="s">
        <v>37</v>
      </c>
      <c r="C221" t="s">
        <v>16</v>
      </c>
      <c r="D221" s="4">
        <v>1904</v>
      </c>
      <c r="E221" s="5">
        <v>405</v>
      </c>
    </row>
    <row r="222" spans="1:5" x14ac:dyDescent="0.3">
      <c r="A222" t="s">
        <v>8</v>
      </c>
      <c r="B222" t="s">
        <v>37</v>
      </c>
      <c r="C222" t="s">
        <v>22</v>
      </c>
      <c r="D222" s="4">
        <v>1890</v>
      </c>
      <c r="E222" s="5">
        <v>195</v>
      </c>
    </row>
    <row r="223" spans="1:5" x14ac:dyDescent="0.3">
      <c r="A223" t="s">
        <v>2</v>
      </c>
      <c r="B223" t="s">
        <v>39</v>
      </c>
      <c r="C223" t="s">
        <v>25</v>
      </c>
      <c r="D223" s="4">
        <v>1785</v>
      </c>
      <c r="E223" s="5">
        <v>462</v>
      </c>
    </row>
    <row r="224" spans="1:5" x14ac:dyDescent="0.3">
      <c r="A224" t="s">
        <v>7</v>
      </c>
      <c r="B224" t="s">
        <v>38</v>
      </c>
      <c r="C224" t="s">
        <v>18</v>
      </c>
      <c r="D224" s="4">
        <v>1778</v>
      </c>
      <c r="E224" s="5">
        <v>270</v>
      </c>
    </row>
    <row r="225" spans="1:5" x14ac:dyDescent="0.3">
      <c r="A225" t="s">
        <v>8</v>
      </c>
      <c r="B225" t="s">
        <v>37</v>
      </c>
      <c r="C225" t="s">
        <v>19</v>
      </c>
      <c r="D225" s="4">
        <v>1771</v>
      </c>
      <c r="E225" s="5">
        <v>204</v>
      </c>
    </row>
    <row r="226" spans="1:5" x14ac:dyDescent="0.3">
      <c r="A226" t="s">
        <v>8</v>
      </c>
      <c r="B226" t="s">
        <v>38</v>
      </c>
      <c r="C226" t="s">
        <v>23</v>
      </c>
      <c r="D226" s="4">
        <v>1701</v>
      </c>
      <c r="E226" s="5">
        <v>234</v>
      </c>
    </row>
    <row r="227" spans="1:5" x14ac:dyDescent="0.3">
      <c r="A227" t="s">
        <v>5</v>
      </c>
      <c r="B227" t="s">
        <v>34</v>
      </c>
      <c r="C227" t="s">
        <v>33</v>
      </c>
      <c r="D227" s="4">
        <v>1652</v>
      </c>
      <c r="E227" s="5">
        <v>93</v>
      </c>
    </row>
    <row r="228" spans="1:5" x14ac:dyDescent="0.3">
      <c r="A228" t="s">
        <v>3</v>
      </c>
      <c r="B228" t="s">
        <v>39</v>
      </c>
      <c r="C228" t="s">
        <v>28</v>
      </c>
      <c r="D228" s="4">
        <v>1652</v>
      </c>
      <c r="E228" s="5">
        <v>102</v>
      </c>
    </row>
    <row r="229" spans="1:5" x14ac:dyDescent="0.3">
      <c r="A229" t="s">
        <v>6</v>
      </c>
      <c r="B229" t="s">
        <v>39</v>
      </c>
      <c r="C229" t="s">
        <v>30</v>
      </c>
      <c r="D229" s="4">
        <v>1638</v>
      </c>
      <c r="E229" s="5">
        <v>63</v>
      </c>
    </row>
    <row r="230" spans="1:5" x14ac:dyDescent="0.3">
      <c r="A230" t="s">
        <v>40</v>
      </c>
      <c r="B230" t="s">
        <v>35</v>
      </c>
      <c r="C230" t="s">
        <v>24</v>
      </c>
      <c r="D230" s="4">
        <v>1638</v>
      </c>
      <c r="E230" s="5">
        <v>48</v>
      </c>
    </row>
    <row r="231" spans="1:5" x14ac:dyDescent="0.3">
      <c r="A231" t="s">
        <v>40</v>
      </c>
      <c r="B231" t="s">
        <v>37</v>
      </c>
      <c r="C231" t="s">
        <v>30</v>
      </c>
      <c r="D231" s="4">
        <v>1624</v>
      </c>
      <c r="E231" s="5">
        <v>114</v>
      </c>
    </row>
    <row r="232" spans="1:5" x14ac:dyDescent="0.3">
      <c r="A232" t="s">
        <v>40</v>
      </c>
      <c r="B232" t="s">
        <v>35</v>
      </c>
      <c r="C232" t="s">
        <v>29</v>
      </c>
      <c r="D232" s="4">
        <v>1617</v>
      </c>
      <c r="E232" s="5">
        <v>126</v>
      </c>
    </row>
    <row r="233" spans="1:5" x14ac:dyDescent="0.3">
      <c r="A233" t="s">
        <v>2</v>
      </c>
      <c r="B233" t="s">
        <v>35</v>
      </c>
      <c r="C233" t="s">
        <v>17</v>
      </c>
      <c r="D233" s="4">
        <v>1589</v>
      </c>
      <c r="E233" s="5">
        <v>303</v>
      </c>
    </row>
    <row r="234" spans="1:5" x14ac:dyDescent="0.3">
      <c r="A234" t="s">
        <v>7</v>
      </c>
      <c r="B234" t="s">
        <v>34</v>
      </c>
      <c r="C234" t="s">
        <v>25</v>
      </c>
      <c r="D234" s="4">
        <v>1568</v>
      </c>
      <c r="E234" s="5">
        <v>96</v>
      </c>
    </row>
    <row r="235" spans="1:5" x14ac:dyDescent="0.3">
      <c r="A235" t="s">
        <v>2</v>
      </c>
      <c r="B235" t="s">
        <v>39</v>
      </c>
      <c r="C235" t="s">
        <v>22</v>
      </c>
      <c r="D235" s="4">
        <v>1568</v>
      </c>
      <c r="E235" s="5">
        <v>141</v>
      </c>
    </row>
    <row r="236" spans="1:5" x14ac:dyDescent="0.3">
      <c r="A236" t="s">
        <v>8</v>
      </c>
      <c r="B236" t="s">
        <v>39</v>
      </c>
      <c r="C236" t="s">
        <v>26</v>
      </c>
      <c r="D236" s="4">
        <v>1561</v>
      </c>
      <c r="E236" s="5">
        <v>27</v>
      </c>
    </row>
    <row r="237" spans="1:5" x14ac:dyDescent="0.3">
      <c r="A237" t="s">
        <v>41</v>
      </c>
      <c r="B237" t="s">
        <v>37</v>
      </c>
      <c r="C237" t="s">
        <v>30</v>
      </c>
      <c r="D237" s="4">
        <v>1526</v>
      </c>
      <c r="E237" s="5">
        <v>240</v>
      </c>
    </row>
    <row r="238" spans="1:5" x14ac:dyDescent="0.3">
      <c r="A238" t="s">
        <v>5</v>
      </c>
      <c r="B238" t="s">
        <v>36</v>
      </c>
      <c r="C238" t="s">
        <v>30</v>
      </c>
      <c r="D238" s="4">
        <v>1526</v>
      </c>
      <c r="E238" s="5">
        <v>105</v>
      </c>
    </row>
    <row r="239" spans="1:5" x14ac:dyDescent="0.3">
      <c r="A239" t="s">
        <v>6</v>
      </c>
      <c r="B239" t="s">
        <v>37</v>
      </c>
      <c r="C239" t="s">
        <v>18</v>
      </c>
      <c r="D239" s="4">
        <v>1505</v>
      </c>
      <c r="E239" s="5">
        <v>102</v>
      </c>
    </row>
    <row r="240" spans="1:5" x14ac:dyDescent="0.3">
      <c r="A240" t="s">
        <v>41</v>
      </c>
      <c r="B240" t="s">
        <v>34</v>
      </c>
      <c r="C240" t="s">
        <v>17</v>
      </c>
      <c r="D240" s="4">
        <v>1463</v>
      </c>
      <c r="E240" s="5">
        <v>39</v>
      </c>
    </row>
    <row r="241" spans="1:5" x14ac:dyDescent="0.3">
      <c r="A241" t="s">
        <v>6</v>
      </c>
      <c r="B241" t="s">
        <v>34</v>
      </c>
      <c r="C241" t="s">
        <v>15</v>
      </c>
      <c r="D241" s="4">
        <v>1442</v>
      </c>
      <c r="E241" s="5">
        <v>15</v>
      </c>
    </row>
    <row r="242" spans="1:5" x14ac:dyDescent="0.3">
      <c r="A242" t="s">
        <v>10</v>
      </c>
      <c r="B242" t="s">
        <v>34</v>
      </c>
      <c r="C242" t="s">
        <v>25</v>
      </c>
      <c r="D242" s="4">
        <v>1428</v>
      </c>
      <c r="E242" s="5">
        <v>93</v>
      </c>
    </row>
    <row r="243" spans="1:5" x14ac:dyDescent="0.3">
      <c r="A243" t="s">
        <v>10</v>
      </c>
      <c r="B243" t="s">
        <v>36</v>
      </c>
      <c r="C243" t="s">
        <v>27</v>
      </c>
      <c r="D243" s="4">
        <v>1407</v>
      </c>
      <c r="E243" s="5">
        <v>72</v>
      </c>
    </row>
    <row r="244" spans="1:5" x14ac:dyDescent="0.3">
      <c r="A244" t="s">
        <v>6</v>
      </c>
      <c r="B244" t="s">
        <v>36</v>
      </c>
      <c r="C244" t="s">
        <v>29</v>
      </c>
      <c r="D244" s="4">
        <v>1400</v>
      </c>
      <c r="E244" s="5">
        <v>135</v>
      </c>
    </row>
    <row r="245" spans="1:5" x14ac:dyDescent="0.3">
      <c r="A245" t="s">
        <v>6</v>
      </c>
      <c r="B245" t="s">
        <v>35</v>
      </c>
      <c r="C245" t="s">
        <v>4</v>
      </c>
      <c r="D245" s="4">
        <v>1302</v>
      </c>
      <c r="E245" s="5">
        <v>402</v>
      </c>
    </row>
    <row r="246" spans="1:5" x14ac:dyDescent="0.3">
      <c r="A246" t="s">
        <v>7</v>
      </c>
      <c r="B246" t="s">
        <v>38</v>
      </c>
      <c r="C246" t="s">
        <v>14</v>
      </c>
      <c r="D246" s="4">
        <v>1281</v>
      </c>
      <c r="E246" s="5">
        <v>75</v>
      </c>
    </row>
    <row r="247" spans="1:5" x14ac:dyDescent="0.3">
      <c r="A247" t="s">
        <v>3</v>
      </c>
      <c r="B247" t="s">
        <v>36</v>
      </c>
      <c r="C247" t="s">
        <v>19</v>
      </c>
      <c r="D247" s="4">
        <v>1281</v>
      </c>
      <c r="E247" s="5">
        <v>18</v>
      </c>
    </row>
    <row r="248" spans="1:5" x14ac:dyDescent="0.3">
      <c r="A248" t="s">
        <v>41</v>
      </c>
      <c r="B248" t="s">
        <v>34</v>
      </c>
      <c r="C248" t="s">
        <v>16</v>
      </c>
      <c r="D248" s="4">
        <v>1274</v>
      </c>
      <c r="E248" s="5">
        <v>225</v>
      </c>
    </row>
    <row r="249" spans="1:5" x14ac:dyDescent="0.3">
      <c r="A249" t="s">
        <v>6</v>
      </c>
      <c r="B249" t="s">
        <v>38</v>
      </c>
      <c r="C249" t="s">
        <v>27</v>
      </c>
      <c r="D249" s="4">
        <v>1134</v>
      </c>
      <c r="E249" s="5">
        <v>282</v>
      </c>
    </row>
    <row r="250" spans="1:5" x14ac:dyDescent="0.3">
      <c r="A250" t="s">
        <v>9</v>
      </c>
      <c r="B250" t="s">
        <v>37</v>
      </c>
      <c r="C250" t="s">
        <v>29</v>
      </c>
      <c r="D250" s="4">
        <v>1085</v>
      </c>
      <c r="E250" s="5">
        <v>273</v>
      </c>
    </row>
    <row r="251" spans="1:5" x14ac:dyDescent="0.3">
      <c r="A251" t="s">
        <v>6</v>
      </c>
      <c r="B251" t="s">
        <v>35</v>
      </c>
      <c r="C251" t="s">
        <v>20</v>
      </c>
      <c r="D251" s="4">
        <v>1071</v>
      </c>
      <c r="E251" s="5">
        <v>270</v>
      </c>
    </row>
    <row r="252" spans="1:5" x14ac:dyDescent="0.3">
      <c r="A252" t="s">
        <v>2</v>
      </c>
      <c r="B252" t="s">
        <v>37</v>
      </c>
      <c r="C252" t="s">
        <v>14</v>
      </c>
      <c r="D252" s="4">
        <v>1057</v>
      </c>
      <c r="E252" s="5">
        <v>54</v>
      </c>
    </row>
    <row r="253" spans="1:5" x14ac:dyDescent="0.3">
      <c r="A253" t="s">
        <v>3</v>
      </c>
      <c r="B253" t="s">
        <v>36</v>
      </c>
      <c r="C253" t="s">
        <v>28</v>
      </c>
      <c r="D253" s="4">
        <v>973</v>
      </c>
      <c r="E253" s="5">
        <v>162</v>
      </c>
    </row>
    <row r="254" spans="1:5" x14ac:dyDescent="0.3">
      <c r="A254" t="s">
        <v>7</v>
      </c>
      <c r="B254" t="s">
        <v>39</v>
      </c>
      <c r="C254" t="s">
        <v>27</v>
      </c>
      <c r="D254" s="4">
        <v>966</v>
      </c>
      <c r="E254" s="5">
        <v>198</v>
      </c>
    </row>
    <row r="255" spans="1:5" x14ac:dyDescent="0.3">
      <c r="A255" t="s">
        <v>9</v>
      </c>
      <c r="B255" t="s">
        <v>35</v>
      </c>
      <c r="C255" t="s">
        <v>4</v>
      </c>
      <c r="D255" s="4">
        <v>959</v>
      </c>
      <c r="E255" s="5">
        <v>147</v>
      </c>
    </row>
    <row r="256" spans="1:5" x14ac:dyDescent="0.3">
      <c r="A256" t="s">
        <v>6</v>
      </c>
      <c r="B256" t="s">
        <v>38</v>
      </c>
      <c r="C256" t="s">
        <v>33</v>
      </c>
      <c r="D256" s="4">
        <v>959</v>
      </c>
      <c r="E256" s="5">
        <v>135</v>
      </c>
    </row>
    <row r="257" spans="1:5" x14ac:dyDescent="0.3">
      <c r="A257" t="s">
        <v>10</v>
      </c>
      <c r="B257" t="s">
        <v>36</v>
      </c>
      <c r="C257" t="s">
        <v>13</v>
      </c>
      <c r="D257" s="4">
        <v>945</v>
      </c>
      <c r="E257" s="5">
        <v>75</v>
      </c>
    </row>
    <row r="258" spans="1:5" x14ac:dyDescent="0.3">
      <c r="A258" t="s">
        <v>6</v>
      </c>
      <c r="B258" t="s">
        <v>38</v>
      </c>
      <c r="C258" t="s">
        <v>16</v>
      </c>
      <c r="D258" s="4">
        <v>938</v>
      </c>
      <c r="E258" s="5">
        <v>6</v>
      </c>
    </row>
    <row r="259" spans="1:5" x14ac:dyDescent="0.3">
      <c r="A259" t="s">
        <v>9</v>
      </c>
      <c r="B259" t="s">
        <v>34</v>
      </c>
      <c r="C259" t="s">
        <v>16</v>
      </c>
      <c r="D259" s="4">
        <v>938</v>
      </c>
      <c r="E259" s="5">
        <v>189</v>
      </c>
    </row>
    <row r="260" spans="1:5" x14ac:dyDescent="0.3">
      <c r="A260" t="s">
        <v>3</v>
      </c>
      <c r="B260" t="s">
        <v>37</v>
      </c>
      <c r="C260" t="s">
        <v>4</v>
      </c>
      <c r="D260" s="4">
        <v>938</v>
      </c>
      <c r="E260" s="5">
        <v>366</v>
      </c>
    </row>
    <row r="261" spans="1:5" x14ac:dyDescent="0.3">
      <c r="A261" t="s">
        <v>5</v>
      </c>
      <c r="B261" t="s">
        <v>34</v>
      </c>
      <c r="C261" t="s">
        <v>19</v>
      </c>
      <c r="D261" s="4">
        <v>861</v>
      </c>
      <c r="E261" s="5">
        <v>195</v>
      </c>
    </row>
    <row r="262" spans="1:5" x14ac:dyDescent="0.3">
      <c r="A262" t="s">
        <v>41</v>
      </c>
      <c r="B262" t="s">
        <v>36</v>
      </c>
      <c r="C262" t="s">
        <v>28</v>
      </c>
      <c r="D262" s="4">
        <v>854</v>
      </c>
      <c r="E262" s="5">
        <v>309</v>
      </c>
    </row>
    <row r="263" spans="1:5" x14ac:dyDescent="0.3">
      <c r="A263" t="s">
        <v>41</v>
      </c>
      <c r="B263" t="s">
        <v>35</v>
      </c>
      <c r="C263" t="s">
        <v>27</v>
      </c>
      <c r="D263" s="4">
        <v>847</v>
      </c>
      <c r="E263" s="5">
        <v>129</v>
      </c>
    </row>
    <row r="264" spans="1:5" x14ac:dyDescent="0.3">
      <c r="A264" t="s">
        <v>8</v>
      </c>
      <c r="B264" t="s">
        <v>38</v>
      </c>
      <c r="C264" t="s">
        <v>13</v>
      </c>
      <c r="D264" s="4">
        <v>819</v>
      </c>
      <c r="E264" s="5">
        <v>510</v>
      </c>
    </row>
    <row r="265" spans="1:5" x14ac:dyDescent="0.3">
      <c r="A265" t="s">
        <v>3</v>
      </c>
      <c r="B265" t="s">
        <v>35</v>
      </c>
      <c r="C265" t="s">
        <v>33</v>
      </c>
      <c r="D265" s="4">
        <v>819</v>
      </c>
      <c r="E265" s="5">
        <v>306</v>
      </c>
    </row>
    <row r="266" spans="1:5" x14ac:dyDescent="0.3">
      <c r="A266" t="s">
        <v>2</v>
      </c>
      <c r="B266" t="s">
        <v>36</v>
      </c>
      <c r="C266" t="s">
        <v>27</v>
      </c>
      <c r="D266" s="4">
        <v>798</v>
      </c>
      <c r="E266" s="5">
        <v>519</v>
      </c>
    </row>
    <row r="267" spans="1:5" x14ac:dyDescent="0.3">
      <c r="A267" t="s">
        <v>41</v>
      </c>
      <c r="B267" t="s">
        <v>37</v>
      </c>
      <c r="C267" t="s">
        <v>15</v>
      </c>
      <c r="D267" s="4">
        <v>714</v>
      </c>
      <c r="E267" s="5">
        <v>231</v>
      </c>
    </row>
    <row r="268" spans="1:5" x14ac:dyDescent="0.3">
      <c r="A268" t="s">
        <v>9</v>
      </c>
      <c r="B268" t="s">
        <v>34</v>
      </c>
      <c r="C268" t="s">
        <v>17</v>
      </c>
      <c r="D268" s="4">
        <v>707</v>
      </c>
      <c r="E268" s="5">
        <v>174</v>
      </c>
    </row>
    <row r="269" spans="1:5" x14ac:dyDescent="0.3">
      <c r="A269" t="s">
        <v>10</v>
      </c>
      <c r="B269" t="s">
        <v>34</v>
      </c>
      <c r="C269" t="s">
        <v>17</v>
      </c>
      <c r="D269" s="4">
        <v>700</v>
      </c>
      <c r="E269" s="5">
        <v>87</v>
      </c>
    </row>
    <row r="270" spans="1:5" x14ac:dyDescent="0.3">
      <c r="A270" t="s">
        <v>2</v>
      </c>
      <c r="B270" t="s">
        <v>39</v>
      </c>
      <c r="C270" t="s">
        <v>23</v>
      </c>
      <c r="D270" s="4">
        <v>630</v>
      </c>
      <c r="E270" s="5">
        <v>36</v>
      </c>
    </row>
    <row r="271" spans="1:5" x14ac:dyDescent="0.3">
      <c r="A271" t="s">
        <v>40</v>
      </c>
      <c r="B271" t="s">
        <v>38</v>
      </c>
      <c r="C271" t="s">
        <v>24</v>
      </c>
      <c r="D271" s="4">
        <v>623</v>
      </c>
      <c r="E271" s="5">
        <v>51</v>
      </c>
    </row>
    <row r="272" spans="1:5" x14ac:dyDescent="0.3">
      <c r="A272" t="s">
        <v>40</v>
      </c>
      <c r="B272" t="s">
        <v>38</v>
      </c>
      <c r="C272" t="s">
        <v>26</v>
      </c>
      <c r="D272" s="4">
        <v>609</v>
      </c>
      <c r="E272" s="5">
        <v>87</v>
      </c>
    </row>
    <row r="273" spans="1:5" x14ac:dyDescent="0.3">
      <c r="A273" t="s">
        <v>41</v>
      </c>
      <c r="B273" t="s">
        <v>35</v>
      </c>
      <c r="C273" t="s">
        <v>19</v>
      </c>
      <c r="D273" s="4">
        <v>609</v>
      </c>
      <c r="E273" s="5">
        <v>99</v>
      </c>
    </row>
    <row r="274" spans="1:5" x14ac:dyDescent="0.3">
      <c r="A274" t="s">
        <v>10</v>
      </c>
      <c r="B274" t="s">
        <v>35</v>
      </c>
      <c r="C274" t="s">
        <v>21</v>
      </c>
      <c r="D274" s="4">
        <v>567</v>
      </c>
      <c r="E274" s="5">
        <v>228</v>
      </c>
    </row>
    <row r="275" spans="1:5" x14ac:dyDescent="0.3">
      <c r="A275" t="s">
        <v>6</v>
      </c>
      <c r="B275" t="s">
        <v>37</v>
      </c>
      <c r="C275" t="s">
        <v>30</v>
      </c>
      <c r="D275" s="4">
        <v>560</v>
      </c>
      <c r="E275" s="5">
        <v>81</v>
      </c>
    </row>
    <row r="276" spans="1:5" x14ac:dyDescent="0.3">
      <c r="A276" t="s">
        <v>2</v>
      </c>
      <c r="B276" t="s">
        <v>35</v>
      </c>
      <c r="C276" t="s">
        <v>19</v>
      </c>
      <c r="D276" s="4">
        <v>553</v>
      </c>
      <c r="E276" s="5">
        <v>15</v>
      </c>
    </row>
    <row r="277" spans="1:5" x14ac:dyDescent="0.3">
      <c r="A277" t="s">
        <v>6</v>
      </c>
      <c r="B277" t="s">
        <v>34</v>
      </c>
      <c r="C277" t="s">
        <v>4</v>
      </c>
      <c r="D277" s="4">
        <v>525</v>
      </c>
      <c r="E277" s="5">
        <v>48</v>
      </c>
    </row>
    <row r="278" spans="1:5" x14ac:dyDescent="0.3">
      <c r="A278" t="s">
        <v>5</v>
      </c>
      <c r="B278" t="s">
        <v>37</v>
      </c>
      <c r="C278" t="s">
        <v>22</v>
      </c>
      <c r="D278" s="4">
        <v>518</v>
      </c>
      <c r="E278" s="5">
        <v>75</v>
      </c>
    </row>
    <row r="279" spans="1:5" x14ac:dyDescent="0.3">
      <c r="A279" t="s">
        <v>6</v>
      </c>
      <c r="B279" t="s">
        <v>36</v>
      </c>
      <c r="C279" t="s">
        <v>21</v>
      </c>
      <c r="D279" s="4">
        <v>497</v>
      </c>
      <c r="E279" s="5">
        <v>63</v>
      </c>
    </row>
    <row r="280" spans="1:5" x14ac:dyDescent="0.3">
      <c r="A280" t="s">
        <v>5</v>
      </c>
      <c r="B280" t="s">
        <v>35</v>
      </c>
      <c r="C280" t="s">
        <v>22</v>
      </c>
      <c r="D280" s="4">
        <v>490</v>
      </c>
      <c r="E280" s="5">
        <v>84</v>
      </c>
    </row>
    <row r="281" spans="1:5" x14ac:dyDescent="0.3">
      <c r="A281" t="s">
        <v>6</v>
      </c>
      <c r="B281" t="s">
        <v>38</v>
      </c>
      <c r="C281" t="s">
        <v>25</v>
      </c>
      <c r="D281" s="4">
        <v>469</v>
      </c>
      <c r="E281" s="5">
        <v>75</v>
      </c>
    </row>
    <row r="282" spans="1:5" x14ac:dyDescent="0.3">
      <c r="A282" t="s">
        <v>8</v>
      </c>
      <c r="B282" t="s">
        <v>37</v>
      </c>
      <c r="C282" t="s">
        <v>21</v>
      </c>
      <c r="D282" s="4">
        <v>434</v>
      </c>
      <c r="E282" s="5">
        <v>87</v>
      </c>
    </row>
    <row r="283" spans="1:5" x14ac:dyDescent="0.3">
      <c r="A283" t="s">
        <v>5</v>
      </c>
      <c r="B283" t="s">
        <v>39</v>
      </c>
      <c r="C283" t="s">
        <v>18</v>
      </c>
      <c r="D283" s="4">
        <v>385</v>
      </c>
      <c r="E283" s="5">
        <v>249</v>
      </c>
    </row>
    <row r="284" spans="1:5" x14ac:dyDescent="0.3">
      <c r="A284" t="s">
        <v>8</v>
      </c>
      <c r="B284" t="s">
        <v>35</v>
      </c>
      <c r="C284" t="s">
        <v>33</v>
      </c>
      <c r="D284" s="4">
        <v>357</v>
      </c>
      <c r="E284" s="5">
        <v>126</v>
      </c>
    </row>
    <row r="285" spans="1:5" x14ac:dyDescent="0.3">
      <c r="A285" t="s">
        <v>41</v>
      </c>
      <c r="B285" t="s">
        <v>34</v>
      </c>
      <c r="C285" t="s">
        <v>22</v>
      </c>
      <c r="D285" s="4">
        <v>336</v>
      </c>
      <c r="E285" s="5">
        <v>144</v>
      </c>
    </row>
    <row r="286" spans="1:5" x14ac:dyDescent="0.3">
      <c r="A286" t="s">
        <v>7</v>
      </c>
      <c r="B286" t="s">
        <v>36</v>
      </c>
      <c r="C286" t="s">
        <v>32</v>
      </c>
      <c r="D286" s="4">
        <v>280</v>
      </c>
      <c r="E286" s="5">
        <v>87</v>
      </c>
    </row>
    <row r="287" spans="1:5" x14ac:dyDescent="0.3">
      <c r="A287" t="s">
        <v>9</v>
      </c>
      <c r="B287" t="s">
        <v>37</v>
      </c>
      <c r="C287" t="s">
        <v>4</v>
      </c>
      <c r="D287" s="4">
        <v>259</v>
      </c>
      <c r="E287" s="5">
        <v>207</v>
      </c>
    </row>
    <row r="288" spans="1:5" x14ac:dyDescent="0.3">
      <c r="A288" t="s">
        <v>2</v>
      </c>
      <c r="B288" t="s">
        <v>34</v>
      </c>
      <c r="C288" t="s">
        <v>13</v>
      </c>
      <c r="D288" s="4">
        <v>252</v>
      </c>
      <c r="E288" s="5">
        <v>54</v>
      </c>
    </row>
    <row r="289" spans="1:5" x14ac:dyDescent="0.3">
      <c r="A289" t="s">
        <v>10</v>
      </c>
      <c r="B289" t="s">
        <v>37</v>
      </c>
      <c r="C289" t="s">
        <v>21</v>
      </c>
      <c r="D289" s="4">
        <v>245</v>
      </c>
      <c r="E289" s="5">
        <v>288</v>
      </c>
    </row>
    <row r="290" spans="1:5" x14ac:dyDescent="0.3">
      <c r="A290" t="s">
        <v>2</v>
      </c>
      <c r="B290" t="s">
        <v>37</v>
      </c>
      <c r="C290" t="s">
        <v>19</v>
      </c>
      <c r="D290" s="4">
        <v>238</v>
      </c>
      <c r="E290" s="5">
        <v>18</v>
      </c>
    </row>
    <row r="291" spans="1:5" x14ac:dyDescent="0.3">
      <c r="A291" t="s">
        <v>40</v>
      </c>
      <c r="B291" t="s">
        <v>36</v>
      </c>
      <c r="C291" t="s">
        <v>4</v>
      </c>
      <c r="D291" s="4">
        <v>217</v>
      </c>
      <c r="E291" s="5">
        <v>36</v>
      </c>
    </row>
    <row r="292" spans="1:5" x14ac:dyDescent="0.3">
      <c r="A292" t="s">
        <v>2</v>
      </c>
      <c r="B292" t="s">
        <v>36</v>
      </c>
      <c r="C292" t="s">
        <v>17</v>
      </c>
      <c r="D292" s="4">
        <v>189</v>
      </c>
      <c r="E292" s="5">
        <v>48</v>
      </c>
    </row>
    <row r="293" spans="1:5" x14ac:dyDescent="0.3">
      <c r="A293" t="s">
        <v>5</v>
      </c>
      <c r="B293" t="s">
        <v>37</v>
      </c>
      <c r="C293" t="s">
        <v>31</v>
      </c>
      <c r="D293" s="4">
        <v>182</v>
      </c>
      <c r="E293" s="5">
        <v>48</v>
      </c>
    </row>
    <row r="294" spans="1:5" x14ac:dyDescent="0.3">
      <c r="A294" t="s">
        <v>8</v>
      </c>
      <c r="B294" t="s">
        <v>38</v>
      </c>
      <c r="C294" t="s">
        <v>22</v>
      </c>
      <c r="D294" s="4">
        <v>168</v>
      </c>
      <c r="E294" s="5">
        <v>84</v>
      </c>
    </row>
    <row r="295" spans="1:5" x14ac:dyDescent="0.3">
      <c r="A295" t="s">
        <v>41</v>
      </c>
      <c r="B295" t="s">
        <v>38</v>
      </c>
      <c r="C295" t="s">
        <v>25</v>
      </c>
      <c r="D295" s="4">
        <v>154</v>
      </c>
      <c r="E295" s="5">
        <v>21</v>
      </c>
    </row>
    <row r="296" spans="1:5" x14ac:dyDescent="0.3">
      <c r="A296" t="s">
        <v>9</v>
      </c>
      <c r="B296" t="s">
        <v>35</v>
      </c>
      <c r="C296" t="s">
        <v>26</v>
      </c>
      <c r="D296" s="4">
        <v>98</v>
      </c>
      <c r="E296" s="5">
        <v>159</v>
      </c>
    </row>
    <row r="297" spans="1:5" x14ac:dyDescent="0.3">
      <c r="A297" t="s">
        <v>41</v>
      </c>
      <c r="B297" t="s">
        <v>36</v>
      </c>
      <c r="C297" t="s">
        <v>26</v>
      </c>
      <c r="D297" s="4">
        <v>98</v>
      </c>
      <c r="E297" s="5">
        <v>204</v>
      </c>
    </row>
    <row r="298" spans="1:5" x14ac:dyDescent="0.3">
      <c r="A298" t="s">
        <v>10</v>
      </c>
      <c r="B298" t="s">
        <v>38</v>
      </c>
      <c r="C298" t="s">
        <v>13</v>
      </c>
      <c r="D298" s="4">
        <v>63</v>
      </c>
      <c r="E298" s="5">
        <v>123</v>
      </c>
    </row>
    <row r="299" spans="1:5" x14ac:dyDescent="0.3">
      <c r="A299" t="s">
        <v>2</v>
      </c>
      <c r="B299" t="s">
        <v>38</v>
      </c>
      <c r="C299" t="s">
        <v>13</v>
      </c>
      <c r="D299" s="4">
        <v>56</v>
      </c>
      <c r="E299" s="5">
        <v>51</v>
      </c>
    </row>
    <row r="300" spans="1:5" x14ac:dyDescent="0.3">
      <c r="A300" t="s">
        <v>8</v>
      </c>
      <c r="B300" t="s">
        <v>37</v>
      </c>
      <c r="C300" t="s">
        <v>30</v>
      </c>
      <c r="D300" s="4">
        <v>42</v>
      </c>
      <c r="E300" s="5">
        <v>150</v>
      </c>
    </row>
    <row r="301" spans="1:5" x14ac:dyDescent="0.3">
      <c r="A301" t="s">
        <v>3</v>
      </c>
      <c r="B301" t="s">
        <v>39</v>
      </c>
      <c r="C301" t="s">
        <v>16</v>
      </c>
      <c r="D301" s="4">
        <v>21</v>
      </c>
      <c r="E301" s="5">
        <v>168</v>
      </c>
    </row>
    <row r="302" spans="1:5" x14ac:dyDescent="0.3">
      <c r="A302" t="s">
        <v>40</v>
      </c>
      <c r="B302" t="s">
        <v>39</v>
      </c>
      <c r="C302" t="s">
        <v>29</v>
      </c>
      <c r="D302" s="4">
        <v>0</v>
      </c>
      <c r="E302" s="5">
        <v>135</v>
      </c>
    </row>
  </sheetData>
  <mergeCells count="1">
    <mergeCell ref="B1:E1"/>
  </mergeCells>
  <conditionalFormatting sqref="D2 D303:D1048576">
    <cfRule type="top10" dxfId="8" priority="4" rank="10"/>
  </conditionalFormatting>
  <conditionalFormatting sqref="E2:E1048576">
    <cfRule type="duplicateValues" dxfId="7" priority="2"/>
  </conditionalFormatting>
  <conditionalFormatting sqref="E2">
    <cfRule type="duplicateValues" dxfId="6" priority="3"/>
  </conditionalFormatting>
  <conditionalFormatting sqref="D3:D302">
    <cfRule type="dataBar" priority="1">
      <dataBar>
        <cfvo type="min"/>
        <cfvo type="max"/>
        <color rgb="FF63C384"/>
      </dataBar>
      <extLst>
        <ext xmlns:x14="http://schemas.microsoft.com/office/spreadsheetml/2009/9/main" uri="{B025F937-C7B1-47D3-B67F-A62EFF666E3E}">
          <x14:id>{77FB00E0-DD10-4585-9297-E1BF1C23BE33}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7FB00E0-DD10-4585-9297-E1BF1C23BE33}">
            <x14:dataBar minLength="0" maxLength="100" border="1" negativeBarBorderColorSameAsPositive="0">
              <x14:cfvo type="autoMin"/>
              <x14:cfvo type="autoMax"/>
              <x14:borderColor rgb="FF63C384"/>
              <x14:negativeFillColor rgb="FFFF0000"/>
              <x14:negativeBorderColor rgb="FFFF0000"/>
              <x14:axisColor rgb="FF000000"/>
            </x14:dataBar>
          </x14:cfRule>
          <xm:sqref>D3:D302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C02C-8078-4D8C-9B23-267F80BA3B97}">
  <dimension ref="A2:G8"/>
  <sheetViews>
    <sheetView showGridLines="0" workbookViewId="0">
      <selection activeCell="B3" sqref="B3"/>
    </sheetView>
  </sheetViews>
  <sheetFormatPr defaultRowHeight="14.4" x14ac:dyDescent="0.3"/>
  <cols>
    <col min="1" max="1" width="14.88671875" customWidth="1"/>
    <col min="2" max="2" width="13.21875" bestFit="1" customWidth="1"/>
    <col min="3" max="3" width="11.44140625" customWidth="1"/>
    <col min="4" max="4" width="10.5546875" bestFit="1" customWidth="1"/>
    <col min="6" max="6" width="12.5546875" customWidth="1"/>
    <col min="7" max="7" width="10.6640625" customWidth="1"/>
  </cols>
  <sheetData>
    <row r="2" spans="1:7" x14ac:dyDescent="0.3">
      <c r="A2" s="16" t="s">
        <v>63</v>
      </c>
      <c r="B2" s="34" t="s">
        <v>1</v>
      </c>
      <c r="C2" s="17"/>
      <c r="D2" s="17" t="s">
        <v>50</v>
      </c>
      <c r="E2" s="15"/>
      <c r="F2" s="15"/>
      <c r="G2" s="15"/>
    </row>
    <row r="3" spans="1:7" x14ac:dyDescent="0.3">
      <c r="A3" s="18" t="s">
        <v>34</v>
      </c>
      <c r="B3" s="35">
        <f>SUMIFS(data[Amount],data[Geography],A3)</f>
        <v>252469</v>
      </c>
      <c r="C3" s="19">
        <f>B3</f>
        <v>252469</v>
      </c>
      <c r="D3" s="20">
        <f>SUMIFS(data[Units],data[Geography],A3)</f>
        <v>8760</v>
      </c>
      <c r="F3" s="14"/>
      <c r="G3" s="14"/>
    </row>
    <row r="4" spans="1:7" x14ac:dyDescent="0.3">
      <c r="A4" s="23" t="s">
        <v>36</v>
      </c>
      <c r="B4" s="36">
        <f>SUMIFS(data[Amount],data[Geography],A4)</f>
        <v>237944</v>
      </c>
      <c r="C4" s="22">
        <f t="shared" ref="C4:C8" si="0">B4</f>
        <v>237944</v>
      </c>
      <c r="D4" s="21">
        <f>SUMIFS(data[Units],data[Geography],A4)</f>
        <v>7302</v>
      </c>
      <c r="F4" s="14"/>
      <c r="G4" s="14"/>
    </row>
    <row r="5" spans="1:7" x14ac:dyDescent="0.3">
      <c r="A5" s="23" t="s">
        <v>37</v>
      </c>
      <c r="B5" s="36">
        <f>SUMIFS(data[Amount],data[Geography],A5)</f>
        <v>218813</v>
      </c>
      <c r="C5" s="22">
        <f t="shared" si="0"/>
        <v>218813</v>
      </c>
      <c r="D5" s="21">
        <f>SUMIFS(data[Units],data[Geography],A5)</f>
        <v>7431</v>
      </c>
      <c r="F5" s="14"/>
      <c r="G5" s="14"/>
    </row>
    <row r="6" spans="1:7" x14ac:dyDescent="0.3">
      <c r="A6" s="23" t="s">
        <v>35</v>
      </c>
      <c r="B6" s="36">
        <f>SUMIFS(data[Amount],data[Geography],A6)</f>
        <v>189434</v>
      </c>
      <c r="C6" s="24">
        <f t="shared" si="0"/>
        <v>189434</v>
      </c>
      <c r="D6" s="25">
        <f>SUMIFS(data[Units],data[Geography],A6)</f>
        <v>10158</v>
      </c>
      <c r="F6" s="14"/>
      <c r="G6" s="14"/>
    </row>
    <row r="7" spans="1:7" x14ac:dyDescent="0.3">
      <c r="A7" s="28" t="s">
        <v>39</v>
      </c>
      <c r="B7" s="37">
        <f>SUMIFS(data[Amount],data[Geography],A7)</f>
        <v>173530</v>
      </c>
      <c r="C7" s="27">
        <f t="shared" si="0"/>
        <v>173530</v>
      </c>
      <c r="D7" s="26">
        <f>SUMIFS(data[Units],data[Geography],A7)</f>
        <v>5745</v>
      </c>
      <c r="F7" s="14"/>
      <c r="G7" s="14"/>
    </row>
    <row r="8" spans="1:7" x14ac:dyDescent="0.3">
      <c r="A8" s="29" t="s">
        <v>38</v>
      </c>
      <c r="B8" s="38">
        <f>SUMIFS(data[Amount],data[Geography],A8)</f>
        <v>168679</v>
      </c>
      <c r="C8" s="27">
        <f t="shared" si="0"/>
        <v>168679</v>
      </c>
      <c r="D8" s="26">
        <f>SUMIFS(data[Units],data[Geography],A8)</f>
        <v>6264</v>
      </c>
      <c r="F8" s="14"/>
      <c r="G8" s="14"/>
    </row>
  </sheetData>
  <sortState xmlns:xlrd2="http://schemas.microsoft.com/office/spreadsheetml/2017/richdata2" ref="A3:D8">
    <sortCondition descending="1" ref="B3:B8"/>
  </sortState>
  <conditionalFormatting sqref="C3:C8">
    <cfRule type="dataBar" priority="1">
      <dataBar showValue="0">
        <cfvo type="min"/>
        <cfvo type="max"/>
        <color theme="4" tint="0.39997558519241921"/>
      </dataBar>
      <extLst>
        <ext xmlns:x14="http://schemas.microsoft.com/office/spreadsheetml/2009/9/main" uri="{B025F937-C7B1-47D3-B67F-A62EFF666E3E}">
          <x14:id>{0CCB8FB4-2FBC-4F87-B0AA-70AE18B113EA}</x14:id>
        </ext>
      </extLst>
    </cfRule>
  </conditionalFormatting>
  <pageMargins left="0.7" right="0.7" top="0.75" bottom="0.75" header="0.3" footer="0.3"/>
  <pageSetup paperSize="9" orientation="portrait" r:id="rId1"/>
  <ignoredErrors>
    <ignoredError xmlns:x16r3="http://schemas.microsoft.com/office/spreadsheetml/2018/08/main" sqref="C3:C8" x16r3:misleadingFormat="1"/>
  </ignoredErrors>
  <extLst>
    <ext xmlns:x14="http://schemas.microsoft.com/office/spreadsheetml/2009/9/main" uri="{78C0D931-6437-407d-A8EE-F0AAD7539E65}">
      <x14:conditionalFormattings>
        <x14:conditionalFormatting xmlns:xm="http://schemas.microsoft.com/office/excel/2006/main">
          <x14:cfRule type="dataBar" id="{0CCB8FB4-2FBC-4F87-B0AA-70AE18B113EA}">
            <x14:dataBar minLength="0" maxLength="100" border="1" negativeBarBorderColorSameAsPositive="0">
              <x14:cfvo type="autoMin"/>
              <x14:cfvo type="autoMax"/>
              <x14:borderColor rgb="FF638EC6"/>
              <x14:negativeFillColor rgb="FFFF0000"/>
              <x14:negativeBorderColor rgb="FFFF0000"/>
              <x14:axisColor rgb="FF000000"/>
            </x14:dataBar>
          </x14:cfRule>
          <xm:sqref>C3:C8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85D46-A9F8-4E05-9A66-4BEC433BF256}">
  <dimension ref="A1:C8"/>
  <sheetViews>
    <sheetView workbookViewId="0">
      <selection activeCell="B4" sqref="B4:C4"/>
      <pivotSelection pane="bottomRight" showHeader="1" extendable="1" start="1" max="6" activeRow="3" activeCol="1" click="1" r:id="rId1">
        <pivotArea dataOnly="0" fieldPosition="0">
          <references count="1">
            <reference field="0" count="1">
              <x v="1"/>
            </reference>
          </references>
        </pivotArea>
      </pivotSelection>
    </sheetView>
  </sheetViews>
  <sheetFormatPr defaultRowHeight="14.4" x14ac:dyDescent="0.3"/>
  <cols>
    <col min="2" max="2" width="17.77734375" bestFit="1" customWidth="1"/>
    <col min="3" max="3" width="12.21875" bestFit="1" customWidth="1"/>
    <col min="4" max="4" width="14.44140625" bestFit="1" customWidth="1"/>
    <col min="5" max="5" width="12.21875" bestFit="1" customWidth="1"/>
  </cols>
  <sheetData>
    <row r="1" spans="1:3" s="41" customFormat="1" ht="25.8" x14ac:dyDescent="0.5">
      <c r="A1" s="40" t="s">
        <v>70</v>
      </c>
    </row>
    <row r="2" spans="1:3" x14ac:dyDescent="0.3">
      <c r="B2" s="33" t="s">
        <v>65</v>
      </c>
      <c r="C2" t="s">
        <v>71</v>
      </c>
    </row>
    <row r="3" spans="1:3" x14ac:dyDescent="0.3">
      <c r="B3" s="13" t="s">
        <v>24</v>
      </c>
      <c r="C3" s="42">
        <v>33.88697318007663</v>
      </c>
    </row>
    <row r="4" spans="1:3" x14ac:dyDescent="0.3">
      <c r="B4" s="13" t="s">
        <v>22</v>
      </c>
      <c r="C4" s="42">
        <v>32.301656920077974</v>
      </c>
    </row>
    <row r="5" spans="1:3" x14ac:dyDescent="0.3">
      <c r="B5" s="13" t="s">
        <v>26</v>
      </c>
      <c r="C5" s="42">
        <v>32.807189542483663</v>
      </c>
    </row>
    <row r="6" spans="1:3" x14ac:dyDescent="0.3">
      <c r="B6" s="13" t="s">
        <v>33</v>
      </c>
      <c r="C6" s="42">
        <v>37.303128371089535</v>
      </c>
    </row>
    <row r="7" spans="1:3" x14ac:dyDescent="0.3">
      <c r="B7" s="13" t="s">
        <v>15</v>
      </c>
      <c r="C7" s="42">
        <v>44.990867579908674</v>
      </c>
    </row>
    <row r="8" spans="1:3" x14ac:dyDescent="0.3">
      <c r="B8" s="13" t="s">
        <v>66</v>
      </c>
      <c r="C8" s="4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E7A07-B4FE-400C-A615-BE78E0B91E8E}">
  <dimension ref="A1:Q304"/>
  <sheetViews>
    <sheetView topLeftCell="A21" workbookViewId="0">
      <selection activeCell="U34" sqref="U34"/>
    </sheetView>
  </sheetViews>
  <sheetFormatPr defaultRowHeight="14.4" x14ac:dyDescent="0.3"/>
  <cols>
    <col min="13" max="13" width="11.77734375" customWidth="1"/>
    <col min="14" max="14" width="12.21875" customWidth="1"/>
    <col min="15" max="15" width="11.6640625" customWidth="1"/>
    <col min="16" max="16" width="11.77734375" customWidth="1"/>
    <col min="17" max="17" width="13.5546875" customWidth="1"/>
  </cols>
  <sheetData>
    <row r="1" spans="1:17" s="43" customFormat="1" ht="25.8" x14ac:dyDescent="0.5">
      <c r="A1" s="40" t="s">
        <v>72</v>
      </c>
      <c r="B1" s="40"/>
      <c r="C1" s="40"/>
      <c r="D1" s="40"/>
      <c r="E1" s="40"/>
    </row>
    <row r="4" spans="1:17" x14ac:dyDescent="0.3">
      <c r="M4" s="6" t="s">
        <v>11</v>
      </c>
      <c r="N4" s="6" t="s">
        <v>12</v>
      </c>
      <c r="O4" s="6" t="s">
        <v>0</v>
      </c>
      <c r="P4" s="10" t="s">
        <v>1</v>
      </c>
      <c r="Q4" s="10" t="s">
        <v>50</v>
      </c>
    </row>
    <row r="5" spans="1:17" x14ac:dyDescent="0.3">
      <c r="M5" t="s">
        <v>40</v>
      </c>
      <c r="N5" t="s">
        <v>37</v>
      </c>
      <c r="O5" t="s">
        <v>30</v>
      </c>
      <c r="P5" s="4">
        <v>1624</v>
      </c>
      <c r="Q5" s="5">
        <v>114</v>
      </c>
    </row>
    <row r="6" spans="1:17" x14ac:dyDescent="0.3">
      <c r="M6" t="s">
        <v>8</v>
      </c>
      <c r="N6" t="s">
        <v>35</v>
      </c>
      <c r="O6" t="s">
        <v>32</v>
      </c>
      <c r="P6" s="4">
        <v>6706</v>
      </c>
      <c r="Q6" s="5">
        <v>459</v>
      </c>
    </row>
    <row r="7" spans="1:17" x14ac:dyDescent="0.3">
      <c r="M7" t="s">
        <v>9</v>
      </c>
      <c r="N7" t="s">
        <v>35</v>
      </c>
      <c r="O7" t="s">
        <v>4</v>
      </c>
      <c r="P7" s="4">
        <v>959</v>
      </c>
      <c r="Q7" s="5">
        <v>147</v>
      </c>
    </row>
    <row r="8" spans="1:17" x14ac:dyDescent="0.3">
      <c r="M8" t="s">
        <v>41</v>
      </c>
      <c r="N8" t="s">
        <v>36</v>
      </c>
      <c r="O8" t="s">
        <v>18</v>
      </c>
      <c r="P8" s="4">
        <v>9632</v>
      </c>
      <c r="Q8" s="5">
        <v>288</v>
      </c>
    </row>
    <row r="9" spans="1:17" x14ac:dyDescent="0.3">
      <c r="M9" t="s">
        <v>6</v>
      </c>
      <c r="N9" t="s">
        <v>39</v>
      </c>
      <c r="O9" t="s">
        <v>25</v>
      </c>
      <c r="P9" s="4">
        <v>2100</v>
      </c>
      <c r="Q9" s="5">
        <v>414</v>
      </c>
    </row>
    <row r="10" spans="1:17" x14ac:dyDescent="0.3">
      <c r="M10" t="s">
        <v>40</v>
      </c>
      <c r="N10" t="s">
        <v>35</v>
      </c>
      <c r="O10" t="s">
        <v>33</v>
      </c>
      <c r="P10" s="4">
        <v>8869</v>
      </c>
      <c r="Q10" s="5">
        <v>432</v>
      </c>
    </row>
    <row r="11" spans="1:17" x14ac:dyDescent="0.3">
      <c r="M11" t="s">
        <v>6</v>
      </c>
      <c r="N11" t="s">
        <v>38</v>
      </c>
      <c r="O11" t="s">
        <v>31</v>
      </c>
      <c r="P11" s="4">
        <v>2681</v>
      </c>
      <c r="Q11" s="5">
        <v>54</v>
      </c>
    </row>
    <row r="12" spans="1:17" x14ac:dyDescent="0.3">
      <c r="M12" t="s">
        <v>8</v>
      </c>
      <c r="N12" t="s">
        <v>35</v>
      </c>
      <c r="O12" t="s">
        <v>22</v>
      </c>
      <c r="P12" s="4">
        <v>5012</v>
      </c>
      <c r="Q12" s="5">
        <v>210</v>
      </c>
    </row>
    <row r="13" spans="1:17" x14ac:dyDescent="0.3">
      <c r="M13" t="s">
        <v>7</v>
      </c>
      <c r="N13" t="s">
        <v>38</v>
      </c>
      <c r="O13" t="s">
        <v>14</v>
      </c>
      <c r="P13" s="4">
        <v>1281</v>
      </c>
      <c r="Q13" s="5">
        <v>75</v>
      </c>
    </row>
    <row r="14" spans="1:17" x14ac:dyDescent="0.3">
      <c r="M14" t="s">
        <v>5</v>
      </c>
      <c r="N14" t="s">
        <v>37</v>
      </c>
      <c r="O14" t="s">
        <v>14</v>
      </c>
      <c r="P14" s="4">
        <v>4991</v>
      </c>
      <c r="Q14" s="5">
        <v>12</v>
      </c>
    </row>
    <row r="15" spans="1:17" x14ac:dyDescent="0.3">
      <c r="M15" t="s">
        <v>2</v>
      </c>
      <c r="N15" t="s">
        <v>39</v>
      </c>
      <c r="O15" t="s">
        <v>25</v>
      </c>
      <c r="P15" s="4">
        <v>1785</v>
      </c>
      <c r="Q15" s="5">
        <v>462</v>
      </c>
    </row>
    <row r="16" spans="1:17" x14ac:dyDescent="0.3">
      <c r="M16" t="s">
        <v>3</v>
      </c>
      <c r="N16" t="s">
        <v>37</v>
      </c>
      <c r="O16" t="s">
        <v>17</v>
      </c>
      <c r="P16" s="4">
        <v>3983</v>
      </c>
      <c r="Q16" s="5">
        <v>144</v>
      </c>
    </row>
    <row r="17" spans="13:17" x14ac:dyDescent="0.3">
      <c r="M17" t="s">
        <v>9</v>
      </c>
      <c r="N17" t="s">
        <v>38</v>
      </c>
      <c r="O17" t="s">
        <v>16</v>
      </c>
      <c r="P17" s="4">
        <v>2646</v>
      </c>
      <c r="Q17" s="5">
        <v>120</v>
      </c>
    </row>
    <row r="18" spans="13:17" x14ac:dyDescent="0.3">
      <c r="M18" t="s">
        <v>2</v>
      </c>
      <c r="N18" t="s">
        <v>34</v>
      </c>
      <c r="O18" t="s">
        <v>13</v>
      </c>
      <c r="P18" s="4">
        <v>252</v>
      </c>
      <c r="Q18" s="5">
        <v>54</v>
      </c>
    </row>
    <row r="19" spans="13:17" x14ac:dyDescent="0.3">
      <c r="M19" t="s">
        <v>3</v>
      </c>
      <c r="N19" t="s">
        <v>35</v>
      </c>
      <c r="O19" t="s">
        <v>25</v>
      </c>
      <c r="P19" s="4">
        <v>2464</v>
      </c>
      <c r="Q19" s="5">
        <v>234</v>
      </c>
    </row>
    <row r="20" spans="13:17" x14ac:dyDescent="0.3">
      <c r="M20" t="s">
        <v>3</v>
      </c>
      <c r="N20" t="s">
        <v>35</v>
      </c>
      <c r="O20" t="s">
        <v>29</v>
      </c>
      <c r="P20" s="4">
        <v>2114</v>
      </c>
      <c r="Q20" s="5">
        <v>66</v>
      </c>
    </row>
    <row r="21" spans="13:17" x14ac:dyDescent="0.3">
      <c r="M21" t="s">
        <v>6</v>
      </c>
      <c r="N21" t="s">
        <v>37</v>
      </c>
      <c r="O21" t="s">
        <v>31</v>
      </c>
      <c r="P21" s="4">
        <v>7693</v>
      </c>
      <c r="Q21" s="5">
        <v>87</v>
      </c>
    </row>
    <row r="22" spans="13:17" x14ac:dyDescent="0.3">
      <c r="M22" t="s">
        <v>5</v>
      </c>
      <c r="N22" t="s">
        <v>34</v>
      </c>
      <c r="O22" t="s">
        <v>20</v>
      </c>
      <c r="P22" s="4">
        <v>15610</v>
      </c>
      <c r="Q22" s="5">
        <v>339</v>
      </c>
    </row>
    <row r="23" spans="13:17" x14ac:dyDescent="0.3">
      <c r="M23" t="s">
        <v>41</v>
      </c>
      <c r="N23" t="s">
        <v>34</v>
      </c>
      <c r="O23" t="s">
        <v>22</v>
      </c>
      <c r="P23" s="4">
        <v>336</v>
      </c>
      <c r="Q23" s="5">
        <v>144</v>
      </c>
    </row>
    <row r="24" spans="13:17" x14ac:dyDescent="0.3">
      <c r="M24" t="s">
        <v>2</v>
      </c>
      <c r="N24" t="s">
        <v>39</v>
      </c>
      <c r="O24" t="s">
        <v>20</v>
      </c>
      <c r="P24" s="4">
        <v>9443</v>
      </c>
      <c r="Q24" s="5">
        <v>162</v>
      </c>
    </row>
    <row r="25" spans="13:17" x14ac:dyDescent="0.3">
      <c r="M25" t="s">
        <v>9</v>
      </c>
      <c r="N25" t="s">
        <v>34</v>
      </c>
      <c r="O25" t="s">
        <v>23</v>
      </c>
      <c r="P25" s="4">
        <v>8155</v>
      </c>
      <c r="Q25" s="5">
        <v>90</v>
      </c>
    </row>
    <row r="26" spans="13:17" x14ac:dyDescent="0.3">
      <c r="M26" t="s">
        <v>8</v>
      </c>
      <c r="N26" t="s">
        <v>38</v>
      </c>
      <c r="O26" t="s">
        <v>23</v>
      </c>
      <c r="P26" s="4">
        <v>1701</v>
      </c>
      <c r="Q26" s="5">
        <v>234</v>
      </c>
    </row>
    <row r="27" spans="13:17" x14ac:dyDescent="0.3">
      <c r="M27" t="s">
        <v>10</v>
      </c>
      <c r="N27" t="s">
        <v>38</v>
      </c>
      <c r="O27" t="s">
        <v>22</v>
      </c>
      <c r="P27" s="4">
        <v>2205</v>
      </c>
      <c r="Q27" s="5">
        <v>141</v>
      </c>
    </row>
    <row r="28" spans="13:17" x14ac:dyDescent="0.3">
      <c r="M28" t="s">
        <v>8</v>
      </c>
      <c r="N28" t="s">
        <v>37</v>
      </c>
      <c r="O28" t="s">
        <v>19</v>
      </c>
      <c r="P28" s="4">
        <v>1771</v>
      </c>
      <c r="Q28" s="5">
        <v>204</v>
      </c>
    </row>
    <row r="29" spans="13:17" x14ac:dyDescent="0.3">
      <c r="M29" t="s">
        <v>41</v>
      </c>
      <c r="N29" t="s">
        <v>35</v>
      </c>
      <c r="O29" t="s">
        <v>15</v>
      </c>
      <c r="P29" s="4">
        <v>2114</v>
      </c>
      <c r="Q29" s="5">
        <v>186</v>
      </c>
    </row>
    <row r="30" spans="13:17" x14ac:dyDescent="0.3">
      <c r="M30" t="s">
        <v>41</v>
      </c>
      <c r="N30" t="s">
        <v>36</v>
      </c>
      <c r="O30" t="s">
        <v>13</v>
      </c>
      <c r="P30" s="4">
        <v>10311</v>
      </c>
      <c r="Q30" s="5">
        <v>231</v>
      </c>
    </row>
    <row r="31" spans="13:17" x14ac:dyDescent="0.3">
      <c r="M31" t="s">
        <v>3</v>
      </c>
      <c r="N31" t="s">
        <v>39</v>
      </c>
      <c r="O31" t="s">
        <v>16</v>
      </c>
      <c r="P31" s="4">
        <v>21</v>
      </c>
      <c r="Q31" s="5">
        <v>168</v>
      </c>
    </row>
    <row r="32" spans="13:17" x14ac:dyDescent="0.3">
      <c r="M32" t="s">
        <v>10</v>
      </c>
      <c r="N32" t="s">
        <v>35</v>
      </c>
      <c r="O32" t="s">
        <v>20</v>
      </c>
      <c r="P32" s="4">
        <v>1974</v>
      </c>
      <c r="Q32" s="5">
        <v>195</v>
      </c>
    </row>
    <row r="33" spans="13:17" x14ac:dyDescent="0.3">
      <c r="M33" t="s">
        <v>5</v>
      </c>
      <c r="N33" t="s">
        <v>36</v>
      </c>
      <c r="O33" t="s">
        <v>23</v>
      </c>
      <c r="P33" s="4">
        <v>6314</v>
      </c>
      <c r="Q33" s="5">
        <v>15</v>
      </c>
    </row>
    <row r="34" spans="13:17" x14ac:dyDescent="0.3">
      <c r="M34" t="s">
        <v>10</v>
      </c>
      <c r="N34" t="s">
        <v>37</v>
      </c>
      <c r="O34" t="s">
        <v>23</v>
      </c>
      <c r="P34" s="4">
        <v>4683</v>
      </c>
      <c r="Q34" s="5">
        <v>30</v>
      </c>
    </row>
    <row r="35" spans="13:17" x14ac:dyDescent="0.3">
      <c r="M35" t="s">
        <v>41</v>
      </c>
      <c r="N35" t="s">
        <v>37</v>
      </c>
      <c r="O35" t="s">
        <v>24</v>
      </c>
      <c r="P35" s="4">
        <v>6398</v>
      </c>
      <c r="Q35" s="5">
        <v>102</v>
      </c>
    </row>
    <row r="36" spans="13:17" x14ac:dyDescent="0.3">
      <c r="M36" t="s">
        <v>2</v>
      </c>
      <c r="N36" t="s">
        <v>35</v>
      </c>
      <c r="O36" t="s">
        <v>19</v>
      </c>
      <c r="P36" s="4">
        <v>553</v>
      </c>
      <c r="Q36" s="5">
        <v>15</v>
      </c>
    </row>
    <row r="37" spans="13:17" x14ac:dyDescent="0.3">
      <c r="M37" t="s">
        <v>8</v>
      </c>
      <c r="N37" t="s">
        <v>39</v>
      </c>
      <c r="O37" t="s">
        <v>30</v>
      </c>
      <c r="P37" s="4">
        <v>7021</v>
      </c>
      <c r="Q37" s="5">
        <v>183</v>
      </c>
    </row>
    <row r="38" spans="13:17" x14ac:dyDescent="0.3">
      <c r="M38" t="s">
        <v>40</v>
      </c>
      <c r="N38" t="s">
        <v>39</v>
      </c>
      <c r="O38" t="s">
        <v>22</v>
      </c>
      <c r="P38" s="4">
        <v>5817</v>
      </c>
      <c r="Q38" s="5">
        <v>12</v>
      </c>
    </row>
    <row r="39" spans="13:17" x14ac:dyDescent="0.3">
      <c r="M39" t="s">
        <v>41</v>
      </c>
      <c r="N39" t="s">
        <v>39</v>
      </c>
      <c r="O39" t="s">
        <v>14</v>
      </c>
      <c r="P39" s="4">
        <v>3976</v>
      </c>
      <c r="Q39" s="5">
        <v>72</v>
      </c>
    </row>
    <row r="40" spans="13:17" x14ac:dyDescent="0.3">
      <c r="M40" t="s">
        <v>6</v>
      </c>
      <c r="N40" t="s">
        <v>38</v>
      </c>
      <c r="O40" t="s">
        <v>27</v>
      </c>
      <c r="P40" s="4">
        <v>1134</v>
      </c>
      <c r="Q40" s="5">
        <v>282</v>
      </c>
    </row>
    <row r="41" spans="13:17" x14ac:dyDescent="0.3">
      <c r="M41" t="s">
        <v>2</v>
      </c>
      <c r="N41" t="s">
        <v>39</v>
      </c>
      <c r="O41" t="s">
        <v>28</v>
      </c>
      <c r="P41" s="4">
        <v>6027</v>
      </c>
      <c r="Q41" s="5">
        <v>144</v>
      </c>
    </row>
    <row r="42" spans="13:17" x14ac:dyDescent="0.3">
      <c r="M42" t="s">
        <v>6</v>
      </c>
      <c r="N42" t="s">
        <v>37</v>
      </c>
      <c r="O42" t="s">
        <v>16</v>
      </c>
      <c r="P42" s="4">
        <v>1904</v>
      </c>
      <c r="Q42" s="5">
        <v>405</v>
      </c>
    </row>
    <row r="43" spans="13:17" x14ac:dyDescent="0.3">
      <c r="M43" t="s">
        <v>7</v>
      </c>
      <c r="N43" t="s">
        <v>34</v>
      </c>
      <c r="O43" t="s">
        <v>32</v>
      </c>
      <c r="P43" s="4">
        <v>3262</v>
      </c>
      <c r="Q43" s="5">
        <v>75</v>
      </c>
    </row>
    <row r="44" spans="13:17" x14ac:dyDescent="0.3">
      <c r="M44" t="s">
        <v>40</v>
      </c>
      <c r="N44" t="s">
        <v>34</v>
      </c>
      <c r="O44" t="s">
        <v>27</v>
      </c>
      <c r="P44" s="4">
        <v>2289</v>
      </c>
      <c r="Q44" s="5">
        <v>135</v>
      </c>
    </row>
    <row r="45" spans="13:17" x14ac:dyDescent="0.3">
      <c r="M45" t="s">
        <v>5</v>
      </c>
      <c r="N45" t="s">
        <v>34</v>
      </c>
      <c r="O45" t="s">
        <v>27</v>
      </c>
      <c r="P45" s="4">
        <v>6986</v>
      </c>
      <c r="Q45" s="5">
        <v>21</v>
      </c>
    </row>
    <row r="46" spans="13:17" x14ac:dyDescent="0.3">
      <c r="M46" t="s">
        <v>2</v>
      </c>
      <c r="N46" t="s">
        <v>38</v>
      </c>
      <c r="O46" t="s">
        <v>23</v>
      </c>
      <c r="P46" s="4">
        <v>4417</v>
      </c>
      <c r="Q46" s="5">
        <v>153</v>
      </c>
    </row>
    <row r="47" spans="13:17" x14ac:dyDescent="0.3">
      <c r="M47" t="s">
        <v>6</v>
      </c>
      <c r="N47" t="s">
        <v>34</v>
      </c>
      <c r="O47" t="s">
        <v>15</v>
      </c>
      <c r="P47" s="4">
        <v>1442</v>
      </c>
      <c r="Q47" s="5">
        <v>15</v>
      </c>
    </row>
    <row r="48" spans="13:17" x14ac:dyDescent="0.3">
      <c r="M48" t="s">
        <v>3</v>
      </c>
      <c r="N48" t="s">
        <v>35</v>
      </c>
      <c r="O48" t="s">
        <v>14</v>
      </c>
      <c r="P48" s="4">
        <v>2415</v>
      </c>
      <c r="Q48" s="5">
        <v>255</v>
      </c>
    </row>
    <row r="49" spans="13:17" x14ac:dyDescent="0.3">
      <c r="M49" t="s">
        <v>2</v>
      </c>
      <c r="N49" t="s">
        <v>37</v>
      </c>
      <c r="O49" t="s">
        <v>19</v>
      </c>
      <c r="P49" s="4">
        <v>238</v>
      </c>
      <c r="Q49" s="5">
        <v>18</v>
      </c>
    </row>
    <row r="50" spans="13:17" x14ac:dyDescent="0.3">
      <c r="M50" t="s">
        <v>6</v>
      </c>
      <c r="N50" t="s">
        <v>37</v>
      </c>
      <c r="O50" t="s">
        <v>23</v>
      </c>
      <c r="P50" s="4">
        <v>4949</v>
      </c>
      <c r="Q50" s="5">
        <v>189</v>
      </c>
    </row>
    <row r="51" spans="13:17" x14ac:dyDescent="0.3">
      <c r="M51" t="s">
        <v>5</v>
      </c>
      <c r="N51" t="s">
        <v>38</v>
      </c>
      <c r="O51" t="s">
        <v>32</v>
      </c>
      <c r="P51" s="4">
        <v>5075</v>
      </c>
      <c r="Q51" s="5">
        <v>21</v>
      </c>
    </row>
    <row r="52" spans="13:17" x14ac:dyDescent="0.3">
      <c r="M52" t="s">
        <v>3</v>
      </c>
      <c r="N52" t="s">
        <v>36</v>
      </c>
      <c r="O52" t="s">
        <v>16</v>
      </c>
      <c r="P52" s="4">
        <v>9198</v>
      </c>
      <c r="Q52" s="5">
        <v>36</v>
      </c>
    </row>
    <row r="53" spans="13:17" x14ac:dyDescent="0.3">
      <c r="M53" t="s">
        <v>6</v>
      </c>
      <c r="N53" t="s">
        <v>34</v>
      </c>
      <c r="O53" t="s">
        <v>29</v>
      </c>
      <c r="P53" s="4">
        <v>3339</v>
      </c>
      <c r="Q53" s="5">
        <v>75</v>
      </c>
    </row>
    <row r="54" spans="13:17" x14ac:dyDescent="0.3">
      <c r="M54" t="s">
        <v>40</v>
      </c>
      <c r="N54" t="s">
        <v>34</v>
      </c>
      <c r="O54" t="s">
        <v>17</v>
      </c>
      <c r="P54" s="4">
        <v>5019</v>
      </c>
      <c r="Q54" s="5">
        <v>156</v>
      </c>
    </row>
    <row r="55" spans="13:17" x14ac:dyDescent="0.3">
      <c r="M55" t="s">
        <v>5</v>
      </c>
      <c r="N55" t="s">
        <v>36</v>
      </c>
      <c r="O55" t="s">
        <v>16</v>
      </c>
      <c r="P55" s="4">
        <v>16184</v>
      </c>
      <c r="Q55" s="5">
        <v>39</v>
      </c>
    </row>
    <row r="56" spans="13:17" x14ac:dyDescent="0.3">
      <c r="M56" t="s">
        <v>6</v>
      </c>
      <c r="N56" t="s">
        <v>36</v>
      </c>
      <c r="O56" t="s">
        <v>21</v>
      </c>
      <c r="P56" s="4">
        <v>497</v>
      </c>
      <c r="Q56" s="5">
        <v>63</v>
      </c>
    </row>
    <row r="57" spans="13:17" x14ac:dyDescent="0.3">
      <c r="M57" t="s">
        <v>2</v>
      </c>
      <c r="N57" t="s">
        <v>36</v>
      </c>
      <c r="O57" t="s">
        <v>29</v>
      </c>
      <c r="P57" s="4">
        <v>8211</v>
      </c>
      <c r="Q57" s="5">
        <v>75</v>
      </c>
    </row>
    <row r="58" spans="13:17" x14ac:dyDescent="0.3">
      <c r="M58" t="s">
        <v>2</v>
      </c>
      <c r="N58" t="s">
        <v>38</v>
      </c>
      <c r="O58" t="s">
        <v>28</v>
      </c>
      <c r="P58" s="4">
        <v>6580</v>
      </c>
      <c r="Q58" s="5">
        <v>183</v>
      </c>
    </row>
    <row r="59" spans="13:17" x14ac:dyDescent="0.3">
      <c r="M59" t="s">
        <v>41</v>
      </c>
      <c r="N59" t="s">
        <v>35</v>
      </c>
      <c r="O59" t="s">
        <v>13</v>
      </c>
      <c r="P59" s="4">
        <v>4760</v>
      </c>
      <c r="Q59" s="5">
        <v>69</v>
      </c>
    </row>
    <row r="60" spans="13:17" x14ac:dyDescent="0.3">
      <c r="M60" t="s">
        <v>40</v>
      </c>
      <c r="N60" t="s">
        <v>36</v>
      </c>
      <c r="O60" t="s">
        <v>25</v>
      </c>
      <c r="P60" s="4">
        <v>5439</v>
      </c>
      <c r="Q60" s="5">
        <v>30</v>
      </c>
    </row>
    <row r="61" spans="13:17" x14ac:dyDescent="0.3">
      <c r="M61" t="s">
        <v>41</v>
      </c>
      <c r="N61" t="s">
        <v>34</v>
      </c>
      <c r="O61" t="s">
        <v>17</v>
      </c>
      <c r="P61" s="4">
        <v>1463</v>
      </c>
      <c r="Q61" s="5">
        <v>39</v>
      </c>
    </row>
    <row r="62" spans="13:17" x14ac:dyDescent="0.3">
      <c r="M62" t="s">
        <v>3</v>
      </c>
      <c r="N62" t="s">
        <v>34</v>
      </c>
      <c r="O62" t="s">
        <v>32</v>
      </c>
      <c r="P62" s="4">
        <v>7777</v>
      </c>
      <c r="Q62" s="5">
        <v>504</v>
      </c>
    </row>
    <row r="63" spans="13:17" x14ac:dyDescent="0.3">
      <c r="M63" t="s">
        <v>9</v>
      </c>
      <c r="N63" t="s">
        <v>37</v>
      </c>
      <c r="O63" t="s">
        <v>29</v>
      </c>
      <c r="P63" s="4">
        <v>1085</v>
      </c>
      <c r="Q63" s="5">
        <v>273</v>
      </c>
    </row>
    <row r="64" spans="13:17" x14ac:dyDescent="0.3">
      <c r="M64" t="s">
        <v>5</v>
      </c>
      <c r="N64" t="s">
        <v>37</v>
      </c>
      <c r="O64" t="s">
        <v>31</v>
      </c>
      <c r="P64" s="4">
        <v>182</v>
      </c>
      <c r="Q64" s="5">
        <v>48</v>
      </c>
    </row>
    <row r="65" spans="13:17" x14ac:dyDescent="0.3">
      <c r="M65" t="s">
        <v>6</v>
      </c>
      <c r="N65" t="s">
        <v>34</v>
      </c>
      <c r="O65" t="s">
        <v>27</v>
      </c>
      <c r="P65" s="4">
        <v>4242</v>
      </c>
      <c r="Q65" s="5">
        <v>207</v>
      </c>
    </row>
    <row r="66" spans="13:17" x14ac:dyDescent="0.3">
      <c r="M66" t="s">
        <v>6</v>
      </c>
      <c r="N66" t="s">
        <v>36</v>
      </c>
      <c r="O66" t="s">
        <v>32</v>
      </c>
      <c r="P66" s="4">
        <v>6118</v>
      </c>
      <c r="Q66" s="5">
        <v>9</v>
      </c>
    </row>
    <row r="67" spans="13:17" x14ac:dyDescent="0.3">
      <c r="M67" t="s">
        <v>10</v>
      </c>
      <c r="N67" t="s">
        <v>36</v>
      </c>
      <c r="O67" t="s">
        <v>23</v>
      </c>
      <c r="P67" s="4">
        <v>2317</v>
      </c>
      <c r="Q67" s="5">
        <v>261</v>
      </c>
    </row>
    <row r="68" spans="13:17" x14ac:dyDescent="0.3">
      <c r="M68" t="s">
        <v>6</v>
      </c>
      <c r="N68" t="s">
        <v>38</v>
      </c>
      <c r="O68" t="s">
        <v>16</v>
      </c>
      <c r="P68" s="4">
        <v>938</v>
      </c>
      <c r="Q68" s="5">
        <v>6</v>
      </c>
    </row>
    <row r="69" spans="13:17" x14ac:dyDescent="0.3">
      <c r="M69" t="s">
        <v>8</v>
      </c>
      <c r="N69" t="s">
        <v>37</v>
      </c>
      <c r="O69" t="s">
        <v>15</v>
      </c>
      <c r="P69" s="4">
        <v>9709</v>
      </c>
      <c r="Q69" s="5">
        <v>30</v>
      </c>
    </row>
    <row r="70" spans="13:17" x14ac:dyDescent="0.3">
      <c r="M70" t="s">
        <v>7</v>
      </c>
      <c r="N70" t="s">
        <v>34</v>
      </c>
      <c r="O70" t="s">
        <v>20</v>
      </c>
      <c r="P70" s="4">
        <v>2205</v>
      </c>
      <c r="Q70" s="5">
        <v>138</v>
      </c>
    </row>
    <row r="71" spans="13:17" x14ac:dyDescent="0.3">
      <c r="M71" t="s">
        <v>7</v>
      </c>
      <c r="N71" t="s">
        <v>37</v>
      </c>
      <c r="O71" t="s">
        <v>17</v>
      </c>
      <c r="P71" s="4">
        <v>4487</v>
      </c>
      <c r="Q71" s="5">
        <v>111</v>
      </c>
    </row>
    <row r="72" spans="13:17" x14ac:dyDescent="0.3">
      <c r="M72" t="s">
        <v>5</v>
      </c>
      <c r="N72" t="s">
        <v>35</v>
      </c>
      <c r="O72" t="s">
        <v>18</v>
      </c>
      <c r="P72" s="4">
        <v>2415</v>
      </c>
      <c r="Q72" s="5">
        <v>15</v>
      </c>
    </row>
    <row r="73" spans="13:17" x14ac:dyDescent="0.3">
      <c r="M73" t="s">
        <v>40</v>
      </c>
      <c r="N73" t="s">
        <v>34</v>
      </c>
      <c r="O73" t="s">
        <v>19</v>
      </c>
      <c r="P73" s="4">
        <v>4018</v>
      </c>
      <c r="Q73" s="5">
        <v>162</v>
      </c>
    </row>
    <row r="74" spans="13:17" x14ac:dyDescent="0.3">
      <c r="M74" t="s">
        <v>5</v>
      </c>
      <c r="N74" t="s">
        <v>34</v>
      </c>
      <c r="O74" t="s">
        <v>19</v>
      </c>
      <c r="P74" s="4">
        <v>861</v>
      </c>
      <c r="Q74" s="5">
        <v>195</v>
      </c>
    </row>
    <row r="75" spans="13:17" x14ac:dyDescent="0.3">
      <c r="M75" t="s">
        <v>10</v>
      </c>
      <c r="N75" t="s">
        <v>38</v>
      </c>
      <c r="O75" t="s">
        <v>14</v>
      </c>
      <c r="P75" s="4">
        <v>5586</v>
      </c>
      <c r="Q75" s="5">
        <v>525</v>
      </c>
    </row>
    <row r="76" spans="13:17" x14ac:dyDescent="0.3">
      <c r="M76" t="s">
        <v>7</v>
      </c>
      <c r="N76" t="s">
        <v>34</v>
      </c>
      <c r="O76" t="s">
        <v>33</v>
      </c>
      <c r="P76" s="4">
        <v>2226</v>
      </c>
      <c r="Q76" s="5">
        <v>48</v>
      </c>
    </row>
    <row r="77" spans="13:17" x14ac:dyDescent="0.3">
      <c r="M77" t="s">
        <v>9</v>
      </c>
      <c r="N77" t="s">
        <v>34</v>
      </c>
      <c r="O77" t="s">
        <v>28</v>
      </c>
      <c r="P77" s="4">
        <v>14329</v>
      </c>
      <c r="Q77" s="5">
        <v>150</v>
      </c>
    </row>
    <row r="78" spans="13:17" x14ac:dyDescent="0.3">
      <c r="M78" t="s">
        <v>9</v>
      </c>
      <c r="N78" t="s">
        <v>34</v>
      </c>
      <c r="O78" t="s">
        <v>20</v>
      </c>
      <c r="P78" s="4">
        <v>8463</v>
      </c>
      <c r="Q78" s="5">
        <v>492</v>
      </c>
    </row>
    <row r="79" spans="13:17" x14ac:dyDescent="0.3">
      <c r="M79" t="s">
        <v>5</v>
      </c>
      <c r="N79" t="s">
        <v>34</v>
      </c>
      <c r="O79" t="s">
        <v>29</v>
      </c>
      <c r="P79" s="4">
        <v>2891</v>
      </c>
      <c r="Q79" s="5">
        <v>102</v>
      </c>
    </row>
    <row r="80" spans="13:17" x14ac:dyDescent="0.3">
      <c r="M80" t="s">
        <v>3</v>
      </c>
      <c r="N80" t="s">
        <v>36</v>
      </c>
      <c r="O80" t="s">
        <v>23</v>
      </c>
      <c r="P80" s="4">
        <v>3773</v>
      </c>
      <c r="Q80" s="5">
        <v>165</v>
      </c>
    </row>
    <row r="81" spans="13:17" x14ac:dyDescent="0.3">
      <c r="M81" t="s">
        <v>41</v>
      </c>
      <c r="N81" t="s">
        <v>36</v>
      </c>
      <c r="O81" t="s">
        <v>28</v>
      </c>
      <c r="P81" s="4">
        <v>854</v>
      </c>
      <c r="Q81" s="5">
        <v>309</v>
      </c>
    </row>
    <row r="82" spans="13:17" x14ac:dyDescent="0.3">
      <c r="M82" t="s">
        <v>6</v>
      </c>
      <c r="N82" t="s">
        <v>36</v>
      </c>
      <c r="O82" t="s">
        <v>17</v>
      </c>
      <c r="P82" s="4">
        <v>4970</v>
      </c>
      <c r="Q82" s="5">
        <v>156</v>
      </c>
    </row>
    <row r="83" spans="13:17" x14ac:dyDescent="0.3">
      <c r="M83" t="s">
        <v>9</v>
      </c>
      <c r="N83" t="s">
        <v>35</v>
      </c>
      <c r="O83" t="s">
        <v>26</v>
      </c>
      <c r="P83" s="4">
        <v>98</v>
      </c>
      <c r="Q83" s="5">
        <v>159</v>
      </c>
    </row>
    <row r="84" spans="13:17" x14ac:dyDescent="0.3">
      <c r="M84" t="s">
        <v>5</v>
      </c>
      <c r="N84" t="s">
        <v>35</v>
      </c>
      <c r="O84" t="s">
        <v>15</v>
      </c>
      <c r="P84" s="4">
        <v>13391</v>
      </c>
      <c r="Q84" s="5">
        <v>201</v>
      </c>
    </row>
    <row r="85" spans="13:17" x14ac:dyDescent="0.3">
      <c r="M85" t="s">
        <v>8</v>
      </c>
      <c r="N85" t="s">
        <v>39</v>
      </c>
      <c r="O85" t="s">
        <v>31</v>
      </c>
      <c r="P85" s="4">
        <v>8890</v>
      </c>
      <c r="Q85" s="5">
        <v>210</v>
      </c>
    </row>
    <row r="86" spans="13:17" x14ac:dyDescent="0.3">
      <c r="M86" t="s">
        <v>2</v>
      </c>
      <c r="N86" t="s">
        <v>38</v>
      </c>
      <c r="O86" t="s">
        <v>13</v>
      </c>
      <c r="P86" s="4">
        <v>56</v>
      </c>
      <c r="Q86" s="5">
        <v>51</v>
      </c>
    </row>
    <row r="87" spans="13:17" x14ac:dyDescent="0.3">
      <c r="M87" t="s">
        <v>3</v>
      </c>
      <c r="N87" t="s">
        <v>36</v>
      </c>
      <c r="O87" t="s">
        <v>25</v>
      </c>
      <c r="P87" s="4">
        <v>3339</v>
      </c>
      <c r="Q87" s="5">
        <v>39</v>
      </c>
    </row>
    <row r="88" spans="13:17" x14ac:dyDescent="0.3">
      <c r="M88" t="s">
        <v>10</v>
      </c>
      <c r="N88" t="s">
        <v>35</v>
      </c>
      <c r="O88" t="s">
        <v>18</v>
      </c>
      <c r="P88" s="4">
        <v>3808</v>
      </c>
      <c r="Q88" s="5">
        <v>279</v>
      </c>
    </row>
    <row r="89" spans="13:17" x14ac:dyDescent="0.3">
      <c r="M89" t="s">
        <v>10</v>
      </c>
      <c r="N89" t="s">
        <v>38</v>
      </c>
      <c r="O89" t="s">
        <v>13</v>
      </c>
      <c r="P89" s="4">
        <v>63</v>
      </c>
      <c r="Q89" s="5">
        <v>123</v>
      </c>
    </row>
    <row r="90" spans="13:17" x14ac:dyDescent="0.3">
      <c r="M90" t="s">
        <v>2</v>
      </c>
      <c r="N90" t="s">
        <v>39</v>
      </c>
      <c r="O90" t="s">
        <v>27</v>
      </c>
      <c r="P90" s="4">
        <v>7812</v>
      </c>
      <c r="Q90" s="5">
        <v>81</v>
      </c>
    </row>
    <row r="91" spans="13:17" x14ac:dyDescent="0.3">
      <c r="M91" t="s">
        <v>40</v>
      </c>
      <c r="N91" t="s">
        <v>37</v>
      </c>
      <c r="O91" t="s">
        <v>19</v>
      </c>
      <c r="P91" s="4">
        <v>7693</v>
      </c>
      <c r="Q91" s="5">
        <v>21</v>
      </c>
    </row>
    <row r="92" spans="13:17" x14ac:dyDescent="0.3">
      <c r="M92" t="s">
        <v>3</v>
      </c>
      <c r="N92" t="s">
        <v>36</v>
      </c>
      <c r="O92" t="s">
        <v>28</v>
      </c>
      <c r="P92" s="4">
        <v>973</v>
      </c>
      <c r="Q92" s="5">
        <v>162</v>
      </c>
    </row>
    <row r="93" spans="13:17" x14ac:dyDescent="0.3">
      <c r="M93" t="s">
        <v>10</v>
      </c>
      <c r="N93" t="s">
        <v>35</v>
      </c>
      <c r="O93" t="s">
        <v>21</v>
      </c>
      <c r="P93" s="4">
        <v>567</v>
      </c>
      <c r="Q93" s="5">
        <v>228</v>
      </c>
    </row>
    <row r="94" spans="13:17" x14ac:dyDescent="0.3">
      <c r="M94" t="s">
        <v>10</v>
      </c>
      <c r="N94" t="s">
        <v>36</v>
      </c>
      <c r="O94" t="s">
        <v>29</v>
      </c>
      <c r="P94" s="4">
        <v>2471</v>
      </c>
      <c r="Q94" s="5">
        <v>342</v>
      </c>
    </row>
    <row r="95" spans="13:17" x14ac:dyDescent="0.3">
      <c r="M95" t="s">
        <v>5</v>
      </c>
      <c r="N95" t="s">
        <v>38</v>
      </c>
      <c r="O95" t="s">
        <v>13</v>
      </c>
      <c r="P95" s="4">
        <v>7189</v>
      </c>
      <c r="Q95" s="5">
        <v>54</v>
      </c>
    </row>
    <row r="96" spans="13:17" x14ac:dyDescent="0.3">
      <c r="M96" t="s">
        <v>41</v>
      </c>
      <c r="N96" t="s">
        <v>35</v>
      </c>
      <c r="O96" t="s">
        <v>28</v>
      </c>
      <c r="P96" s="4">
        <v>7455</v>
      </c>
      <c r="Q96" s="5">
        <v>216</v>
      </c>
    </row>
    <row r="97" spans="13:17" x14ac:dyDescent="0.3">
      <c r="M97" t="s">
        <v>3</v>
      </c>
      <c r="N97" t="s">
        <v>34</v>
      </c>
      <c r="O97" t="s">
        <v>26</v>
      </c>
      <c r="P97" s="4">
        <v>3108</v>
      </c>
      <c r="Q97" s="5">
        <v>54</v>
      </c>
    </row>
    <row r="98" spans="13:17" x14ac:dyDescent="0.3">
      <c r="M98" t="s">
        <v>6</v>
      </c>
      <c r="N98" t="s">
        <v>38</v>
      </c>
      <c r="O98" t="s">
        <v>25</v>
      </c>
      <c r="P98" s="4">
        <v>469</v>
      </c>
      <c r="Q98" s="5">
        <v>75</v>
      </c>
    </row>
    <row r="99" spans="13:17" x14ac:dyDescent="0.3">
      <c r="M99" t="s">
        <v>9</v>
      </c>
      <c r="N99" t="s">
        <v>37</v>
      </c>
      <c r="O99" t="s">
        <v>23</v>
      </c>
      <c r="P99" s="4">
        <v>2737</v>
      </c>
      <c r="Q99" s="5">
        <v>93</v>
      </c>
    </row>
    <row r="100" spans="13:17" x14ac:dyDescent="0.3">
      <c r="M100" t="s">
        <v>9</v>
      </c>
      <c r="N100" t="s">
        <v>37</v>
      </c>
      <c r="O100" t="s">
        <v>25</v>
      </c>
      <c r="P100" s="4">
        <v>4305</v>
      </c>
      <c r="Q100" s="5">
        <v>156</v>
      </c>
    </row>
    <row r="101" spans="13:17" x14ac:dyDescent="0.3">
      <c r="M101" t="s">
        <v>9</v>
      </c>
      <c r="N101" t="s">
        <v>38</v>
      </c>
      <c r="O101" t="s">
        <v>17</v>
      </c>
      <c r="P101" s="4">
        <v>2408</v>
      </c>
      <c r="Q101" s="5">
        <v>9</v>
      </c>
    </row>
    <row r="102" spans="13:17" x14ac:dyDescent="0.3">
      <c r="M102" t="s">
        <v>3</v>
      </c>
      <c r="N102" t="s">
        <v>36</v>
      </c>
      <c r="O102" t="s">
        <v>19</v>
      </c>
      <c r="P102" s="4">
        <v>1281</v>
      </c>
      <c r="Q102" s="5">
        <v>18</v>
      </c>
    </row>
    <row r="103" spans="13:17" x14ac:dyDescent="0.3">
      <c r="M103" t="s">
        <v>40</v>
      </c>
      <c r="N103" t="s">
        <v>35</v>
      </c>
      <c r="O103" t="s">
        <v>32</v>
      </c>
      <c r="P103" s="4">
        <v>12348</v>
      </c>
      <c r="Q103" s="5">
        <v>234</v>
      </c>
    </row>
    <row r="104" spans="13:17" x14ac:dyDescent="0.3">
      <c r="M104" t="s">
        <v>3</v>
      </c>
      <c r="N104" t="s">
        <v>34</v>
      </c>
      <c r="O104" t="s">
        <v>28</v>
      </c>
      <c r="P104" s="4">
        <v>3689</v>
      </c>
      <c r="Q104" s="5">
        <v>312</v>
      </c>
    </row>
    <row r="105" spans="13:17" x14ac:dyDescent="0.3">
      <c r="M105" t="s">
        <v>7</v>
      </c>
      <c r="N105" t="s">
        <v>36</v>
      </c>
      <c r="O105" t="s">
        <v>19</v>
      </c>
      <c r="P105" s="4">
        <v>2870</v>
      </c>
      <c r="Q105" s="5">
        <v>300</v>
      </c>
    </row>
    <row r="106" spans="13:17" x14ac:dyDescent="0.3">
      <c r="M106" t="s">
        <v>2</v>
      </c>
      <c r="N106" t="s">
        <v>36</v>
      </c>
      <c r="O106" t="s">
        <v>27</v>
      </c>
      <c r="P106" s="4">
        <v>798</v>
      </c>
      <c r="Q106" s="5">
        <v>519</v>
      </c>
    </row>
    <row r="107" spans="13:17" x14ac:dyDescent="0.3">
      <c r="M107" t="s">
        <v>41</v>
      </c>
      <c r="N107" t="s">
        <v>37</v>
      </c>
      <c r="O107" t="s">
        <v>21</v>
      </c>
      <c r="P107" s="4">
        <v>2933</v>
      </c>
      <c r="Q107" s="5">
        <v>9</v>
      </c>
    </row>
    <row r="108" spans="13:17" x14ac:dyDescent="0.3">
      <c r="M108" t="s">
        <v>5</v>
      </c>
      <c r="N108" t="s">
        <v>35</v>
      </c>
      <c r="O108" t="s">
        <v>4</v>
      </c>
      <c r="P108" s="4">
        <v>2744</v>
      </c>
      <c r="Q108" s="5">
        <v>9</v>
      </c>
    </row>
    <row r="109" spans="13:17" x14ac:dyDescent="0.3">
      <c r="M109" t="s">
        <v>40</v>
      </c>
      <c r="N109" t="s">
        <v>36</v>
      </c>
      <c r="O109" t="s">
        <v>33</v>
      </c>
      <c r="P109" s="4">
        <v>9772</v>
      </c>
      <c r="Q109" s="5">
        <v>90</v>
      </c>
    </row>
    <row r="110" spans="13:17" x14ac:dyDescent="0.3">
      <c r="M110" t="s">
        <v>7</v>
      </c>
      <c r="N110" t="s">
        <v>34</v>
      </c>
      <c r="O110" t="s">
        <v>25</v>
      </c>
      <c r="P110" s="4">
        <v>1568</v>
      </c>
      <c r="Q110" s="5">
        <v>96</v>
      </c>
    </row>
    <row r="111" spans="13:17" x14ac:dyDescent="0.3">
      <c r="M111" t="s">
        <v>2</v>
      </c>
      <c r="N111" t="s">
        <v>36</v>
      </c>
      <c r="O111" t="s">
        <v>16</v>
      </c>
      <c r="P111" s="4">
        <v>11417</v>
      </c>
      <c r="Q111" s="5">
        <v>21</v>
      </c>
    </row>
    <row r="112" spans="13:17" x14ac:dyDescent="0.3">
      <c r="M112" t="s">
        <v>40</v>
      </c>
      <c r="N112" t="s">
        <v>34</v>
      </c>
      <c r="O112" t="s">
        <v>26</v>
      </c>
      <c r="P112" s="4">
        <v>6748</v>
      </c>
      <c r="Q112" s="5">
        <v>48</v>
      </c>
    </row>
    <row r="113" spans="13:17" x14ac:dyDescent="0.3">
      <c r="M113" t="s">
        <v>10</v>
      </c>
      <c r="N113" t="s">
        <v>36</v>
      </c>
      <c r="O113" t="s">
        <v>27</v>
      </c>
      <c r="P113" s="4">
        <v>1407</v>
      </c>
      <c r="Q113" s="5">
        <v>72</v>
      </c>
    </row>
    <row r="114" spans="13:17" x14ac:dyDescent="0.3">
      <c r="M114" t="s">
        <v>8</v>
      </c>
      <c r="N114" t="s">
        <v>35</v>
      </c>
      <c r="O114" t="s">
        <v>29</v>
      </c>
      <c r="P114" s="4">
        <v>2023</v>
      </c>
      <c r="Q114" s="5">
        <v>168</v>
      </c>
    </row>
    <row r="115" spans="13:17" x14ac:dyDescent="0.3">
      <c r="M115" t="s">
        <v>5</v>
      </c>
      <c r="N115" t="s">
        <v>39</v>
      </c>
      <c r="O115" t="s">
        <v>26</v>
      </c>
      <c r="P115" s="4">
        <v>5236</v>
      </c>
      <c r="Q115" s="5">
        <v>51</v>
      </c>
    </row>
    <row r="116" spans="13:17" x14ac:dyDescent="0.3">
      <c r="M116" t="s">
        <v>41</v>
      </c>
      <c r="N116" t="s">
        <v>36</v>
      </c>
      <c r="O116" t="s">
        <v>19</v>
      </c>
      <c r="P116" s="4">
        <v>1925</v>
      </c>
      <c r="Q116" s="5">
        <v>192</v>
      </c>
    </row>
    <row r="117" spans="13:17" x14ac:dyDescent="0.3">
      <c r="M117" t="s">
        <v>7</v>
      </c>
      <c r="N117" t="s">
        <v>37</v>
      </c>
      <c r="O117" t="s">
        <v>14</v>
      </c>
      <c r="P117" s="4">
        <v>6608</v>
      </c>
      <c r="Q117" s="5">
        <v>225</v>
      </c>
    </row>
    <row r="118" spans="13:17" x14ac:dyDescent="0.3">
      <c r="M118" t="s">
        <v>6</v>
      </c>
      <c r="N118" t="s">
        <v>34</v>
      </c>
      <c r="O118" t="s">
        <v>26</v>
      </c>
      <c r="P118" s="4">
        <v>8008</v>
      </c>
      <c r="Q118" s="5">
        <v>456</v>
      </c>
    </row>
    <row r="119" spans="13:17" x14ac:dyDescent="0.3">
      <c r="M119" t="s">
        <v>10</v>
      </c>
      <c r="N119" t="s">
        <v>34</v>
      </c>
      <c r="O119" t="s">
        <v>25</v>
      </c>
      <c r="P119" s="4">
        <v>1428</v>
      </c>
      <c r="Q119" s="5">
        <v>93</v>
      </c>
    </row>
    <row r="120" spans="13:17" x14ac:dyDescent="0.3">
      <c r="M120" t="s">
        <v>6</v>
      </c>
      <c r="N120" t="s">
        <v>34</v>
      </c>
      <c r="O120" t="s">
        <v>4</v>
      </c>
      <c r="P120" s="4">
        <v>525</v>
      </c>
      <c r="Q120" s="5">
        <v>48</v>
      </c>
    </row>
    <row r="121" spans="13:17" x14ac:dyDescent="0.3">
      <c r="M121" t="s">
        <v>6</v>
      </c>
      <c r="N121" t="s">
        <v>37</v>
      </c>
      <c r="O121" t="s">
        <v>18</v>
      </c>
      <c r="P121" s="4">
        <v>1505</v>
      </c>
      <c r="Q121" s="5">
        <v>102</v>
      </c>
    </row>
    <row r="122" spans="13:17" x14ac:dyDescent="0.3">
      <c r="M122" t="s">
        <v>7</v>
      </c>
      <c r="N122" t="s">
        <v>35</v>
      </c>
      <c r="O122" t="s">
        <v>30</v>
      </c>
      <c r="P122" s="4">
        <v>6755</v>
      </c>
      <c r="Q122" s="5">
        <v>252</v>
      </c>
    </row>
    <row r="123" spans="13:17" x14ac:dyDescent="0.3">
      <c r="M123" t="s">
        <v>2</v>
      </c>
      <c r="N123" t="s">
        <v>37</v>
      </c>
      <c r="O123" t="s">
        <v>18</v>
      </c>
      <c r="P123" s="4">
        <v>11571</v>
      </c>
      <c r="Q123" s="5">
        <v>138</v>
      </c>
    </row>
    <row r="124" spans="13:17" x14ac:dyDescent="0.3">
      <c r="M124" t="s">
        <v>40</v>
      </c>
      <c r="N124" t="s">
        <v>38</v>
      </c>
      <c r="O124" t="s">
        <v>25</v>
      </c>
      <c r="P124" s="4">
        <v>2541</v>
      </c>
      <c r="Q124" s="5">
        <v>90</v>
      </c>
    </row>
    <row r="125" spans="13:17" x14ac:dyDescent="0.3">
      <c r="M125" t="s">
        <v>41</v>
      </c>
      <c r="N125" t="s">
        <v>37</v>
      </c>
      <c r="O125" t="s">
        <v>30</v>
      </c>
      <c r="P125" s="4">
        <v>1526</v>
      </c>
      <c r="Q125" s="5">
        <v>240</v>
      </c>
    </row>
    <row r="126" spans="13:17" x14ac:dyDescent="0.3">
      <c r="M126" t="s">
        <v>40</v>
      </c>
      <c r="N126" t="s">
        <v>38</v>
      </c>
      <c r="O126" t="s">
        <v>4</v>
      </c>
      <c r="P126" s="4">
        <v>6125</v>
      </c>
      <c r="Q126" s="5">
        <v>102</v>
      </c>
    </row>
    <row r="127" spans="13:17" x14ac:dyDescent="0.3">
      <c r="M127" t="s">
        <v>41</v>
      </c>
      <c r="N127" t="s">
        <v>35</v>
      </c>
      <c r="O127" t="s">
        <v>27</v>
      </c>
      <c r="P127" s="4">
        <v>847</v>
      </c>
      <c r="Q127" s="5">
        <v>129</v>
      </c>
    </row>
    <row r="128" spans="13:17" x14ac:dyDescent="0.3">
      <c r="M128" t="s">
        <v>8</v>
      </c>
      <c r="N128" t="s">
        <v>35</v>
      </c>
      <c r="O128" t="s">
        <v>27</v>
      </c>
      <c r="P128" s="4">
        <v>4753</v>
      </c>
      <c r="Q128" s="5">
        <v>300</v>
      </c>
    </row>
    <row r="129" spans="13:17" x14ac:dyDescent="0.3">
      <c r="M129" t="s">
        <v>6</v>
      </c>
      <c r="N129" t="s">
        <v>38</v>
      </c>
      <c r="O129" t="s">
        <v>33</v>
      </c>
      <c r="P129" s="4">
        <v>959</v>
      </c>
      <c r="Q129" s="5">
        <v>135</v>
      </c>
    </row>
    <row r="130" spans="13:17" x14ac:dyDescent="0.3">
      <c r="M130" t="s">
        <v>7</v>
      </c>
      <c r="N130" t="s">
        <v>35</v>
      </c>
      <c r="O130" t="s">
        <v>24</v>
      </c>
      <c r="P130" s="4">
        <v>2793</v>
      </c>
      <c r="Q130" s="5">
        <v>114</v>
      </c>
    </row>
    <row r="131" spans="13:17" x14ac:dyDescent="0.3">
      <c r="M131" t="s">
        <v>7</v>
      </c>
      <c r="N131" t="s">
        <v>35</v>
      </c>
      <c r="O131" t="s">
        <v>14</v>
      </c>
      <c r="P131" s="4">
        <v>4606</v>
      </c>
      <c r="Q131" s="5">
        <v>63</v>
      </c>
    </row>
    <row r="132" spans="13:17" x14ac:dyDescent="0.3">
      <c r="M132" t="s">
        <v>7</v>
      </c>
      <c r="N132" t="s">
        <v>36</v>
      </c>
      <c r="O132" t="s">
        <v>29</v>
      </c>
      <c r="P132" s="4">
        <v>5551</v>
      </c>
      <c r="Q132" s="5">
        <v>252</v>
      </c>
    </row>
    <row r="133" spans="13:17" x14ac:dyDescent="0.3">
      <c r="M133" t="s">
        <v>10</v>
      </c>
      <c r="N133" t="s">
        <v>36</v>
      </c>
      <c r="O133" t="s">
        <v>32</v>
      </c>
      <c r="P133" s="4">
        <v>6657</v>
      </c>
      <c r="Q133" s="5">
        <v>303</v>
      </c>
    </row>
    <row r="134" spans="13:17" x14ac:dyDescent="0.3">
      <c r="M134" t="s">
        <v>7</v>
      </c>
      <c r="N134" t="s">
        <v>39</v>
      </c>
      <c r="O134" t="s">
        <v>17</v>
      </c>
      <c r="P134" s="4">
        <v>4438</v>
      </c>
      <c r="Q134" s="5">
        <v>246</v>
      </c>
    </row>
    <row r="135" spans="13:17" x14ac:dyDescent="0.3">
      <c r="M135" t="s">
        <v>8</v>
      </c>
      <c r="N135" t="s">
        <v>38</v>
      </c>
      <c r="O135" t="s">
        <v>22</v>
      </c>
      <c r="P135" s="4">
        <v>168</v>
      </c>
      <c r="Q135" s="5">
        <v>84</v>
      </c>
    </row>
    <row r="136" spans="13:17" x14ac:dyDescent="0.3">
      <c r="M136" t="s">
        <v>7</v>
      </c>
      <c r="N136" t="s">
        <v>34</v>
      </c>
      <c r="O136" t="s">
        <v>17</v>
      </c>
      <c r="P136" s="4">
        <v>7777</v>
      </c>
      <c r="Q136" s="5">
        <v>39</v>
      </c>
    </row>
    <row r="137" spans="13:17" x14ac:dyDescent="0.3">
      <c r="M137" t="s">
        <v>5</v>
      </c>
      <c r="N137" t="s">
        <v>36</v>
      </c>
      <c r="O137" t="s">
        <v>17</v>
      </c>
      <c r="P137" s="4">
        <v>3339</v>
      </c>
      <c r="Q137" s="5">
        <v>348</v>
      </c>
    </row>
    <row r="138" spans="13:17" x14ac:dyDescent="0.3">
      <c r="M138" t="s">
        <v>7</v>
      </c>
      <c r="N138" t="s">
        <v>37</v>
      </c>
      <c r="O138" t="s">
        <v>33</v>
      </c>
      <c r="P138" s="4">
        <v>6391</v>
      </c>
      <c r="Q138" s="5">
        <v>48</v>
      </c>
    </row>
    <row r="139" spans="13:17" x14ac:dyDescent="0.3">
      <c r="M139" t="s">
        <v>5</v>
      </c>
      <c r="N139" t="s">
        <v>37</v>
      </c>
      <c r="O139" t="s">
        <v>22</v>
      </c>
      <c r="P139" s="4">
        <v>518</v>
      </c>
      <c r="Q139" s="5">
        <v>75</v>
      </c>
    </row>
    <row r="140" spans="13:17" x14ac:dyDescent="0.3">
      <c r="M140" t="s">
        <v>7</v>
      </c>
      <c r="N140" t="s">
        <v>38</v>
      </c>
      <c r="O140" t="s">
        <v>28</v>
      </c>
      <c r="P140" s="4">
        <v>5677</v>
      </c>
      <c r="Q140" s="5">
        <v>258</v>
      </c>
    </row>
    <row r="141" spans="13:17" x14ac:dyDescent="0.3">
      <c r="M141" t="s">
        <v>6</v>
      </c>
      <c r="N141" t="s">
        <v>39</v>
      </c>
      <c r="O141" t="s">
        <v>17</v>
      </c>
      <c r="P141" s="4">
        <v>6048</v>
      </c>
      <c r="Q141" s="5">
        <v>27</v>
      </c>
    </row>
    <row r="142" spans="13:17" x14ac:dyDescent="0.3">
      <c r="M142" t="s">
        <v>8</v>
      </c>
      <c r="N142" t="s">
        <v>38</v>
      </c>
      <c r="O142" t="s">
        <v>32</v>
      </c>
      <c r="P142" s="4">
        <v>3752</v>
      </c>
      <c r="Q142" s="5">
        <v>213</v>
      </c>
    </row>
    <row r="143" spans="13:17" x14ac:dyDescent="0.3">
      <c r="M143" t="s">
        <v>5</v>
      </c>
      <c r="N143" t="s">
        <v>35</v>
      </c>
      <c r="O143" t="s">
        <v>29</v>
      </c>
      <c r="P143" s="4">
        <v>4480</v>
      </c>
      <c r="Q143" s="5">
        <v>357</v>
      </c>
    </row>
    <row r="144" spans="13:17" x14ac:dyDescent="0.3">
      <c r="M144" t="s">
        <v>9</v>
      </c>
      <c r="N144" t="s">
        <v>37</v>
      </c>
      <c r="O144" t="s">
        <v>4</v>
      </c>
      <c r="P144" s="4">
        <v>259</v>
      </c>
      <c r="Q144" s="5">
        <v>207</v>
      </c>
    </row>
    <row r="145" spans="13:17" x14ac:dyDescent="0.3">
      <c r="M145" t="s">
        <v>8</v>
      </c>
      <c r="N145" t="s">
        <v>37</v>
      </c>
      <c r="O145" t="s">
        <v>30</v>
      </c>
      <c r="P145" s="4">
        <v>42</v>
      </c>
      <c r="Q145" s="5">
        <v>150</v>
      </c>
    </row>
    <row r="146" spans="13:17" x14ac:dyDescent="0.3">
      <c r="M146" t="s">
        <v>41</v>
      </c>
      <c r="N146" t="s">
        <v>36</v>
      </c>
      <c r="O146" t="s">
        <v>26</v>
      </c>
      <c r="P146" s="4">
        <v>98</v>
      </c>
      <c r="Q146" s="5">
        <v>204</v>
      </c>
    </row>
    <row r="147" spans="13:17" x14ac:dyDescent="0.3">
      <c r="M147" t="s">
        <v>7</v>
      </c>
      <c r="N147" t="s">
        <v>35</v>
      </c>
      <c r="O147" t="s">
        <v>27</v>
      </c>
      <c r="P147" s="4">
        <v>2478</v>
      </c>
      <c r="Q147" s="5">
        <v>21</v>
      </c>
    </row>
    <row r="148" spans="13:17" x14ac:dyDescent="0.3">
      <c r="M148" t="s">
        <v>41</v>
      </c>
      <c r="N148" t="s">
        <v>34</v>
      </c>
      <c r="O148" t="s">
        <v>33</v>
      </c>
      <c r="P148" s="4">
        <v>7847</v>
      </c>
      <c r="Q148" s="5">
        <v>174</v>
      </c>
    </row>
    <row r="149" spans="13:17" x14ac:dyDescent="0.3">
      <c r="M149" t="s">
        <v>2</v>
      </c>
      <c r="N149" t="s">
        <v>37</v>
      </c>
      <c r="O149" t="s">
        <v>17</v>
      </c>
      <c r="P149" s="4">
        <v>9926</v>
      </c>
      <c r="Q149" s="5">
        <v>201</v>
      </c>
    </row>
    <row r="150" spans="13:17" x14ac:dyDescent="0.3">
      <c r="M150" t="s">
        <v>8</v>
      </c>
      <c r="N150" t="s">
        <v>38</v>
      </c>
      <c r="O150" t="s">
        <v>13</v>
      </c>
      <c r="P150" s="4">
        <v>819</v>
      </c>
      <c r="Q150" s="5">
        <v>510</v>
      </c>
    </row>
    <row r="151" spans="13:17" x14ac:dyDescent="0.3">
      <c r="M151" t="s">
        <v>6</v>
      </c>
      <c r="N151" t="s">
        <v>39</v>
      </c>
      <c r="O151" t="s">
        <v>29</v>
      </c>
      <c r="P151" s="4">
        <v>3052</v>
      </c>
      <c r="Q151" s="5">
        <v>378</v>
      </c>
    </row>
    <row r="152" spans="13:17" x14ac:dyDescent="0.3">
      <c r="M152" t="s">
        <v>9</v>
      </c>
      <c r="N152" t="s">
        <v>34</v>
      </c>
      <c r="O152" t="s">
        <v>21</v>
      </c>
      <c r="P152" s="4">
        <v>6832</v>
      </c>
      <c r="Q152" s="5">
        <v>27</v>
      </c>
    </row>
    <row r="153" spans="13:17" x14ac:dyDescent="0.3">
      <c r="M153" t="s">
        <v>2</v>
      </c>
      <c r="N153" t="s">
        <v>39</v>
      </c>
      <c r="O153" t="s">
        <v>16</v>
      </c>
      <c r="P153" s="4">
        <v>2016</v>
      </c>
      <c r="Q153" s="5">
        <v>117</v>
      </c>
    </row>
    <row r="154" spans="13:17" x14ac:dyDescent="0.3">
      <c r="M154" t="s">
        <v>6</v>
      </c>
      <c r="N154" t="s">
        <v>38</v>
      </c>
      <c r="O154" t="s">
        <v>21</v>
      </c>
      <c r="P154" s="4">
        <v>7322</v>
      </c>
      <c r="Q154" s="5">
        <v>36</v>
      </c>
    </row>
    <row r="155" spans="13:17" x14ac:dyDescent="0.3">
      <c r="M155" t="s">
        <v>8</v>
      </c>
      <c r="N155" t="s">
        <v>35</v>
      </c>
      <c r="O155" t="s">
        <v>33</v>
      </c>
      <c r="P155" s="4">
        <v>357</v>
      </c>
      <c r="Q155" s="5">
        <v>126</v>
      </c>
    </row>
    <row r="156" spans="13:17" x14ac:dyDescent="0.3">
      <c r="M156" t="s">
        <v>9</v>
      </c>
      <c r="N156" t="s">
        <v>39</v>
      </c>
      <c r="O156" t="s">
        <v>25</v>
      </c>
      <c r="P156" s="4">
        <v>3192</v>
      </c>
      <c r="Q156" s="5">
        <v>72</v>
      </c>
    </row>
    <row r="157" spans="13:17" x14ac:dyDescent="0.3">
      <c r="M157" t="s">
        <v>7</v>
      </c>
      <c r="N157" t="s">
        <v>36</v>
      </c>
      <c r="O157" t="s">
        <v>22</v>
      </c>
      <c r="P157" s="4">
        <v>8435</v>
      </c>
      <c r="Q157" s="5">
        <v>42</v>
      </c>
    </row>
    <row r="158" spans="13:17" x14ac:dyDescent="0.3">
      <c r="M158" t="s">
        <v>40</v>
      </c>
      <c r="N158" t="s">
        <v>39</v>
      </c>
      <c r="O158" t="s">
        <v>29</v>
      </c>
      <c r="P158" s="4">
        <v>0</v>
      </c>
      <c r="Q158" s="5">
        <v>135</v>
      </c>
    </row>
    <row r="159" spans="13:17" x14ac:dyDescent="0.3">
      <c r="M159" t="s">
        <v>7</v>
      </c>
      <c r="N159" t="s">
        <v>34</v>
      </c>
      <c r="O159" t="s">
        <v>24</v>
      </c>
      <c r="P159" s="4">
        <v>8862</v>
      </c>
      <c r="Q159" s="5">
        <v>189</v>
      </c>
    </row>
    <row r="160" spans="13:17" x14ac:dyDescent="0.3">
      <c r="M160" t="s">
        <v>6</v>
      </c>
      <c r="N160" t="s">
        <v>37</v>
      </c>
      <c r="O160" t="s">
        <v>28</v>
      </c>
      <c r="P160" s="4">
        <v>3556</v>
      </c>
      <c r="Q160" s="5">
        <v>459</v>
      </c>
    </row>
    <row r="161" spans="13:17" x14ac:dyDescent="0.3">
      <c r="M161" t="s">
        <v>5</v>
      </c>
      <c r="N161" t="s">
        <v>34</v>
      </c>
      <c r="O161" t="s">
        <v>15</v>
      </c>
      <c r="P161" s="4">
        <v>7280</v>
      </c>
      <c r="Q161" s="5">
        <v>201</v>
      </c>
    </row>
    <row r="162" spans="13:17" x14ac:dyDescent="0.3">
      <c r="M162" t="s">
        <v>6</v>
      </c>
      <c r="N162" t="s">
        <v>34</v>
      </c>
      <c r="O162" t="s">
        <v>30</v>
      </c>
      <c r="P162" s="4">
        <v>3402</v>
      </c>
      <c r="Q162" s="5">
        <v>366</v>
      </c>
    </row>
    <row r="163" spans="13:17" x14ac:dyDescent="0.3">
      <c r="M163" t="s">
        <v>3</v>
      </c>
      <c r="N163" t="s">
        <v>37</v>
      </c>
      <c r="O163" t="s">
        <v>29</v>
      </c>
      <c r="P163" s="4">
        <v>4592</v>
      </c>
      <c r="Q163" s="5">
        <v>324</v>
      </c>
    </row>
    <row r="164" spans="13:17" x14ac:dyDescent="0.3">
      <c r="M164" t="s">
        <v>9</v>
      </c>
      <c r="N164" t="s">
        <v>35</v>
      </c>
      <c r="O164" t="s">
        <v>15</v>
      </c>
      <c r="P164" s="4">
        <v>7833</v>
      </c>
      <c r="Q164" s="5">
        <v>243</v>
      </c>
    </row>
    <row r="165" spans="13:17" x14ac:dyDescent="0.3">
      <c r="M165" t="s">
        <v>2</v>
      </c>
      <c r="N165" t="s">
        <v>39</v>
      </c>
      <c r="O165" t="s">
        <v>21</v>
      </c>
      <c r="P165" s="4">
        <v>7651</v>
      </c>
      <c r="Q165" s="5">
        <v>213</v>
      </c>
    </row>
    <row r="166" spans="13:17" x14ac:dyDescent="0.3">
      <c r="M166" t="s">
        <v>40</v>
      </c>
      <c r="N166" t="s">
        <v>35</v>
      </c>
      <c r="O166" t="s">
        <v>30</v>
      </c>
      <c r="P166" s="4">
        <v>2275</v>
      </c>
      <c r="Q166" s="5">
        <v>447</v>
      </c>
    </row>
    <row r="167" spans="13:17" x14ac:dyDescent="0.3">
      <c r="M167" t="s">
        <v>40</v>
      </c>
      <c r="N167" t="s">
        <v>38</v>
      </c>
      <c r="O167" t="s">
        <v>13</v>
      </c>
      <c r="P167" s="4">
        <v>5670</v>
      </c>
      <c r="Q167" s="5">
        <v>297</v>
      </c>
    </row>
    <row r="168" spans="13:17" x14ac:dyDescent="0.3">
      <c r="M168" t="s">
        <v>7</v>
      </c>
      <c r="N168" t="s">
        <v>35</v>
      </c>
      <c r="O168" t="s">
        <v>16</v>
      </c>
      <c r="P168" s="4">
        <v>2135</v>
      </c>
      <c r="Q168" s="5">
        <v>27</v>
      </c>
    </row>
    <row r="169" spans="13:17" x14ac:dyDescent="0.3">
      <c r="M169" t="s">
        <v>40</v>
      </c>
      <c r="N169" t="s">
        <v>34</v>
      </c>
      <c r="O169" t="s">
        <v>23</v>
      </c>
      <c r="P169" s="4">
        <v>2779</v>
      </c>
      <c r="Q169" s="5">
        <v>75</v>
      </c>
    </row>
    <row r="170" spans="13:17" x14ac:dyDescent="0.3">
      <c r="M170" t="s">
        <v>10</v>
      </c>
      <c r="N170" t="s">
        <v>39</v>
      </c>
      <c r="O170" t="s">
        <v>33</v>
      </c>
      <c r="P170" s="4">
        <v>12950</v>
      </c>
      <c r="Q170" s="5">
        <v>30</v>
      </c>
    </row>
    <row r="171" spans="13:17" x14ac:dyDescent="0.3">
      <c r="M171" t="s">
        <v>7</v>
      </c>
      <c r="N171" t="s">
        <v>36</v>
      </c>
      <c r="O171" t="s">
        <v>18</v>
      </c>
      <c r="P171" s="4">
        <v>2646</v>
      </c>
      <c r="Q171" s="5">
        <v>177</v>
      </c>
    </row>
    <row r="172" spans="13:17" x14ac:dyDescent="0.3">
      <c r="M172" t="s">
        <v>40</v>
      </c>
      <c r="N172" t="s">
        <v>34</v>
      </c>
      <c r="O172" t="s">
        <v>33</v>
      </c>
      <c r="P172" s="4">
        <v>3794</v>
      </c>
      <c r="Q172" s="5">
        <v>159</v>
      </c>
    </row>
    <row r="173" spans="13:17" x14ac:dyDescent="0.3">
      <c r="M173" t="s">
        <v>3</v>
      </c>
      <c r="N173" t="s">
        <v>35</v>
      </c>
      <c r="O173" t="s">
        <v>33</v>
      </c>
      <c r="P173" s="4">
        <v>819</v>
      </c>
      <c r="Q173" s="5">
        <v>306</v>
      </c>
    </row>
    <row r="174" spans="13:17" x14ac:dyDescent="0.3">
      <c r="M174" t="s">
        <v>3</v>
      </c>
      <c r="N174" t="s">
        <v>34</v>
      </c>
      <c r="O174" t="s">
        <v>20</v>
      </c>
      <c r="P174" s="4">
        <v>2583</v>
      </c>
      <c r="Q174" s="5">
        <v>18</v>
      </c>
    </row>
    <row r="175" spans="13:17" x14ac:dyDescent="0.3">
      <c r="M175" t="s">
        <v>7</v>
      </c>
      <c r="N175" t="s">
        <v>35</v>
      </c>
      <c r="O175" t="s">
        <v>19</v>
      </c>
      <c r="P175" s="4">
        <v>4585</v>
      </c>
      <c r="Q175" s="5">
        <v>240</v>
      </c>
    </row>
    <row r="176" spans="13:17" x14ac:dyDescent="0.3">
      <c r="M176" t="s">
        <v>5</v>
      </c>
      <c r="N176" t="s">
        <v>34</v>
      </c>
      <c r="O176" t="s">
        <v>33</v>
      </c>
      <c r="P176" s="4">
        <v>1652</v>
      </c>
      <c r="Q176" s="5">
        <v>93</v>
      </c>
    </row>
    <row r="177" spans="13:17" x14ac:dyDescent="0.3">
      <c r="M177" t="s">
        <v>10</v>
      </c>
      <c r="N177" t="s">
        <v>34</v>
      </c>
      <c r="O177" t="s">
        <v>26</v>
      </c>
      <c r="P177" s="4">
        <v>4991</v>
      </c>
      <c r="Q177" s="5">
        <v>9</v>
      </c>
    </row>
    <row r="178" spans="13:17" x14ac:dyDescent="0.3">
      <c r="M178" t="s">
        <v>8</v>
      </c>
      <c r="N178" t="s">
        <v>34</v>
      </c>
      <c r="O178" t="s">
        <v>16</v>
      </c>
      <c r="P178" s="4">
        <v>2009</v>
      </c>
      <c r="Q178" s="5">
        <v>219</v>
      </c>
    </row>
    <row r="179" spans="13:17" x14ac:dyDescent="0.3">
      <c r="M179" t="s">
        <v>2</v>
      </c>
      <c r="N179" t="s">
        <v>39</v>
      </c>
      <c r="O179" t="s">
        <v>22</v>
      </c>
      <c r="P179" s="4">
        <v>1568</v>
      </c>
      <c r="Q179" s="5">
        <v>141</v>
      </c>
    </row>
    <row r="180" spans="13:17" x14ac:dyDescent="0.3">
      <c r="M180" t="s">
        <v>41</v>
      </c>
      <c r="N180" t="s">
        <v>37</v>
      </c>
      <c r="O180" t="s">
        <v>20</v>
      </c>
      <c r="P180" s="4">
        <v>3388</v>
      </c>
      <c r="Q180" s="5">
        <v>123</v>
      </c>
    </row>
    <row r="181" spans="13:17" x14ac:dyDescent="0.3">
      <c r="M181" t="s">
        <v>40</v>
      </c>
      <c r="N181" t="s">
        <v>38</v>
      </c>
      <c r="O181" t="s">
        <v>24</v>
      </c>
      <c r="P181" s="4">
        <v>623</v>
      </c>
      <c r="Q181" s="5">
        <v>51</v>
      </c>
    </row>
    <row r="182" spans="13:17" x14ac:dyDescent="0.3">
      <c r="M182" t="s">
        <v>6</v>
      </c>
      <c r="N182" t="s">
        <v>36</v>
      </c>
      <c r="O182" t="s">
        <v>4</v>
      </c>
      <c r="P182" s="4">
        <v>10073</v>
      </c>
      <c r="Q182" s="5">
        <v>120</v>
      </c>
    </row>
    <row r="183" spans="13:17" x14ac:dyDescent="0.3">
      <c r="M183" t="s">
        <v>8</v>
      </c>
      <c r="N183" t="s">
        <v>39</v>
      </c>
      <c r="O183" t="s">
        <v>26</v>
      </c>
      <c r="P183" s="4">
        <v>1561</v>
      </c>
      <c r="Q183" s="5">
        <v>27</v>
      </c>
    </row>
    <row r="184" spans="13:17" x14ac:dyDescent="0.3">
      <c r="M184" t="s">
        <v>9</v>
      </c>
      <c r="N184" t="s">
        <v>36</v>
      </c>
      <c r="O184" t="s">
        <v>27</v>
      </c>
      <c r="P184" s="4">
        <v>11522</v>
      </c>
      <c r="Q184" s="5">
        <v>204</v>
      </c>
    </row>
    <row r="185" spans="13:17" x14ac:dyDescent="0.3">
      <c r="M185" t="s">
        <v>6</v>
      </c>
      <c r="N185" t="s">
        <v>38</v>
      </c>
      <c r="O185" t="s">
        <v>13</v>
      </c>
      <c r="P185" s="4">
        <v>2317</v>
      </c>
      <c r="Q185" s="5">
        <v>123</v>
      </c>
    </row>
    <row r="186" spans="13:17" x14ac:dyDescent="0.3">
      <c r="M186" t="s">
        <v>10</v>
      </c>
      <c r="N186" t="s">
        <v>37</v>
      </c>
      <c r="O186" t="s">
        <v>28</v>
      </c>
      <c r="P186" s="4">
        <v>3059</v>
      </c>
      <c r="Q186" s="5">
        <v>27</v>
      </c>
    </row>
    <row r="187" spans="13:17" x14ac:dyDescent="0.3">
      <c r="M187" t="s">
        <v>41</v>
      </c>
      <c r="N187" t="s">
        <v>37</v>
      </c>
      <c r="O187" t="s">
        <v>26</v>
      </c>
      <c r="P187" s="4">
        <v>2324</v>
      </c>
      <c r="Q187" s="5">
        <v>177</v>
      </c>
    </row>
    <row r="188" spans="13:17" x14ac:dyDescent="0.3">
      <c r="M188" t="s">
        <v>3</v>
      </c>
      <c r="N188" t="s">
        <v>39</v>
      </c>
      <c r="O188" t="s">
        <v>26</v>
      </c>
      <c r="P188" s="4">
        <v>4956</v>
      </c>
      <c r="Q188" s="5">
        <v>171</v>
      </c>
    </row>
    <row r="189" spans="13:17" x14ac:dyDescent="0.3">
      <c r="M189" t="s">
        <v>10</v>
      </c>
      <c r="N189" t="s">
        <v>34</v>
      </c>
      <c r="O189" t="s">
        <v>19</v>
      </c>
      <c r="P189" s="4">
        <v>5355</v>
      </c>
      <c r="Q189" s="5">
        <v>204</v>
      </c>
    </row>
    <row r="190" spans="13:17" x14ac:dyDescent="0.3">
      <c r="M190" t="s">
        <v>3</v>
      </c>
      <c r="N190" t="s">
        <v>34</v>
      </c>
      <c r="O190" t="s">
        <v>14</v>
      </c>
      <c r="P190" s="4">
        <v>7259</v>
      </c>
      <c r="Q190" s="5">
        <v>276</v>
      </c>
    </row>
    <row r="191" spans="13:17" x14ac:dyDescent="0.3">
      <c r="M191" t="s">
        <v>8</v>
      </c>
      <c r="N191" t="s">
        <v>37</v>
      </c>
      <c r="O191" t="s">
        <v>26</v>
      </c>
      <c r="P191" s="4">
        <v>6279</v>
      </c>
      <c r="Q191" s="5">
        <v>45</v>
      </c>
    </row>
    <row r="192" spans="13:17" x14ac:dyDescent="0.3">
      <c r="M192" t="s">
        <v>40</v>
      </c>
      <c r="N192" t="s">
        <v>38</v>
      </c>
      <c r="O192" t="s">
        <v>29</v>
      </c>
      <c r="P192" s="4">
        <v>2541</v>
      </c>
      <c r="Q192" s="5">
        <v>45</v>
      </c>
    </row>
    <row r="193" spans="13:17" x14ac:dyDescent="0.3">
      <c r="M193" t="s">
        <v>6</v>
      </c>
      <c r="N193" t="s">
        <v>35</v>
      </c>
      <c r="O193" t="s">
        <v>27</v>
      </c>
      <c r="P193" s="4">
        <v>3864</v>
      </c>
      <c r="Q193" s="5">
        <v>177</v>
      </c>
    </row>
    <row r="194" spans="13:17" x14ac:dyDescent="0.3">
      <c r="M194" t="s">
        <v>5</v>
      </c>
      <c r="N194" t="s">
        <v>36</v>
      </c>
      <c r="O194" t="s">
        <v>13</v>
      </c>
      <c r="P194" s="4">
        <v>6146</v>
      </c>
      <c r="Q194" s="5">
        <v>63</v>
      </c>
    </row>
    <row r="195" spans="13:17" x14ac:dyDescent="0.3">
      <c r="M195" t="s">
        <v>9</v>
      </c>
      <c r="N195" t="s">
        <v>39</v>
      </c>
      <c r="O195" t="s">
        <v>18</v>
      </c>
      <c r="P195" s="4">
        <v>2639</v>
      </c>
      <c r="Q195" s="5">
        <v>204</v>
      </c>
    </row>
    <row r="196" spans="13:17" x14ac:dyDescent="0.3">
      <c r="M196" t="s">
        <v>8</v>
      </c>
      <c r="N196" t="s">
        <v>37</v>
      </c>
      <c r="O196" t="s">
        <v>22</v>
      </c>
      <c r="P196" s="4">
        <v>1890</v>
      </c>
      <c r="Q196" s="5">
        <v>195</v>
      </c>
    </row>
    <row r="197" spans="13:17" x14ac:dyDescent="0.3">
      <c r="M197" t="s">
        <v>7</v>
      </c>
      <c r="N197" t="s">
        <v>34</v>
      </c>
      <c r="O197" t="s">
        <v>14</v>
      </c>
      <c r="P197" s="4">
        <v>1932</v>
      </c>
      <c r="Q197" s="5">
        <v>369</v>
      </c>
    </row>
    <row r="198" spans="13:17" x14ac:dyDescent="0.3">
      <c r="M198" t="s">
        <v>3</v>
      </c>
      <c r="N198" t="s">
        <v>34</v>
      </c>
      <c r="O198" t="s">
        <v>25</v>
      </c>
      <c r="P198" s="4">
        <v>6300</v>
      </c>
      <c r="Q198" s="5">
        <v>42</v>
      </c>
    </row>
    <row r="199" spans="13:17" x14ac:dyDescent="0.3">
      <c r="M199" t="s">
        <v>6</v>
      </c>
      <c r="N199" t="s">
        <v>37</v>
      </c>
      <c r="O199" t="s">
        <v>30</v>
      </c>
      <c r="P199" s="4">
        <v>560</v>
      </c>
      <c r="Q199" s="5">
        <v>81</v>
      </c>
    </row>
    <row r="200" spans="13:17" x14ac:dyDescent="0.3">
      <c r="M200" t="s">
        <v>9</v>
      </c>
      <c r="N200" t="s">
        <v>37</v>
      </c>
      <c r="O200" t="s">
        <v>26</v>
      </c>
      <c r="P200" s="4">
        <v>2856</v>
      </c>
      <c r="Q200" s="5">
        <v>246</v>
      </c>
    </row>
    <row r="201" spans="13:17" x14ac:dyDescent="0.3">
      <c r="M201" t="s">
        <v>9</v>
      </c>
      <c r="N201" t="s">
        <v>34</v>
      </c>
      <c r="O201" t="s">
        <v>17</v>
      </c>
      <c r="P201" s="4">
        <v>707</v>
      </c>
      <c r="Q201" s="5">
        <v>174</v>
      </c>
    </row>
    <row r="202" spans="13:17" x14ac:dyDescent="0.3">
      <c r="M202" t="s">
        <v>8</v>
      </c>
      <c r="N202" t="s">
        <v>35</v>
      </c>
      <c r="O202" t="s">
        <v>30</v>
      </c>
      <c r="P202" s="4">
        <v>3598</v>
      </c>
      <c r="Q202" s="5">
        <v>81</v>
      </c>
    </row>
    <row r="203" spans="13:17" x14ac:dyDescent="0.3">
      <c r="M203" t="s">
        <v>40</v>
      </c>
      <c r="N203" t="s">
        <v>35</v>
      </c>
      <c r="O203" t="s">
        <v>22</v>
      </c>
      <c r="P203" s="4">
        <v>6853</v>
      </c>
      <c r="Q203" s="5">
        <v>372</v>
      </c>
    </row>
    <row r="204" spans="13:17" x14ac:dyDescent="0.3">
      <c r="M204" t="s">
        <v>40</v>
      </c>
      <c r="N204" t="s">
        <v>35</v>
      </c>
      <c r="O204" t="s">
        <v>16</v>
      </c>
      <c r="P204" s="4">
        <v>4725</v>
      </c>
      <c r="Q204" s="5">
        <v>174</v>
      </c>
    </row>
    <row r="205" spans="13:17" x14ac:dyDescent="0.3">
      <c r="M205" t="s">
        <v>41</v>
      </c>
      <c r="N205" t="s">
        <v>36</v>
      </c>
      <c r="O205" t="s">
        <v>32</v>
      </c>
      <c r="P205" s="4">
        <v>10304</v>
      </c>
      <c r="Q205" s="5">
        <v>84</v>
      </c>
    </row>
    <row r="206" spans="13:17" x14ac:dyDescent="0.3">
      <c r="M206" t="s">
        <v>41</v>
      </c>
      <c r="N206" t="s">
        <v>34</v>
      </c>
      <c r="O206" t="s">
        <v>16</v>
      </c>
      <c r="P206" s="4">
        <v>1274</v>
      </c>
      <c r="Q206" s="5">
        <v>225</v>
      </c>
    </row>
    <row r="207" spans="13:17" x14ac:dyDescent="0.3">
      <c r="M207" t="s">
        <v>5</v>
      </c>
      <c r="N207" t="s">
        <v>36</v>
      </c>
      <c r="O207" t="s">
        <v>30</v>
      </c>
      <c r="P207" s="4">
        <v>1526</v>
      </c>
      <c r="Q207" s="5">
        <v>105</v>
      </c>
    </row>
    <row r="208" spans="13:17" x14ac:dyDescent="0.3">
      <c r="M208" t="s">
        <v>40</v>
      </c>
      <c r="N208" t="s">
        <v>39</v>
      </c>
      <c r="O208" t="s">
        <v>28</v>
      </c>
      <c r="P208" s="4">
        <v>3101</v>
      </c>
      <c r="Q208" s="5">
        <v>225</v>
      </c>
    </row>
    <row r="209" spans="13:17" x14ac:dyDescent="0.3">
      <c r="M209" t="s">
        <v>2</v>
      </c>
      <c r="N209" t="s">
        <v>37</v>
      </c>
      <c r="O209" t="s">
        <v>14</v>
      </c>
      <c r="P209" s="4">
        <v>1057</v>
      </c>
      <c r="Q209" s="5">
        <v>54</v>
      </c>
    </row>
    <row r="210" spans="13:17" x14ac:dyDescent="0.3">
      <c r="M210" t="s">
        <v>7</v>
      </c>
      <c r="N210" t="s">
        <v>37</v>
      </c>
      <c r="O210" t="s">
        <v>26</v>
      </c>
      <c r="P210" s="4">
        <v>5306</v>
      </c>
      <c r="Q210" s="5">
        <v>0</v>
      </c>
    </row>
    <row r="211" spans="13:17" x14ac:dyDescent="0.3">
      <c r="M211" t="s">
        <v>5</v>
      </c>
      <c r="N211" t="s">
        <v>39</v>
      </c>
      <c r="O211" t="s">
        <v>24</v>
      </c>
      <c r="P211" s="4">
        <v>4018</v>
      </c>
      <c r="Q211" s="5">
        <v>171</v>
      </c>
    </row>
    <row r="212" spans="13:17" x14ac:dyDescent="0.3">
      <c r="M212" t="s">
        <v>9</v>
      </c>
      <c r="N212" t="s">
        <v>34</v>
      </c>
      <c r="O212" t="s">
        <v>16</v>
      </c>
      <c r="P212" s="4">
        <v>938</v>
      </c>
      <c r="Q212" s="5">
        <v>189</v>
      </c>
    </row>
    <row r="213" spans="13:17" x14ac:dyDescent="0.3">
      <c r="M213" t="s">
        <v>7</v>
      </c>
      <c r="N213" t="s">
        <v>38</v>
      </c>
      <c r="O213" t="s">
        <v>18</v>
      </c>
      <c r="P213" s="4">
        <v>1778</v>
      </c>
      <c r="Q213" s="5">
        <v>270</v>
      </c>
    </row>
    <row r="214" spans="13:17" x14ac:dyDescent="0.3">
      <c r="M214" t="s">
        <v>6</v>
      </c>
      <c r="N214" t="s">
        <v>39</v>
      </c>
      <c r="O214" t="s">
        <v>30</v>
      </c>
      <c r="P214" s="4">
        <v>1638</v>
      </c>
      <c r="Q214" s="5">
        <v>63</v>
      </c>
    </row>
    <row r="215" spans="13:17" x14ac:dyDescent="0.3">
      <c r="M215" t="s">
        <v>41</v>
      </c>
      <c r="N215" t="s">
        <v>38</v>
      </c>
      <c r="O215" t="s">
        <v>25</v>
      </c>
      <c r="P215" s="4">
        <v>154</v>
      </c>
      <c r="Q215" s="5">
        <v>21</v>
      </c>
    </row>
    <row r="216" spans="13:17" x14ac:dyDescent="0.3">
      <c r="M216" t="s">
        <v>7</v>
      </c>
      <c r="N216" t="s">
        <v>37</v>
      </c>
      <c r="O216" t="s">
        <v>22</v>
      </c>
      <c r="P216" s="4">
        <v>9835</v>
      </c>
      <c r="Q216" s="5">
        <v>207</v>
      </c>
    </row>
    <row r="217" spans="13:17" x14ac:dyDescent="0.3">
      <c r="M217" t="s">
        <v>9</v>
      </c>
      <c r="N217" t="s">
        <v>37</v>
      </c>
      <c r="O217" t="s">
        <v>20</v>
      </c>
      <c r="P217" s="4">
        <v>7273</v>
      </c>
      <c r="Q217" s="5">
        <v>96</v>
      </c>
    </row>
    <row r="218" spans="13:17" x14ac:dyDescent="0.3">
      <c r="M218" t="s">
        <v>5</v>
      </c>
      <c r="N218" t="s">
        <v>39</v>
      </c>
      <c r="O218" t="s">
        <v>22</v>
      </c>
      <c r="P218" s="4">
        <v>6909</v>
      </c>
      <c r="Q218" s="5">
        <v>81</v>
      </c>
    </row>
    <row r="219" spans="13:17" x14ac:dyDescent="0.3">
      <c r="M219" t="s">
        <v>9</v>
      </c>
      <c r="N219" t="s">
        <v>39</v>
      </c>
      <c r="O219" t="s">
        <v>24</v>
      </c>
      <c r="P219" s="4">
        <v>3920</v>
      </c>
      <c r="Q219" s="5">
        <v>306</v>
      </c>
    </row>
    <row r="220" spans="13:17" x14ac:dyDescent="0.3">
      <c r="M220" t="s">
        <v>10</v>
      </c>
      <c r="N220" t="s">
        <v>39</v>
      </c>
      <c r="O220" t="s">
        <v>21</v>
      </c>
      <c r="P220" s="4">
        <v>4858</v>
      </c>
      <c r="Q220" s="5">
        <v>279</v>
      </c>
    </row>
    <row r="221" spans="13:17" x14ac:dyDescent="0.3">
      <c r="M221" t="s">
        <v>2</v>
      </c>
      <c r="N221" t="s">
        <v>38</v>
      </c>
      <c r="O221" t="s">
        <v>4</v>
      </c>
      <c r="P221" s="4">
        <v>3549</v>
      </c>
      <c r="Q221" s="5">
        <v>3</v>
      </c>
    </row>
    <row r="222" spans="13:17" x14ac:dyDescent="0.3">
      <c r="M222" t="s">
        <v>7</v>
      </c>
      <c r="N222" t="s">
        <v>39</v>
      </c>
      <c r="O222" t="s">
        <v>27</v>
      </c>
      <c r="P222" s="4">
        <v>966</v>
      </c>
      <c r="Q222" s="5">
        <v>198</v>
      </c>
    </row>
    <row r="223" spans="13:17" x14ac:dyDescent="0.3">
      <c r="M223" t="s">
        <v>5</v>
      </c>
      <c r="N223" t="s">
        <v>39</v>
      </c>
      <c r="O223" t="s">
        <v>18</v>
      </c>
      <c r="P223" s="4">
        <v>385</v>
      </c>
      <c r="Q223" s="5">
        <v>249</v>
      </c>
    </row>
    <row r="224" spans="13:17" x14ac:dyDescent="0.3">
      <c r="M224" t="s">
        <v>6</v>
      </c>
      <c r="N224" t="s">
        <v>34</v>
      </c>
      <c r="O224" t="s">
        <v>16</v>
      </c>
      <c r="P224" s="4">
        <v>2219</v>
      </c>
      <c r="Q224" s="5">
        <v>75</v>
      </c>
    </row>
    <row r="225" spans="13:17" x14ac:dyDescent="0.3">
      <c r="M225" t="s">
        <v>9</v>
      </c>
      <c r="N225" t="s">
        <v>36</v>
      </c>
      <c r="O225" t="s">
        <v>32</v>
      </c>
      <c r="P225" s="4">
        <v>2954</v>
      </c>
      <c r="Q225" s="5">
        <v>189</v>
      </c>
    </row>
    <row r="226" spans="13:17" x14ac:dyDescent="0.3">
      <c r="M226" t="s">
        <v>7</v>
      </c>
      <c r="N226" t="s">
        <v>36</v>
      </c>
      <c r="O226" t="s">
        <v>32</v>
      </c>
      <c r="P226" s="4">
        <v>280</v>
      </c>
      <c r="Q226" s="5">
        <v>87</v>
      </c>
    </row>
    <row r="227" spans="13:17" x14ac:dyDescent="0.3">
      <c r="M227" t="s">
        <v>41</v>
      </c>
      <c r="N227" t="s">
        <v>36</v>
      </c>
      <c r="O227" t="s">
        <v>30</v>
      </c>
      <c r="P227" s="4">
        <v>6118</v>
      </c>
      <c r="Q227" s="5">
        <v>174</v>
      </c>
    </row>
    <row r="228" spans="13:17" x14ac:dyDescent="0.3">
      <c r="M228" t="s">
        <v>2</v>
      </c>
      <c r="N228" t="s">
        <v>39</v>
      </c>
      <c r="O228" t="s">
        <v>15</v>
      </c>
      <c r="P228" s="4">
        <v>4802</v>
      </c>
      <c r="Q228" s="5">
        <v>36</v>
      </c>
    </row>
    <row r="229" spans="13:17" x14ac:dyDescent="0.3">
      <c r="M229" t="s">
        <v>9</v>
      </c>
      <c r="N229" t="s">
        <v>38</v>
      </c>
      <c r="O229" t="s">
        <v>24</v>
      </c>
      <c r="P229" s="4">
        <v>4137</v>
      </c>
      <c r="Q229" s="5">
        <v>60</v>
      </c>
    </row>
    <row r="230" spans="13:17" x14ac:dyDescent="0.3">
      <c r="M230" t="s">
        <v>3</v>
      </c>
      <c r="N230" t="s">
        <v>35</v>
      </c>
      <c r="O230" t="s">
        <v>23</v>
      </c>
      <c r="P230" s="4">
        <v>2023</v>
      </c>
      <c r="Q230" s="5">
        <v>78</v>
      </c>
    </row>
    <row r="231" spans="13:17" x14ac:dyDescent="0.3">
      <c r="M231" t="s">
        <v>9</v>
      </c>
      <c r="N231" t="s">
        <v>36</v>
      </c>
      <c r="O231" t="s">
        <v>30</v>
      </c>
      <c r="P231" s="4">
        <v>9051</v>
      </c>
      <c r="Q231" s="5">
        <v>57</v>
      </c>
    </row>
    <row r="232" spans="13:17" x14ac:dyDescent="0.3">
      <c r="M232" t="s">
        <v>9</v>
      </c>
      <c r="N232" t="s">
        <v>37</v>
      </c>
      <c r="O232" t="s">
        <v>28</v>
      </c>
      <c r="P232" s="4">
        <v>2919</v>
      </c>
      <c r="Q232" s="5">
        <v>45</v>
      </c>
    </row>
    <row r="233" spans="13:17" x14ac:dyDescent="0.3">
      <c r="M233" t="s">
        <v>41</v>
      </c>
      <c r="N233" t="s">
        <v>38</v>
      </c>
      <c r="O233" t="s">
        <v>22</v>
      </c>
      <c r="P233" s="4">
        <v>5915</v>
      </c>
      <c r="Q233" s="5">
        <v>3</v>
      </c>
    </row>
    <row r="234" spans="13:17" x14ac:dyDescent="0.3">
      <c r="M234" t="s">
        <v>10</v>
      </c>
      <c r="N234" t="s">
        <v>35</v>
      </c>
      <c r="O234" t="s">
        <v>15</v>
      </c>
      <c r="P234" s="4">
        <v>2562</v>
      </c>
      <c r="Q234" s="5">
        <v>6</v>
      </c>
    </row>
    <row r="235" spans="13:17" x14ac:dyDescent="0.3">
      <c r="M235" t="s">
        <v>5</v>
      </c>
      <c r="N235" t="s">
        <v>37</v>
      </c>
      <c r="O235" t="s">
        <v>25</v>
      </c>
      <c r="P235" s="4">
        <v>8813</v>
      </c>
      <c r="Q235" s="5">
        <v>21</v>
      </c>
    </row>
    <row r="236" spans="13:17" x14ac:dyDescent="0.3">
      <c r="M236" t="s">
        <v>5</v>
      </c>
      <c r="N236" t="s">
        <v>36</v>
      </c>
      <c r="O236" t="s">
        <v>18</v>
      </c>
      <c r="P236" s="4">
        <v>6111</v>
      </c>
      <c r="Q236" s="5">
        <v>3</v>
      </c>
    </row>
    <row r="237" spans="13:17" x14ac:dyDescent="0.3">
      <c r="M237" t="s">
        <v>8</v>
      </c>
      <c r="N237" t="s">
        <v>34</v>
      </c>
      <c r="O237" t="s">
        <v>31</v>
      </c>
      <c r="P237" s="4">
        <v>3507</v>
      </c>
      <c r="Q237" s="5">
        <v>288</v>
      </c>
    </row>
    <row r="238" spans="13:17" x14ac:dyDescent="0.3">
      <c r="M238" t="s">
        <v>6</v>
      </c>
      <c r="N238" t="s">
        <v>36</v>
      </c>
      <c r="O238" t="s">
        <v>13</v>
      </c>
      <c r="P238" s="4">
        <v>4319</v>
      </c>
      <c r="Q238" s="5">
        <v>30</v>
      </c>
    </row>
    <row r="239" spans="13:17" x14ac:dyDescent="0.3">
      <c r="M239" t="s">
        <v>40</v>
      </c>
      <c r="N239" t="s">
        <v>38</v>
      </c>
      <c r="O239" t="s">
        <v>26</v>
      </c>
      <c r="P239" s="4">
        <v>609</v>
      </c>
      <c r="Q239" s="5">
        <v>87</v>
      </c>
    </row>
    <row r="240" spans="13:17" x14ac:dyDescent="0.3">
      <c r="M240" t="s">
        <v>40</v>
      </c>
      <c r="N240" t="s">
        <v>39</v>
      </c>
      <c r="O240" t="s">
        <v>27</v>
      </c>
      <c r="P240" s="4">
        <v>6370</v>
      </c>
      <c r="Q240" s="5">
        <v>30</v>
      </c>
    </row>
    <row r="241" spans="13:17" x14ac:dyDescent="0.3">
      <c r="M241" t="s">
        <v>5</v>
      </c>
      <c r="N241" t="s">
        <v>38</v>
      </c>
      <c r="O241" t="s">
        <v>19</v>
      </c>
      <c r="P241" s="4">
        <v>5474</v>
      </c>
      <c r="Q241" s="5">
        <v>168</v>
      </c>
    </row>
    <row r="242" spans="13:17" x14ac:dyDescent="0.3">
      <c r="M242" t="s">
        <v>40</v>
      </c>
      <c r="N242" t="s">
        <v>36</v>
      </c>
      <c r="O242" t="s">
        <v>27</v>
      </c>
      <c r="P242" s="4">
        <v>3164</v>
      </c>
      <c r="Q242" s="5">
        <v>306</v>
      </c>
    </row>
    <row r="243" spans="13:17" x14ac:dyDescent="0.3">
      <c r="M243" t="s">
        <v>6</v>
      </c>
      <c r="N243" t="s">
        <v>35</v>
      </c>
      <c r="O243" t="s">
        <v>4</v>
      </c>
      <c r="P243" s="4">
        <v>1302</v>
      </c>
      <c r="Q243" s="5">
        <v>402</v>
      </c>
    </row>
    <row r="244" spans="13:17" x14ac:dyDescent="0.3">
      <c r="M244" t="s">
        <v>3</v>
      </c>
      <c r="N244" t="s">
        <v>37</v>
      </c>
      <c r="O244" t="s">
        <v>28</v>
      </c>
      <c r="P244" s="4">
        <v>7308</v>
      </c>
      <c r="Q244" s="5">
        <v>327</v>
      </c>
    </row>
    <row r="245" spans="13:17" x14ac:dyDescent="0.3">
      <c r="M245" t="s">
        <v>40</v>
      </c>
      <c r="N245" t="s">
        <v>37</v>
      </c>
      <c r="O245" t="s">
        <v>27</v>
      </c>
      <c r="P245" s="4">
        <v>6132</v>
      </c>
      <c r="Q245" s="5">
        <v>93</v>
      </c>
    </row>
    <row r="246" spans="13:17" x14ac:dyDescent="0.3">
      <c r="M246" t="s">
        <v>10</v>
      </c>
      <c r="N246" t="s">
        <v>35</v>
      </c>
      <c r="O246" t="s">
        <v>14</v>
      </c>
      <c r="P246" s="4">
        <v>3472</v>
      </c>
      <c r="Q246" s="5">
        <v>96</v>
      </c>
    </row>
    <row r="247" spans="13:17" x14ac:dyDescent="0.3">
      <c r="M247" t="s">
        <v>8</v>
      </c>
      <c r="N247" t="s">
        <v>39</v>
      </c>
      <c r="O247" t="s">
        <v>18</v>
      </c>
      <c r="P247" s="4">
        <v>9660</v>
      </c>
      <c r="Q247" s="5">
        <v>27</v>
      </c>
    </row>
    <row r="248" spans="13:17" x14ac:dyDescent="0.3">
      <c r="M248" t="s">
        <v>9</v>
      </c>
      <c r="N248" t="s">
        <v>38</v>
      </c>
      <c r="O248" t="s">
        <v>26</v>
      </c>
      <c r="P248" s="4">
        <v>2436</v>
      </c>
      <c r="Q248" s="5">
        <v>99</v>
      </c>
    </row>
    <row r="249" spans="13:17" x14ac:dyDescent="0.3">
      <c r="M249" t="s">
        <v>9</v>
      </c>
      <c r="N249" t="s">
        <v>38</v>
      </c>
      <c r="O249" t="s">
        <v>33</v>
      </c>
      <c r="P249" s="4">
        <v>9506</v>
      </c>
      <c r="Q249" s="5">
        <v>87</v>
      </c>
    </row>
    <row r="250" spans="13:17" x14ac:dyDescent="0.3">
      <c r="M250" t="s">
        <v>10</v>
      </c>
      <c r="N250" t="s">
        <v>37</v>
      </c>
      <c r="O250" t="s">
        <v>21</v>
      </c>
      <c r="P250" s="4">
        <v>245</v>
      </c>
      <c r="Q250" s="5">
        <v>288</v>
      </c>
    </row>
    <row r="251" spans="13:17" x14ac:dyDescent="0.3">
      <c r="M251" t="s">
        <v>8</v>
      </c>
      <c r="N251" t="s">
        <v>35</v>
      </c>
      <c r="O251" t="s">
        <v>20</v>
      </c>
      <c r="P251" s="4">
        <v>2702</v>
      </c>
      <c r="Q251" s="5">
        <v>363</v>
      </c>
    </row>
    <row r="252" spans="13:17" x14ac:dyDescent="0.3">
      <c r="M252" t="s">
        <v>10</v>
      </c>
      <c r="N252" t="s">
        <v>34</v>
      </c>
      <c r="O252" t="s">
        <v>17</v>
      </c>
      <c r="P252" s="4">
        <v>700</v>
      </c>
      <c r="Q252" s="5">
        <v>87</v>
      </c>
    </row>
    <row r="253" spans="13:17" x14ac:dyDescent="0.3">
      <c r="M253" t="s">
        <v>6</v>
      </c>
      <c r="N253" t="s">
        <v>34</v>
      </c>
      <c r="O253" t="s">
        <v>17</v>
      </c>
      <c r="P253" s="4">
        <v>3759</v>
      </c>
      <c r="Q253" s="5">
        <v>150</v>
      </c>
    </row>
    <row r="254" spans="13:17" x14ac:dyDescent="0.3">
      <c r="M254" t="s">
        <v>2</v>
      </c>
      <c r="N254" t="s">
        <v>35</v>
      </c>
      <c r="O254" t="s">
        <v>17</v>
      </c>
      <c r="P254" s="4">
        <v>1589</v>
      </c>
      <c r="Q254" s="5">
        <v>303</v>
      </c>
    </row>
    <row r="255" spans="13:17" x14ac:dyDescent="0.3">
      <c r="M255" t="s">
        <v>7</v>
      </c>
      <c r="N255" t="s">
        <v>35</v>
      </c>
      <c r="O255" t="s">
        <v>28</v>
      </c>
      <c r="P255" s="4">
        <v>5194</v>
      </c>
      <c r="Q255" s="5">
        <v>288</v>
      </c>
    </row>
    <row r="256" spans="13:17" x14ac:dyDescent="0.3">
      <c r="M256" t="s">
        <v>10</v>
      </c>
      <c r="N256" t="s">
        <v>36</v>
      </c>
      <c r="O256" t="s">
        <v>13</v>
      </c>
      <c r="P256" s="4">
        <v>945</v>
      </c>
      <c r="Q256" s="5">
        <v>75</v>
      </c>
    </row>
    <row r="257" spans="13:17" x14ac:dyDescent="0.3">
      <c r="M257" t="s">
        <v>40</v>
      </c>
      <c r="N257" t="s">
        <v>38</v>
      </c>
      <c r="O257" t="s">
        <v>31</v>
      </c>
      <c r="P257" s="4">
        <v>1988</v>
      </c>
      <c r="Q257" s="5">
        <v>39</v>
      </c>
    </row>
    <row r="258" spans="13:17" x14ac:dyDescent="0.3">
      <c r="M258" t="s">
        <v>6</v>
      </c>
      <c r="N258" t="s">
        <v>34</v>
      </c>
      <c r="O258" t="s">
        <v>32</v>
      </c>
      <c r="P258" s="4">
        <v>6734</v>
      </c>
      <c r="Q258" s="5">
        <v>123</v>
      </c>
    </row>
    <row r="259" spans="13:17" x14ac:dyDescent="0.3">
      <c r="M259" t="s">
        <v>40</v>
      </c>
      <c r="N259" t="s">
        <v>36</v>
      </c>
      <c r="O259" t="s">
        <v>4</v>
      </c>
      <c r="P259" s="4">
        <v>217</v>
      </c>
      <c r="Q259" s="5">
        <v>36</v>
      </c>
    </row>
    <row r="260" spans="13:17" x14ac:dyDescent="0.3">
      <c r="M260" t="s">
        <v>5</v>
      </c>
      <c r="N260" t="s">
        <v>34</v>
      </c>
      <c r="O260" t="s">
        <v>22</v>
      </c>
      <c r="P260" s="4">
        <v>6279</v>
      </c>
      <c r="Q260" s="5">
        <v>237</v>
      </c>
    </row>
    <row r="261" spans="13:17" x14ac:dyDescent="0.3">
      <c r="M261" t="s">
        <v>40</v>
      </c>
      <c r="N261" t="s">
        <v>36</v>
      </c>
      <c r="O261" t="s">
        <v>13</v>
      </c>
      <c r="P261" s="4">
        <v>4424</v>
      </c>
      <c r="Q261" s="5">
        <v>201</v>
      </c>
    </row>
    <row r="262" spans="13:17" x14ac:dyDescent="0.3">
      <c r="M262" t="s">
        <v>2</v>
      </c>
      <c r="N262" t="s">
        <v>36</v>
      </c>
      <c r="O262" t="s">
        <v>17</v>
      </c>
      <c r="P262" s="4">
        <v>189</v>
      </c>
      <c r="Q262" s="5">
        <v>48</v>
      </c>
    </row>
    <row r="263" spans="13:17" x14ac:dyDescent="0.3">
      <c r="M263" t="s">
        <v>5</v>
      </c>
      <c r="N263" t="s">
        <v>35</v>
      </c>
      <c r="O263" t="s">
        <v>22</v>
      </c>
      <c r="P263" s="4">
        <v>490</v>
      </c>
      <c r="Q263" s="5">
        <v>84</v>
      </c>
    </row>
    <row r="264" spans="13:17" x14ac:dyDescent="0.3">
      <c r="M264" t="s">
        <v>8</v>
      </c>
      <c r="N264" t="s">
        <v>37</v>
      </c>
      <c r="O264" t="s">
        <v>21</v>
      </c>
      <c r="P264" s="4">
        <v>434</v>
      </c>
      <c r="Q264" s="5">
        <v>87</v>
      </c>
    </row>
    <row r="265" spans="13:17" x14ac:dyDescent="0.3">
      <c r="M265" t="s">
        <v>7</v>
      </c>
      <c r="N265" t="s">
        <v>38</v>
      </c>
      <c r="O265" t="s">
        <v>30</v>
      </c>
      <c r="P265" s="4">
        <v>10129</v>
      </c>
      <c r="Q265" s="5">
        <v>312</v>
      </c>
    </row>
    <row r="266" spans="13:17" x14ac:dyDescent="0.3">
      <c r="M266" t="s">
        <v>3</v>
      </c>
      <c r="N266" t="s">
        <v>39</v>
      </c>
      <c r="O266" t="s">
        <v>28</v>
      </c>
      <c r="P266" s="4">
        <v>1652</v>
      </c>
      <c r="Q266" s="5">
        <v>102</v>
      </c>
    </row>
    <row r="267" spans="13:17" x14ac:dyDescent="0.3">
      <c r="M267" t="s">
        <v>8</v>
      </c>
      <c r="N267" t="s">
        <v>38</v>
      </c>
      <c r="O267" t="s">
        <v>21</v>
      </c>
      <c r="P267" s="4">
        <v>6433</v>
      </c>
      <c r="Q267" s="5">
        <v>78</v>
      </c>
    </row>
    <row r="268" spans="13:17" x14ac:dyDescent="0.3">
      <c r="M268" t="s">
        <v>3</v>
      </c>
      <c r="N268" t="s">
        <v>34</v>
      </c>
      <c r="O268" t="s">
        <v>23</v>
      </c>
      <c r="P268" s="4">
        <v>2212</v>
      </c>
      <c r="Q268" s="5">
        <v>117</v>
      </c>
    </row>
    <row r="269" spans="13:17" x14ac:dyDescent="0.3">
      <c r="M269" t="s">
        <v>41</v>
      </c>
      <c r="N269" t="s">
        <v>35</v>
      </c>
      <c r="O269" t="s">
        <v>19</v>
      </c>
      <c r="P269" s="4">
        <v>609</v>
      </c>
      <c r="Q269" s="5">
        <v>99</v>
      </c>
    </row>
    <row r="270" spans="13:17" x14ac:dyDescent="0.3">
      <c r="M270" t="s">
        <v>40</v>
      </c>
      <c r="N270" t="s">
        <v>35</v>
      </c>
      <c r="O270" t="s">
        <v>24</v>
      </c>
      <c r="P270" s="4">
        <v>1638</v>
      </c>
      <c r="Q270" s="5">
        <v>48</v>
      </c>
    </row>
    <row r="271" spans="13:17" x14ac:dyDescent="0.3">
      <c r="M271" t="s">
        <v>7</v>
      </c>
      <c r="N271" t="s">
        <v>34</v>
      </c>
      <c r="O271" t="s">
        <v>15</v>
      </c>
      <c r="P271" s="4">
        <v>3829</v>
      </c>
      <c r="Q271" s="5">
        <v>24</v>
      </c>
    </row>
    <row r="272" spans="13:17" x14ac:dyDescent="0.3">
      <c r="M272" t="s">
        <v>40</v>
      </c>
      <c r="N272" t="s">
        <v>39</v>
      </c>
      <c r="O272" t="s">
        <v>15</v>
      </c>
      <c r="P272" s="4">
        <v>5775</v>
      </c>
      <c r="Q272" s="5">
        <v>42</v>
      </c>
    </row>
    <row r="273" spans="13:17" x14ac:dyDescent="0.3">
      <c r="M273" t="s">
        <v>6</v>
      </c>
      <c r="N273" t="s">
        <v>35</v>
      </c>
      <c r="O273" t="s">
        <v>20</v>
      </c>
      <c r="P273" s="4">
        <v>1071</v>
      </c>
      <c r="Q273" s="5">
        <v>270</v>
      </c>
    </row>
    <row r="274" spans="13:17" x14ac:dyDescent="0.3">
      <c r="M274" t="s">
        <v>8</v>
      </c>
      <c r="N274" t="s">
        <v>36</v>
      </c>
      <c r="O274" t="s">
        <v>23</v>
      </c>
      <c r="P274" s="4">
        <v>5019</v>
      </c>
      <c r="Q274" s="5">
        <v>150</v>
      </c>
    </row>
    <row r="275" spans="13:17" x14ac:dyDescent="0.3">
      <c r="M275" t="s">
        <v>2</v>
      </c>
      <c r="N275" t="s">
        <v>37</v>
      </c>
      <c r="O275" t="s">
        <v>15</v>
      </c>
      <c r="P275" s="4">
        <v>2863</v>
      </c>
      <c r="Q275" s="5">
        <v>42</v>
      </c>
    </row>
    <row r="276" spans="13:17" x14ac:dyDescent="0.3">
      <c r="M276" t="s">
        <v>40</v>
      </c>
      <c r="N276" t="s">
        <v>35</v>
      </c>
      <c r="O276" t="s">
        <v>29</v>
      </c>
      <c r="P276" s="4">
        <v>1617</v>
      </c>
      <c r="Q276" s="5">
        <v>126</v>
      </c>
    </row>
    <row r="277" spans="13:17" x14ac:dyDescent="0.3">
      <c r="M277" t="s">
        <v>6</v>
      </c>
      <c r="N277" t="s">
        <v>37</v>
      </c>
      <c r="O277" t="s">
        <v>26</v>
      </c>
      <c r="P277" s="4">
        <v>6818</v>
      </c>
      <c r="Q277" s="5">
        <v>6</v>
      </c>
    </row>
    <row r="278" spans="13:17" x14ac:dyDescent="0.3">
      <c r="M278" t="s">
        <v>3</v>
      </c>
      <c r="N278" t="s">
        <v>35</v>
      </c>
      <c r="O278" t="s">
        <v>15</v>
      </c>
      <c r="P278" s="4">
        <v>6657</v>
      </c>
      <c r="Q278" s="5">
        <v>276</v>
      </c>
    </row>
    <row r="279" spans="13:17" x14ac:dyDescent="0.3">
      <c r="M279" t="s">
        <v>3</v>
      </c>
      <c r="N279" t="s">
        <v>34</v>
      </c>
      <c r="O279" t="s">
        <v>17</v>
      </c>
      <c r="P279" s="4">
        <v>2919</v>
      </c>
      <c r="Q279" s="5">
        <v>93</v>
      </c>
    </row>
    <row r="280" spans="13:17" x14ac:dyDescent="0.3">
      <c r="M280" t="s">
        <v>2</v>
      </c>
      <c r="N280" t="s">
        <v>36</v>
      </c>
      <c r="O280" t="s">
        <v>31</v>
      </c>
      <c r="P280" s="4">
        <v>3094</v>
      </c>
      <c r="Q280" s="5">
        <v>246</v>
      </c>
    </row>
    <row r="281" spans="13:17" x14ac:dyDescent="0.3">
      <c r="M281" t="s">
        <v>6</v>
      </c>
      <c r="N281" t="s">
        <v>39</v>
      </c>
      <c r="O281" t="s">
        <v>24</v>
      </c>
      <c r="P281" s="4">
        <v>2989</v>
      </c>
      <c r="Q281" s="5">
        <v>3</v>
      </c>
    </row>
    <row r="282" spans="13:17" x14ac:dyDescent="0.3">
      <c r="M282" t="s">
        <v>8</v>
      </c>
      <c r="N282" t="s">
        <v>38</v>
      </c>
      <c r="O282" t="s">
        <v>27</v>
      </c>
      <c r="P282" s="4">
        <v>2268</v>
      </c>
      <c r="Q282" s="5">
        <v>63</v>
      </c>
    </row>
    <row r="283" spans="13:17" x14ac:dyDescent="0.3">
      <c r="M283" t="s">
        <v>5</v>
      </c>
      <c r="N283" t="s">
        <v>35</v>
      </c>
      <c r="O283" t="s">
        <v>31</v>
      </c>
      <c r="P283" s="4">
        <v>4753</v>
      </c>
      <c r="Q283" s="5">
        <v>246</v>
      </c>
    </row>
    <row r="284" spans="13:17" x14ac:dyDescent="0.3">
      <c r="M284" t="s">
        <v>2</v>
      </c>
      <c r="N284" t="s">
        <v>34</v>
      </c>
      <c r="O284" t="s">
        <v>19</v>
      </c>
      <c r="P284" s="4">
        <v>7511</v>
      </c>
      <c r="Q284" s="5">
        <v>120</v>
      </c>
    </row>
    <row r="285" spans="13:17" x14ac:dyDescent="0.3">
      <c r="M285" t="s">
        <v>2</v>
      </c>
      <c r="N285" t="s">
        <v>38</v>
      </c>
      <c r="O285" t="s">
        <v>31</v>
      </c>
      <c r="P285" s="4">
        <v>4326</v>
      </c>
      <c r="Q285" s="5">
        <v>348</v>
      </c>
    </row>
    <row r="286" spans="13:17" x14ac:dyDescent="0.3">
      <c r="M286" t="s">
        <v>41</v>
      </c>
      <c r="N286" t="s">
        <v>34</v>
      </c>
      <c r="O286" t="s">
        <v>23</v>
      </c>
      <c r="P286" s="4">
        <v>4935</v>
      </c>
      <c r="Q286" s="5">
        <v>126</v>
      </c>
    </row>
    <row r="287" spans="13:17" x14ac:dyDescent="0.3">
      <c r="M287" t="s">
        <v>6</v>
      </c>
      <c r="N287" t="s">
        <v>35</v>
      </c>
      <c r="O287" t="s">
        <v>30</v>
      </c>
      <c r="P287" s="4">
        <v>4781</v>
      </c>
      <c r="Q287" s="5">
        <v>123</v>
      </c>
    </row>
    <row r="288" spans="13:17" x14ac:dyDescent="0.3">
      <c r="M288" t="s">
        <v>5</v>
      </c>
      <c r="N288" t="s">
        <v>38</v>
      </c>
      <c r="O288" t="s">
        <v>25</v>
      </c>
      <c r="P288" s="4">
        <v>7483</v>
      </c>
      <c r="Q288" s="5">
        <v>45</v>
      </c>
    </row>
    <row r="289" spans="13:17" x14ac:dyDescent="0.3">
      <c r="M289" t="s">
        <v>10</v>
      </c>
      <c r="N289" t="s">
        <v>38</v>
      </c>
      <c r="O289" t="s">
        <v>4</v>
      </c>
      <c r="P289" s="4">
        <v>6860</v>
      </c>
      <c r="Q289" s="5">
        <v>126</v>
      </c>
    </row>
    <row r="290" spans="13:17" x14ac:dyDescent="0.3">
      <c r="M290" t="s">
        <v>40</v>
      </c>
      <c r="N290" t="s">
        <v>37</v>
      </c>
      <c r="O290" t="s">
        <v>29</v>
      </c>
      <c r="P290" s="4">
        <v>9002</v>
      </c>
      <c r="Q290" s="5">
        <v>72</v>
      </c>
    </row>
    <row r="291" spans="13:17" x14ac:dyDescent="0.3">
      <c r="M291" t="s">
        <v>6</v>
      </c>
      <c r="N291" t="s">
        <v>36</v>
      </c>
      <c r="O291" t="s">
        <v>29</v>
      </c>
      <c r="P291" s="4">
        <v>1400</v>
      </c>
      <c r="Q291" s="5">
        <v>135</v>
      </c>
    </row>
    <row r="292" spans="13:17" x14ac:dyDescent="0.3">
      <c r="M292" t="s">
        <v>10</v>
      </c>
      <c r="N292" t="s">
        <v>34</v>
      </c>
      <c r="O292" t="s">
        <v>22</v>
      </c>
      <c r="P292" s="4">
        <v>4053</v>
      </c>
      <c r="Q292" s="5">
        <v>24</v>
      </c>
    </row>
    <row r="293" spans="13:17" x14ac:dyDescent="0.3">
      <c r="M293" t="s">
        <v>7</v>
      </c>
      <c r="N293" t="s">
        <v>36</v>
      </c>
      <c r="O293" t="s">
        <v>31</v>
      </c>
      <c r="P293" s="4">
        <v>2149</v>
      </c>
      <c r="Q293" s="5">
        <v>117</v>
      </c>
    </row>
    <row r="294" spans="13:17" x14ac:dyDescent="0.3">
      <c r="M294" t="s">
        <v>3</v>
      </c>
      <c r="N294" t="s">
        <v>39</v>
      </c>
      <c r="O294" t="s">
        <v>29</v>
      </c>
      <c r="P294" s="4">
        <v>3640</v>
      </c>
      <c r="Q294" s="5">
        <v>51</v>
      </c>
    </row>
    <row r="295" spans="13:17" x14ac:dyDescent="0.3">
      <c r="M295" t="s">
        <v>2</v>
      </c>
      <c r="N295" t="s">
        <v>39</v>
      </c>
      <c r="O295" t="s">
        <v>23</v>
      </c>
      <c r="P295" s="4">
        <v>630</v>
      </c>
      <c r="Q295" s="5">
        <v>36</v>
      </c>
    </row>
    <row r="296" spans="13:17" x14ac:dyDescent="0.3">
      <c r="M296" t="s">
        <v>9</v>
      </c>
      <c r="N296" t="s">
        <v>35</v>
      </c>
      <c r="O296" t="s">
        <v>27</v>
      </c>
      <c r="P296" s="4">
        <v>2429</v>
      </c>
      <c r="Q296" s="5">
        <v>144</v>
      </c>
    </row>
    <row r="297" spans="13:17" x14ac:dyDescent="0.3">
      <c r="M297" t="s">
        <v>9</v>
      </c>
      <c r="N297" t="s">
        <v>36</v>
      </c>
      <c r="O297" t="s">
        <v>25</v>
      </c>
      <c r="P297" s="4">
        <v>2142</v>
      </c>
      <c r="Q297" s="5">
        <v>114</v>
      </c>
    </row>
    <row r="298" spans="13:17" x14ac:dyDescent="0.3">
      <c r="M298" t="s">
        <v>7</v>
      </c>
      <c r="N298" t="s">
        <v>37</v>
      </c>
      <c r="O298" t="s">
        <v>30</v>
      </c>
      <c r="P298" s="4">
        <v>6454</v>
      </c>
      <c r="Q298" s="5">
        <v>54</v>
      </c>
    </row>
    <row r="299" spans="13:17" x14ac:dyDescent="0.3">
      <c r="M299" t="s">
        <v>7</v>
      </c>
      <c r="N299" t="s">
        <v>37</v>
      </c>
      <c r="O299" t="s">
        <v>16</v>
      </c>
      <c r="P299" s="4">
        <v>4487</v>
      </c>
      <c r="Q299" s="5">
        <v>333</v>
      </c>
    </row>
    <row r="300" spans="13:17" x14ac:dyDescent="0.3">
      <c r="M300" t="s">
        <v>3</v>
      </c>
      <c r="N300" t="s">
        <v>37</v>
      </c>
      <c r="O300" t="s">
        <v>4</v>
      </c>
      <c r="P300" s="4">
        <v>938</v>
      </c>
      <c r="Q300" s="5">
        <v>366</v>
      </c>
    </row>
    <row r="301" spans="13:17" x14ac:dyDescent="0.3">
      <c r="M301" t="s">
        <v>3</v>
      </c>
      <c r="N301" t="s">
        <v>38</v>
      </c>
      <c r="O301" t="s">
        <v>26</v>
      </c>
      <c r="P301" s="4">
        <v>8841</v>
      </c>
      <c r="Q301" s="5">
        <v>303</v>
      </c>
    </row>
    <row r="302" spans="13:17" x14ac:dyDescent="0.3">
      <c r="M302" t="s">
        <v>2</v>
      </c>
      <c r="N302" t="s">
        <v>39</v>
      </c>
      <c r="O302" t="s">
        <v>33</v>
      </c>
      <c r="P302" s="4">
        <v>4018</v>
      </c>
      <c r="Q302" s="5">
        <v>126</v>
      </c>
    </row>
    <row r="303" spans="13:17" x14ac:dyDescent="0.3">
      <c r="M303" t="s">
        <v>41</v>
      </c>
      <c r="N303" t="s">
        <v>37</v>
      </c>
      <c r="O303" t="s">
        <v>15</v>
      </c>
      <c r="P303" s="4">
        <v>714</v>
      </c>
      <c r="Q303" s="5">
        <v>231</v>
      </c>
    </row>
    <row r="304" spans="13:17" x14ac:dyDescent="0.3">
      <c r="M304" t="s">
        <v>9</v>
      </c>
      <c r="N304" t="s">
        <v>38</v>
      </c>
      <c r="O304" t="s">
        <v>25</v>
      </c>
      <c r="P304" s="4">
        <v>3850</v>
      </c>
      <c r="Q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10F5-5203-46BA-8CD2-ADF7E9220CE9}">
  <dimension ref="A1:H18"/>
  <sheetViews>
    <sheetView workbookViewId="0">
      <selection activeCell="B4" sqref="B4 B6 B8 B10 B12 B14"/>
      <pivotSelection pane="bottomRight" showHeader="1" axis="axisRow" activeRow="3" activeCol="1" previousRow="3" previousCol="1" click="1" r:id="rId1">
        <pivotArea dataOnly="0" labelOnly="1" fieldPosition="0">
          <references count="1">
            <reference field="1" count="0"/>
          </references>
        </pivotArea>
      </pivotSelection>
    </sheetView>
  </sheetViews>
  <sheetFormatPr defaultRowHeight="14.4" x14ac:dyDescent="0.3"/>
  <cols>
    <col min="2" max="2" width="15.5546875" bestFit="1" customWidth="1"/>
    <col min="3" max="3" width="14.44140625" bestFit="1" customWidth="1"/>
    <col min="7" max="7" width="15.5546875" bestFit="1" customWidth="1"/>
    <col min="8" max="8" width="14.44140625" bestFit="1" customWidth="1"/>
  </cols>
  <sheetData>
    <row r="1" spans="1:8" ht="25.8" x14ac:dyDescent="0.5">
      <c r="A1" s="40" t="s">
        <v>73</v>
      </c>
      <c r="B1" s="2"/>
      <c r="C1" s="2"/>
      <c r="D1" s="2"/>
      <c r="E1" s="2"/>
      <c r="F1" s="2"/>
    </row>
    <row r="3" spans="1:8" x14ac:dyDescent="0.3">
      <c r="B3" s="33" t="s">
        <v>65</v>
      </c>
      <c r="C3" t="s">
        <v>67</v>
      </c>
    </row>
    <row r="4" spans="1:8" x14ac:dyDescent="0.3">
      <c r="B4" s="13" t="s">
        <v>38</v>
      </c>
      <c r="C4">
        <v>25221</v>
      </c>
    </row>
    <row r="5" spans="1:8" x14ac:dyDescent="0.3">
      <c r="B5" s="45" t="s">
        <v>5</v>
      </c>
      <c r="C5">
        <v>25221</v>
      </c>
      <c r="G5" s="33" t="s">
        <v>65</v>
      </c>
      <c r="H5" t="s">
        <v>67</v>
      </c>
    </row>
    <row r="6" spans="1:8" x14ac:dyDescent="0.3">
      <c r="B6" s="13" t="s">
        <v>36</v>
      </c>
      <c r="C6">
        <v>39620</v>
      </c>
      <c r="G6" s="13" t="s">
        <v>38</v>
      </c>
      <c r="H6">
        <v>6069</v>
      </c>
    </row>
    <row r="7" spans="1:8" x14ac:dyDescent="0.3">
      <c r="B7" s="45" t="s">
        <v>5</v>
      </c>
      <c r="C7">
        <v>39620</v>
      </c>
      <c r="G7" s="45" t="s">
        <v>41</v>
      </c>
      <c r="H7">
        <v>6069</v>
      </c>
    </row>
    <row r="8" spans="1:8" x14ac:dyDescent="0.3">
      <c r="B8" s="13" t="s">
        <v>34</v>
      </c>
      <c r="C8">
        <v>41559</v>
      </c>
      <c r="G8" s="13" t="s">
        <v>36</v>
      </c>
      <c r="H8">
        <v>5019</v>
      </c>
    </row>
    <row r="9" spans="1:8" x14ac:dyDescent="0.3">
      <c r="B9" s="45" t="s">
        <v>5</v>
      </c>
      <c r="C9">
        <v>41559</v>
      </c>
      <c r="G9" s="45" t="s">
        <v>8</v>
      </c>
      <c r="H9">
        <v>5019</v>
      </c>
    </row>
    <row r="10" spans="1:8" x14ac:dyDescent="0.3">
      <c r="B10" s="13" t="s">
        <v>37</v>
      </c>
      <c r="C10">
        <v>43568</v>
      </c>
      <c r="G10" s="13" t="s">
        <v>34</v>
      </c>
      <c r="H10">
        <v>5516</v>
      </c>
    </row>
    <row r="11" spans="1:8" x14ac:dyDescent="0.3">
      <c r="B11" s="45" t="s">
        <v>7</v>
      </c>
      <c r="C11">
        <v>43568</v>
      </c>
      <c r="G11" s="45" t="s">
        <v>8</v>
      </c>
      <c r="H11">
        <v>5516</v>
      </c>
    </row>
    <row r="12" spans="1:8" x14ac:dyDescent="0.3">
      <c r="B12" s="13" t="s">
        <v>39</v>
      </c>
      <c r="C12">
        <v>45752</v>
      </c>
      <c r="G12" s="13" t="s">
        <v>37</v>
      </c>
      <c r="H12">
        <v>7987</v>
      </c>
    </row>
    <row r="13" spans="1:8" x14ac:dyDescent="0.3">
      <c r="B13" s="45" t="s">
        <v>2</v>
      </c>
      <c r="C13">
        <v>45752</v>
      </c>
      <c r="G13" s="45" t="s">
        <v>10</v>
      </c>
      <c r="H13">
        <v>7987</v>
      </c>
    </row>
    <row r="14" spans="1:8" x14ac:dyDescent="0.3">
      <c r="B14" s="13" t="s">
        <v>35</v>
      </c>
      <c r="C14">
        <v>38325</v>
      </c>
      <c r="G14" s="13" t="s">
        <v>39</v>
      </c>
      <c r="H14">
        <v>3976</v>
      </c>
    </row>
    <row r="15" spans="1:8" x14ac:dyDescent="0.3">
      <c r="B15" s="45" t="s">
        <v>40</v>
      </c>
      <c r="C15">
        <v>38325</v>
      </c>
      <c r="G15" s="45" t="s">
        <v>41</v>
      </c>
      <c r="H15">
        <v>3976</v>
      </c>
    </row>
    <row r="16" spans="1:8" x14ac:dyDescent="0.3">
      <c r="B16" s="13" t="s">
        <v>66</v>
      </c>
      <c r="C16">
        <v>234045</v>
      </c>
      <c r="G16" s="13" t="s">
        <v>35</v>
      </c>
      <c r="H16">
        <v>2142</v>
      </c>
    </row>
    <row r="17" spans="7:8" x14ac:dyDescent="0.3">
      <c r="G17" s="45" t="s">
        <v>2</v>
      </c>
      <c r="H17">
        <v>2142</v>
      </c>
    </row>
    <row r="18" spans="7:8" x14ac:dyDescent="0.3">
      <c r="G18" s="13" t="s">
        <v>66</v>
      </c>
      <c r="H18">
        <v>30709</v>
      </c>
    </row>
  </sheetData>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00D70-71C9-4811-B153-52450291C8D6}">
  <dimension ref="A1:G303"/>
  <sheetViews>
    <sheetView topLeftCell="A2" workbookViewId="0">
      <selection activeCell="A7" sqref="A7"/>
    </sheetView>
  </sheetViews>
  <sheetFormatPr defaultRowHeight="14.4" x14ac:dyDescent="0.3"/>
  <cols>
    <col min="1" max="1" width="20.21875" bestFit="1" customWidth="1"/>
    <col min="2" max="2" width="14.44140625" bestFit="1" customWidth="1"/>
    <col min="3" max="3" width="10.88671875" bestFit="1" customWidth="1"/>
    <col min="4" max="4" width="12.109375" bestFit="1" customWidth="1"/>
    <col min="5" max="5" width="11.5546875" customWidth="1"/>
    <col min="6" max="6" width="11.44140625" customWidth="1"/>
    <col min="11" max="11" width="20.21875" bestFit="1" customWidth="1"/>
    <col min="12" max="12" width="14.44140625" bestFit="1" customWidth="1"/>
    <col min="13" max="13" width="11.5546875" customWidth="1"/>
    <col min="14" max="14" width="11.6640625" customWidth="1"/>
  </cols>
  <sheetData>
    <row r="1" spans="1:7" ht="25.8" x14ac:dyDescent="0.5">
      <c r="A1" s="40" t="s">
        <v>74</v>
      </c>
      <c r="B1" s="44"/>
      <c r="C1" s="44"/>
      <c r="D1" s="44"/>
      <c r="E1" s="44"/>
      <c r="F1" s="44"/>
      <c r="G1" s="44"/>
    </row>
    <row r="3" spans="1:7" x14ac:dyDescent="0.3">
      <c r="A3" s="33" t="s">
        <v>65</v>
      </c>
      <c r="B3" t="s">
        <v>67</v>
      </c>
      <c r="C3" t="s">
        <v>89</v>
      </c>
      <c r="D3" t="s">
        <v>90</v>
      </c>
      <c r="E3" s="10"/>
      <c r="F3" s="6"/>
      <c r="G3" s="6"/>
    </row>
    <row r="4" spans="1:7" x14ac:dyDescent="0.3">
      <c r="A4" s="13" t="s">
        <v>30</v>
      </c>
      <c r="B4" s="67">
        <v>66500</v>
      </c>
      <c r="C4" s="67">
        <v>40600.979999999989</v>
      </c>
      <c r="D4" s="42">
        <v>-373203.7300000001</v>
      </c>
      <c r="E4" s="5"/>
    </row>
    <row r="5" spans="1:7" x14ac:dyDescent="0.3">
      <c r="A5" s="13" t="s">
        <v>22</v>
      </c>
      <c r="B5" s="67">
        <v>66283</v>
      </c>
      <c r="C5" s="67">
        <v>20048.039999999997</v>
      </c>
      <c r="D5" s="42">
        <v>-373420.7300000001</v>
      </c>
      <c r="E5" s="5"/>
    </row>
    <row r="6" spans="1:7" x14ac:dyDescent="0.3">
      <c r="A6" s="13" t="s">
        <v>26</v>
      </c>
      <c r="B6" s="67">
        <v>70273</v>
      </c>
      <c r="C6" s="67">
        <v>11995.199999999999</v>
      </c>
      <c r="D6" s="42">
        <v>-369430.7300000001</v>
      </c>
      <c r="E6" s="5"/>
    </row>
    <row r="7" spans="1:7" x14ac:dyDescent="0.3">
      <c r="A7" s="13" t="s">
        <v>28</v>
      </c>
      <c r="B7" s="67">
        <v>72373</v>
      </c>
      <c r="C7" s="67">
        <v>33288.659999999996</v>
      </c>
      <c r="D7" s="42">
        <v>-367330.7300000001</v>
      </c>
      <c r="E7" s="5"/>
    </row>
    <row r="8" spans="1:7" x14ac:dyDescent="0.3">
      <c r="A8" s="13" t="s">
        <v>17</v>
      </c>
      <c r="B8" s="67">
        <v>63721</v>
      </c>
      <c r="C8" s="67">
        <v>7249.4099999999989</v>
      </c>
      <c r="D8" s="42">
        <v>-375982.7300000001</v>
      </c>
      <c r="E8" s="5"/>
    </row>
    <row r="9" spans="1:7" x14ac:dyDescent="0.3">
      <c r="A9" s="13" t="s">
        <v>23</v>
      </c>
      <c r="B9" s="67">
        <v>56644</v>
      </c>
      <c r="C9" s="67">
        <v>11759.88</v>
      </c>
      <c r="D9" s="42">
        <v>-383059.7300000001</v>
      </c>
      <c r="E9" s="5"/>
    </row>
    <row r="10" spans="1:7" x14ac:dyDescent="0.3">
      <c r="A10" s="13" t="s">
        <v>29</v>
      </c>
      <c r="B10" s="67">
        <v>58009</v>
      </c>
      <c r="C10" s="67">
        <v>21308.159999999996</v>
      </c>
      <c r="D10" s="42">
        <v>-381694.7300000001</v>
      </c>
      <c r="E10" s="5"/>
    </row>
    <row r="11" spans="1:7" x14ac:dyDescent="0.3">
      <c r="A11" s="13" t="s">
        <v>16</v>
      </c>
      <c r="B11" s="67">
        <v>62111</v>
      </c>
      <c r="C11" s="67">
        <v>18933.659999999996</v>
      </c>
      <c r="D11" s="42">
        <v>-377592.7300000001</v>
      </c>
      <c r="E11" s="5"/>
    </row>
    <row r="12" spans="1:7" x14ac:dyDescent="0.3">
      <c r="A12" s="13" t="s">
        <v>27</v>
      </c>
      <c r="B12" s="67">
        <v>69461</v>
      </c>
      <c r="C12" s="67">
        <v>49888.86</v>
      </c>
      <c r="D12" s="42">
        <v>-370242.7300000001</v>
      </c>
      <c r="E12" s="5"/>
    </row>
    <row r="13" spans="1:7" x14ac:dyDescent="0.3">
      <c r="A13" s="13" t="s">
        <v>33</v>
      </c>
      <c r="B13" s="67">
        <v>69160</v>
      </c>
      <c r="C13" s="67">
        <v>22933.979999999996</v>
      </c>
      <c r="D13" s="42">
        <v>-370543.7300000001</v>
      </c>
      <c r="E13" s="5"/>
    </row>
    <row r="14" spans="1:7" x14ac:dyDescent="0.3">
      <c r="A14" s="13" t="s">
        <v>31</v>
      </c>
      <c r="B14" s="67">
        <v>39263</v>
      </c>
      <c r="C14" s="67">
        <v>9744.57</v>
      </c>
      <c r="D14" s="42">
        <v>-400440.7300000001</v>
      </c>
      <c r="E14" s="5"/>
    </row>
    <row r="15" spans="1:7" x14ac:dyDescent="0.3">
      <c r="A15" s="13" t="s">
        <v>21</v>
      </c>
      <c r="B15" s="67">
        <v>37772</v>
      </c>
      <c r="C15" s="67">
        <v>11772</v>
      </c>
      <c r="D15" s="42">
        <v>-401931.7300000001</v>
      </c>
      <c r="E15" s="5"/>
    </row>
    <row r="16" spans="1:7" x14ac:dyDescent="0.3">
      <c r="A16" s="13" t="s">
        <v>25</v>
      </c>
      <c r="B16" s="67">
        <v>57372</v>
      </c>
      <c r="C16" s="67">
        <v>27693.900000000005</v>
      </c>
      <c r="D16" s="42">
        <v>-382331.7300000001</v>
      </c>
      <c r="E16" s="5"/>
    </row>
    <row r="17" spans="1:5" x14ac:dyDescent="0.3">
      <c r="A17" s="13" t="s">
        <v>18</v>
      </c>
      <c r="B17" s="67">
        <v>52150</v>
      </c>
      <c r="C17" s="67">
        <v>11335.44</v>
      </c>
      <c r="D17" s="42">
        <v>-387553.7300000001</v>
      </c>
      <c r="E17" s="5"/>
    </row>
    <row r="18" spans="1:5" x14ac:dyDescent="0.3">
      <c r="A18" s="13" t="s">
        <v>19</v>
      </c>
      <c r="B18" s="67">
        <v>44744</v>
      </c>
      <c r="C18" s="67">
        <v>14943.839999999998</v>
      </c>
      <c r="D18" s="42">
        <v>-394959.7300000001</v>
      </c>
      <c r="E18" s="5"/>
    </row>
    <row r="19" spans="1:5" x14ac:dyDescent="0.3">
      <c r="A19" s="13" t="s">
        <v>4</v>
      </c>
      <c r="B19" s="67">
        <v>33551</v>
      </c>
      <c r="C19" s="67">
        <v>18604.080000000002</v>
      </c>
      <c r="D19" s="42">
        <v>-406152.7300000001</v>
      </c>
      <c r="E19" s="5"/>
    </row>
    <row r="20" spans="1:5" x14ac:dyDescent="0.3">
      <c r="A20" s="13" t="s">
        <v>32</v>
      </c>
      <c r="B20" s="67">
        <v>71967</v>
      </c>
      <c r="C20" s="67">
        <v>19903.650000000001</v>
      </c>
      <c r="D20" s="42">
        <v>-367736.7300000001</v>
      </c>
      <c r="E20" s="5"/>
    </row>
    <row r="21" spans="1:5" x14ac:dyDescent="0.3">
      <c r="A21" s="13" t="s">
        <v>13</v>
      </c>
      <c r="B21" s="67">
        <v>47271</v>
      </c>
      <c r="C21" s="67">
        <v>17549.73</v>
      </c>
      <c r="D21" s="42">
        <v>-392432.7300000001</v>
      </c>
      <c r="E21" s="5"/>
    </row>
    <row r="22" spans="1:5" x14ac:dyDescent="0.3">
      <c r="A22" s="13" t="s">
        <v>14</v>
      </c>
      <c r="B22" s="67">
        <v>43183</v>
      </c>
      <c r="C22" s="67">
        <v>23657.399999999998</v>
      </c>
      <c r="D22" s="42">
        <v>-396520.7300000001</v>
      </c>
      <c r="E22" s="5"/>
    </row>
    <row r="23" spans="1:5" x14ac:dyDescent="0.3">
      <c r="A23" s="13" t="s">
        <v>24</v>
      </c>
      <c r="B23" s="67">
        <v>35378</v>
      </c>
      <c r="C23" s="67">
        <v>5188.6799999999994</v>
      </c>
      <c r="D23" s="42">
        <v>-404325.7300000001</v>
      </c>
      <c r="E23" s="5"/>
    </row>
    <row r="24" spans="1:5" x14ac:dyDescent="0.3">
      <c r="A24" s="13" t="s">
        <v>20</v>
      </c>
      <c r="B24" s="67">
        <v>54712</v>
      </c>
      <c r="C24" s="67">
        <v>23321.519999999997</v>
      </c>
      <c r="D24" s="42">
        <v>-384991.7300000001</v>
      </c>
      <c r="E24" s="5"/>
    </row>
    <row r="25" spans="1:5" x14ac:dyDescent="0.3">
      <c r="A25" s="13" t="s">
        <v>15</v>
      </c>
      <c r="B25" s="67">
        <v>68971</v>
      </c>
      <c r="C25" s="67">
        <v>17982.09</v>
      </c>
      <c r="D25" s="42">
        <v>-370732.7300000001</v>
      </c>
      <c r="E25" s="5"/>
    </row>
    <row r="26" spans="1:5" x14ac:dyDescent="0.3">
      <c r="A26" s="13" t="s">
        <v>66</v>
      </c>
      <c r="B26" s="67">
        <v>1240869</v>
      </c>
      <c r="C26" s="67">
        <v>439703.7300000001</v>
      </c>
      <c r="D26" s="42">
        <v>801165.2699999999</v>
      </c>
      <c r="E26" s="5"/>
    </row>
    <row r="27" spans="1:5" x14ac:dyDescent="0.3">
      <c r="D27" s="4"/>
      <c r="E27" s="5"/>
    </row>
    <row r="28" spans="1:5" x14ac:dyDescent="0.3">
      <c r="D28" s="4"/>
      <c r="E28" s="5"/>
    </row>
    <row r="29" spans="1:5" x14ac:dyDescent="0.3">
      <c r="D29" s="4"/>
      <c r="E29" s="5"/>
    </row>
    <row r="30" spans="1:5" x14ac:dyDescent="0.3">
      <c r="D30" s="4"/>
      <c r="E30" s="5"/>
    </row>
    <row r="31" spans="1:5" x14ac:dyDescent="0.3">
      <c r="D31" s="4"/>
      <c r="E31" s="5"/>
    </row>
    <row r="32" spans="1:5" x14ac:dyDescent="0.3">
      <c r="D32" s="4"/>
      <c r="E32" s="5"/>
    </row>
    <row r="33" spans="4:5" x14ac:dyDescent="0.3">
      <c r="D33" s="4"/>
      <c r="E33" s="5"/>
    </row>
    <row r="34" spans="4:5" x14ac:dyDescent="0.3">
      <c r="D34" s="4"/>
      <c r="E34" s="5"/>
    </row>
    <row r="35" spans="4:5" x14ac:dyDescent="0.3">
      <c r="D35" s="4"/>
      <c r="E35" s="5"/>
    </row>
    <row r="36" spans="4:5" x14ac:dyDescent="0.3">
      <c r="D36" s="4"/>
      <c r="E36" s="5"/>
    </row>
    <row r="37" spans="4:5" x14ac:dyDescent="0.3">
      <c r="D37" s="4"/>
      <c r="E37" s="5"/>
    </row>
    <row r="38" spans="4:5" x14ac:dyDescent="0.3">
      <c r="D38" s="4"/>
      <c r="E38" s="5"/>
    </row>
    <row r="39" spans="4:5" x14ac:dyDescent="0.3">
      <c r="D39" s="4"/>
      <c r="E39" s="5"/>
    </row>
    <row r="40" spans="4:5" x14ac:dyDescent="0.3">
      <c r="D40" s="4"/>
      <c r="E40" s="5"/>
    </row>
    <row r="41" spans="4:5" x14ac:dyDescent="0.3">
      <c r="D41" s="4"/>
      <c r="E41" s="5"/>
    </row>
    <row r="42" spans="4:5" x14ac:dyDescent="0.3">
      <c r="D42" s="4"/>
      <c r="E42" s="5"/>
    </row>
    <row r="43" spans="4:5" x14ac:dyDescent="0.3">
      <c r="D43" s="4"/>
      <c r="E43" s="5"/>
    </row>
    <row r="44" spans="4:5" x14ac:dyDescent="0.3">
      <c r="D44" s="4"/>
      <c r="E44" s="5"/>
    </row>
    <row r="45" spans="4:5" x14ac:dyDescent="0.3">
      <c r="D45" s="4"/>
      <c r="E45" s="5"/>
    </row>
    <row r="46" spans="4:5" x14ac:dyDescent="0.3">
      <c r="D46" s="4"/>
      <c r="E46" s="5"/>
    </row>
    <row r="47" spans="4:5" x14ac:dyDescent="0.3">
      <c r="D47" s="4"/>
      <c r="E47" s="5"/>
    </row>
    <row r="48" spans="4:5" x14ac:dyDescent="0.3">
      <c r="D48" s="4"/>
      <c r="E48" s="5"/>
    </row>
    <row r="49" spans="4:5" x14ac:dyDescent="0.3">
      <c r="D49" s="4"/>
      <c r="E49" s="5"/>
    </row>
    <row r="50" spans="4:5" x14ac:dyDescent="0.3">
      <c r="D50" s="4"/>
      <c r="E50" s="5"/>
    </row>
    <row r="51" spans="4:5" x14ac:dyDescent="0.3">
      <c r="D51" s="4"/>
      <c r="E51" s="5"/>
    </row>
    <row r="52" spans="4:5" x14ac:dyDescent="0.3">
      <c r="D52" s="4"/>
      <c r="E52" s="5"/>
    </row>
    <row r="53" spans="4:5" x14ac:dyDescent="0.3">
      <c r="D53" s="4"/>
      <c r="E53" s="5"/>
    </row>
    <row r="54" spans="4:5" x14ac:dyDescent="0.3">
      <c r="D54" s="4"/>
      <c r="E54" s="5"/>
    </row>
    <row r="55" spans="4:5" x14ac:dyDescent="0.3">
      <c r="D55" s="4"/>
      <c r="E55" s="5"/>
    </row>
    <row r="56" spans="4:5" x14ac:dyDescent="0.3">
      <c r="D56" s="4"/>
      <c r="E56" s="5"/>
    </row>
    <row r="57" spans="4:5" x14ac:dyDescent="0.3">
      <c r="D57" s="4"/>
      <c r="E57" s="5"/>
    </row>
    <row r="58" spans="4:5" x14ac:dyDescent="0.3">
      <c r="D58" s="4"/>
      <c r="E58" s="5"/>
    </row>
    <row r="59" spans="4:5" x14ac:dyDescent="0.3">
      <c r="D59" s="4"/>
      <c r="E59" s="5"/>
    </row>
    <row r="60" spans="4:5" x14ac:dyDescent="0.3">
      <c r="D60" s="4"/>
      <c r="E60" s="5"/>
    </row>
    <row r="61" spans="4:5" x14ac:dyDescent="0.3">
      <c r="D61" s="4"/>
      <c r="E61" s="5"/>
    </row>
    <row r="62" spans="4:5" x14ac:dyDescent="0.3">
      <c r="D62" s="4"/>
      <c r="E62" s="5"/>
    </row>
    <row r="63" spans="4:5" x14ac:dyDescent="0.3">
      <c r="D63" s="4"/>
      <c r="E63" s="5"/>
    </row>
    <row r="64" spans="4:5" x14ac:dyDescent="0.3">
      <c r="D64" s="4"/>
      <c r="E64" s="5"/>
    </row>
    <row r="65" spans="4:5" x14ac:dyDescent="0.3">
      <c r="D65" s="4"/>
      <c r="E65" s="5"/>
    </row>
    <row r="66" spans="4:5" x14ac:dyDescent="0.3">
      <c r="D66" s="4"/>
      <c r="E66" s="5"/>
    </row>
    <row r="67" spans="4:5" x14ac:dyDescent="0.3">
      <c r="D67" s="4"/>
      <c r="E67" s="5"/>
    </row>
    <row r="68" spans="4:5" x14ac:dyDescent="0.3">
      <c r="D68" s="4"/>
      <c r="E68" s="5"/>
    </row>
    <row r="69" spans="4:5" x14ac:dyDescent="0.3">
      <c r="D69" s="4"/>
      <c r="E69" s="5"/>
    </row>
    <row r="70" spans="4:5" x14ac:dyDescent="0.3">
      <c r="D70" s="4"/>
      <c r="E70" s="5"/>
    </row>
    <row r="71" spans="4:5" x14ac:dyDescent="0.3">
      <c r="D71" s="4"/>
      <c r="E71" s="5"/>
    </row>
    <row r="72" spans="4:5" x14ac:dyDescent="0.3">
      <c r="D72" s="4"/>
      <c r="E72" s="5"/>
    </row>
    <row r="73" spans="4:5" x14ac:dyDescent="0.3">
      <c r="D73" s="4"/>
      <c r="E73" s="5"/>
    </row>
    <row r="74" spans="4:5" x14ac:dyDescent="0.3">
      <c r="D74" s="4"/>
      <c r="E74" s="5"/>
    </row>
    <row r="75" spans="4:5" x14ac:dyDescent="0.3">
      <c r="D75" s="4"/>
      <c r="E75" s="5"/>
    </row>
    <row r="76" spans="4:5" x14ac:dyDescent="0.3">
      <c r="D76" s="4"/>
      <c r="E76" s="5"/>
    </row>
    <row r="77" spans="4:5" x14ac:dyDescent="0.3">
      <c r="D77" s="4"/>
      <c r="E77" s="5"/>
    </row>
    <row r="78" spans="4:5" x14ac:dyDescent="0.3">
      <c r="D78" s="4"/>
      <c r="E78" s="5"/>
    </row>
    <row r="79" spans="4:5" x14ac:dyDescent="0.3">
      <c r="D79" s="4"/>
      <c r="E79" s="5"/>
    </row>
    <row r="80" spans="4:5" x14ac:dyDescent="0.3">
      <c r="D80" s="4"/>
      <c r="E80" s="5"/>
    </row>
    <row r="81" spans="4:5" x14ac:dyDescent="0.3">
      <c r="D81" s="4"/>
      <c r="E81" s="5"/>
    </row>
    <row r="82" spans="4:5" x14ac:dyDescent="0.3">
      <c r="D82" s="4"/>
      <c r="E82" s="5"/>
    </row>
    <row r="83" spans="4:5" x14ac:dyDescent="0.3">
      <c r="D83" s="4"/>
      <c r="E83" s="5"/>
    </row>
    <row r="84" spans="4:5" x14ac:dyDescent="0.3">
      <c r="D84" s="4"/>
      <c r="E84" s="5"/>
    </row>
    <row r="85" spans="4:5" x14ac:dyDescent="0.3">
      <c r="D85" s="4"/>
      <c r="E85" s="5"/>
    </row>
    <row r="86" spans="4:5" x14ac:dyDescent="0.3">
      <c r="D86" s="4"/>
      <c r="E86" s="5"/>
    </row>
    <row r="87" spans="4:5" x14ac:dyDescent="0.3">
      <c r="D87" s="4"/>
      <c r="E87" s="5"/>
    </row>
    <row r="88" spans="4:5" x14ac:dyDescent="0.3">
      <c r="D88" s="4"/>
      <c r="E88" s="5"/>
    </row>
    <row r="89" spans="4:5" x14ac:dyDescent="0.3">
      <c r="D89" s="4"/>
      <c r="E89" s="5"/>
    </row>
    <row r="90" spans="4:5" x14ac:dyDescent="0.3">
      <c r="D90" s="4"/>
      <c r="E90" s="5"/>
    </row>
    <row r="91" spans="4:5" x14ac:dyDescent="0.3">
      <c r="D91" s="4"/>
      <c r="E91" s="5"/>
    </row>
    <row r="92" spans="4:5" x14ac:dyDescent="0.3">
      <c r="D92" s="4"/>
      <c r="E92" s="5"/>
    </row>
    <row r="93" spans="4:5" x14ac:dyDescent="0.3">
      <c r="D93" s="4"/>
      <c r="E93" s="5"/>
    </row>
    <row r="94" spans="4:5" x14ac:dyDescent="0.3">
      <c r="D94" s="4"/>
      <c r="E94" s="5"/>
    </row>
    <row r="95" spans="4:5" x14ac:dyDescent="0.3">
      <c r="D95" s="4"/>
      <c r="E95" s="5"/>
    </row>
    <row r="96" spans="4:5" x14ac:dyDescent="0.3">
      <c r="D96" s="4"/>
      <c r="E96" s="5"/>
    </row>
    <row r="97" spans="4:5" x14ac:dyDescent="0.3">
      <c r="D97" s="4"/>
      <c r="E97" s="5"/>
    </row>
    <row r="98" spans="4:5" x14ac:dyDescent="0.3">
      <c r="D98" s="4"/>
      <c r="E98" s="5"/>
    </row>
    <row r="99" spans="4:5" x14ac:dyDescent="0.3">
      <c r="D99" s="4"/>
      <c r="E99" s="5"/>
    </row>
    <row r="100" spans="4:5" x14ac:dyDescent="0.3">
      <c r="D100" s="4"/>
      <c r="E100" s="5"/>
    </row>
    <row r="101" spans="4:5" x14ac:dyDescent="0.3">
      <c r="D101" s="4"/>
      <c r="E101" s="5"/>
    </row>
    <row r="102" spans="4:5" x14ac:dyDescent="0.3">
      <c r="D102" s="4"/>
      <c r="E102" s="5"/>
    </row>
    <row r="103" spans="4:5" x14ac:dyDescent="0.3">
      <c r="D103" s="4"/>
      <c r="E103" s="5"/>
    </row>
    <row r="104" spans="4:5" x14ac:dyDescent="0.3">
      <c r="D104" s="4"/>
      <c r="E104" s="5"/>
    </row>
    <row r="105" spans="4:5" x14ac:dyDescent="0.3">
      <c r="D105" s="4"/>
      <c r="E105" s="5"/>
    </row>
    <row r="106" spans="4:5" x14ac:dyDescent="0.3">
      <c r="D106" s="4"/>
      <c r="E106" s="5"/>
    </row>
    <row r="107" spans="4:5" x14ac:dyDescent="0.3">
      <c r="D107" s="4"/>
      <c r="E107" s="5"/>
    </row>
    <row r="108" spans="4:5" x14ac:dyDescent="0.3">
      <c r="D108" s="4"/>
      <c r="E108" s="5"/>
    </row>
    <row r="109" spans="4:5" x14ac:dyDescent="0.3">
      <c r="D109" s="4"/>
      <c r="E109" s="5"/>
    </row>
    <row r="110" spans="4:5" x14ac:dyDescent="0.3">
      <c r="D110" s="4"/>
      <c r="E110" s="5"/>
    </row>
    <row r="111" spans="4:5" x14ac:dyDescent="0.3">
      <c r="D111" s="4"/>
      <c r="E111" s="5"/>
    </row>
    <row r="112" spans="4:5" x14ac:dyDescent="0.3">
      <c r="D112" s="4"/>
      <c r="E112" s="5"/>
    </row>
    <row r="113" spans="4:5" x14ac:dyDescent="0.3">
      <c r="D113" s="4"/>
      <c r="E113" s="5"/>
    </row>
    <row r="114" spans="4:5" x14ac:dyDescent="0.3">
      <c r="D114" s="4"/>
      <c r="E114" s="5"/>
    </row>
    <row r="115" spans="4:5" x14ac:dyDescent="0.3">
      <c r="D115" s="4"/>
      <c r="E115" s="5"/>
    </row>
    <row r="116" spans="4:5" x14ac:dyDescent="0.3">
      <c r="D116" s="4"/>
      <c r="E116" s="5"/>
    </row>
    <row r="117" spans="4:5" x14ac:dyDescent="0.3">
      <c r="D117" s="4"/>
      <c r="E117" s="5"/>
    </row>
    <row r="118" spans="4:5" x14ac:dyDescent="0.3">
      <c r="D118" s="4"/>
      <c r="E118" s="5"/>
    </row>
    <row r="119" spans="4:5" x14ac:dyDescent="0.3">
      <c r="D119" s="4"/>
      <c r="E119" s="5"/>
    </row>
    <row r="120" spans="4:5" x14ac:dyDescent="0.3">
      <c r="D120" s="4"/>
      <c r="E120" s="5"/>
    </row>
    <row r="121" spans="4:5" x14ac:dyDescent="0.3">
      <c r="D121" s="4"/>
      <c r="E121" s="5"/>
    </row>
    <row r="122" spans="4:5" x14ac:dyDescent="0.3">
      <c r="D122" s="4"/>
      <c r="E122" s="5"/>
    </row>
    <row r="123" spans="4:5" x14ac:dyDescent="0.3">
      <c r="D123" s="4"/>
      <c r="E123" s="5"/>
    </row>
    <row r="124" spans="4:5" x14ac:dyDescent="0.3">
      <c r="D124" s="4"/>
      <c r="E124" s="5"/>
    </row>
    <row r="125" spans="4:5" x14ac:dyDescent="0.3">
      <c r="D125" s="4"/>
      <c r="E125" s="5"/>
    </row>
    <row r="126" spans="4:5" x14ac:dyDescent="0.3">
      <c r="D126" s="4"/>
      <c r="E126" s="5"/>
    </row>
    <row r="127" spans="4:5" x14ac:dyDescent="0.3">
      <c r="D127" s="4"/>
      <c r="E127" s="5"/>
    </row>
    <row r="128" spans="4:5" x14ac:dyDescent="0.3">
      <c r="D128" s="4"/>
      <c r="E128" s="5"/>
    </row>
    <row r="129" spans="4:5" x14ac:dyDescent="0.3">
      <c r="D129" s="4"/>
      <c r="E129" s="5"/>
    </row>
    <row r="130" spans="4:5" x14ac:dyDescent="0.3">
      <c r="D130" s="4"/>
      <c r="E130" s="5"/>
    </row>
    <row r="131" spans="4:5" x14ac:dyDescent="0.3">
      <c r="D131" s="4"/>
      <c r="E131" s="5"/>
    </row>
    <row r="132" spans="4:5" x14ac:dyDescent="0.3">
      <c r="D132" s="4"/>
      <c r="E132" s="5"/>
    </row>
    <row r="133" spans="4:5" x14ac:dyDescent="0.3">
      <c r="D133" s="4"/>
      <c r="E133" s="5"/>
    </row>
    <row r="134" spans="4:5" x14ac:dyDescent="0.3">
      <c r="D134" s="4"/>
      <c r="E134" s="5"/>
    </row>
    <row r="135" spans="4:5" x14ac:dyDescent="0.3">
      <c r="D135" s="4"/>
      <c r="E135" s="5"/>
    </row>
    <row r="136" spans="4:5" x14ac:dyDescent="0.3">
      <c r="D136" s="4"/>
      <c r="E136" s="5"/>
    </row>
    <row r="137" spans="4:5" x14ac:dyDescent="0.3">
      <c r="D137" s="4"/>
      <c r="E137" s="5"/>
    </row>
    <row r="138" spans="4:5" x14ac:dyDescent="0.3">
      <c r="D138" s="4"/>
      <c r="E138" s="5"/>
    </row>
    <row r="139" spans="4:5" x14ac:dyDescent="0.3">
      <c r="D139" s="4"/>
      <c r="E139" s="5"/>
    </row>
    <row r="140" spans="4:5" x14ac:dyDescent="0.3">
      <c r="D140" s="4"/>
      <c r="E140" s="5"/>
    </row>
    <row r="141" spans="4:5" x14ac:dyDescent="0.3">
      <c r="D141" s="4"/>
      <c r="E141" s="5"/>
    </row>
    <row r="142" spans="4:5" x14ac:dyDescent="0.3">
      <c r="D142" s="4"/>
      <c r="E142" s="5"/>
    </row>
    <row r="143" spans="4:5" x14ac:dyDescent="0.3">
      <c r="D143" s="4"/>
      <c r="E143" s="5"/>
    </row>
    <row r="144" spans="4:5" x14ac:dyDescent="0.3">
      <c r="D144" s="4"/>
      <c r="E144" s="5"/>
    </row>
    <row r="145" spans="4:5" x14ac:dyDescent="0.3">
      <c r="D145" s="4"/>
      <c r="E145" s="5"/>
    </row>
    <row r="146" spans="4:5" x14ac:dyDescent="0.3">
      <c r="D146" s="4"/>
      <c r="E146" s="5"/>
    </row>
    <row r="147" spans="4:5" x14ac:dyDescent="0.3">
      <c r="D147" s="4"/>
      <c r="E147" s="5"/>
    </row>
    <row r="148" spans="4:5" x14ac:dyDescent="0.3">
      <c r="D148" s="4"/>
      <c r="E148" s="5"/>
    </row>
    <row r="149" spans="4:5" x14ac:dyDescent="0.3">
      <c r="D149" s="4"/>
      <c r="E149" s="5"/>
    </row>
    <row r="150" spans="4:5" x14ac:dyDescent="0.3">
      <c r="D150" s="4"/>
      <c r="E150" s="5"/>
    </row>
    <row r="151" spans="4:5" x14ac:dyDescent="0.3">
      <c r="D151" s="4"/>
      <c r="E151" s="5"/>
    </row>
    <row r="152" spans="4:5" x14ac:dyDescent="0.3">
      <c r="D152" s="4"/>
      <c r="E152" s="5"/>
    </row>
    <row r="153" spans="4:5" x14ac:dyDescent="0.3">
      <c r="D153" s="4"/>
      <c r="E153" s="5"/>
    </row>
    <row r="154" spans="4:5" x14ac:dyDescent="0.3">
      <c r="D154" s="4"/>
      <c r="E154" s="5"/>
    </row>
    <row r="155" spans="4:5" x14ac:dyDescent="0.3">
      <c r="D155" s="4"/>
      <c r="E155" s="5"/>
    </row>
    <row r="156" spans="4:5" x14ac:dyDescent="0.3">
      <c r="D156" s="4"/>
      <c r="E156" s="5"/>
    </row>
    <row r="157" spans="4:5" x14ac:dyDescent="0.3">
      <c r="D157" s="4"/>
      <c r="E157" s="5"/>
    </row>
    <row r="158" spans="4:5" x14ac:dyDescent="0.3">
      <c r="D158" s="4"/>
      <c r="E158" s="5"/>
    </row>
    <row r="159" spans="4:5" x14ac:dyDescent="0.3">
      <c r="D159" s="4"/>
      <c r="E159" s="5"/>
    </row>
    <row r="160" spans="4:5" x14ac:dyDescent="0.3">
      <c r="D160" s="4"/>
      <c r="E160" s="5"/>
    </row>
    <row r="161" spans="4:5" x14ac:dyDescent="0.3">
      <c r="D161" s="4"/>
      <c r="E161" s="5"/>
    </row>
    <row r="162" spans="4:5" x14ac:dyDescent="0.3">
      <c r="D162" s="4"/>
      <c r="E162" s="5"/>
    </row>
    <row r="163" spans="4:5" x14ac:dyDescent="0.3">
      <c r="D163" s="4"/>
      <c r="E163" s="5"/>
    </row>
    <row r="164" spans="4:5" x14ac:dyDescent="0.3">
      <c r="D164" s="4"/>
      <c r="E164" s="5"/>
    </row>
    <row r="165" spans="4:5" x14ac:dyDescent="0.3">
      <c r="D165" s="4"/>
      <c r="E165" s="5"/>
    </row>
    <row r="166" spans="4:5" x14ac:dyDescent="0.3">
      <c r="D166" s="4"/>
      <c r="E166" s="5"/>
    </row>
    <row r="167" spans="4:5" x14ac:dyDescent="0.3">
      <c r="D167" s="4"/>
      <c r="E167" s="5"/>
    </row>
    <row r="168" spans="4:5" x14ac:dyDescent="0.3">
      <c r="D168" s="4"/>
      <c r="E168" s="5"/>
    </row>
    <row r="169" spans="4:5" x14ac:dyDescent="0.3">
      <c r="D169" s="4"/>
      <c r="E169" s="5"/>
    </row>
    <row r="170" spans="4:5" x14ac:dyDescent="0.3">
      <c r="D170" s="4"/>
      <c r="E170" s="5"/>
    </row>
    <row r="171" spans="4:5" x14ac:dyDescent="0.3">
      <c r="D171" s="4"/>
      <c r="E171" s="5"/>
    </row>
    <row r="172" spans="4:5" x14ac:dyDescent="0.3">
      <c r="D172" s="4"/>
      <c r="E172" s="5"/>
    </row>
    <row r="173" spans="4:5" x14ac:dyDescent="0.3">
      <c r="D173" s="4"/>
      <c r="E173" s="5"/>
    </row>
    <row r="174" spans="4:5" x14ac:dyDescent="0.3">
      <c r="D174" s="4"/>
      <c r="E174" s="5"/>
    </row>
    <row r="175" spans="4:5" x14ac:dyDescent="0.3">
      <c r="D175" s="4"/>
      <c r="E175" s="5"/>
    </row>
    <row r="176" spans="4:5" x14ac:dyDescent="0.3">
      <c r="D176" s="4"/>
      <c r="E176" s="5"/>
    </row>
    <row r="177" spans="4:5" x14ac:dyDescent="0.3">
      <c r="D177" s="4"/>
      <c r="E177" s="5"/>
    </row>
    <row r="178" spans="4:5" x14ac:dyDescent="0.3">
      <c r="D178" s="4"/>
      <c r="E178" s="5"/>
    </row>
    <row r="179" spans="4:5" x14ac:dyDescent="0.3">
      <c r="D179" s="4"/>
      <c r="E179" s="5"/>
    </row>
    <row r="180" spans="4:5" x14ac:dyDescent="0.3">
      <c r="D180" s="4"/>
      <c r="E180" s="5"/>
    </row>
    <row r="181" spans="4:5" x14ac:dyDescent="0.3">
      <c r="D181" s="4"/>
      <c r="E181" s="5"/>
    </row>
    <row r="182" spans="4:5" x14ac:dyDescent="0.3">
      <c r="D182" s="4"/>
      <c r="E182" s="5"/>
    </row>
    <row r="183" spans="4:5" x14ac:dyDescent="0.3">
      <c r="D183" s="4"/>
      <c r="E183" s="5"/>
    </row>
    <row r="184" spans="4:5" x14ac:dyDescent="0.3">
      <c r="D184" s="4"/>
      <c r="E184" s="5"/>
    </row>
    <row r="185" spans="4:5" x14ac:dyDescent="0.3">
      <c r="D185" s="4"/>
      <c r="E185" s="5"/>
    </row>
    <row r="186" spans="4:5" x14ac:dyDescent="0.3">
      <c r="D186" s="4"/>
      <c r="E186" s="5"/>
    </row>
    <row r="187" spans="4:5" x14ac:dyDescent="0.3">
      <c r="D187" s="4"/>
      <c r="E187" s="5"/>
    </row>
    <row r="188" spans="4:5" x14ac:dyDescent="0.3">
      <c r="D188" s="4"/>
      <c r="E188" s="5"/>
    </row>
    <row r="189" spans="4:5" x14ac:dyDescent="0.3">
      <c r="D189" s="4"/>
      <c r="E189" s="5"/>
    </row>
    <row r="190" spans="4:5" x14ac:dyDescent="0.3">
      <c r="D190" s="4"/>
      <c r="E190" s="5"/>
    </row>
    <row r="191" spans="4:5" x14ac:dyDescent="0.3">
      <c r="D191" s="4"/>
      <c r="E191" s="5"/>
    </row>
    <row r="192" spans="4:5" x14ac:dyDescent="0.3">
      <c r="D192" s="4"/>
      <c r="E192" s="5"/>
    </row>
    <row r="193" spans="4:5" x14ac:dyDescent="0.3">
      <c r="D193" s="4"/>
      <c r="E193" s="5"/>
    </row>
    <row r="194" spans="4:5" x14ac:dyDescent="0.3">
      <c r="D194" s="4"/>
      <c r="E194" s="5"/>
    </row>
    <row r="195" spans="4:5" x14ac:dyDescent="0.3">
      <c r="D195" s="4"/>
      <c r="E195" s="5"/>
    </row>
    <row r="196" spans="4:5" x14ac:dyDescent="0.3">
      <c r="D196" s="4"/>
      <c r="E196" s="5"/>
    </row>
    <row r="197" spans="4:5" x14ac:dyDescent="0.3">
      <c r="D197" s="4"/>
      <c r="E197" s="5"/>
    </row>
    <row r="198" spans="4:5" x14ac:dyDescent="0.3">
      <c r="D198" s="4"/>
      <c r="E198" s="5"/>
    </row>
    <row r="199" spans="4:5" x14ac:dyDescent="0.3">
      <c r="D199" s="4"/>
      <c r="E199" s="5"/>
    </row>
    <row r="200" spans="4:5" x14ac:dyDescent="0.3">
      <c r="D200" s="4"/>
      <c r="E200" s="5"/>
    </row>
    <row r="201" spans="4:5" x14ac:dyDescent="0.3">
      <c r="D201" s="4"/>
      <c r="E201" s="5"/>
    </row>
    <row r="202" spans="4:5" x14ac:dyDescent="0.3">
      <c r="D202" s="4"/>
      <c r="E202" s="5"/>
    </row>
    <row r="203" spans="4:5" x14ac:dyDescent="0.3">
      <c r="D203" s="4"/>
      <c r="E203" s="5"/>
    </row>
    <row r="204" spans="4:5" x14ac:dyDescent="0.3">
      <c r="D204" s="4"/>
      <c r="E204" s="5"/>
    </row>
    <row r="205" spans="4:5" x14ac:dyDescent="0.3">
      <c r="D205" s="4"/>
      <c r="E205" s="5"/>
    </row>
    <row r="206" spans="4:5" x14ac:dyDescent="0.3">
      <c r="D206" s="4"/>
      <c r="E206" s="5"/>
    </row>
    <row r="207" spans="4:5" x14ac:dyDescent="0.3">
      <c r="D207" s="4"/>
      <c r="E207" s="5"/>
    </row>
    <row r="208" spans="4:5" x14ac:dyDescent="0.3">
      <c r="D208" s="4"/>
      <c r="E208" s="5"/>
    </row>
    <row r="209" spans="4:5" x14ac:dyDescent="0.3">
      <c r="D209" s="4"/>
      <c r="E209" s="5"/>
    </row>
    <row r="210" spans="4:5" x14ac:dyDescent="0.3">
      <c r="D210" s="4"/>
      <c r="E210" s="5"/>
    </row>
    <row r="211" spans="4:5" x14ac:dyDescent="0.3">
      <c r="D211" s="4"/>
      <c r="E211" s="5"/>
    </row>
    <row r="212" spans="4:5" x14ac:dyDescent="0.3">
      <c r="D212" s="4"/>
      <c r="E212" s="5"/>
    </row>
    <row r="213" spans="4:5" x14ac:dyDescent="0.3">
      <c r="D213" s="4"/>
      <c r="E213" s="5"/>
    </row>
    <row r="214" spans="4:5" x14ac:dyDescent="0.3">
      <c r="D214" s="4"/>
      <c r="E214" s="5"/>
    </row>
    <row r="215" spans="4:5" x14ac:dyDescent="0.3">
      <c r="D215" s="4"/>
      <c r="E215" s="5"/>
    </row>
    <row r="216" spans="4:5" x14ac:dyDescent="0.3">
      <c r="D216" s="4"/>
      <c r="E216" s="5"/>
    </row>
    <row r="217" spans="4:5" x14ac:dyDescent="0.3">
      <c r="D217" s="4"/>
      <c r="E217" s="5"/>
    </row>
    <row r="218" spans="4:5" x14ac:dyDescent="0.3">
      <c r="D218" s="4"/>
      <c r="E218" s="5"/>
    </row>
    <row r="219" spans="4:5" x14ac:dyDescent="0.3">
      <c r="D219" s="4"/>
      <c r="E219" s="5"/>
    </row>
    <row r="220" spans="4:5" x14ac:dyDescent="0.3">
      <c r="D220" s="4"/>
      <c r="E220" s="5"/>
    </row>
    <row r="221" spans="4:5" x14ac:dyDescent="0.3">
      <c r="D221" s="4"/>
      <c r="E221" s="5"/>
    </row>
    <row r="222" spans="4:5" x14ac:dyDescent="0.3">
      <c r="D222" s="4"/>
      <c r="E222" s="5"/>
    </row>
    <row r="223" spans="4:5" x14ac:dyDescent="0.3">
      <c r="D223" s="4"/>
      <c r="E223" s="5"/>
    </row>
    <row r="224" spans="4:5" x14ac:dyDescent="0.3">
      <c r="D224" s="4"/>
      <c r="E224" s="5"/>
    </row>
    <row r="225" spans="4:5" x14ac:dyDescent="0.3">
      <c r="D225" s="4"/>
      <c r="E225" s="5"/>
    </row>
    <row r="226" spans="4:5" x14ac:dyDescent="0.3">
      <c r="D226" s="4"/>
      <c r="E226" s="5"/>
    </row>
    <row r="227" spans="4:5" x14ac:dyDescent="0.3">
      <c r="D227" s="4"/>
      <c r="E227" s="5"/>
    </row>
    <row r="228" spans="4:5" x14ac:dyDescent="0.3">
      <c r="D228" s="4"/>
      <c r="E228" s="5"/>
    </row>
    <row r="229" spans="4:5" x14ac:dyDescent="0.3">
      <c r="D229" s="4"/>
      <c r="E229" s="5"/>
    </row>
    <row r="230" spans="4:5" x14ac:dyDescent="0.3">
      <c r="D230" s="4"/>
      <c r="E230" s="5"/>
    </row>
    <row r="231" spans="4:5" x14ac:dyDescent="0.3">
      <c r="D231" s="4"/>
      <c r="E231" s="5"/>
    </row>
    <row r="232" spans="4:5" x14ac:dyDescent="0.3">
      <c r="D232" s="4"/>
      <c r="E232" s="5"/>
    </row>
    <row r="233" spans="4:5" x14ac:dyDescent="0.3">
      <c r="D233" s="4"/>
      <c r="E233" s="5"/>
    </row>
    <row r="234" spans="4:5" x14ac:dyDescent="0.3">
      <c r="D234" s="4"/>
      <c r="E234" s="5"/>
    </row>
    <row r="235" spans="4:5" x14ac:dyDescent="0.3">
      <c r="D235" s="4"/>
      <c r="E235" s="5"/>
    </row>
    <row r="236" spans="4:5" x14ac:dyDescent="0.3">
      <c r="D236" s="4"/>
      <c r="E236" s="5"/>
    </row>
    <row r="237" spans="4:5" x14ac:dyDescent="0.3">
      <c r="D237" s="4"/>
      <c r="E237" s="5"/>
    </row>
    <row r="238" spans="4:5" x14ac:dyDescent="0.3">
      <c r="D238" s="4"/>
      <c r="E238" s="5"/>
    </row>
    <row r="239" spans="4:5" x14ac:dyDescent="0.3">
      <c r="D239" s="4"/>
      <c r="E239" s="5"/>
    </row>
    <row r="240" spans="4:5" x14ac:dyDescent="0.3">
      <c r="D240" s="4"/>
      <c r="E240" s="5"/>
    </row>
    <row r="241" spans="4:5" x14ac:dyDescent="0.3">
      <c r="D241" s="4"/>
      <c r="E241" s="5"/>
    </row>
    <row r="242" spans="4:5" x14ac:dyDescent="0.3">
      <c r="D242" s="4"/>
      <c r="E242" s="5"/>
    </row>
    <row r="243" spans="4:5" x14ac:dyDescent="0.3">
      <c r="D243" s="4"/>
      <c r="E243" s="5"/>
    </row>
    <row r="244" spans="4:5" x14ac:dyDescent="0.3">
      <c r="D244" s="4"/>
      <c r="E244" s="5"/>
    </row>
    <row r="245" spans="4:5" x14ac:dyDescent="0.3">
      <c r="D245" s="4"/>
      <c r="E245" s="5"/>
    </row>
    <row r="246" spans="4:5" x14ac:dyDescent="0.3">
      <c r="D246" s="4"/>
      <c r="E246" s="5"/>
    </row>
    <row r="247" spans="4:5" x14ac:dyDescent="0.3">
      <c r="D247" s="4"/>
      <c r="E247" s="5"/>
    </row>
    <row r="248" spans="4:5" x14ac:dyDescent="0.3">
      <c r="D248" s="4"/>
      <c r="E248" s="5"/>
    </row>
    <row r="249" spans="4:5" x14ac:dyDescent="0.3">
      <c r="D249" s="4"/>
      <c r="E249" s="5"/>
    </row>
    <row r="250" spans="4:5" x14ac:dyDescent="0.3">
      <c r="D250" s="4"/>
      <c r="E250" s="5"/>
    </row>
    <row r="251" spans="4:5" x14ac:dyDescent="0.3">
      <c r="D251" s="4"/>
      <c r="E251" s="5"/>
    </row>
    <row r="252" spans="4:5" x14ac:dyDescent="0.3">
      <c r="D252" s="4"/>
      <c r="E252" s="5"/>
    </row>
    <row r="253" spans="4:5" x14ac:dyDescent="0.3">
      <c r="D253" s="4"/>
      <c r="E253" s="5"/>
    </row>
    <row r="254" spans="4:5" x14ac:dyDescent="0.3">
      <c r="D254" s="4"/>
      <c r="E254" s="5"/>
    </row>
    <row r="255" spans="4:5" x14ac:dyDescent="0.3">
      <c r="D255" s="4"/>
      <c r="E255" s="5"/>
    </row>
    <row r="256" spans="4:5" x14ac:dyDescent="0.3">
      <c r="D256" s="4"/>
      <c r="E256" s="5"/>
    </row>
    <row r="257" spans="4:5" x14ac:dyDescent="0.3">
      <c r="D257" s="4"/>
      <c r="E257" s="5"/>
    </row>
    <row r="258" spans="4:5" x14ac:dyDescent="0.3">
      <c r="D258" s="4"/>
      <c r="E258" s="5"/>
    </row>
    <row r="259" spans="4:5" x14ac:dyDescent="0.3">
      <c r="D259" s="4"/>
      <c r="E259" s="5"/>
    </row>
    <row r="260" spans="4:5" x14ac:dyDescent="0.3">
      <c r="D260" s="4"/>
      <c r="E260" s="5"/>
    </row>
    <row r="261" spans="4:5" x14ac:dyDescent="0.3">
      <c r="D261" s="4"/>
      <c r="E261" s="5"/>
    </row>
    <row r="262" spans="4:5" x14ac:dyDescent="0.3">
      <c r="D262" s="4"/>
      <c r="E262" s="5"/>
    </row>
    <row r="263" spans="4:5" x14ac:dyDescent="0.3">
      <c r="D263" s="4"/>
      <c r="E263" s="5"/>
    </row>
    <row r="264" spans="4:5" x14ac:dyDescent="0.3">
      <c r="D264" s="4"/>
      <c r="E264" s="5"/>
    </row>
    <row r="265" spans="4:5" x14ac:dyDescent="0.3">
      <c r="D265" s="4"/>
      <c r="E265" s="5"/>
    </row>
    <row r="266" spans="4:5" x14ac:dyDescent="0.3">
      <c r="D266" s="4"/>
      <c r="E266" s="5"/>
    </row>
    <row r="267" spans="4:5" x14ac:dyDescent="0.3">
      <c r="D267" s="4"/>
      <c r="E267" s="5"/>
    </row>
    <row r="268" spans="4:5" x14ac:dyDescent="0.3">
      <c r="D268" s="4"/>
      <c r="E268" s="5"/>
    </row>
    <row r="269" spans="4:5" x14ac:dyDescent="0.3">
      <c r="D269" s="4"/>
      <c r="E269" s="5"/>
    </row>
    <row r="270" spans="4:5" x14ac:dyDescent="0.3">
      <c r="D270" s="4"/>
      <c r="E270" s="5"/>
    </row>
    <row r="271" spans="4:5" x14ac:dyDescent="0.3">
      <c r="D271" s="4"/>
      <c r="E271" s="5"/>
    </row>
    <row r="272" spans="4:5" x14ac:dyDescent="0.3">
      <c r="D272" s="4"/>
      <c r="E272" s="5"/>
    </row>
    <row r="273" spans="4:5" x14ac:dyDescent="0.3">
      <c r="D273" s="4"/>
      <c r="E273" s="5"/>
    </row>
    <row r="274" spans="4:5" x14ac:dyDescent="0.3">
      <c r="D274" s="4"/>
      <c r="E274" s="5"/>
    </row>
    <row r="275" spans="4:5" x14ac:dyDescent="0.3">
      <c r="D275" s="4"/>
      <c r="E275" s="5"/>
    </row>
    <row r="276" spans="4:5" x14ac:dyDescent="0.3">
      <c r="D276" s="4"/>
      <c r="E276" s="5"/>
    </row>
    <row r="277" spans="4:5" x14ac:dyDescent="0.3">
      <c r="D277" s="4"/>
      <c r="E277" s="5"/>
    </row>
    <row r="278" spans="4:5" x14ac:dyDescent="0.3">
      <c r="D278" s="4"/>
      <c r="E278" s="5"/>
    </row>
    <row r="279" spans="4:5" x14ac:dyDescent="0.3">
      <c r="D279" s="4"/>
      <c r="E279" s="5"/>
    </row>
    <row r="280" spans="4:5" x14ac:dyDescent="0.3">
      <c r="D280" s="4"/>
      <c r="E280" s="5"/>
    </row>
    <row r="281" spans="4:5" x14ac:dyDescent="0.3">
      <c r="D281" s="4"/>
      <c r="E281" s="5"/>
    </row>
    <row r="282" spans="4:5" x14ac:dyDescent="0.3">
      <c r="D282" s="4"/>
      <c r="E282" s="5"/>
    </row>
    <row r="283" spans="4:5" x14ac:dyDescent="0.3">
      <c r="D283" s="4"/>
      <c r="E283" s="5"/>
    </row>
    <row r="284" spans="4:5" x14ac:dyDescent="0.3">
      <c r="D284" s="4"/>
      <c r="E284" s="5"/>
    </row>
    <row r="285" spans="4:5" x14ac:dyDescent="0.3">
      <c r="D285" s="4"/>
      <c r="E285" s="5"/>
    </row>
    <row r="286" spans="4:5" x14ac:dyDescent="0.3">
      <c r="D286" s="4"/>
      <c r="E286" s="5"/>
    </row>
    <row r="287" spans="4:5" x14ac:dyDescent="0.3">
      <c r="D287" s="4"/>
      <c r="E287" s="5"/>
    </row>
    <row r="288" spans="4:5" x14ac:dyDescent="0.3">
      <c r="D288" s="4"/>
      <c r="E288" s="5"/>
    </row>
    <row r="289" spans="4:5" x14ac:dyDescent="0.3">
      <c r="D289" s="4"/>
      <c r="E289" s="5"/>
    </row>
    <row r="290" spans="4:5" x14ac:dyDescent="0.3">
      <c r="D290" s="4"/>
      <c r="E290" s="5"/>
    </row>
    <row r="291" spans="4:5" x14ac:dyDescent="0.3">
      <c r="D291" s="4"/>
      <c r="E291" s="5"/>
    </row>
    <row r="292" spans="4:5" x14ac:dyDescent="0.3">
      <c r="D292" s="4"/>
      <c r="E292" s="5"/>
    </row>
    <row r="293" spans="4:5" x14ac:dyDescent="0.3">
      <c r="D293" s="4"/>
      <c r="E293" s="5"/>
    </row>
    <row r="294" spans="4:5" x14ac:dyDescent="0.3">
      <c r="D294" s="4"/>
      <c r="E294" s="5"/>
    </row>
    <row r="295" spans="4:5" x14ac:dyDescent="0.3">
      <c r="D295" s="4"/>
      <c r="E295" s="5"/>
    </row>
    <row r="296" spans="4:5" x14ac:dyDescent="0.3">
      <c r="D296" s="4"/>
      <c r="E296" s="5"/>
    </row>
    <row r="297" spans="4:5" x14ac:dyDescent="0.3">
      <c r="D297" s="4"/>
      <c r="E297" s="5"/>
    </row>
    <row r="298" spans="4:5" x14ac:dyDescent="0.3">
      <c r="D298" s="4"/>
      <c r="E298" s="5"/>
    </row>
    <row r="299" spans="4:5" x14ac:dyDescent="0.3">
      <c r="D299" s="4"/>
      <c r="E299" s="5"/>
    </row>
    <row r="300" spans="4:5" x14ac:dyDescent="0.3">
      <c r="D300" s="4"/>
      <c r="E300" s="5"/>
    </row>
    <row r="301" spans="4:5" x14ac:dyDescent="0.3">
      <c r="D301" s="4"/>
      <c r="E301" s="5"/>
    </row>
    <row r="302" spans="4:5" x14ac:dyDescent="0.3">
      <c r="D302" s="4"/>
      <c r="E302" s="5"/>
    </row>
    <row r="303" spans="4:5" x14ac:dyDescent="0.3">
      <c r="D303" s="4"/>
      <c r="E303" s="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statstics</vt:lpstr>
      <vt:lpstr>Sales by Country with Pivot </vt:lpstr>
      <vt:lpstr>EDA with CF</vt:lpstr>
      <vt:lpstr>Sales by country</vt:lpstr>
      <vt:lpstr>pivot table2</vt:lpstr>
      <vt:lpstr>Anamolies in data</vt:lpstr>
      <vt:lpstr>Best Sales</vt:lpstr>
      <vt:lpstr>Profit</vt:lpstr>
      <vt:lpstr>Catogery reportDy</vt:lpstr>
      <vt:lpstr>product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Kumari Nilima Vanamchitti</cp:lastModifiedBy>
  <dcterms:created xsi:type="dcterms:W3CDTF">2021-03-14T20:21:32Z</dcterms:created>
  <dcterms:modified xsi:type="dcterms:W3CDTF">2023-05-07T13:36:51Z</dcterms:modified>
</cp:coreProperties>
</file>