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hum\Downloads\"/>
    </mc:Choice>
  </mc:AlternateContent>
  <xr:revisionPtr revIDLastSave="0" documentId="13_ncr:1_{A9551625-3560-4795-9461-10CF4107838E}" xr6:coauthVersionLast="36" xr6:coauthVersionMax="36" xr10:uidLastSave="{00000000-0000-0000-0000-000000000000}"/>
  <bookViews>
    <workbookView xWindow="0" yWindow="0" windowWidth="23040" windowHeight="8160" xr2:uid="{00000000-000D-0000-FFFF-FFFF00000000}"/>
  </bookViews>
  <sheets>
    <sheet name="계산기" sheetId="1" r:id="rId1"/>
    <sheet name="계산식" sheetId="2" r:id="rId2"/>
    <sheet name="성유물 부옵수" sheetId="4" r:id="rId3"/>
    <sheet name="닐루" sheetId="3" r:id="rId4"/>
    <sheet name="닐루계산식" sheetId="6" r:id="rId5"/>
    <sheet name="닐루성유물 부옵수" sheetId="8" r:id="rId6"/>
    <sheet name="패치노트" sheetId="5" r:id="rId7"/>
  </sheets>
  <definedNames>
    <definedName name="_xlnm._FilterDatabase" localSheetId="0" hidden="1">계산기!$J$1:$K$1</definedName>
    <definedName name="_xlnm._FilterDatabase" localSheetId="3" hidden="1">닐루!$F$1:$G$1</definedName>
  </definedNames>
  <calcPr calcId="191029"/>
</workbook>
</file>

<file path=xl/calcChain.xml><?xml version="1.0" encoding="utf-8"?>
<calcChain xmlns="http://schemas.openxmlformats.org/spreadsheetml/2006/main">
  <c r="E27" i="3" l="1"/>
  <c r="K15" i="6"/>
  <c r="J15" i="6"/>
  <c r="I15" i="6"/>
  <c r="H15" i="6"/>
  <c r="G15" i="6"/>
  <c r="F15" i="6"/>
  <c r="E15" i="6"/>
  <c r="D15" i="6"/>
  <c r="C15" i="6"/>
  <c r="B15" i="6"/>
  <c r="E19" i="6"/>
  <c r="D19" i="6"/>
  <c r="C19" i="6"/>
  <c r="K13" i="6"/>
  <c r="J13" i="6"/>
  <c r="I13" i="6"/>
  <c r="I16" i="3" s="1"/>
  <c r="H13" i="6"/>
  <c r="G13" i="6"/>
  <c r="F13" i="6"/>
  <c r="E13" i="6"/>
  <c r="D13" i="6"/>
  <c r="C13" i="6"/>
  <c r="D11" i="6"/>
  <c r="C11" i="6"/>
  <c r="B11" i="6"/>
  <c r="B13" i="6" s="1"/>
  <c r="N10" i="3"/>
  <c r="M10" i="3"/>
  <c r="M10" i="1"/>
  <c r="A42" i="8"/>
  <c r="F41" i="8"/>
  <c r="E41" i="8"/>
  <c r="D41" i="8"/>
  <c r="C41" i="8"/>
  <c r="A41" i="8"/>
  <c r="A39" i="8"/>
  <c r="F36" i="8"/>
  <c r="E36" i="8"/>
  <c r="D36" i="8"/>
  <c r="C36" i="8"/>
  <c r="F34" i="8"/>
  <c r="E34" i="8"/>
  <c r="D34" i="8"/>
  <c r="C34" i="8"/>
  <c r="F32" i="8"/>
  <c r="E32" i="8"/>
  <c r="D32" i="8"/>
  <c r="C32" i="8"/>
  <c r="B26" i="8"/>
  <c r="B25" i="8"/>
  <c r="B24" i="8"/>
  <c r="B23" i="8"/>
  <c r="B22" i="8"/>
  <c r="B21" i="8"/>
  <c r="B20" i="8"/>
  <c r="B19" i="8"/>
  <c r="B18" i="8"/>
  <c r="B17" i="8"/>
  <c r="F12" i="8"/>
  <c r="J12" i="8" s="1"/>
  <c r="E12" i="8"/>
  <c r="I12" i="8" s="1"/>
  <c r="D12" i="8"/>
  <c r="H12" i="8" s="1"/>
  <c r="C12" i="8"/>
  <c r="G12" i="8" s="1"/>
  <c r="J11" i="8"/>
  <c r="I11" i="8"/>
  <c r="H11" i="8"/>
  <c r="G11" i="8"/>
  <c r="J9" i="8"/>
  <c r="I9" i="8"/>
  <c r="H9" i="8"/>
  <c r="G9" i="8"/>
  <c r="J8" i="8"/>
  <c r="I8" i="8"/>
  <c r="H8" i="8"/>
  <c r="G8" i="8"/>
  <c r="J6" i="8"/>
  <c r="I6" i="8"/>
  <c r="H6" i="8"/>
  <c r="G6" i="8"/>
  <c r="J4" i="8"/>
  <c r="I4" i="8"/>
  <c r="H4" i="8"/>
  <c r="G4" i="8"/>
  <c r="F14" i="3"/>
  <c r="E14" i="3"/>
  <c r="K15" i="2"/>
  <c r="J15" i="2"/>
  <c r="I15" i="2"/>
  <c r="H15" i="2"/>
  <c r="G15" i="2"/>
  <c r="F15" i="2"/>
  <c r="E15" i="2"/>
  <c r="D15" i="2"/>
  <c r="C15" i="2"/>
  <c r="B15" i="2"/>
  <c r="K16" i="3" l="1"/>
  <c r="J16" i="3"/>
  <c r="B16" i="3"/>
  <c r="E20" i="3" s="1"/>
  <c r="D16" i="3"/>
  <c r="C16" i="3"/>
  <c r="D14" i="3"/>
  <c r="E16" i="3"/>
  <c r="F16" i="3"/>
  <c r="G16" i="3"/>
  <c r="H16" i="3"/>
  <c r="K14" i="3"/>
  <c r="J14" i="3"/>
  <c r="C14" i="3"/>
  <c r="G14" i="3"/>
  <c r="H14" i="3"/>
  <c r="I14" i="3"/>
  <c r="B14" i="3"/>
  <c r="I14" i="1"/>
  <c r="H14" i="1"/>
  <c r="G14" i="1"/>
  <c r="F14" i="1"/>
  <c r="E14" i="1"/>
  <c r="B14" i="1"/>
  <c r="A42" i="4" l="1"/>
  <c r="F41" i="4"/>
  <c r="E41" i="4"/>
  <c r="D41" i="4"/>
  <c r="C41" i="4"/>
  <c r="A41" i="4"/>
  <c r="A39" i="4"/>
  <c r="B26" i="4"/>
  <c r="B25" i="4"/>
  <c r="B24" i="4"/>
  <c r="B23" i="4"/>
  <c r="B22" i="4"/>
  <c r="B21" i="4"/>
  <c r="B20" i="4"/>
  <c r="B19" i="4"/>
  <c r="B18" i="4"/>
  <c r="B17" i="4"/>
  <c r="F12" i="4"/>
  <c r="J12" i="4" s="1"/>
  <c r="E12" i="4"/>
  <c r="I12" i="4" s="1"/>
  <c r="D12" i="4"/>
  <c r="H12" i="4" s="1"/>
  <c r="C12" i="4"/>
  <c r="G12" i="4" s="1"/>
  <c r="J11" i="4"/>
  <c r="I11" i="4"/>
  <c r="H11" i="4"/>
  <c r="G11" i="4"/>
  <c r="J9" i="4"/>
  <c r="I9" i="4"/>
  <c r="H9" i="4"/>
  <c r="G9" i="4"/>
  <c r="J8" i="4"/>
  <c r="I8" i="4"/>
  <c r="H8" i="4"/>
  <c r="G8" i="4"/>
  <c r="J6" i="4"/>
  <c r="I6" i="4"/>
  <c r="H6" i="4"/>
  <c r="G6" i="4"/>
  <c r="J4" i="4"/>
  <c r="I4" i="4"/>
  <c r="H4" i="4"/>
  <c r="G4" i="4"/>
  <c r="J37" i="3"/>
  <c r="I37" i="3"/>
  <c r="H37" i="3"/>
  <c r="F37" i="3"/>
  <c r="N36" i="3"/>
  <c r="N37" i="3" s="1"/>
  <c r="M36" i="3"/>
  <c r="M37" i="3" s="1"/>
  <c r="L36" i="3"/>
  <c r="L37" i="3" s="1"/>
  <c r="J36" i="3"/>
  <c r="I36" i="3"/>
  <c r="H36" i="3"/>
  <c r="F36" i="3"/>
  <c r="E36" i="3"/>
  <c r="E37" i="3" s="1"/>
  <c r="D36" i="3"/>
  <c r="D37" i="3" s="1"/>
  <c r="E33" i="3"/>
  <c r="D33" i="3"/>
  <c r="C33" i="3"/>
  <c r="C29" i="3"/>
  <c r="C27" i="3"/>
  <c r="C24" i="3"/>
  <c r="C23" i="3"/>
  <c r="C22" i="3"/>
  <c r="C21" i="3"/>
  <c r="C20" i="3"/>
  <c r="E19" i="2"/>
  <c r="D19" i="2"/>
  <c r="C19" i="2"/>
  <c r="G16" i="1"/>
  <c r="F16" i="1"/>
  <c r="K13" i="2"/>
  <c r="J13" i="2"/>
  <c r="I13" i="2"/>
  <c r="H13" i="2"/>
  <c r="G13" i="2"/>
  <c r="F13" i="2"/>
  <c r="E13" i="2"/>
  <c r="D13" i="2"/>
  <c r="C13" i="2"/>
  <c r="C16" i="1" s="1"/>
  <c r="D11" i="2"/>
  <c r="C11" i="2"/>
  <c r="B11" i="2"/>
  <c r="F32" i="4" s="1"/>
  <c r="N10" i="1"/>
  <c r="F36" i="4" l="1"/>
  <c r="D14" i="1"/>
  <c r="E34" i="4"/>
  <c r="C14" i="1"/>
  <c r="K14" i="1"/>
  <c r="B13" i="2"/>
  <c r="J14" i="1"/>
  <c r="K16" i="1"/>
  <c r="F34" i="4"/>
  <c r="C36" i="4"/>
  <c r="D36" i="4"/>
  <c r="I16" i="1"/>
  <c r="J16" i="1"/>
  <c r="E36" i="4"/>
  <c r="H16" i="1"/>
  <c r="C32" i="4"/>
  <c r="D32" i="4"/>
  <c r="E32" i="4"/>
  <c r="C34" i="4"/>
  <c r="D34" i="4"/>
  <c r="D16" i="1" l="1"/>
  <c r="B16" i="1"/>
  <c r="B23" i="1" s="1"/>
  <c r="E16" i="1"/>
  <c r="D23" i="1" l="1"/>
  <c r="E42" i="8"/>
  <c r="C42" i="8"/>
  <c r="D42" i="8"/>
  <c r="F42" i="8"/>
  <c r="F27" i="3"/>
  <c r="E24" i="3"/>
  <c r="F24" i="3" s="1"/>
  <c r="J24" i="3" s="1"/>
  <c r="F20" i="3"/>
  <c r="O20" i="3" s="1"/>
  <c r="E21" i="3"/>
  <c r="F21" i="3" s="1"/>
  <c r="H21" i="3" s="1"/>
  <c r="E22" i="3"/>
  <c r="F22" i="3" s="1"/>
  <c r="J22" i="3" s="1"/>
  <c r="E23" i="3"/>
  <c r="F23" i="3" s="1"/>
  <c r="M23" i="3" s="1"/>
  <c r="E42" i="4"/>
  <c r="D25" i="1" s="1"/>
  <c r="C42" i="4"/>
  <c r="B25" i="1" s="1"/>
  <c r="D42" i="4"/>
  <c r="C25" i="1" s="1"/>
  <c r="F42" i="4"/>
  <c r="E25" i="1" s="1"/>
  <c r="L24" i="3" l="1"/>
  <c r="M24" i="3"/>
  <c r="U20" i="3"/>
  <c r="N24" i="3"/>
  <c r="P24" i="3"/>
  <c r="H20" i="3"/>
  <c r="S24" i="3"/>
  <c r="S20" i="3"/>
  <c r="K20" i="3"/>
  <c r="Q24" i="3"/>
  <c r="O24" i="3"/>
  <c r="R24" i="3"/>
  <c r="H27" i="3"/>
  <c r="U27" i="3"/>
  <c r="Q27" i="3"/>
  <c r="N27" i="3"/>
  <c r="T27" i="3"/>
  <c r="R27" i="3"/>
  <c r="O27" i="3"/>
  <c r="M27" i="3"/>
  <c r="K27" i="3"/>
  <c r="S27" i="3"/>
  <c r="P27" i="3"/>
  <c r="L27" i="3"/>
  <c r="J27" i="3"/>
  <c r="U24" i="3"/>
  <c r="T24" i="3"/>
  <c r="H24" i="3"/>
  <c r="K24" i="3"/>
  <c r="R20" i="3"/>
  <c r="Q20" i="3"/>
  <c r="R21" i="3"/>
  <c r="J21" i="3"/>
  <c r="K21" i="3"/>
  <c r="L22" i="3"/>
  <c r="N22" i="3"/>
  <c r="O22" i="3"/>
  <c r="M22" i="3"/>
  <c r="Q22" i="3"/>
  <c r="R22" i="3"/>
  <c r="P22" i="3"/>
  <c r="S22" i="3"/>
  <c r="T22" i="3"/>
  <c r="U22" i="3"/>
  <c r="H22" i="3"/>
  <c r="M21" i="3"/>
  <c r="O21" i="3"/>
  <c r="P21" i="3"/>
  <c r="K22" i="3"/>
  <c r="L21" i="3"/>
  <c r="N21" i="3"/>
  <c r="Q21" i="3"/>
  <c r="P20" i="3"/>
  <c r="O23" i="3"/>
  <c r="Q23" i="3"/>
  <c r="R23" i="3"/>
  <c r="P23" i="3"/>
  <c r="S23" i="3"/>
  <c r="H23" i="3"/>
  <c r="K23" i="3"/>
  <c r="U23" i="3"/>
  <c r="T23" i="3"/>
  <c r="N20" i="3"/>
  <c r="L20" i="3"/>
  <c r="T20" i="3"/>
  <c r="J20" i="3"/>
  <c r="M20" i="3"/>
  <c r="L23" i="3"/>
  <c r="J23" i="3"/>
  <c r="N23" i="3"/>
  <c r="U21" i="3"/>
  <c r="S21" i="3"/>
  <c r="T21" i="3"/>
  <c r="M29" i="3" l="1"/>
  <c r="M28" i="3"/>
  <c r="M30" i="3"/>
  <c r="P28" i="3"/>
  <c r="P30" i="3"/>
  <c r="P29" i="3"/>
  <c r="N28" i="3"/>
  <c r="N29" i="3"/>
  <c r="N30" i="3"/>
  <c r="O28" i="3"/>
  <c r="O29" i="3"/>
  <c r="O30" i="3"/>
  <c r="S29" i="3"/>
  <c r="S30" i="3"/>
  <c r="S28" i="3"/>
  <c r="L28" i="3"/>
  <c r="L29" i="3"/>
  <c r="L30" i="3"/>
  <c r="R29" i="3"/>
  <c r="R30" i="3"/>
  <c r="R28" i="3"/>
  <c r="U30" i="3"/>
  <c r="U28" i="3"/>
  <c r="U29" i="3"/>
  <c r="T28" i="3"/>
  <c r="T30" i="3"/>
  <c r="T29" i="3"/>
  <c r="J28" i="3"/>
  <c r="J29" i="3"/>
  <c r="J30" i="3"/>
  <c r="K28" i="3"/>
  <c r="K29" i="3"/>
  <c r="K30" i="3"/>
  <c r="Q29" i="3" l="1"/>
  <c r="Q30" i="3"/>
  <c r="Q28" i="3" l="1"/>
</calcChain>
</file>

<file path=xl/sharedStrings.xml><?xml version="1.0" encoding="utf-8"?>
<sst xmlns="http://schemas.openxmlformats.org/spreadsheetml/2006/main" count="530" uniqueCount="117">
  <si>
    <t>목표 스탯</t>
  </si>
  <si>
    <t>환산공격력</t>
  </si>
  <si>
    <t>환산방어력</t>
  </si>
  <si>
    <t>환산체력</t>
  </si>
  <si>
    <t>돌파스탯
증가량</t>
  </si>
  <si>
    <t>없는 스탯은 노란색으로 표기</t>
  </si>
  <si>
    <t>꼭 1군데에만 체크</t>
  </si>
  <si>
    <t>챙겨야하는 체력</t>
  </si>
  <si>
    <t>재련당 체5%씩 증가</t>
  </si>
  <si>
    <t>재련별 변화없음</t>
  </si>
  <si>
    <t>챙겨야 하는 체력</t>
  </si>
  <si>
    <t>계산하려고 바꾼거</t>
  </si>
  <si>
    <t>체22셋기준 부옵수</t>
  </si>
  <si>
    <t>건드리면 계산기 망가짐</t>
  </si>
  <si>
    <t>돌파스탯만 포함</t>
  </si>
  <si>
    <t>깡체19옵일때 필요한 체%</t>
  </si>
  <si>
    <t>깡체10옵일때 필요한 체%</t>
  </si>
  <si>
    <t>성유물 부옵종류</t>
  </si>
  <si>
    <t>캐릭창키면 흰색으로 뜨는거</t>
  </si>
  <si>
    <t>깡체13옵일때 필요한 체%</t>
  </si>
  <si>
    <t>깡체16옵일때 필요한 체%</t>
  </si>
  <si>
    <t>필요 부옵수(%)</t>
  </si>
  <si>
    <r>
      <t>꼭</t>
    </r>
    <r>
      <rPr>
        <sz val="11"/>
        <color rgb="FFFF0000"/>
        <rFont val="맑은 고딕"/>
        <family val="3"/>
        <charset val="129"/>
      </rPr>
      <t xml:space="preserve"> 1</t>
    </r>
    <r>
      <rPr>
        <sz val="11"/>
        <color rgb="FF000000"/>
        <rFont val="맑은 고딕"/>
        <family val="3"/>
        <charset val="129"/>
      </rPr>
      <t>군데에만 체크</t>
    </r>
  </si>
  <si>
    <t>성유물 하나당 최대6옵(4옵스타트일떄) 붙을 수 있음</t>
  </si>
  <si>
    <t>캐릭터가 4성이면 4성에만, 5성이면 5성에만</t>
  </si>
  <si>
    <t>물공명</t>
  </si>
  <si>
    <t>불공명</t>
  </si>
  <si>
    <t>꽃</t>
  </si>
  <si>
    <t>성유물</t>
  </si>
  <si>
    <t>깃털</t>
  </si>
  <si>
    <t>시계</t>
  </si>
  <si>
    <t>성배</t>
  </si>
  <si>
    <t>왕관</t>
  </si>
  <si>
    <t>원마</t>
  </si>
  <si>
    <t>원충</t>
  </si>
  <si>
    <t>공%</t>
  </si>
  <si>
    <t>체%</t>
  </si>
  <si>
    <t>방%</t>
  </si>
  <si>
    <t>치확</t>
  </si>
  <si>
    <t>치피</t>
  </si>
  <si>
    <t>풀공명</t>
  </si>
  <si>
    <t>깡체</t>
  </si>
  <si>
    <t>깡공</t>
  </si>
  <si>
    <t>증가량</t>
  </si>
  <si>
    <t xml:space="preserve"> </t>
  </si>
  <si>
    <t>4성</t>
  </si>
  <si>
    <t>5성</t>
  </si>
  <si>
    <t>성현</t>
  </si>
  <si>
    <t>1재</t>
  </si>
  <si>
    <t>2재</t>
  </si>
  <si>
    <t>3재</t>
  </si>
  <si>
    <t>4재</t>
  </si>
  <si>
    <t>5재</t>
  </si>
  <si>
    <t>뱃도랑</t>
  </si>
  <si>
    <t>%환산</t>
  </si>
  <si>
    <t>최저</t>
  </si>
  <si>
    <t>평균</t>
  </si>
  <si>
    <t>최고</t>
  </si>
  <si>
    <t>합은</t>
  </si>
  <si>
    <t>5옵은</t>
  </si>
  <si>
    <t>4옵은</t>
  </si>
  <si>
    <t>목표량</t>
  </si>
  <si>
    <t>하</t>
  </si>
  <si>
    <t>최하</t>
  </si>
  <si>
    <t>깡방</t>
  </si>
  <si>
    <t>%</t>
  </si>
  <si>
    <t>없음</t>
  </si>
  <si>
    <t>기초공</t>
  </si>
  <si>
    <t>X</t>
  </si>
  <si>
    <t>출시</t>
  </si>
  <si>
    <t>날짜</t>
  </si>
  <si>
    <t>변경점</t>
  </si>
  <si>
    <t>깡옵션 수</t>
  </si>
  <si>
    <t>최저체%</t>
  </si>
  <si>
    <t>체20%셋</t>
  </si>
  <si>
    <t>평균체%</t>
  </si>
  <si>
    <t>최고체%</t>
  </si>
  <si>
    <t xml:space="preserve">&lt;-- </t>
  </si>
  <si>
    <t>무기스탯</t>
  </si>
  <si>
    <t>2세트종류</t>
  </si>
  <si>
    <t>착용여부</t>
  </si>
  <si>
    <t>v1.1</t>
  </si>
  <si>
    <t>v1.0</t>
  </si>
  <si>
    <t>원소피해</t>
  </si>
  <si>
    <t>기초스탯</t>
  </si>
  <si>
    <t>최종스탯</t>
  </si>
  <si>
    <t>돌파스탯포함</t>
  </si>
  <si>
    <t>v1.2</t>
  </si>
  <si>
    <t>v1.3</t>
  </si>
  <si>
    <t>v1.4</t>
  </si>
  <si>
    <t>v1.5</t>
  </si>
  <si>
    <t>v1.6</t>
  </si>
  <si>
    <t>v1.7</t>
  </si>
  <si>
    <t>v1.8</t>
  </si>
  <si>
    <t>v1.9</t>
  </si>
  <si>
    <t>무기스킬</t>
  </si>
  <si>
    <t>치유보너스</t>
  </si>
  <si>
    <t>물리피해</t>
  </si>
  <si>
    <t>돌파스탯</t>
  </si>
  <si>
    <t>기본스탯</t>
  </si>
  <si>
    <t>꽃과 깃털에서 체퍼6옵일때 각</t>
  </si>
  <si>
    <t>필요량(%)</t>
  </si>
  <si>
    <t>버전</t>
  </si>
  <si>
    <t>필요량</t>
  </si>
  <si>
    <t>공격력</t>
  </si>
  <si>
    <t>체력</t>
  </si>
  <si>
    <t>방어력</t>
  </si>
  <si>
    <t>깡체 등 부옵수</t>
    <phoneticPr fontId="5" type="noConversion"/>
  </si>
  <si>
    <t>체력%등 부옵수</t>
    <phoneticPr fontId="5" type="noConversion"/>
  </si>
  <si>
    <t>&lt;--</t>
    <phoneticPr fontId="5" type="noConversion"/>
  </si>
  <si>
    <t>성유물2셋,무기스탯, 목표스탯추가</t>
    <phoneticPr fontId="5" type="noConversion"/>
  </si>
  <si>
    <t>무기스킬</t>
    <phoneticPr fontId="5" type="noConversion"/>
  </si>
  <si>
    <t>치유보너스</t>
    <phoneticPr fontId="5" type="noConversion"/>
  </si>
  <si>
    <t>닐루닐루성유물 부옵수</t>
  </si>
  <si>
    <t>ㄹ</t>
    <phoneticPr fontId="5" type="noConversion"/>
  </si>
  <si>
    <t>건드리면 닐루 망가짐</t>
  </si>
  <si>
    <t>최하옵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</si>
</sst>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%"/>
    <numFmt numFmtId="178" formatCode="0.00_ "/>
    <numFmt numFmtId="180" formatCode="0.00_);[Red]\(0.00\)"/>
    <numFmt numFmtId="182" formatCode="0_);[Red]\(0\)"/>
  </numFmts>
  <fonts count="7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함초롬돋움"/>
      <family val="3"/>
      <charset val="129"/>
    </font>
    <font>
      <sz val="26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</font>
  </fonts>
  <fills count="22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8D08F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FA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AD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7" borderId="2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8" borderId="4" xfId="0" applyNumberFormat="1" applyFill="1" applyBorder="1" applyAlignment="1">
      <alignment horizontal="center" vertical="center"/>
    </xf>
    <xf numFmtId="176" fontId="0" fillId="8" borderId="5" xfId="0" applyNumberFormat="1" applyFill="1" applyBorder="1" applyAlignment="1">
      <alignment horizontal="center" vertical="center"/>
    </xf>
    <xf numFmtId="176" fontId="0" fillId="8" borderId="2" xfId="0" applyNumberFormat="1" applyFill="1" applyBorder="1" applyAlignment="1">
      <alignment horizontal="center" vertical="center"/>
    </xf>
    <xf numFmtId="176" fontId="0" fillId="8" borderId="2" xfId="0" applyNumberFormat="1" applyFill="1" applyBorder="1" applyAlignment="1">
      <alignment vertical="center"/>
    </xf>
    <xf numFmtId="176" fontId="0" fillId="8" borderId="6" xfId="0" applyNumberFormat="1" applyFill="1" applyBorder="1" applyAlignment="1">
      <alignment horizontal="center" vertical="center"/>
    </xf>
    <xf numFmtId="176" fontId="0" fillId="7" borderId="7" xfId="0" applyNumberFormat="1" applyFill="1" applyBorder="1" applyAlignment="1">
      <alignment horizontal="center" vertical="center"/>
    </xf>
    <xf numFmtId="176" fontId="0" fillId="7" borderId="4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vertical="center"/>
    </xf>
    <xf numFmtId="176" fontId="0" fillId="7" borderId="8" xfId="0" applyNumberFormat="1" applyFill="1" applyBorder="1" applyAlignment="1">
      <alignment vertical="center"/>
    </xf>
    <xf numFmtId="176" fontId="0" fillId="9" borderId="7" xfId="0" applyNumberFormat="1" applyFill="1" applyBorder="1" applyAlignment="1">
      <alignment horizontal="center" vertical="center"/>
    </xf>
    <xf numFmtId="176" fontId="0" fillId="10" borderId="7" xfId="0" applyNumberFormat="1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8" xfId="0" applyNumberFormat="1" applyBorder="1" applyAlignment="1">
      <alignment horizontal="center" vertical="center"/>
    </xf>
    <xf numFmtId="176" fontId="0" fillId="9" borderId="1" xfId="0" applyNumberForma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12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Alignment="1">
      <alignment horizontal="center" vertical="center"/>
    </xf>
    <xf numFmtId="178" fontId="0" fillId="0" borderId="1" xfId="0" applyNumberFormat="1" applyFont="1" applyFill="1" applyBorder="1" applyAlignment="1" applyProtection="1">
      <alignment horizontal="center" vertical="center"/>
    </xf>
    <xf numFmtId="178" fontId="0" fillId="0" borderId="1" xfId="0" applyNumberFormat="1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Alignment="1">
      <alignment horizontal="righ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13" borderId="3" xfId="0" applyNumberFormat="1" applyFill="1" applyBorder="1" applyAlignment="1">
      <alignment horizontal="center" vertical="center"/>
    </xf>
    <xf numFmtId="0" fontId="0" fillId="13" borderId="7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9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3" fillId="15" borderId="0" xfId="0" applyNumberFormat="1" applyFont="1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 vertical="center" wrapText="1"/>
    </xf>
    <xf numFmtId="176" fontId="0" fillId="5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7" borderId="4" xfId="0" applyNumberFormat="1" applyFill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8" borderId="2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176" fontId="0" fillId="7" borderId="7" xfId="0" applyNumberFormat="1" applyFill="1" applyBorder="1" applyAlignment="1">
      <alignment horizontal="center" vertical="center"/>
    </xf>
    <xf numFmtId="176" fontId="0" fillId="7" borderId="12" xfId="0" applyNumberFormat="1" applyFill="1" applyBorder="1" applyAlignment="1">
      <alignment horizontal="center" vertical="center"/>
    </xf>
    <xf numFmtId="176" fontId="0" fillId="16" borderId="1" xfId="0" applyNumberFormat="1" applyFill="1" applyBorder="1" applyAlignment="1">
      <alignment horizontal="center" vertical="center"/>
    </xf>
    <xf numFmtId="176" fontId="0" fillId="19" borderId="1" xfId="0" applyNumberForma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176" fontId="0" fillId="18" borderId="1" xfId="0" applyNumberFormat="1" applyFill="1" applyBorder="1" applyAlignment="1">
      <alignment horizontal="center" vertical="center"/>
    </xf>
    <xf numFmtId="176" fontId="0" fillId="17" borderId="1" xfId="0" applyNumberFormat="1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0" fillId="0" borderId="7" xfId="0" applyNumberFormat="1" applyBorder="1" applyAlignment="1">
      <alignment horizontal="center" vertical="center"/>
    </xf>
    <xf numFmtId="176" fontId="0" fillId="20" borderId="1" xfId="0" applyNumberFormat="1" applyFill="1" applyBorder="1" applyAlignment="1">
      <alignment horizontal="center" vertical="center"/>
    </xf>
    <xf numFmtId="176" fontId="0" fillId="21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계산식!$F$19" lockText="1" noThreeD="1"/>
</file>

<file path=xl/ctrlProps/ctrlProp10.xml><?xml version="1.0" encoding="utf-8"?>
<formControlPr xmlns="http://schemas.microsoft.com/office/spreadsheetml/2009/9/main" objectType="CheckBox" checked="Checked" fmlaLink="닐루계산식!$B$19" lockText="1" noThreeD="1"/>
</file>

<file path=xl/ctrlProps/ctrlProp2.xml><?xml version="1.0" encoding="utf-8"?>
<formControlPr xmlns="http://schemas.microsoft.com/office/spreadsheetml/2009/9/main" objectType="CheckBox" fmlaLink="계산식!$G$19" lockText="1" noThreeD="1"/>
</file>

<file path=xl/ctrlProps/ctrlProp3.xml><?xml version="1.0" encoding="utf-8"?>
<formControlPr xmlns="http://schemas.microsoft.com/office/spreadsheetml/2009/9/main" objectType="CheckBox" checked="Checked" fmlaLink="계산식!$H$19" lockText="1" noThreeD="1"/>
</file>

<file path=xl/ctrlProps/ctrlProp4.xml><?xml version="1.0" encoding="utf-8"?>
<formControlPr xmlns="http://schemas.microsoft.com/office/spreadsheetml/2009/9/main" objectType="CheckBox" checked="Checked" fmlaLink="계산식!$A$19" lockText="1" noThreeD="1"/>
</file>

<file path=xl/ctrlProps/ctrlProp5.xml><?xml version="1.0" encoding="utf-8"?>
<formControlPr xmlns="http://schemas.microsoft.com/office/spreadsheetml/2009/9/main" objectType="CheckBox" checked="Checked" fmlaLink="계산식!$B$19" lockText="1" noThreeD="1"/>
</file>

<file path=xl/ctrlProps/ctrlProp6.xml><?xml version="1.0" encoding="utf-8"?>
<formControlPr xmlns="http://schemas.microsoft.com/office/spreadsheetml/2009/9/main" objectType="CheckBox" checked="Checked" fmlaLink="닐루계산식!$F$19" lockText="1" noThreeD="1"/>
</file>

<file path=xl/ctrlProps/ctrlProp7.xml><?xml version="1.0" encoding="utf-8"?>
<formControlPr xmlns="http://schemas.microsoft.com/office/spreadsheetml/2009/9/main" objectType="CheckBox" checked="Checked" fmlaLink="닐루계산식!$H$19" lockText="1" noThreeD="1"/>
</file>

<file path=xl/ctrlProps/ctrlProp8.xml><?xml version="1.0" encoding="utf-8"?>
<formControlPr xmlns="http://schemas.microsoft.com/office/spreadsheetml/2009/9/main" objectType="CheckBox" fmlaLink="닐루계산식!$G$19" lockText="1" noThreeD="1"/>
</file>

<file path=xl/ctrlProps/ctrlProp9.xml><?xml version="1.0" encoding="utf-8"?>
<formControlPr xmlns="http://schemas.microsoft.com/office/spreadsheetml/2009/9/main" objectType="CheckBox" checked="Checked" fmlaLink="닐루계산식!$A$19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632460</xdr:colOff>
      <xdr:row>34</xdr:row>
      <xdr:rowOff>106680</xdr:rowOff>
    </xdr:to>
    <xdr:pic>
      <xdr:nvPicPr>
        <xdr:cNvPr id="1036" name="Object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 preferRelativeResize="0">
          <a:picLocks noSel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223520</xdr:colOff>
          <xdr:row>0</xdr:row>
          <xdr:rowOff>195580</xdr:rowOff>
        </xdr:from>
        <xdr:to>
          <xdr:col>9</xdr:col>
          <xdr:colOff>599440</xdr:colOff>
          <xdr:row>2</xdr:row>
          <xdr:rowOff>20320</xdr:rowOff>
        </xdr:to>
        <xdr:sp macro="" textlink="">
          <xdr:nvSpPr>
            <xdr:cNvPr id="2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2835F08-C95B-4442-9148-718487ABC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297180</xdr:colOff>
          <xdr:row>0</xdr:row>
          <xdr:rowOff>203200</xdr:rowOff>
        </xdr:from>
        <xdr:to>
          <xdr:col>10</xdr:col>
          <xdr:colOff>609600</xdr:colOff>
          <xdr:row>2</xdr:row>
          <xdr:rowOff>17780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EEDE7CC-6BBE-4799-A1D3-8A8D2A778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223520</xdr:colOff>
          <xdr:row>0</xdr:row>
          <xdr:rowOff>195580</xdr:rowOff>
        </xdr:from>
        <xdr:to>
          <xdr:col>11</xdr:col>
          <xdr:colOff>535940</xdr:colOff>
          <xdr:row>2</xdr:row>
          <xdr:rowOff>10160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B4073B2E-4FC5-49F0-99BD-DAAB755E8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541020</xdr:colOff>
          <xdr:row>8</xdr:row>
          <xdr:rowOff>193040</xdr:rowOff>
        </xdr:from>
        <xdr:to>
          <xdr:col>1</xdr:col>
          <xdr:colOff>853440</xdr:colOff>
          <xdr:row>10</xdr:row>
          <xdr:rowOff>7620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174A91B-8E0F-431B-B42B-84CCB35F8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236220</xdr:colOff>
          <xdr:row>8</xdr:row>
          <xdr:rowOff>205740</xdr:rowOff>
        </xdr:from>
        <xdr:to>
          <xdr:col>2</xdr:col>
          <xdr:colOff>548640</xdr:colOff>
          <xdr:row>10</xdr:row>
          <xdr:rowOff>20320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3884D2C-928E-4CD8-95FD-D97ACE9496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7</xdr:row>
      <xdr:rowOff>0</xdr:rowOff>
    </xdr:from>
    <xdr:to>
      <xdr:col>15</xdr:col>
      <xdr:colOff>304800</xdr:colOff>
      <xdr:row>8</xdr:row>
      <xdr:rowOff>95250</xdr:rowOff>
    </xdr:to>
    <xdr:sp macro="" textlink="">
      <xdr:nvSpPr>
        <xdr:cNvPr id="4097" name="AutoShape 1" descr="viewimage.php?id=22b3c32eecdc28b461b5d3b602&amp;no=24b0d769e1d32ca73dec82fa11d02831d5ca5516da218d33b13f2460ba1c5b2a9091b2854ae0f463d63a5c80a7116cba615613de4ebb3da7678890c5913f1f45831aea9d7b7b4609108a5ce1d58ea2a2159b633ae118b66a0ed5df9ebdb3d43c434a8793c740b37f4924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>
          <a:spLocks noChangeAspect="1" noChangeArrowheads="1"/>
        </xdr:cNvSpPr>
      </xdr:nvSpPr>
      <xdr:spPr>
        <a:xfrm>
          <a:off x="10459094" y="1481666"/>
          <a:ext cx="303695" cy="303695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304800</xdr:colOff>
      <xdr:row>4</xdr:row>
      <xdr:rowOff>95250</xdr:rowOff>
    </xdr:to>
    <xdr:sp macro="" textlink="">
      <xdr:nvSpPr>
        <xdr:cNvPr id="4098" name="AutoShape 2" descr="viewimage.php?id=22b3c32eecdc28b461b5d3b602&amp;no=24b0d769e1d32ca73dec82fa11d02831d5ca5516da218d33b13f2460ba1c5b2a9091b2854ae0f463d63a5c80a7116cba615613de4ebb3da7678890c5913f1f45831aea9d7b7b4609108a5ce1d58ea2a2159b633ae118b66a0ed5df9ebdb3d43c434a8793c740b37f4924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>
          <a:spLocks noChangeAspect="1" noChangeArrowheads="1"/>
        </xdr:cNvSpPr>
      </xdr:nvSpPr>
      <xdr:spPr>
        <a:xfrm>
          <a:off x="9791885" y="635000"/>
          <a:ext cx="303695" cy="303695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12</xdr:col>
      <xdr:colOff>628650</xdr:colOff>
      <xdr:row>0</xdr:row>
      <xdr:rowOff>0</xdr:rowOff>
    </xdr:from>
    <xdr:to>
      <xdr:col>18</xdr:col>
      <xdr:colOff>352425</xdr:colOff>
      <xdr:row>12</xdr:row>
      <xdr:rowOff>28575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910"/>
        <a:stretch>
          <a:fillRect/>
        </a:stretch>
      </xdr:blipFill>
      <xdr:spPr>
        <a:xfrm>
          <a:off x="9087863" y="0"/>
          <a:ext cx="3727174" cy="2567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259080</xdr:colOff>
      <xdr:row>33</xdr:row>
      <xdr:rowOff>106680</xdr:rowOff>
    </xdr:to>
    <xdr:pic>
      <xdr:nvPicPr>
        <xdr:cNvPr id="3078" name="Object 6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PicPr preferRelativeResize="0">
          <a:picLocks noSel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210095</xdr:colOff>
          <xdr:row>0</xdr:row>
          <xdr:rowOff>198119</xdr:rowOff>
        </xdr:from>
        <xdr:to>
          <xdr:col>6</xdr:col>
          <xdr:colOff>4355</xdr:colOff>
          <xdr:row>2</xdr:row>
          <xdr:rowOff>22859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B2346D03-BD0D-4765-BD2E-F146189358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264523</xdr:colOff>
          <xdr:row>0</xdr:row>
          <xdr:rowOff>209006</xdr:rowOff>
        </xdr:from>
        <xdr:to>
          <xdr:col>7</xdr:col>
          <xdr:colOff>576943</xdr:colOff>
          <xdr:row>2</xdr:row>
          <xdr:rowOff>18506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3415F27C-C439-4DEC-94DC-0EF05C4DA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187234</xdr:colOff>
          <xdr:row>0</xdr:row>
          <xdr:rowOff>205740</xdr:rowOff>
        </xdr:from>
        <xdr:to>
          <xdr:col>6</xdr:col>
          <xdr:colOff>495299</xdr:colOff>
          <xdr:row>2</xdr:row>
          <xdr:rowOff>15240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37DD75FA-B1C9-4322-BEEE-B959AD5901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278674</xdr:colOff>
          <xdr:row>8</xdr:row>
          <xdr:rowOff>201387</xdr:rowOff>
        </xdr:from>
        <xdr:to>
          <xdr:col>1</xdr:col>
          <xdr:colOff>591094</xdr:colOff>
          <xdr:row>10</xdr:row>
          <xdr:rowOff>18506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CC882032-C53F-4820-AC9D-BCC7E9B5D4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308066</xdr:colOff>
          <xdr:row>8</xdr:row>
          <xdr:rowOff>194855</xdr:rowOff>
        </xdr:from>
        <xdr:to>
          <xdr:col>2</xdr:col>
          <xdr:colOff>620486</xdr:colOff>
          <xdr:row>10</xdr:row>
          <xdr:rowOff>11974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D336BD13-7863-415F-8433-17FD234F7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7</xdr:row>
      <xdr:rowOff>0</xdr:rowOff>
    </xdr:from>
    <xdr:to>
      <xdr:col>15</xdr:col>
      <xdr:colOff>304800</xdr:colOff>
      <xdr:row>8</xdr:row>
      <xdr:rowOff>95250</xdr:rowOff>
    </xdr:to>
    <xdr:sp macro="" textlink="">
      <xdr:nvSpPr>
        <xdr:cNvPr id="2" name="AutoShape 1" descr="viewimage.php?id=22b3c32eecdc28b461b5d3b602&amp;no=24b0d769e1d32ca73dec82fa11d02831d5ca5516da218d33b13f2460ba1c5b2a9091b2854ae0f463d63a5c80a7116cba615613de4ebb3da7678890c5913f1f45831aea9d7b7b4609108a5ce1d58ea2a2159b633ae118b66a0ed5df9ebdb3d43c434a8793c740b37f4924">
          <a:extLst>
            <a:ext uri="{FF2B5EF4-FFF2-40B4-BE49-F238E27FC236}">
              <a16:creationId xmlns:a16="http://schemas.microsoft.com/office/drawing/2014/main" id="{4060430E-A8BA-42E7-81E4-0B6D56DD484B}"/>
            </a:ext>
          </a:extLst>
        </xdr:cNvPr>
        <xdr:cNvSpPr>
          <a:spLocks noChangeAspect="1" noChangeArrowheads="1"/>
        </xdr:cNvSpPr>
      </xdr:nvSpPr>
      <xdr:spPr>
        <a:xfrm>
          <a:off x="10500360" y="1546860"/>
          <a:ext cx="304800" cy="316230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304800</xdr:colOff>
      <xdr:row>4</xdr:row>
      <xdr:rowOff>95250</xdr:rowOff>
    </xdr:to>
    <xdr:sp macro="" textlink="">
      <xdr:nvSpPr>
        <xdr:cNvPr id="3" name="AutoShape 2" descr="viewimage.php?id=22b3c32eecdc28b461b5d3b602&amp;no=24b0d769e1d32ca73dec82fa11d02831d5ca5516da218d33b13f2460ba1c5b2a9091b2854ae0f463d63a5c80a7116cba615613de4ebb3da7678890c5913f1f45831aea9d7b7b4609108a5ce1d58ea2a2159b633ae118b66a0ed5df9ebdb3d43c434a8793c740b37f4924">
          <a:extLst>
            <a:ext uri="{FF2B5EF4-FFF2-40B4-BE49-F238E27FC236}">
              <a16:creationId xmlns:a16="http://schemas.microsoft.com/office/drawing/2014/main" id="{C71B441B-7A40-4ED1-B2A3-55EE5C7D2B59}"/>
            </a:ext>
          </a:extLst>
        </xdr:cNvPr>
        <xdr:cNvSpPr>
          <a:spLocks noChangeAspect="1" noChangeArrowheads="1"/>
        </xdr:cNvSpPr>
      </xdr:nvSpPr>
      <xdr:spPr>
        <a:xfrm>
          <a:off x="9829800" y="662940"/>
          <a:ext cx="304800" cy="316230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12</xdr:col>
      <xdr:colOff>628650</xdr:colOff>
      <xdr:row>0</xdr:row>
      <xdr:rowOff>0</xdr:rowOff>
    </xdr:from>
    <xdr:to>
      <xdr:col>18</xdr:col>
      <xdr:colOff>352425</xdr:colOff>
      <xdr:row>12</xdr:row>
      <xdr:rowOff>28575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16DF99F-BF55-43C2-8A8A-8389132729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910"/>
        <a:stretch>
          <a:fillRect/>
        </a:stretch>
      </xdr:blipFill>
      <xdr:spPr>
        <a:xfrm>
          <a:off x="9117330" y="0"/>
          <a:ext cx="3747135" cy="2680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0"/>
  <sheetViews>
    <sheetView tabSelected="1" zoomScale="75" zoomScaleNormal="75" zoomScaleSheetLayoutView="225" workbookViewId="0">
      <selection activeCell="M18" sqref="M18"/>
    </sheetView>
  </sheetViews>
  <sheetFormatPr defaultColWidth="8.796875" defaultRowHeight="17.399999999999999"/>
  <cols>
    <col min="1" max="1" width="13.5" style="1" customWidth="1"/>
    <col min="2" max="2" width="16.796875" style="1" bestFit="1" customWidth="1"/>
    <col min="3" max="5" width="8.796875" style="1" bestFit="1" customWidth="1"/>
    <col min="6" max="6" width="8.796875" style="1"/>
    <col min="7" max="8" width="8.796875" style="1" bestFit="1" customWidth="1"/>
    <col min="9" max="9" width="8.59765625" style="1" bestFit="1" customWidth="1"/>
    <col min="10" max="10" width="8.796875" style="1"/>
    <col min="11" max="11" width="10.3984375" style="1" bestFit="1" customWidth="1"/>
    <col min="12" max="12" width="8.796875" style="1"/>
    <col min="13" max="13" width="14.3984375" style="1" bestFit="1" customWidth="1"/>
    <col min="14" max="16384" width="8.796875" style="1"/>
  </cols>
  <sheetData>
    <row r="1" spans="1:14">
      <c r="A1" s="71" t="s">
        <v>84</v>
      </c>
      <c r="B1" s="3" t="s">
        <v>105</v>
      </c>
      <c r="C1" s="3" t="s">
        <v>104</v>
      </c>
      <c r="D1" s="3" t="s">
        <v>106</v>
      </c>
      <c r="E1" s="2"/>
      <c r="F1" s="71" t="s">
        <v>78</v>
      </c>
      <c r="G1" s="3" t="s">
        <v>67</v>
      </c>
      <c r="H1" s="3" t="s">
        <v>105</v>
      </c>
      <c r="I1" s="3" t="s">
        <v>95</v>
      </c>
      <c r="J1" s="5" t="s">
        <v>25</v>
      </c>
      <c r="K1" s="6" t="s">
        <v>26</v>
      </c>
      <c r="L1" s="8" t="s">
        <v>40</v>
      </c>
    </row>
    <row r="2" spans="1:14">
      <c r="A2" s="71"/>
      <c r="B2" s="4">
        <v>15185</v>
      </c>
      <c r="C2" s="4">
        <v>230</v>
      </c>
      <c r="D2" s="4">
        <v>729</v>
      </c>
      <c r="E2" s="2"/>
      <c r="F2" s="71"/>
      <c r="G2" s="4">
        <v>510</v>
      </c>
      <c r="H2" s="4">
        <v>41.3</v>
      </c>
      <c r="I2" s="62">
        <v>0</v>
      </c>
      <c r="J2" s="4"/>
      <c r="K2" s="4"/>
      <c r="L2" s="4"/>
    </row>
    <row r="3" spans="1:14">
      <c r="A3" s="2"/>
      <c r="B3" s="68" t="s">
        <v>18</v>
      </c>
      <c r="C3" s="68"/>
      <c r="D3" s="68"/>
      <c r="E3" s="2"/>
      <c r="F3" s="2"/>
      <c r="G3" s="2"/>
      <c r="H3" s="2"/>
    </row>
    <row r="4" spans="1:14">
      <c r="A4" s="2"/>
      <c r="B4" s="2"/>
      <c r="C4" s="2"/>
      <c r="D4" s="2"/>
      <c r="E4" s="2"/>
      <c r="F4" s="2"/>
      <c r="G4" s="2"/>
      <c r="H4" s="2"/>
    </row>
    <row r="5" spans="1:14">
      <c r="A5" s="71" t="s">
        <v>98</v>
      </c>
      <c r="B5" s="3" t="s">
        <v>45</v>
      </c>
      <c r="C5" s="3" t="s">
        <v>46</v>
      </c>
      <c r="E5" s="73" t="s">
        <v>24</v>
      </c>
      <c r="F5" s="73"/>
      <c r="G5" s="73"/>
      <c r="H5" s="73"/>
      <c r="I5" s="73"/>
    </row>
    <row r="6" spans="1:14">
      <c r="A6" s="71"/>
      <c r="B6" s="4" t="s">
        <v>68</v>
      </c>
      <c r="C6" s="4" t="s">
        <v>36</v>
      </c>
      <c r="E6" s="73" t="s">
        <v>22</v>
      </c>
      <c r="F6" s="73"/>
      <c r="G6" s="73"/>
      <c r="H6" s="73"/>
      <c r="I6" s="73"/>
    </row>
    <row r="9" spans="1:14">
      <c r="A9" s="72" t="s">
        <v>28</v>
      </c>
      <c r="B9" s="49" t="s">
        <v>27</v>
      </c>
      <c r="C9" s="49" t="s">
        <v>29</v>
      </c>
      <c r="D9" s="49" t="s">
        <v>30</v>
      </c>
      <c r="E9" s="49" t="s">
        <v>31</v>
      </c>
      <c r="F9" s="49" t="s">
        <v>32</v>
      </c>
      <c r="L9" s="69" t="s">
        <v>79</v>
      </c>
      <c r="M9" s="49" t="s">
        <v>36</v>
      </c>
      <c r="N9" s="49" t="s">
        <v>36</v>
      </c>
    </row>
    <row r="10" spans="1:14">
      <c r="A10" s="72"/>
      <c r="B10" s="4"/>
      <c r="C10" s="4"/>
      <c r="D10" s="4" t="s">
        <v>36</v>
      </c>
      <c r="E10" s="4" t="s">
        <v>36</v>
      </c>
      <c r="F10" s="4" t="s">
        <v>36</v>
      </c>
      <c r="L10" s="70"/>
      <c r="M10" s="4" t="str">
        <f>IF(M9='성유물 부옵수'!A17,'성유물 부옵수'!B17,IF(M9='성유물 부옵수'!A18,'성유물 부옵수'!B18,IF(M9='성유물 부옵수'!A19,'성유물 부옵수'!B19,IF(M9='성유물 부옵수'!A20,'성유물 부옵수'!B20,IF(M9='성유물 부옵수'!A21,'성유물 부옵수'!B21,IF(M9='성유물 부옵수'!A22,'성유물 부옵수'!B22,IF(M9='성유물 부옵수'!A24,'성유물 부옵수'!B24,IF(M9='성유물 부옵수'!A25,'성유물 부옵수'!B25,IF(M9='성유물 부옵수'!A26,'성유물 부옵수'!B26,)))))))))</f>
        <v>20%</v>
      </c>
      <c r="N10" s="4" t="str">
        <f>IF(N9='성유물 부옵수'!A17,'성유물 부옵수'!B17,IF(N9='성유물 부옵수'!A18,'성유물 부옵수'!B18,IF(N9='성유물 부옵수'!A19,'성유물 부옵수'!B19,IF(N9='성유물 부옵수'!A20,'성유물 부옵수'!B20,IF(N9='성유물 부옵수'!A21,'성유물 부옵수'!B21,IF(N9='성유물 부옵수'!A22,'성유물 부옵수'!B22,IF(N9='성유물 부옵수'!A24,'성유물 부옵수'!B24,IF(N9='성유물 부옵수'!A25,'성유물 부옵수'!B25,IF(N9='성유물 부옵수'!A26,'성유물 부옵수'!B26,)))))))))</f>
        <v>20%</v>
      </c>
    </row>
    <row r="11" spans="1:14">
      <c r="B11" s="68" t="s">
        <v>80</v>
      </c>
      <c r="C11" s="68"/>
    </row>
    <row r="13" spans="1:14">
      <c r="A13" s="71" t="s">
        <v>99</v>
      </c>
      <c r="B13" s="3" t="s">
        <v>105</v>
      </c>
      <c r="C13" s="3" t="s">
        <v>104</v>
      </c>
      <c r="D13" s="3" t="s">
        <v>106</v>
      </c>
      <c r="E13" s="3" t="s">
        <v>33</v>
      </c>
      <c r="F13" s="3" t="s">
        <v>34</v>
      </c>
      <c r="G13" s="3" t="s">
        <v>38</v>
      </c>
      <c r="H13" s="3" t="s">
        <v>39</v>
      </c>
      <c r="I13" s="3" t="s">
        <v>83</v>
      </c>
      <c r="J13" s="3" t="s">
        <v>97</v>
      </c>
      <c r="K13" s="3" t="s">
        <v>96</v>
      </c>
      <c r="L13" s="76" t="s">
        <v>77</v>
      </c>
      <c r="M13" s="73" t="s">
        <v>14</v>
      </c>
    </row>
    <row r="14" spans="1:14">
      <c r="A14" s="71"/>
      <c r="B14" s="4">
        <f>계산식!B11+계산식!B13</f>
        <v>19558.28</v>
      </c>
      <c r="C14" s="4">
        <f>계산식!C11+계산식!C13</f>
        <v>740</v>
      </c>
      <c r="D14" s="4">
        <f>계산식!D11+계산식!D13</f>
        <v>729</v>
      </c>
      <c r="E14" s="4">
        <f>계산식!E13</f>
        <v>0</v>
      </c>
      <c r="F14" s="4">
        <f>100+계산식!F13</f>
        <v>100</v>
      </c>
      <c r="G14" s="4">
        <f>5+계산식!G13</f>
        <v>5</v>
      </c>
      <c r="H14" s="4">
        <f>50+계산식!H13</f>
        <v>50</v>
      </c>
      <c r="I14" s="4">
        <f>계산식!I13</f>
        <v>0</v>
      </c>
      <c r="J14" s="4">
        <f>계산식!J13</f>
        <v>0</v>
      </c>
      <c r="K14" s="4">
        <f>계산식!K13</f>
        <v>0</v>
      </c>
      <c r="L14" s="76"/>
      <c r="M14" s="73"/>
    </row>
    <row r="15" spans="1:14">
      <c r="A15" s="71" t="s">
        <v>85</v>
      </c>
      <c r="B15" s="3" t="s">
        <v>105</v>
      </c>
      <c r="C15" s="3" t="s">
        <v>104</v>
      </c>
      <c r="D15" s="3" t="s">
        <v>106</v>
      </c>
      <c r="E15" s="3" t="s">
        <v>33</v>
      </c>
      <c r="F15" s="3" t="s">
        <v>34</v>
      </c>
      <c r="G15" s="3" t="s">
        <v>38</v>
      </c>
      <c r="H15" s="3" t="s">
        <v>39</v>
      </c>
      <c r="I15" s="3" t="s">
        <v>83</v>
      </c>
      <c r="J15" s="3" t="s">
        <v>97</v>
      </c>
      <c r="K15" s="3" t="s">
        <v>96</v>
      </c>
    </row>
    <row r="16" spans="1:14">
      <c r="A16" s="71"/>
      <c r="B16" s="4">
        <f>계산식!B11+계산식!B15</f>
        <v>61708.565000000002</v>
      </c>
      <c r="C16" s="4">
        <f>계산식!C11+계산식!C15</f>
        <v>1051</v>
      </c>
      <c r="D16" s="4">
        <f>D2+계산식!D15</f>
        <v>729</v>
      </c>
      <c r="E16" s="4">
        <f>계산식!E15</f>
        <v>50</v>
      </c>
      <c r="F16" s="4">
        <f>계산식!F15+100</f>
        <v>100</v>
      </c>
      <c r="G16" s="4">
        <f>계산식!G15+5</f>
        <v>5</v>
      </c>
      <c r="H16" s="4">
        <f>계산식!H15+50</f>
        <v>50</v>
      </c>
      <c r="I16" s="4">
        <f>계산식!I15</f>
        <v>0</v>
      </c>
      <c r="J16" s="4">
        <f>계산식!J15</f>
        <v>0</v>
      </c>
      <c r="K16" s="4">
        <f>계산식!K15</f>
        <v>0</v>
      </c>
    </row>
    <row r="19" spans="1:8">
      <c r="A19" s="71" t="s">
        <v>0</v>
      </c>
      <c r="B19" s="77" t="s">
        <v>105</v>
      </c>
    </row>
    <row r="20" spans="1:8">
      <c r="A20" s="71"/>
      <c r="B20" s="77"/>
    </row>
    <row r="21" spans="1:8">
      <c r="A21" s="5" t="s">
        <v>61</v>
      </c>
      <c r="B21" s="4">
        <v>74444</v>
      </c>
    </row>
    <row r="23" spans="1:8">
      <c r="A23" s="50" t="s">
        <v>103</v>
      </c>
      <c r="B23" s="4">
        <f>B21-(IF(B19=B15,B16,IF(B19=C15,C16,IF(B19=D15,D16,IF(B19=E15,E16,IF(B19=F15,F16,IF(B19=G15,G16,IF(B19=H15,H16))))))))</f>
        <v>12735.434999999998</v>
      </c>
      <c r="C23" s="50" t="s">
        <v>101</v>
      </c>
      <c r="D23" s="51" t="str">
        <f>IF($B$19='성유물 부옵수'!$B$14,$B$23&amp;"%",IF($B$19='성유물 부옵수'!$C$14,$B$23&amp;"%",IF($B$19='성유물 부옵수'!$D$14,$B$23&amp;"%",IF($B$19='성유물 부옵수'!$E$14,"X",IF($B$19='성유물 부옵수'!$F$14,ROUND($B$23/계산식!$B$11*100,2)&amp;"%",IF($B$19='성유물 부옵수'!$G$14,ROUND($B$23/계산식!$C$11*100,2)&amp;"%",IF($B$19='성유물 부옵수'!$H$14,ROUND($B$23/계산식!$D$11*100,2)&amp;"%")))))))</f>
        <v>83.87%</v>
      </c>
    </row>
    <row r="24" spans="1:8">
      <c r="A24" s="74" t="s">
        <v>21</v>
      </c>
      <c r="B24" s="58" t="s">
        <v>116</v>
      </c>
      <c r="C24" s="4" t="s">
        <v>62</v>
      </c>
      <c r="D24" s="4" t="s">
        <v>56</v>
      </c>
      <c r="E24" s="4" t="s">
        <v>57</v>
      </c>
      <c r="F24" s="57" t="s">
        <v>109</v>
      </c>
      <c r="G24" s="75" t="s">
        <v>108</v>
      </c>
      <c r="H24" s="75"/>
    </row>
    <row r="25" spans="1:8">
      <c r="A25" s="74"/>
      <c r="B25" s="56">
        <f>IF($B$19='성유물 부옵수'!$B$14,$B$23/'성유물 부옵수'!C11,IF($B$19='성유물 부옵수'!$C$14,$B$23/'성유물 부옵수'!C12,IF($B$19='성유물 부옵수'!$D$14,$B$23/'성유물 부옵수'!C9,IF($B$19='성유물 부옵수'!$E$14,$B$23/'성유물 부옵수'!C10,IF($B$19='성유물 부옵수'!$F$14,'성유물 부옵수'!C42/'성유물 부옵수'!C32,IF($B$19='성유물 부옵수'!$G$14,'성유물 부옵수'!C42/'성유물 부옵수'!C34,IF($B$19='성유물 부옵수'!$H$14,'성유물 부옵수'!C42/'성유물 부옵수'!C36)))))))</f>
        <v>16.091674229221709</v>
      </c>
      <c r="C25" s="56">
        <f>IF($B$19='성유물 부옵수'!$B$14,$B$23/'성유물 부옵수'!D11,IF($B$19='성유물 부옵수'!$C$14,$B$23/'성유물 부옵수'!D12,IF($B$19='성유물 부옵수'!$D$14,$B$23/'성유물 부옵수'!D9,IF($B$19='성유물 부옵수'!$E$14,$B$23/'성유물 부옵수'!D10,IF($B$19='성유물 부옵수'!$F$14,'성유물 부옵수'!D42/'성유물 부옵수'!D32,IF($B$19='성유물 부옵수'!$G$14,'성유물 부옵수'!D42/'성유물 부옵수'!D34,IF($B$19='성유물 부옵수'!$H$14,'성유물 부옵수'!D42/'성유물 부옵수'!D36)))))))</f>
        <v>13.4909660289059</v>
      </c>
      <c r="D25" s="56">
        <f>IF($B$19='성유물 부옵수'!$B$14,$B$23/'성유물 부옵수'!E11,IF($B$19='성유물 부옵수'!$C$14,$B$23/'성유물 부옵수'!E12,IF($B$19='성유물 부옵수'!$D$14,$B$23/'성유물 부옵수'!E9,IF($B$19='성유물 부옵수'!$E$14,$B$23/'성유물 부옵수'!E10,IF($B$19='성유물 부옵수'!$F$14,'성유물 부옵수'!E42/'성유물 부옵수'!E32,IF($B$19='성유물 부옵수'!$G$14,'성유물 부옵수'!E42/'성유물 부옵수'!E34,IF($B$19='성유물 부옵수'!$H$14,'성유물 부옵수'!E42/'성유물 부옵수'!E36)))))))</f>
        <v>11.479097421114428</v>
      </c>
      <c r="E25" s="56">
        <f>IF($B$19='성유물 부옵수'!$B$14,$B$23/'성유물 부옵수'!F11,IF($B$19='성유물 부옵수'!$C$14,$B$23/'성유물 부옵수'!F12,IF($B$19='성유물 부옵수'!$D$14,$B$23/'성유물 부옵수'!F9,IF($B$19='성유물 부옵수'!$E$14,$B$23/'성유물 부옵수'!F10,IF($B$19='성유물 부옵수'!$F$14,'성유물 부옵수'!F42/'성유물 부옵수'!F32,IF($B$19='성유물 부옵수'!$G$14,'성유물 부옵수'!F42/'성유물 부옵수'!F34,IF($B$19='성유물 부옵수'!$H$14,'성유물 부옵수'!F42/'성유물 부옵수'!F36)))))))</f>
        <v>10.046705573785378</v>
      </c>
    </row>
    <row r="26" spans="1:8">
      <c r="A26" s="50" t="s">
        <v>72</v>
      </c>
      <c r="B26" s="4">
        <v>13</v>
      </c>
      <c r="C26" s="57" t="s">
        <v>109</v>
      </c>
      <c r="D26" s="75" t="s">
        <v>107</v>
      </c>
      <c r="E26" s="75"/>
    </row>
    <row r="30" spans="1:8">
      <c r="B30" s="53"/>
      <c r="C30" s="53"/>
      <c r="D30" s="53"/>
      <c r="E30" s="53"/>
    </row>
  </sheetData>
  <sheetProtection selectLockedCells="1"/>
  <mergeCells count="18">
    <mergeCell ref="A24:A25"/>
    <mergeCell ref="G24:H24"/>
    <mergeCell ref="D26:E26"/>
    <mergeCell ref="L13:L14"/>
    <mergeCell ref="M13:M14"/>
    <mergeCell ref="A13:A14"/>
    <mergeCell ref="A19:A20"/>
    <mergeCell ref="B19:B20"/>
    <mergeCell ref="A15:A16"/>
    <mergeCell ref="B11:C11"/>
    <mergeCell ref="L9:L10"/>
    <mergeCell ref="A1:A2"/>
    <mergeCell ref="A9:A10"/>
    <mergeCell ref="A5:A6"/>
    <mergeCell ref="F1:F2"/>
    <mergeCell ref="B3:D3"/>
    <mergeCell ref="E5:I5"/>
    <mergeCell ref="E6:I6"/>
  </mergeCells>
  <phoneticPr fontId="5" type="noConversion"/>
  <pageMargins left="0.69972223043441772" right="0.69972223043441772" top="0.75" bottom="0.75" header="0.30000001192092896" footer="0.30000001192092896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3" name="Check Box 12">
              <controlPr defaultSize="0" autoFill="0" autoLine="0" autoPict="0">
                <anchor moveWithCells="1">
                  <from>
                    <xdr:col>9</xdr:col>
                    <xdr:colOff>220980</xdr:colOff>
                    <xdr:row>0</xdr:row>
                    <xdr:rowOff>198120</xdr:rowOff>
                  </from>
                  <to>
                    <xdr:col>9</xdr:col>
                    <xdr:colOff>601980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4" name="Check Box 13">
              <controlPr defaultSize="0" autoFill="0" autoLine="0" autoPict="0">
                <anchor moveWithCells="1">
                  <from>
                    <xdr:col>10</xdr:col>
                    <xdr:colOff>297180</xdr:colOff>
                    <xdr:row>0</xdr:row>
                    <xdr:rowOff>205740</xdr:rowOff>
                  </from>
                  <to>
                    <xdr:col>10</xdr:col>
                    <xdr:colOff>609600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11</xdr:col>
                    <xdr:colOff>220980</xdr:colOff>
                    <xdr:row>0</xdr:row>
                    <xdr:rowOff>198120</xdr:rowOff>
                  </from>
                  <to>
                    <xdr:col>11</xdr:col>
                    <xdr:colOff>533400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1</xdr:col>
                    <xdr:colOff>541020</xdr:colOff>
                    <xdr:row>8</xdr:row>
                    <xdr:rowOff>190500</xdr:rowOff>
                  </from>
                  <to>
                    <xdr:col>1</xdr:col>
                    <xdr:colOff>853440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2</xdr:col>
                    <xdr:colOff>236220</xdr:colOff>
                    <xdr:row>8</xdr:row>
                    <xdr:rowOff>205740</xdr:rowOff>
                  </from>
                  <to>
                    <xdr:col>2</xdr:col>
                    <xdr:colOff>548640</xdr:colOff>
                    <xdr:row>10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계산식!$C$2:$C$6</xm:f>
          </x14:formula1>
          <xm:sqref>D10</xm:sqref>
        </x14:dataValidation>
        <x14:dataValidation type="list" allowBlank="1" showInputMessage="1" showErrorMessage="1" xr:uid="{00000000-0002-0000-0000-000001000000}">
          <x14:formula1>
            <xm:f>계산식!$D$2:$D$7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계산식!$E$2:$E$8</xm:f>
          </x14:formula1>
          <xm:sqref>F10</xm:sqref>
        </x14:dataValidation>
        <x14:dataValidation type="list" allowBlank="1" showInputMessage="1" showErrorMessage="1" xr:uid="{00000000-0002-0000-0000-000003000000}">
          <x14:formula1>
            <xm:f>계산식!$A$27:$B$27</xm:f>
          </x14:formula1>
          <xm:sqref>I10</xm:sqref>
        </x14:dataValidation>
        <x14:dataValidation type="list" allowBlank="1" showInputMessage="1" showErrorMessage="1" xr:uid="{00000000-0002-0000-0000-000004000000}">
          <x14:formula1>
            <xm:f>'성유물 부옵수'!$B$14:$H$14</xm:f>
          </x14:formula1>
          <xm:sqref>B19</xm:sqref>
        </x14:dataValidation>
        <x14:dataValidation type="list" allowBlank="1" showInputMessage="1" showErrorMessage="1" xr:uid="{00000000-0002-0000-0000-000005000000}">
          <x14:formula1>
            <xm:f>계산식!$B$23:$L$23</xm:f>
          </x14:formula1>
          <xm:sqref>B6</xm:sqref>
        </x14:dataValidation>
        <x14:dataValidation type="list" allowBlank="1" showInputMessage="1" showErrorMessage="1" xr:uid="{00000000-0002-0000-0000-000006000000}">
          <x14:formula1>
            <xm:f>계산식!$B$25:$L$25</xm:f>
          </x14:formula1>
          <xm:sqref>C6</xm:sqref>
        </x14:dataValidation>
        <x14:dataValidation type="list" allowBlank="1" showInputMessage="1" showErrorMessage="1" xr:uid="{00000000-0002-0000-0000-000007000000}">
          <x14:formula1>
            <xm:f>'성유물 부옵수'!$A$16:$A$26</xm:f>
          </x14:formula1>
          <xm:sqref>M9:N9</xm:sqref>
        </x14:dataValidation>
        <x14:dataValidation type="list" allowBlank="1" showInputMessage="1" showErrorMessage="1" xr:uid="{00000000-0002-0000-0000-000008000000}">
          <x14:formula1>
            <xm:f>'성유물 부옵수'!$B$14:$I$14</xm:f>
          </x14:formula1>
          <xm:sqref>H1</xm:sqref>
        </x14:dataValidation>
        <x14:dataValidation type="list" allowBlank="1" showInputMessage="1" showErrorMessage="1" xr:uid="{87CD1C8D-46EB-4F43-A33B-AF33BAF920B3}">
          <x14:formula1>
            <xm:f>'성유물 부옵수'!$A$15:$J$15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7"/>
  <sheetViews>
    <sheetView topLeftCell="A2" zoomScale="83" zoomScaleNormal="83" zoomScaleSheetLayoutView="225" workbookViewId="0">
      <selection activeCell="B14" sqref="B14:K14"/>
    </sheetView>
  </sheetViews>
  <sheetFormatPr defaultColWidth="8.796875" defaultRowHeight="17.399999999999999"/>
  <cols>
    <col min="1" max="4" width="8.796875" style="1"/>
    <col min="5" max="5" width="10.3984375" style="1" bestFit="1" customWidth="1"/>
    <col min="6" max="9" width="8.796875" style="1"/>
    <col min="10" max="10" width="9.09765625" style="1" customWidth="1"/>
    <col min="11" max="11" width="10.3984375" style="1" bestFit="1" customWidth="1"/>
    <col min="12" max="19" width="8.796875" style="1"/>
    <col min="20" max="20" width="10.3984375" style="1" bestFit="1" customWidth="1"/>
    <col min="21" max="16384" width="8.796875" style="1"/>
  </cols>
  <sheetData>
    <row r="1" spans="1:20">
      <c r="A1" s="9" t="s">
        <v>27</v>
      </c>
      <c r="B1" s="9" t="s">
        <v>29</v>
      </c>
      <c r="C1" s="9" t="s">
        <v>30</v>
      </c>
      <c r="D1" s="9" t="s">
        <v>31</v>
      </c>
      <c r="E1" s="9" t="s">
        <v>32</v>
      </c>
      <c r="G1" s="9" t="s">
        <v>25</v>
      </c>
      <c r="H1" s="9" t="s">
        <v>26</v>
      </c>
      <c r="I1" s="9" t="s">
        <v>40</v>
      </c>
      <c r="J1" s="1" t="s">
        <v>68</v>
      </c>
      <c r="K1" s="1" t="s">
        <v>36</v>
      </c>
      <c r="L1" s="1" t="s">
        <v>35</v>
      </c>
      <c r="M1" s="1" t="s">
        <v>37</v>
      </c>
      <c r="N1" s="1" t="s">
        <v>33</v>
      </c>
      <c r="O1" s="1" t="s">
        <v>34</v>
      </c>
      <c r="P1" s="1" t="s">
        <v>38</v>
      </c>
      <c r="Q1" s="1" t="s">
        <v>39</v>
      </c>
      <c r="R1" s="1" t="s">
        <v>83</v>
      </c>
      <c r="S1" s="1" t="s">
        <v>97</v>
      </c>
      <c r="T1" s="1" t="s">
        <v>96</v>
      </c>
    </row>
    <row r="2" spans="1:20">
      <c r="A2" s="1">
        <v>4780</v>
      </c>
      <c r="B2" s="1">
        <v>311</v>
      </c>
      <c r="C2" s="1" t="s">
        <v>36</v>
      </c>
      <c r="D2" s="1" t="s">
        <v>36</v>
      </c>
      <c r="E2" s="1" t="s">
        <v>36</v>
      </c>
      <c r="G2" s="1">
        <v>0.25</v>
      </c>
      <c r="H2" s="1">
        <v>0.25</v>
      </c>
      <c r="I2" s="1">
        <v>50</v>
      </c>
      <c r="K2" s="1">
        <v>0.46600000000000003</v>
      </c>
      <c r="L2" s="1">
        <v>0.46600000000000003</v>
      </c>
      <c r="M2" s="1">
        <v>0.58299999999999996</v>
      </c>
      <c r="N2" s="1">
        <v>187</v>
      </c>
      <c r="O2" s="1">
        <v>51.8</v>
      </c>
      <c r="P2" s="1">
        <v>31.1</v>
      </c>
      <c r="Q2" s="1">
        <v>62.2</v>
      </c>
      <c r="R2" s="1">
        <v>46.6</v>
      </c>
      <c r="S2" s="1">
        <v>58.3</v>
      </c>
      <c r="T2" s="1">
        <v>35.9</v>
      </c>
    </row>
    <row r="3" spans="1:20">
      <c r="A3" s="1" t="s">
        <v>41</v>
      </c>
      <c r="B3" s="1" t="s">
        <v>42</v>
      </c>
      <c r="C3" s="1" t="s">
        <v>35</v>
      </c>
      <c r="D3" s="1" t="s">
        <v>35</v>
      </c>
      <c r="E3" s="1" t="s">
        <v>35</v>
      </c>
      <c r="G3" s="1" t="s">
        <v>36</v>
      </c>
      <c r="H3" s="1" t="s">
        <v>35</v>
      </c>
      <c r="I3" s="1" t="s">
        <v>33</v>
      </c>
    </row>
    <row r="4" spans="1:20">
      <c r="C4" s="1" t="s">
        <v>37</v>
      </c>
      <c r="D4" s="1" t="s">
        <v>37</v>
      </c>
      <c r="E4" s="1" t="s">
        <v>37</v>
      </c>
    </row>
    <row r="5" spans="1:20">
      <c r="C5" s="1" t="s">
        <v>33</v>
      </c>
      <c r="D5" s="1" t="s">
        <v>33</v>
      </c>
      <c r="E5" s="1" t="s">
        <v>33</v>
      </c>
    </row>
    <row r="6" spans="1:20">
      <c r="C6" s="1" t="s">
        <v>34</v>
      </c>
      <c r="D6" s="1" t="s">
        <v>83</v>
      </c>
      <c r="E6" s="1" t="s">
        <v>38</v>
      </c>
      <c r="N6" s="78" t="s">
        <v>13</v>
      </c>
      <c r="O6" s="78"/>
      <c r="P6" s="78"/>
      <c r="Q6" s="78"/>
      <c r="R6" s="78"/>
      <c r="S6" s="78"/>
      <c r="T6" s="78"/>
    </row>
    <row r="7" spans="1:20">
      <c r="D7" s="1" t="s">
        <v>97</v>
      </c>
      <c r="E7" s="1" t="s">
        <v>39</v>
      </c>
      <c r="N7" s="78"/>
      <c r="O7" s="78"/>
      <c r="P7" s="78"/>
      <c r="Q7" s="78"/>
      <c r="R7" s="78"/>
      <c r="S7" s="78"/>
      <c r="T7" s="78"/>
    </row>
    <row r="8" spans="1:20">
      <c r="E8" s="1" t="s">
        <v>96</v>
      </c>
      <c r="N8" s="78"/>
      <c r="O8" s="78"/>
      <c r="P8" s="78"/>
      <c r="Q8" s="78"/>
      <c r="R8" s="78"/>
      <c r="S8" s="78"/>
      <c r="T8" s="78"/>
    </row>
    <row r="9" spans="1:20">
      <c r="N9" s="78"/>
      <c r="O9" s="78"/>
      <c r="P9" s="78"/>
      <c r="Q9" s="78"/>
      <c r="R9" s="78"/>
      <c r="S9" s="78"/>
      <c r="T9" s="78"/>
    </row>
    <row r="10" spans="1:20">
      <c r="A10" s="79" t="s">
        <v>84</v>
      </c>
      <c r="B10" s="3" t="s">
        <v>105</v>
      </c>
      <c r="C10" s="3" t="s">
        <v>104</v>
      </c>
      <c r="D10" s="3" t="s">
        <v>106</v>
      </c>
      <c r="N10" s="78"/>
      <c r="O10" s="78"/>
      <c r="P10" s="78"/>
      <c r="Q10" s="78"/>
      <c r="R10" s="78"/>
      <c r="S10" s="78"/>
      <c r="T10" s="78"/>
    </row>
    <row r="11" spans="1:20">
      <c r="A11" s="79"/>
      <c r="B11" s="4">
        <f>계산기!B2</f>
        <v>15185</v>
      </c>
      <c r="C11" s="4">
        <f>계산기!C2+계산기!G2</f>
        <v>740</v>
      </c>
      <c r="D11" s="4">
        <f>계산기!D2</f>
        <v>729</v>
      </c>
      <c r="N11" s="78"/>
      <c r="O11" s="78"/>
      <c r="P11" s="78"/>
      <c r="Q11" s="78"/>
      <c r="R11" s="78"/>
      <c r="S11" s="78"/>
      <c r="T11" s="78"/>
    </row>
    <row r="12" spans="1:20">
      <c r="A12" s="82" t="s">
        <v>4</v>
      </c>
      <c r="B12" s="3" t="s">
        <v>105</v>
      </c>
      <c r="C12" s="3" t="s">
        <v>104</v>
      </c>
      <c r="D12" s="3" t="s">
        <v>106</v>
      </c>
      <c r="E12" s="3" t="s">
        <v>33</v>
      </c>
      <c r="F12" s="3" t="s">
        <v>34</v>
      </c>
      <c r="G12" s="3" t="s">
        <v>38</v>
      </c>
      <c r="H12" s="3" t="s">
        <v>39</v>
      </c>
      <c r="I12" s="3" t="s">
        <v>83</v>
      </c>
      <c r="J12" s="3" t="s">
        <v>97</v>
      </c>
      <c r="K12" s="3" t="s">
        <v>96</v>
      </c>
      <c r="N12" s="78"/>
      <c r="O12" s="78"/>
      <c r="P12" s="78"/>
      <c r="Q12" s="78"/>
      <c r="R12" s="78"/>
      <c r="S12" s="78"/>
      <c r="T12" s="78"/>
    </row>
    <row r="13" spans="1:20">
      <c r="A13" s="81"/>
      <c r="B13" s="4">
        <f>IF(계산기!B6=K1,B11*E24)+IF(계산기!C6=K1,B11*E26)</f>
        <v>4373.28</v>
      </c>
      <c r="C13" s="4">
        <f>IF(계산기!B6=L1,C11*C24)+IF(계산기!C6=L1,C11*C26)</f>
        <v>0</v>
      </c>
      <c r="D13" s="4">
        <f>IF(계산기!B6=M1,D11*D24)+IF(계산기!C6=M1,D11*D26)</f>
        <v>0</v>
      </c>
      <c r="E13" s="4">
        <f>IF(계산기!B6=N1,F24)+IF(계산기!C6=N1,F26)</f>
        <v>0</v>
      </c>
      <c r="F13" s="4">
        <f>IF(계산기!B6=O1,계산식!G24)+IF(계산기!C6=O1,계산식!G26)</f>
        <v>0</v>
      </c>
      <c r="G13" s="4">
        <f>IF(계산기!B6=P1,H24)+IF(계산기!C6=P1,H26)</f>
        <v>0</v>
      </c>
      <c r="H13" s="4">
        <f>IF(계산기!B6=Q1,계산식!I24)+IF(계산기!C6=Q1,계산식!I26)</f>
        <v>0</v>
      </c>
      <c r="I13" s="4">
        <f>IF(계산기!B6=R1,계산식!J24)+IF(계산기!C6=R1,계산식!J26)</f>
        <v>0</v>
      </c>
      <c r="J13" s="4">
        <f>IF(계산기!B6=S1,계산식!K24)+IF(계산기!C6=S1,계산식!K26)</f>
        <v>0</v>
      </c>
      <c r="K13" s="4">
        <f>IF(계산기!B6=T1,계산식!L24)+IF(계산기!C6=T1,계산식!L26)</f>
        <v>0</v>
      </c>
    </row>
    <row r="14" spans="1:20">
      <c r="A14" s="80" t="s">
        <v>43</v>
      </c>
      <c r="B14" s="3" t="s">
        <v>105</v>
      </c>
      <c r="C14" s="3" t="s">
        <v>104</v>
      </c>
      <c r="D14" s="3" t="s">
        <v>106</v>
      </c>
      <c r="E14" s="3" t="s">
        <v>33</v>
      </c>
      <c r="F14" s="3" t="s">
        <v>34</v>
      </c>
      <c r="G14" s="3" t="s">
        <v>38</v>
      </c>
      <c r="H14" s="3" t="s">
        <v>39</v>
      </c>
      <c r="I14" s="3" t="s">
        <v>83</v>
      </c>
      <c r="J14" s="3" t="s">
        <v>97</v>
      </c>
      <c r="K14" s="3" t="s">
        <v>96</v>
      </c>
    </row>
    <row r="15" spans="1:20">
      <c r="A15" s="81"/>
      <c r="B15" s="4">
        <f>B13+IF(C19=K1,B11*K2)+IF(D19=K1,B11*K2)+IF(E19=K1,B11*K2)+IF(F19=TRUE,B11*0.25)+IF(A19=TRUE,A2)+IF(계산기!M9="체%",B11*'성유물 부옵수'!C17)+IF(계산기!N9="체%",B11*'성유물 부옵수'!C17)+IF(계산기!H1="체력",계산식!B11*계산기!H2/100)+IF(계산기!I1="체력",계산식!B11*계산기!I2/100)</f>
        <v>46523.565000000002</v>
      </c>
      <c r="C15" s="4">
        <f>C13+IF(C19=L1,C11*L2)+IF(D19=L1,C11*L2)+IF(E19=L1,C11*L2)+IF(G19=TRUE,C11*0.25)+IF(B19=TRUE,B2)+IF(계산기!M9="공%",C11*'성유물 부옵수'!C18)+IF(계산기!N9="공%",C11*'성유물 부옵수'!C18)+IF(계산기!H1="공격력",계산식!C11*계산기!H2/100)+IF(계산기!I1="공격력",계산식!C11*계산기!I2/100)</f>
        <v>311</v>
      </c>
      <c r="D15" s="4">
        <f>D13+IF(C19=M1,D11*M2)+IF(D19=M1,D11*M2)+IF(E19=M1,D11*M2)+IF(계산기!M9="방%",D11*'성유물 부옵수'!C18)+IF(계산기!N9="방%",D11*'성유물 부옵수'!C18)+IF(계산기!H1="방어력",계산식!D11*계산기!H2/100)+IF(계산기!I1="방어력",계산식!D11*계산기!I2/100)</f>
        <v>0</v>
      </c>
      <c r="E15" s="4">
        <f>E13+IF(C19=N1,N2)+IF(D19=N1,N2)+IF(E19=N1,N2)+IF(H19=TRUE,I2)+IF(계산기!M9="원마",'성유물 부옵수'!C20)+IF(계산기!N9="원마",'성유물 부옵수'!C20)+IF(계산기!H1="원마",계산기!H2)+IF(계산기!I1="원마",계산기!I2)</f>
        <v>50</v>
      </c>
      <c r="F15" s="4">
        <f>F13+IF(C19=O1,O2)+IF(계산기!M9="원충",'성유물 부옵수'!C21)+IF(계산기!N9="원충",'성유물 부옵수'!C21)+IF(계산기!H1="원충",계산기!H2)+IF(계산기!I1="원충",계산기!I2)</f>
        <v>0</v>
      </c>
      <c r="G15" s="4">
        <f>G13+IF(E19=P1,P2)+IF(계산기!M9="치확",'성유물 부옵수'!C22)+IF(계산기!N9="치확",'성유물 부옵수'!C22)+IF(계산기!H1="치확",계산기!H2)+IF(계산기!I1="치확",계산기!I2)</f>
        <v>0</v>
      </c>
      <c r="H15" s="4">
        <f>H13+IF(E19=Q1,Q2)+IF(계산기!M9="치피",'성유물 부옵수'!C23)+IF(계산기!N9="치피",'성유물 부옵수'!C23)+IF(계산기!H1="치피",계산기!H2)+IF(계산기!I1="치피",계산기!I2)</f>
        <v>0</v>
      </c>
      <c r="I15" s="4">
        <f>I13+IF(D19=R1,R2)+IF(계산기!M9="원소피해",'성유물 부옵수'!C24)+IF(계산기!N9="원소피해",'성유물 부옵수'!C24)+IF(계산기!I1="원소피해",계산기!I2)</f>
        <v>0</v>
      </c>
      <c r="J15" s="4">
        <f>J13+IF(D19=S1,S2)+IF(계산기!M9="물리피해",'성유물 부옵수'!C25)+IF(계산기!N9="물리피해",'성유물 부옵수'!C25)+IF(계산기!H1="물리피해",계산기!H2)+IF(계산기!I1="물리피해",계산기!I2)</f>
        <v>0</v>
      </c>
      <c r="K15" s="4">
        <f>K13+IF(E19=T1,T2)+IF(계산기!M9="치유보너스",'성유물 부옵수'!C26)+IF(계산기!N9="치유보너스",'성유물 부옵수'!C26)+IF(계산기!I1="치유보너스",계산기!I2)</f>
        <v>0</v>
      </c>
    </row>
    <row r="16" spans="1:20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8" spans="1:12">
      <c r="A18" s="10" t="s">
        <v>27</v>
      </c>
      <c r="B18" s="10" t="s">
        <v>29</v>
      </c>
      <c r="C18" s="10" t="s">
        <v>30</v>
      </c>
      <c r="D18" s="10" t="s">
        <v>31</v>
      </c>
      <c r="E18" s="10" t="s">
        <v>32</v>
      </c>
      <c r="F18" s="10" t="s">
        <v>25</v>
      </c>
      <c r="G18" s="10" t="s">
        <v>26</v>
      </c>
      <c r="H18" s="10" t="s">
        <v>40</v>
      </c>
    </row>
    <row r="19" spans="1:12">
      <c r="A19" s="4" t="b">
        <v>1</v>
      </c>
      <c r="B19" s="4" t="b">
        <v>1</v>
      </c>
      <c r="C19" s="4" t="str">
        <f>계산기!D10</f>
        <v>체%</v>
      </c>
      <c r="D19" s="4" t="str">
        <f>계산기!E10</f>
        <v>체%</v>
      </c>
      <c r="E19" s="4" t="str">
        <f>계산기!F10</f>
        <v>체%</v>
      </c>
      <c r="F19" s="4" t="b">
        <v>1</v>
      </c>
      <c r="G19" s="4" t="b">
        <v>0</v>
      </c>
      <c r="H19" s="4" t="b">
        <v>1</v>
      </c>
    </row>
    <row r="20" spans="1:12">
      <c r="A20" s="11"/>
      <c r="B20" s="11"/>
      <c r="C20" s="11"/>
    </row>
    <row r="21" spans="1:12">
      <c r="A21" s="1" t="s">
        <v>44</v>
      </c>
    </row>
    <row r="22" spans="1:12">
      <c r="A22" s="10" t="s">
        <v>98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2">
      <c r="A23" s="77" t="s">
        <v>45</v>
      </c>
      <c r="B23" s="1" t="s">
        <v>68</v>
      </c>
      <c r="C23" s="10" t="s">
        <v>35</v>
      </c>
      <c r="D23" s="10" t="s">
        <v>37</v>
      </c>
      <c r="E23" s="10" t="s">
        <v>36</v>
      </c>
      <c r="F23" s="10" t="s">
        <v>33</v>
      </c>
      <c r="G23" s="10" t="s">
        <v>34</v>
      </c>
      <c r="H23" s="10" t="s">
        <v>38</v>
      </c>
      <c r="I23" s="10" t="s">
        <v>39</v>
      </c>
      <c r="J23" s="10" t="s">
        <v>83</v>
      </c>
      <c r="K23" s="10" t="s">
        <v>97</v>
      </c>
      <c r="L23" s="10" t="s">
        <v>96</v>
      </c>
    </row>
    <row r="24" spans="1:12">
      <c r="A24" s="77"/>
      <c r="C24" s="4">
        <v>0.24</v>
      </c>
      <c r="D24" s="4">
        <v>0.3</v>
      </c>
      <c r="E24" s="4">
        <v>0.24</v>
      </c>
      <c r="F24" s="4">
        <v>96</v>
      </c>
      <c r="G24" s="4">
        <v>26.7</v>
      </c>
      <c r="H24" s="7">
        <v>16</v>
      </c>
      <c r="I24" s="7">
        <v>32</v>
      </c>
      <c r="J24" s="4">
        <v>24</v>
      </c>
      <c r="K24" s="4">
        <v>30</v>
      </c>
      <c r="L24" s="7">
        <v>18.5</v>
      </c>
    </row>
    <row r="25" spans="1:12">
      <c r="A25" s="77" t="s">
        <v>46</v>
      </c>
      <c r="B25" s="1" t="s">
        <v>68</v>
      </c>
      <c r="C25" s="10" t="s">
        <v>35</v>
      </c>
      <c r="D25" s="10" t="s">
        <v>37</v>
      </c>
      <c r="E25" s="10" t="s">
        <v>36</v>
      </c>
      <c r="F25" s="10" t="s">
        <v>33</v>
      </c>
      <c r="G25" s="10" t="s">
        <v>34</v>
      </c>
      <c r="H25" s="10" t="s">
        <v>38</v>
      </c>
      <c r="I25" s="10" t="s">
        <v>39</v>
      </c>
      <c r="J25" s="10" t="s">
        <v>83</v>
      </c>
      <c r="K25" s="10" t="s">
        <v>97</v>
      </c>
      <c r="L25" s="10" t="s">
        <v>96</v>
      </c>
    </row>
    <row r="26" spans="1:12">
      <c r="A26" s="77"/>
      <c r="C26" s="7">
        <v>0.28799999999999998</v>
      </c>
      <c r="D26" s="7">
        <v>0.36</v>
      </c>
      <c r="E26" s="4">
        <v>0.28799999999999998</v>
      </c>
      <c r="F26" s="4">
        <v>115</v>
      </c>
      <c r="G26" s="4">
        <v>32</v>
      </c>
      <c r="H26" s="4">
        <v>19.2</v>
      </c>
      <c r="I26" s="4">
        <v>38.4</v>
      </c>
      <c r="J26" s="4">
        <v>28.8</v>
      </c>
      <c r="K26" s="7">
        <v>36</v>
      </c>
      <c r="L26" s="4">
        <v>22.2</v>
      </c>
    </row>
    <row r="27" spans="1:12">
      <c r="A27" s="68" t="s">
        <v>5</v>
      </c>
      <c r="B27" s="68"/>
      <c r="C27" s="68"/>
      <c r="D27" s="68"/>
    </row>
  </sheetData>
  <mergeCells count="7">
    <mergeCell ref="N6:T12"/>
    <mergeCell ref="A10:A11"/>
    <mergeCell ref="A23:A24"/>
    <mergeCell ref="A25:A26"/>
    <mergeCell ref="A27:D27"/>
    <mergeCell ref="A14:A15"/>
    <mergeCell ref="A12:A13"/>
  </mergeCells>
  <phoneticPr fontId="5" type="noConversion"/>
  <pageMargins left="0.69972223043441772" right="0.69972223043441772" top="0.75" bottom="0.75" header="0.30000001192092896" footer="0.30000001192092896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50"/>
  <sheetViews>
    <sheetView zoomScale="69" zoomScaleNormal="69" zoomScaleSheetLayoutView="225" workbookViewId="0">
      <selection activeCell="K15" sqref="K15"/>
    </sheetView>
  </sheetViews>
  <sheetFormatPr defaultColWidth="8.796875" defaultRowHeight="17.399999999999999"/>
  <cols>
    <col min="1" max="1" width="10.8984375" style="1" bestFit="1" customWidth="1"/>
    <col min="2" max="2" width="8.796875" style="1"/>
    <col min="3" max="3" width="10.3984375" style="1" bestFit="1" customWidth="1"/>
    <col min="4" max="6" width="9.5" style="1" bestFit="1" customWidth="1"/>
    <col min="7" max="16384" width="8.796875" style="1"/>
  </cols>
  <sheetData>
    <row r="1" spans="1:11">
      <c r="A1" s="93" t="s">
        <v>17</v>
      </c>
      <c r="B1" s="93"/>
      <c r="C1" s="88" t="s">
        <v>63</v>
      </c>
      <c r="D1" s="88" t="s">
        <v>62</v>
      </c>
      <c r="E1" s="88" t="s">
        <v>56</v>
      </c>
      <c r="F1" s="88" t="s">
        <v>57</v>
      </c>
      <c r="G1" s="88" t="s">
        <v>65</v>
      </c>
      <c r="H1" s="88"/>
      <c r="I1" s="88"/>
      <c r="J1" s="88"/>
    </row>
    <row r="2" spans="1:11">
      <c r="A2" s="93"/>
      <c r="B2" s="93"/>
      <c r="C2" s="88"/>
      <c r="D2" s="88"/>
      <c r="E2" s="88"/>
      <c r="F2" s="88"/>
      <c r="G2" s="88"/>
      <c r="H2" s="88"/>
      <c r="I2" s="88"/>
      <c r="J2" s="88"/>
    </row>
    <row r="3" spans="1:11">
      <c r="A3" s="106" t="s">
        <v>41</v>
      </c>
      <c r="B3" s="106"/>
      <c r="C3" s="43">
        <v>209</v>
      </c>
      <c r="D3" s="43">
        <v>239</v>
      </c>
      <c r="E3" s="43">
        <v>269</v>
      </c>
      <c r="F3" s="43">
        <v>299</v>
      </c>
      <c r="G3" s="43"/>
      <c r="H3" s="43"/>
      <c r="I3" s="43"/>
      <c r="J3" s="43"/>
    </row>
    <row r="4" spans="1:11">
      <c r="A4" s="106" t="s">
        <v>36</v>
      </c>
      <c r="B4" s="106"/>
      <c r="C4" s="43">
        <v>4.1000000000000002E-2</v>
      </c>
      <c r="D4" s="43">
        <v>4.7E-2</v>
      </c>
      <c r="E4" s="43">
        <v>5.3000000000000005E-2</v>
      </c>
      <c r="F4" s="43">
        <v>5.800000000000001E-2</v>
      </c>
      <c r="G4" s="43" t="str">
        <f>C4*100&amp;"%"</f>
        <v>4.1%</v>
      </c>
      <c r="H4" s="43" t="str">
        <f>D4*100&amp;"%"</f>
        <v>4.7%</v>
      </c>
      <c r="I4" s="43" t="str">
        <f>E4*100&amp;"%"</f>
        <v>5.3%</v>
      </c>
      <c r="J4" s="43" t="str">
        <f>F4*100&amp;"%"</f>
        <v>5.8%</v>
      </c>
    </row>
    <row r="5" spans="1:11">
      <c r="A5" s="104" t="s">
        <v>42</v>
      </c>
      <c r="B5" s="104"/>
      <c r="C5" s="42">
        <v>14</v>
      </c>
      <c r="D5" s="42">
        <v>16</v>
      </c>
      <c r="E5" s="42">
        <v>18</v>
      </c>
      <c r="F5" s="42">
        <v>19</v>
      </c>
      <c r="G5" s="43"/>
      <c r="H5" s="43"/>
      <c r="I5" s="43"/>
      <c r="J5" s="43"/>
    </row>
    <row r="6" spans="1:11">
      <c r="A6" s="104" t="s">
        <v>35</v>
      </c>
      <c r="B6" s="104"/>
      <c r="C6" s="43">
        <v>4.1000000000000002E-2</v>
      </c>
      <c r="D6" s="43">
        <v>4.7E-2</v>
      </c>
      <c r="E6" s="43">
        <v>5.3000000000000005E-2</v>
      </c>
      <c r="F6" s="43">
        <v>5.800000000000001E-2</v>
      </c>
      <c r="G6" s="43" t="str">
        <f>C6*100&amp;"%"</f>
        <v>4.1%</v>
      </c>
      <c r="H6" s="43" t="str">
        <f>D6*100&amp;"%"</f>
        <v>4.7%</v>
      </c>
      <c r="I6" s="43" t="str">
        <f>E6*100&amp;"%"</f>
        <v>5.3%</v>
      </c>
      <c r="J6" s="43" t="str">
        <f>F6*100&amp;"%"</f>
        <v>5.8%</v>
      </c>
    </row>
    <row r="7" spans="1:11">
      <c r="A7" s="105" t="s">
        <v>64</v>
      </c>
      <c r="B7" s="105"/>
      <c r="C7" s="42">
        <v>16</v>
      </c>
      <c r="D7" s="42">
        <v>19</v>
      </c>
      <c r="E7" s="42">
        <v>21</v>
      </c>
      <c r="F7" s="42">
        <v>23</v>
      </c>
      <c r="G7" s="43"/>
      <c r="H7" s="43"/>
      <c r="I7" s="43"/>
      <c r="J7" s="43"/>
    </row>
    <row r="8" spans="1:11">
      <c r="A8" s="105" t="s">
        <v>37</v>
      </c>
      <c r="B8" s="105"/>
      <c r="C8" s="43">
        <v>5.1000000000000004E-2</v>
      </c>
      <c r="D8" s="43">
        <v>5.8999999999999997E-2</v>
      </c>
      <c r="E8" s="43">
        <v>6.6000000000000003E-2</v>
      </c>
      <c r="F8" s="43">
        <v>7.2999999999999995E-2</v>
      </c>
      <c r="G8" s="43" t="str">
        <f>C8*100&amp;"%"</f>
        <v>5.1%</v>
      </c>
      <c r="H8" s="43" t="str">
        <f t="shared" ref="H8:J8" si="0">D8*100&amp;"%"</f>
        <v>5.9%</v>
      </c>
      <c r="I8" s="43" t="str">
        <f t="shared" si="0"/>
        <v>6.6%</v>
      </c>
      <c r="J8" s="43" t="str">
        <f t="shared" si="0"/>
        <v>7.3%</v>
      </c>
    </row>
    <row r="9" spans="1:11">
      <c r="A9" s="107" t="s">
        <v>34</v>
      </c>
      <c r="B9" s="107"/>
      <c r="C9" s="42">
        <v>4.5</v>
      </c>
      <c r="D9" s="42">
        <v>5.2</v>
      </c>
      <c r="E9" s="42">
        <v>5.8</v>
      </c>
      <c r="F9" s="42">
        <v>6.5</v>
      </c>
      <c r="G9" s="42" t="str">
        <f>C9&amp;"%"</f>
        <v>4.5%</v>
      </c>
      <c r="H9" s="42" t="str">
        <f t="shared" ref="H9:J9" si="1">D9&amp;"%"</f>
        <v>5.2%</v>
      </c>
      <c r="I9" s="42" t="str">
        <f t="shared" si="1"/>
        <v>5.8%</v>
      </c>
      <c r="J9" s="42" t="str">
        <f t="shared" si="1"/>
        <v>6.5%</v>
      </c>
    </row>
    <row r="10" spans="1:11">
      <c r="A10" s="108" t="s">
        <v>33</v>
      </c>
      <c r="B10" s="108"/>
      <c r="C10" s="42">
        <v>16</v>
      </c>
      <c r="D10" s="42">
        <v>19</v>
      </c>
      <c r="E10" s="42">
        <v>21</v>
      </c>
      <c r="F10" s="42">
        <v>23</v>
      </c>
      <c r="G10" s="42"/>
      <c r="H10" s="42"/>
      <c r="I10" s="42"/>
      <c r="J10" s="42"/>
    </row>
    <row r="11" spans="1:11">
      <c r="A11" s="109" t="s">
        <v>38</v>
      </c>
      <c r="B11" s="109"/>
      <c r="C11" s="42">
        <v>2.7</v>
      </c>
      <c r="D11" s="42">
        <v>3.1</v>
      </c>
      <c r="E11" s="42">
        <v>3.5</v>
      </c>
      <c r="F11" s="42">
        <v>3.9</v>
      </c>
      <c r="G11" s="43" t="str">
        <f t="shared" ref="G11:J12" si="2">C11&amp;"%"</f>
        <v>2.7%</v>
      </c>
      <c r="H11" s="18" t="str">
        <f t="shared" si="2"/>
        <v>3.1%</v>
      </c>
      <c r="I11" s="18" t="str">
        <f t="shared" si="2"/>
        <v>3.5%</v>
      </c>
      <c r="J11" s="18" t="str">
        <f t="shared" si="2"/>
        <v>3.9%</v>
      </c>
    </row>
    <row r="12" spans="1:11">
      <c r="A12" s="109" t="s">
        <v>39</v>
      </c>
      <c r="B12" s="109"/>
      <c r="C12" s="42">
        <f>C11*2</f>
        <v>5.4</v>
      </c>
      <c r="D12" s="42">
        <f t="shared" ref="D12:F12" si="3">D11*2</f>
        <v>6.2</v>
      </c>
      <c r="E12" s="42">
        <f t="shared" si="3"/>
        <v>7</v>
      </c>
      <c r="F12" s="42">
        <f t="shared" si="3"/>
        <v>7.8</v>
      </c>
      <c r="G12" s="18" t="str">
        <f t="shared" si="2"/>
        <v>5.4%</v>
      </c>
      <c r="H12" s="18" t="str">
        <f t="shared" si="2"/>
        <v>6.2%</v>
      </c>
      <c r="I12" s="18" t="str">
        <f t="shared" si="2"/>
        <v>7%</v>
      </c>
      <c r="J12" s="18" t="str">
        <f t="shared" si="2"/>
        <v>7.8%</v>
      </c>
    </row>
    <row r="14" spans="1:11">
      <c r="A14" s="41" t="s">
        <v>66</v>
      </c>
      <c r="B14" s="42" t="s">
        <v>38</v>
      </c>
      <c r="C14" s="42" t="s">
        <v>39</v>
      </c>
      <c r="D14" s="42" t="s">
        <v>34</v>
      </c>
      <c r="E14" s="42" t="s">
        <v>33</v>
      </c>
      <c r="F14" s="42" t="s">
        <v>105</v>
      </c>
      <c r="G14" s="42" t="s">
        <v>104</v>
      </c>
      <c r="H14" s="42" t="s">
        <v>106</v>
      </c>
      <c r="I14" s="41" t="s">
        <v>97</v>
      </c>
      <c r="J14" s="41" t="s">
        <v>83</v>
      </c>
    </row>
    <row r="15" spans="1:11">
      <c r="A15" s="59" t="s">
        <v>111</v>
      </c>
      <c r="B15" s="62" t="s">
        <v>38</v>
      </c>
      <c r="C15" s="62" t="s">
        <v>39</v>
      </c>
      <c r="D15" s="62" t="s">
        <v>34</v>
      </c>
      <c r="E15" s="62" t="s">
        <v>33</v>
      </c>
      <c r="F15" s="62" t="s">
        <v>105</v>
      </c>
      <c r="G15" s="62" t="s">
        <v>104</v>
      </c>
      <c r="H15" s="62" t="s">
        <v>106</v>
      </c>
      <c r="I15" s="60" t="s">
        <v>97</v>
      </c>
      <c r="J15" s="60" t="s">
        <v>83</v>
      </c>
      <c r="K15" s="59" t="s">
        <v>112</v>
      </c>
    </row>
    <row r="16" spans="1:11">
      <c r="A16" s="42" t="s">
        <v>66</v>
      </c>
      <c r="B16" s="42" t="s">
        <v>68</v>
      </c>
      <c r="C16" s="42" t="s">
        <v>68</v>
      </c>
    </row>
    <row r="17" spans="1:6">
      <c r="A17" s="42" t="s">
        <v>36</v>
      </c>
      <c r="B17" s="42" t="str">
        <f>C17*100&amp;"%"</f>
        <v>20%</v>
      </c>
      <c r="C17" s="42">
        <v>0.2</v>
      </c>
    </row>
    <row r="18" spans="1:6">
      <c r="A18" s="42" t="s">
        <v>35</v>
      </c>
      <c r="B18" s="42" t="str">
        <f t="shared" ref="B18:B19" si="4">C18*100&amp;"%"</f>
        <v>18%</v>
      </c>
      <c r="C18" s="42">
        <v>0.18</v>
      </c>
    </row>
    <row r="19" spans="1:6">
      <c r="A19" s="42" t="s">
        <v>37</v>
      </c>
      <c r="B19" s="42" t="str">
        <f t="shared" si="4"/>
        <v>30%</v>
      </c>
      <c r="C19" s="42">
        <v>0.3</v>
      </c>
    </row>
    <row r="20" spans="1:6">
      <c r="A20" s="42" t="s">
        <v>33</v>
      </c>
      <c r="B20" s="42" t="str">
        <f>C20&amp;"pt"</f>
        <v>80pt</v>
      </c>
      <c r="C20" s="42">
        <v>80</v>
      </c>
    </row>
    <row r="21" spans="1:6">
      <c r="A21" s="42" t="s">
        <v>34</v>
      </c>
      <c r="B21" s="42" t="str">
        <f>C21&amp;"%"</f>
        <v>20%</v>
      </c>
      <c r="C21" s="42">
        <v>20</v>
      </c>
    </row>
    <row r="22" spans="1:6">
      <c r="A22" s="42" t="s">
        <v>38</v>
      </c>
      <c r="B22" s="42" t="str">
        <f t="shared" ref="B22:B26" si="5">C22&amp;"%"</f>
        <v>12%</v>
      </c>
      <c r="C22" s="42">
        <v>12</v>
      </c>
    </row>
    <row r="23" spans="1:6">
      <c r="A23" s="48" t="s">
        <v>39</v>
      </c>
      <c r="B23" s="48" t="str">
        <f t="shared" si="5"/>
        <v>24%</v>
      </c>
      <c r="C23" s="48">
        <v>24</v>
      </c>
    </row>
    <row r="24" spans="1:6">
      <c r="A24" s="42" t="s">
        <v>83</v>
      </c>
      <c r="B24" s="42" t="str">
        <f t="shared" si="5"/>
        <v>15%</v>
      </c>
      <c r="C24" s="42">
        <v>15</v>
      </c>
    </row>
    <row r="25" spans="1:6">
      <c r="A25" s="42" t="s">
        <v>97</v>
      </c>
      <c r="B25" s="42" t="str">
        <f t="shared" si="5"/>
        <v>25%</v>
      </c>
      <c r="C25" s="42">
        <v>25</v>
      </c>
    </row>
    <row r="26" spans="1:6">
      <c r="A26" s="42" t="s">
        <v>96</v>
      </c>
      <c r="B26" s="42" t="str">
        <f t="shared" si="5"/>
        <v>15%</v>
      </c>
      <c r="C26" s="42">
        <v>15</v>
      </c>
    </row>
    <row r="29" spans="1:6">
      <c r="A29" s="93" t="s">
        <v>17</v>
      </c>
      <c r="B29" s="93"/>
      <c r="C29" s="88" t="s">
        <v>63</v>
      </c>
      <c r="D29" s="88" t="s">
        <v>62</v>
      </c>
      <c r="E29" s="88" t="s">
        <v>56</v>
      </c>
      <c r="F29" s="88" t="s">
        <v>57</v>
      </c>
    </row>
    <row r="30" spans="1:6">
      <c r="A30" s="93"/>
      <c r="B30" s="93"/>
      <c r="C30" s="88"/>
      <c r="D30" s="88"/>
      <c r="E30" s="88"/>
      <c r="F30" s="88"/>
    </row>
    <row r="31" spans="1:6">
      <c r="A31" s="106" t="s">
        <v>36</v>
      </c>
      <c r="B31" s="106"/>
      <c r="C31" s="52">
        <v>4.0999999999999995E-2</v>
      </c>
      <c r="D31" s="52">
        <v>4.7E-2</v>
      </c>
      <c r="E31" s="52">
        <v>5.3000000000000005E-2</v>
      </c>
      <c r="F31" s="52">
        <v>5.7999999999999996E-2</v>
      </c>
    </row>
    <row r="32" spans="1:6">
      <c r="A32" s="106" t="s">
        <v>3</v>
      </c>
      <c r="B32" s="106"/>
      <c r="C32" s="18">
        <f>계산식!B11*C4</f>
        <v>622.58500000000004</v>
      </c>
      <c r="D32" s="18">
        <f>계산식!B11*D4</f>
        <v>713.69500000000005</v>
      </c>
      <c r="E32" s="18">
        <f>계산식!B11*E4</f>
        <v>804.80500000000006</v>
      </c>
      <c r="F32" s="18">
        <f>계산식!B11*F4</f>
        <v>880.73000000000013</v>
      </c>
    </row>
    <row r="33" spans="1:6">
      <c r="A33" s="104" t="s">
        <v>35</v>
      </c>
      <c r="B33" s="104"/>
      <c r="C33" s="52">
        <v>4.0999999999999995E-2</v>
      </c>
      <c r="D33" s="52">
        <v>4.7E-2</v>
      </c>
      <c r="E33" s="52">
        <v>5.3000000000000005E-2</v>
      </c>
      <c r="F33" s="52">
        <v>5.7999999999999996E-2</v>
      </c>
    </row>
    <row r="34" spans="1:6">
      <c r="A34" s="104" t="s">
        <v>1</v>
      </c>
      <c r="B34" s="104"/>
      <c r="C34" s="18">
        <f>계산식!$C$11*C6</f>
        <v>30.34</v>
      </c>
      <c r="D34" s="18">
        <f>계산식!$C$11*D6</f>
        <v>34.78</v>
      </c>
      <c r="E34" s="18">
        <f>계산식!$C$11*E6</f>
        <v>39.220000000000006</v>
      </c>
      <c r="F34" s="18">
        <f>계산식!$C$11*F6</f>
        <v>42.920000000000009</v>
      </c>
    </row>
    <row r="35" spans="1:6">
      <c r="A35" s="105" t="s">
        <v>37</v>
      </c>
      <c r="B35" s="105"/>
      <c r="C35" s="52">
        <v>5.1000000000000004E-2</v>
      </c>
      <c r="D35" s="52">
        <v>5.8999999999999997E-2</v>
      </c>
      <c r="E35" s="52">
        <v>6.6000000000000003E-2</v>
      </c>
      <c r="F35" s="52">
        <v>7.2999999999999995E-2</v>
      </c>
    </row>
    <row r="36" spans="1:6">
      <c r="A36" s="105" t="s">
        <v>2</v>
      </c>
      <c r="B36" s="105"/>
      <c r="C36" s="18">
        <f>계산식!$D$11*C8</f>
        <v>37.179000000000002</v>
      </c>
      <c r="D36" s="18">
        <f>계산식!$D$11*D8</f>
        <v>43.010999999999996</v>
      </c>
      <c r="E36" s="18">
        <f>계산식!$D$11*E8</f>
        <v>48.114000000000004</v>
      </c>
      <c r="F36" s="18">
        <f>계산식!$D$11*F8</f>
        <v>53.216999999999999</v>
      </c>
    </row>
    <row r="39" spans="1:6">
      <c r="A39" s="93" t="str">
        <f>"깡옵"&amp;계산기!B26&amp;"개"</f>
        <v>깡옵13개</v>
      </c>
      <c r="B39" s="93"/>
      <c r="C39" s="88" t="s">
        <v>63</v>
      </c>
      <c r="D39" s="88" t="s">
        <v>62</v>
      </c>
      <c r="E39" s="88" t="s">
        <v>56</v>
      </c>
      <c r="F39" s="88" t="s">
        <v>57</v>
      </c>
    </row>
    <row r="40" spans="1:6">
      <c r="A40" s="93"/>
      <c r="B40" s="93"/>
      <c r="C40" s="88"/>
      <c r="D40" s="88"/>
      <c r="E40" s="88"/>
      <c r="F40" s="88"/>
    </row>
    <row r="41" spans="1:6">
      <c r="A41" s="106" t="str">
        <f>"깡 "&amp;계산기!B19</f>
        <v>깡 체력</v>
      </c>
      <c r="B41" s="106"/>
      <c r="C41" s="54">
        <f>IF(계산기!$B$19=$F$14,계산기!$B$26*C3,IF(계산기!$B$19=$G$14,계산기!$B$26*C5,IF(계산기!$B$19=$H$14,계산기!$B$26*C7)))</f>
        <v>2717</v>
      </c>
      <c r="D41" s="54">
        <f>IF(계산기!$B$19=$F$14,계산기!$B$26*D3,IF(계산기!$B$19=$G$14,계산기!$B$26*D5,IF(계산기!$B$19=$H$14,계산기!$B$26*D7)))</f>
        <v>3107</v>
      </c>
      <c r="E41" s="54">
        <f>IF(계산기!$B$19=$F$14,계산기!$B$26*E3,IF(계산기!$B$19=$G$14,계산기!$B$26*E5,IF(계산기!$B$19=$H$14,계산기!$B$26*E7)))</f>
        <v>3497</v>
      </c>
      <c r="F41" s="54">
        <f>IF(계산기!$B$19=$F$14,계산기!$B$26*F3,IF(계산기!$B$19=$G$14,계산기!$B$26*F5,IF(계산기!$B$19=$H$14,계산기!$B$26*F7)))</f>
        <v>3887</v>
      </c>
    </row>
    <row r="42" spans="1:6">
      <c r="A42" s="106" t="str">
        <f>"뺀 "&amp;계산기!B19</f>
        <v>뺀 체력</v>
      </c>
      <c r="B42" s="106"/>
      <c r="C42" s="55">
        <f>계산기!$B$23-C41</f>
        <v>10018.434999999998</v>
      </c>
      <c r="D42" s="55">
        <f>계산기!$B$23-D41</f>
        <v>9628.4349999999977</v>
      </c>
      <c r="E42" s="55">
        <f>계산기!$B$23-E41</f>
        <v>9238.4349999999977</v>
      </c>
      <c r="F42" s="55">
        <f>계산기!$B$23-F41</f>
        <v>8848.4349999999977</v>
      </c>
    </row>
    <row r="43" spans="1:6">
      <c r="A43" s="60"/>
      <c r="B43" s="60"/>
      <c r="C43" s="60"/>
      <c r="D43" s="60"/>
      <c r="E43" s="60"/>
      <c r="F43" s="60"/>
    </row>
    <row r="44" spans="1:6">
      <c r="A44" s="60"/>
      <c r="B44" s="60"/>
      <c r="C44" s="60"/>
      <c r="D44" s="60"/>
      <c r="E44" s="60"/>
      <c r="F44" s="60"/>
    </row>
    <row r="45" spans="1:6">
      <c r="A45" s="60"/>
      <c r="B45" s="60"/>
      <c r="C45" s="60"/>
      <c r="D45" s="60"/>
      <c r="E45" s="60"/>
      <c r="F45" s="60"/>
    </row>
    <row r="46" spans="1:6">
      <c r="A46" s="60"/>
      <c r="B46" s="60"/>
      <c r="C46" s="60"/>
      <c r="D46" s="60"/>
      <c r="E46" s="60"/>
      <c r="F46" s="60"/>
    </row>
    <row r="47" spans="1:6">
      <c r="A47" s="60"/>
      <c r="B47" s="60"/>
      <c r="C47" s="60"/>
      <c r="D47" s="60"/>
      <c r="E47" s="60"/>
      <c r="F47" s="60"/>
    </row>
    <row r="48" spans="1:6">
      <c r="A48" s="60"/>
      <c r="B48" s="60"/>
      <c r="C48" s="60"/>
      <c r="D48" s="60"/>
      <c r="E48" s="60"/>
      <c r="F48" s="60"/>
    </row>
    <row r="49" spans="1:6">
      <c r="A49" s="60"/>
      <c r="B49" s="60"/>
      <c r="C49" s="60"/>
      <c r="D49" s="60"/>
      <c r="E49" s="60"/>
      <c r="F49" s="60"/>
    </row>
    <row r="50" spans="1:6">
      <c r="A50" s="60"/>
      <c r="B50" s="60"/>
      <c r="C50" s="60"/>
      <c r="D50" s="60"/>
      <c r="E50" s="60"/>
      <c r="F50" s="60"/>
    </row>
  </sheetData>
  <mergeCells count="34">
    <mergeCell ref="E39:E40"/>
    <mergeCell ref="F39:F40"/>
    <mergeCell ref="A41:B41"/>
    <mergeCell ref="A31:B31"/>
    <mergeCell ref="D39:D40"/>
    <mergeCell ref="A42:B42"/>
    <mergeCell ref="A39:B40"/>
    <mergeCell ref="C39:C40"/>
    <mergeCell ref="A32:B32"/>
    <mergeCell ref="A33:B33"/>
    <mergeCell ref="A34:B34"/>
    <mergeCell ref="A35:B35"/>
    <mergeCell ref="A36:B36"/>
    <mergeCell ref="E1:E2"/>
    <mergeCell ref="F1:F2"/>
    <mergeCell ref="G1:J2"/>
    <mergeCell ref="A3:B3"/>
    <mergeCell ref="D29:D30"/>
    <mergeCell ref="A29:B30"/>
    <mergeCell ref="C29:C30"/>
    <mergeCell ref="E29:E30"/>
    <mergeCell ref="F29:F30"/>
    <mergeCell ref="D1:D2"/>
    <mergeCell ref="A9:B9"/>
    <mergeCell ref="A10:B10"/>
    <mergeCell ref="A11:B11"/>
    <mergeCell ref="A12:B12"/>
    <mergeCell ref="A4:B4"/>
    <mergeCell ref="A5:B5"/>
    <mergeCell ref="A6:B6"/>
    <mergeCell ref="A7:B7"/>
    <mergeCell ref="A8:B8"/>
    <mergeCell ref="A1:B2"/>
    <mergeCell ref="C1:C2"/>
  </mergeCells>
  <phoneticPr fontId="5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7"/>
  <sheetViews>
    <sheetView topLeftCell="A13" zoomScale="70" zoomScaleNormal="70" zoomScaleSheetLayoutView="225" workbookViewId="0">
      <selection activeCell="O28" sqref="O28"/>
    </sheetView>
  </sheetViews>
  <sheetFormatPr defaultColWidth="8.796875" defaultRowHeight="17.399999999999999"/>
  <cols>
    <col min="1" max="1" width="9.09765625" style="17" bestFit="1" customWidth="1"/>
    <col min="2" max="3" width="9.69921875" style="17" bestFit="1" customWidth="1"/>
    <col min="4" max="4" width="8.69921875" style="17" bestFit="1" customWidth="1"/>
    <col min="5" max="5" width="10.69921875" style="17" bestFit="1" customWidth="1"/>
    <col min="6" max="6" width="7.69921875" style="17" bestFit="1" customWidth="1"/>
    <col min="7" max="7" width="7.19921875" style="17" bestFit="1" customWidth="1"/>
    <col min="8" max="8" width="8.69921875" style="17" bestFit="1" customWidth="1"/>
    <col min="9" max="10" width="9.09765625" style="17" bestFit="1" customWidth="1"/>
    <col min="11" max="11" width="11.09765625" style="17" bestFit="1" customWidth="1"/>
    <col min="12" max="12" width="10.09765625" style="17" bestFit="1" customWidth="1"/>
    <col min="13" max="13" width="13.09765625" style="17" bestFit="1" customWidth="1"/>
    <col min="14" max="14" width="7.69921875" style="17" bestFit="1" customWidth="1"/>
    <col min="15" max="15" width="8.19921875" style="17" bestFit="1" customWidth="1"/>
    <col min="16" max="17" width="8.69921875" style="17" bestFit="1" customWidth="1"/>
    <col min="18" max="18" width="7.69921875" style="17" bestFit="1" customWidth="1"/>
    <col min="19" max="21" width="8.69921875" style="17" bestFit="1" customWidth="1"/>
    <col min="22" max="16384" width="8.796875" style="17"/>
  </cols>
  <sheetData>
    <row r="1" spans="1:14">
      <c r="A1" s="93" t="s">
        <v>84</v>
      </c>
      <c r="B1" s="12" t="s">
        <v>105</v>
      </c>
      <c r="C1" s="12" t="s">
        <v>104</v>
      </c>
      <c r="D1" s="12" t="s">
        <v>106</v>
      </c>
      <c r="E1" s="13"/>
      <c r="F1" s="14" t="s">
        <v>25</v>
      </c>
      <c r="G1" s="15" t="s">
        <v>26</v>
      </c>
      <c r="H1" s="16" t="s">
        <v>40</v>
      </c>
      <c r="J1" s="64"/>
      <c r="K1" s="64"/>
      <c r="L1" s="64"/>
      <c r="M1" s="64"/>
    </row>
    <row r="2" spans="1:14">
      <c r="A2" s="93"/>
      <c r="B2" s="113">
        <v>15185</v>
      </c>
      <c r="C2" s="113">
        <v>436</v>
      </c>
      <c r="D2" s="113">
        <v>729</v>
      </c>
      <c r="E2" s="13"/>
      <c r="F2" s="18"/>
      <c r="G2" s="18"/>
      <c r="H2" s="18"/>
      <c r="J2" s="64"/>
      <c r="K2" s="64"/>
      <c r="L2" s="64"/>
      <c r="M2" s="64"/>
    </row>
    <row r="3" spans="1:14">
      <c r="A3" s="13"/>
      <c r="B3" s="13"/>
      <c r="C3" s="13"/>
      <c r="D3" s="13"/>
      <c r="E3" s="13"/>
      <c r="F3" s="13"/>
      <c r="G3" s="13"/>
      <c r="H3" s="13"/>
    </row>
    <row r="4" spans="1:14">
      <c r="A4" s="13"/>
      <c r="B4" s="13"/>
      <c r="C4" s="13"/>
      <c r="D4" s="13"/>
      <c r="E4" s="13"/>
      <c r="F4" s="13"/>
      <c r="G4" s="13"/>
      <c r="H4" s="13"/>
    </row>
    <row r="5" spans="1:14">
      <c r="A5" s="93" t="s">
        <v>98</v>
      </c>
      <c r="B5" s="12" t="s">
        <v>45</v>
      </c>
      <c r="C5" s="12" t="s">
        <v>46</v>
      </c>
      <c r="E5" s="85" t="s">
        <v>24</v>
      </c>
      <c r="F5" s="85"/>
      <c r="G5" s="85"/>
      <c r="H5" s="85"/>
      <c r="I5" s="85"/>
    </row>
    <row r="6" spans="1:14">
      <c r="A6" s="93"/>
      <c r="B6" s="18"/>
      <c r="C6" s="18" t="s">
        <v>36</v>
      </c>
      <c r="E6" s="85" t="s">
        <v>6</v>
      </c>
      <c r="F6" s="85"/>
      <c r="G6" s="85"/>
      <c r="H6" s="85"/>
      <c r="I6" s="85"/>
    </row>
    <row r="9" spans="1:14">
      <c r="A9" s="103" t="s">
        <v>28</v>
      </c>
      <c r="B9" s="19" t="s">
        <v>27</v>
      </c>
      <c r="C9" s="19" t="s">
        <v>29</v>
      </c>
      <c r="D9" s="19" t="s">
        <v>30</v>
      </c>
      <c r="E9" s="19" t="s">
        <v>31</v>
      </c>
      <c r="F9" s="19" t="s">
        <v>32</v>
      </c>
      <c r="J9" s="64"/>
      <c r="K9" s="64"/>
      <c r="L9" s="69" t="s">
        <v>79</v>
      </c>
      <c r="M9" s="61" t="s">
        <v>36</v>
      </c>
      <c r="N9" s="61" t="s">
        <v>36</v>
      </c>
    </row>
    <row r="10" spans="1:14">
      <c r="A10" s="103"/>
      <c r="B10" s="18"/>
      <c r="C10" s="18"/>
      <c r="D10" s="18" t="s">
        <v>36</v>
      </c>
      <c r="E10" s="18" t="s">
        <v>36</v>
      </c>
      <c r="F10" s="18" t="s">
        <v>36</v>
      </c>
      <c r="J10" s="64"/>
      <c r="K10" s="64"/>
      <c r="L10" s="70"/>
      <c r="M10" s="62" t="str">
        <f>IF(M9='닐루성유물 부옵수'!A17,'닐루성유물 부옵수'!B17,IF(M9='닐루성유물 부옵수'!A18,'닐루성유물 부옵수'!B18,IF(M9='닐루성유물 부옵수'!A19,'닐루성유물 부옵수'!B19,IF(M9='닐루성유물 부옵수'!A20,'닐루성유물 부옵수'!B20,IF(M9='닐루성유물 부옵수'!A21,'닐루성유물 부옵수'!B21,IF(M9='닐루성유물 부옵수'!A22,'닐루성유물 부옵수'!B22,IF(M9='닐루성유물 부옵수'!A24,'닐루성유물 부옵수'!B24,IF(M9='닐루성유물 부옵수'!A25,'닐루성유물 부옵수'!B25,IF(M9='닐루성유물 부옵수'!A26,'닐루성유물 부옵수'!B26,)))))))))</f>
        <v>20%</v>
      </c>
      <c r="N10" s="62" t="str">
        <f>IF(N9='닐루성유물 부옵수'!A17,'닐루성유물 부옵수'!B17,IF(N9='닐루성유물 부옵수'!A18,'닐루성유물 부옵수'!B18,IF(N9='닐루성유물 부옵수'!A19,'닐루성유물 부옵수'!B19,IF(N9='닐루성유물 부옵수'!A20,'닐루성유물 부옵수'!B20,IF(N9='닐루성유물 부옵수'!A21,'닐루성유물 부옵수'!B21,IF(N9='닐루성유물 부옵수'!A22,'닐루성유물 부옵수'!B22,IF(N9='닐루성유물 부옵수'!A24,'닐루성유물 부옵수'!B24,IF(N9='닐루성유물 부옵수'!A25,'닐루성유물 부옵수'!B25,IF(N9='닐루성유물 부옵수'!A26,'닐루성유물 부옵수'!B26,)))))))))</f>
        <v>20%</v>
      </c>
    </row>
    <row r="13" spans="1:14">
      <c r="A13" s="114" t="s">
        <v>99</v>
      </c>
      <c r="B13" s="115" t="s">
        <v>105</v>
      </c>
      <c r="C13" s="115" t="s">
        <v>104</v>
      </c>
      <c r="D13" s="115" t="s">
        <v>106</v>
      </c>
      <c r="E13" s="115" t="s">
        <v>33</v>
      </c>
      <c r="F13" s="115" t="s">
        <v>34</v>
      </c>
      <c r="G13" s="115" t="s">
        <v>38</v>
      </c>
      <c r="H13" s="115" t="s">
        <v>39</v>
      </c>
      <c r="I13" s="115" t="s">
        <v>83</v>
      </c>
      <c r="J13" s="115" t="s">
        <v>97</v>
      </c>
      <c r="K13" s="115" t="s">
        <v>96</v>
      </c>
      <c r="M13" s="17" t="s">
        <v>86</v>
      </c>
    </row>
    <row r="14" spans="1:14">
      <c r="A14" s="114"/>
      <c r="B14" s="112">
        <f>B2+닐루계산식!B13</f>
        <v>19558.28</v>
      </c>
      <c r="C14" s="112">
        <f>C2+닐루계산식!C13</f>
        <v>436</v>
      </c>
      <c r="D14" s="112">
        <f>D2+닐루계산식!D13</f>
        <v>729</v>
      </c>
      <c r="E14" s="112">
        <f>E2+닐루계산식!E13</f>
        <v>0</v>
      </c>
      <c r="F14" s="112">
        <f>100+F2+닐루계산식!F13</f>
        <v>100</v>
      </c>
      <c r="G14" s="112">
        <f>5+G2+닐루계산식!G13</f>
        <v>5</v>
      </c>
      <c r="H14" s="112">
        <f>50+H2+닐루계산식!H13</f>
        <v>50</v>
      </c>
      <c r="I14" s="112">
        <f>I2+닐루계산식!I13</f>
        <v>0</v>
      </c>
      <c r="J14" s="112">
        <f>J2+닐루계산식!J13</f>
        <v>0</v>
      </c>
      <c r="K14" s="112">
        <f>K2+닐루계산식!K13</f>
        <v>0</v>
      </c>
    </row>
    <row r="15" spans="1:14">
      <c r="A15" s="114" t="s">
        <v>85</v>
      </c>
      <c r="B15" s="115" t="s">
        <v>105</v>
      </c>
      <c r="C15" s="115" t="s">
        <v>104</v>
      </c>
      <c r="D15" s="115" t="s">
        <v>106</v>
      </c>
      <c r="E15" s="115" t="s">
        <v>33</v>
      </c>
      <c r="F15" s="115" t="s">
        <v>34</v>
      </c>
      <c r="G15" s="115" t="s">
        <v>38</v>
      </c>
      <c r="H15" s="115" t="s">
        <v>39</v>
      </c>
      <c r="I15" s="115" t="s">
        <v>83</v>
      </c>
      <c r="J15" s="115" t="s">
        <v>97</v>
      </c>
      <c r="K15" s="115" t="s">
        <v>96</v>
      </c>
    </row>
    <row r="16" spans="1:14">
      <c r="A16" s="114"/>
      <c r="B16" s="112">
        <f>B2+닐루계산식!B15</f>
        <v>55437.16</v>
      </c>
      <c r="C16" s="112">
        <f>C2+닐루계산식!C15</f>
        <v>747</v>
      </c>
      <c r="D16" s="112">
        <f>D2+닐루계산식!D15</f>
        <v>729</v>
      </c>
      <c r="E16" s="112">
        <f>닐루계산식!E15</f>
        <v>50</v>
      </c>
      <c r="F16" s="112">
        <f>닐루계산식!F15</f>
        <v>0</v>
      </c>
      <c r="G16" s="112">
        <f>닐루계산식!G15</f>
        <v>0</v>
      </c>
      <c r="H16" s="112">
        <f>닐루계산식!H15</f>
        <v>0</v>
      </c>
      <c r="I16" s="112">
        <f>닐루계산식!I15</f>
        <v>0</v>
      </c>
      <c r="J16" s="112">
        <f>닐루계산식!J15</f>
        <v>0</v>
      </c>
      <c r="K16" s="112">
        <f>닐루계산식!K15</f>
        <v>0</v>
      </c>
    </row>
    <row r="17" spans="1:23"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23">
      <c r="J18" s="92" t="s">
        <v>15</v>
      </c>
      <c r="K18" s="92"/>
      <c r="L18" s="92"/>
      <c r="M18" s="92" t="s">
        <v>20</v>
      </c>
      <c r="N18" s="92"/>
      <c r="O18" s="92"/>
      <c r="P18" s="92" t="s">
        <v>19</v>
      </c>
      <c r="Q18" s="92"/>
      <c r="R18" s="92"/>
      <c r="S18" s="91" t="s">
        <v>16</v>
      </c>
      <c r="T18" s="91"/>
      <c r="U18" s="91"/>
    </row>
    <row r="19" spans="1:23">
      <c r="A19" s="20" t="s">
        <v>47</v>
      </c>
      <c r="B19" s="93" t="s">
        <v>8</v>
      </c>
      <c r="C19" s="93"/>
      <c r="D19" s="21"/>
      <c r="E19" s="20" t="s">
        <v>105</v>
      </c>
      <c r="F19" s="93" t="s">
        <v>10</v>
      </c>
      <c r="G19" s="93"/>
      <c r="H19" s="20" t="s">
        <v>54</v>
      </c>
      <c r="J19" s="18" t="s">
        <v>55</v>
      </c>
      <c r="K19" s="18" t="s">
        <v>56</v>
      </c>
      <c r="L19" s="18" t="s">
        <v>57</v>
      </c>
      <c r="M19" s="18" t="s">
        <v>55</v>
      </c>
      <c r="N19" s="18" t="s">
        <v>56</v>
      </c>
      <c r="O19" s="18" t="s">
        <v>57</v>
      </c>
      <c r="P19" s="18" t="s">
        <v>55</v>
      </c>
      <c r="Q19" s="18" t="s">
        <v>56</v>
      </c>
      <c r="R19" s="18" t="s">
        <v>57</v>
      </c>
      <c r="S19" s="18" t="s">
        <v>55</v>
      </c>
      <c r="T19" s="18" t="s">
        <v>56</v>
      </c>
      <c r="U19" s="18" t="s">
        <v>57</v>
      </c>
    </row>
    <row r="20" spans="1:23">
      <c r="A20" s="18" t="s">
        <v>48</v>
      </c>
      <c r="B20" s="18">
        <v>0.88200000000000001</v>
      </c>
      <c r="C20" s="18" t="str">
        <f>B20*100&amp;"%"</f>
        <v>88.2%</v>
      </c>
      <c r="D20" s="13"/>
      <c r="E20" s="18">
        <f>B16+B2*B20</f>
        <v>68830.33</v>
      </c>
      <c r="F20" s="88">
        <f>$A$29-E20</f>
        <v>5613.6699999999983</v>
      </c>
      <c r="G20" s="88"/>
      <c r="H20" s="18">
        <f>F20/($B$2/100)</f>
        <v>36.968521567336175</v>
      </c>
      <c r="I20" s="13"/>
      <c r="J20" s="18">
        <f>($F$20-(C32*19))/($B$2/100)</f>
        <v>10.817714850181089</v>
      </c>
      <c r="K20" s="22">
        <f>($F$20-(D32*19))/($B$2/100)</f>
        <v>5.1871583799802323</v>
      </c>
      <c r="L20" s="22">
        <f>($F$20-(E32*19))/($B$2/100)</f>
        <v>-0.44339809022062399</v>
      </c>
      <c r="M20" s="18">
        <f>($F$20-(C32*16))/($B$2/100)</f>
        <v>14.94678959499505</v>
      </c>
      <c r="N20" s="22">
        <f>($F$20-(D32*16))/($B$2/100)</f>
        <v>10.205268356931171</v>
      </c>
      <c r="O20" s="22">
        <f>($F$20-(E32*16))/($B$2/100)</f>
        <v>5.4637471188672917</v>
      </c>
      <c r="P20" s="18">
        <f>($F$20-(C32*13))/($B$2/100)</f>
        <v>19.075864339809012</v>
      </c>
      <c r="Q20" s="22">
        <f>($F$20-(D32*13))/($B$2/100)</f>
        <v>15.22337833388211</v>
      </c>
      <c r="R20" s="22">
        <f>($F$20-(E32*13))/($B$2/100)</f>
        <v>11.370892327955207</v>
      </c>
      <c r="S20" s="18">
        <f>($F$20-(C32*10))/($B$2/100)</f>
        <v>23.204939084622971</v>
      </c>
      <c r="T20" s="22">
        <f>($F$20-(D32*10))/($B$2/100)</f>
        <v>20.241488310833049</v>
      </c>
      <c r="U20" s="22">
        <f>($F$20-(E32*10))/($B$2/100)</f>
        <v>17.278037537043122</v>
      </c>
    </row>
    <row r="21" spans="1:23">
      <c r="A21" s="18" t="s">
        <v>49</v>
      </c>
      <c r="B21" s="18">
        <v>0.93200000000000005</v>
      </c>
      <c r="C21" s="18" t="str">
        <f t="shared" ref="C21:C24" si="0">B21*100&amp;"%"</f>
        <v>93.2%</v>
      </c>
      <c r="D21" s="13"/>
      <c r="E21" s="18">
        <f t="shared" ref="E21:E24" si="1">$B$16+$B$2*B21</f>
        <v>69589.58</v>
      </c>
      <c r="F21" s="88">
        <f>$A$29-E21</f>
        <v>4854.4199999999983</v>
      </c>
      <c r="G21" s="88"/>
      <c r="H21" s="18">
        <f t="shared" ref="H21:H24" si="2">F21/($B$2/100)</f>
        <v>31.968521567336175</v>
      </c>
      <c r="I21" s="13"/>
      <c r="J21" s="18">
        <f>($F$21-(C32*19))/($B$2/100)</f>
        <v>5.8177148501810887</v>
      </c>
      <c r="K21" s="22">
        <f>($F$21-(D32*19))/($B$2/100)</f>
        <v>0.18715837998023216</v>
      </c>
      <c r="L21" s="22">
        <f>($F$21-(E32*19))/($B$2/100)</f>
        <v>-5.443398090220624</v>
      </c>
      <c r="M21" s="18">
        <f>($F$21-(C32*16))/($B$2/100)</f>
        <v>9.9467895949950496</v>
      </c>
      <c r="N21" s="22">
        <f>($F$21-(D32*16))/($B$2/100)</f>
        <v>5.2052683569311711</v>
      </c>
      <c r="O21" s="22">
        <f>($F$21-(E32*16))/($B$2/100)</f>
        <v>0.46374711886729175</v>
      </c>
      <c r="P21" s="18">
        <f>($F$21-(C32*13))/($B$2/100)</f>
        <v>14.07586433980901</v>
      </c>
      <c r="Q21" s="22">
        <f>($F$21-(D32*13))/($B$2/100)</f>
        <v>10.22337833388211</v>
      </c>
      <c r="R21" s="22">
        <f>($F$21-(E32*13))/($B$2/100)</f>
        <v>6.3708923279552074</v>
      </c>
      <c r="S21" s="18">
        <f>($F$21-(C32*10))/($B$2/100)</f>
        <v>18.204939084622971</v>
      </c>
      <c r="T21" s="22">
        <f>($F$21-(D32*10))/($B$2/100)</f>
        <v>15.241488310833049</v>
      </c>
      <c r="U21" s="22">
        <f>($F$21-(E32*10))/($B$2/100)</f>
        <v>12.278037537043124</v>
      </c>
    </row>
    <row r="22" spans="1:23">
      <c r="A22" s="18" t="s">
        <v>50</v>
      </c>
      <c r="B22" s="18">
        <v>0.98199999999999998</v>
      </c>
      <c r="C22" s="18" t="str">
        <f t="shared" si="0"/>
        <v>98.2%</v>
      </c>
      <c r="D22" s="13"/>
      <c r="E22" s="18">
        <f t="shared" si="1"/>
        <v>70348.83</v>
      </c>
      <c r="F22" s="88">
        <f>$A$29-E22</f>
        <v>4095.1699999999983</v>
      </c>
      <c r="G22" s="88"/>
      <c r="H22" s="18">
        <f t="shared" si="2"/>
        <v>26.968521567336175</v>
      </c>
      <c r="I22" s="13"/>
      <c r="J22" s="18">
        <f>($F$22-(C32*19))/($B$2/100)</f>
        <v>0.81771485018108825</v>
      </c>
      <c r="K22" s="22">
        <f>($F$22-(D32*19))/($B$2/100)</f>
        <v>-4.8128416200197677</v>
      </c>
      <c r="L22" s="22">
        <f>($F$22-(E32*19))/($B$2/100)</f>
        <v>-10.443398090220624</v>
      </c>
      <c r="M22" s="18">
        <f>($F$22-(C32*16))/($B$2/100)</f>
        <v>4.9467895949950496</v>
      </c>
      <c r="N22" s="22">
        <f>($F$22-(D32*16))/($B$2/100)</f>
        <v>0.2052683569311706</v>
      </c>
      <c r="O22" s="22">
        <f>($F$22-(E32*16))/($B$2/100)</f>
        <v>-4.5362528811327083</v>
      </c>
      <c r="P22" s="18">
        <f>($F$22-(C32*13))/($B$2/100)</f>
        <v>9.0758643398090104</v>
      </c>
      <c r="Q22" s="22">
        <f>($F$22-(D32*13))/($B$2/100)</f>
        <v>5.2233783338821089</v>
      </c>
      <c r="R22" s="22">
        <f>($F$22-(E32*13))/($B$2/100)</f>
        <v>1.3708923279552074</v>
      </c>
      <c r="S22" s="18">
        <f>($F$22-(C32*10))/($B$2/100)</f>
        <v>13.204939084622973</v>
      </c>
      <c r="T22" s="22">
        <f>($F$22-(D32*10))/($B$2/100)</f>
        <v>10.241488310833049</v>
      </c>
      <c r="U22" s="22">
        <f>($F$22-(E32*10))/($B$2/100)</f>
        <v>7.2780375370431232</v>
      </c>
    </row>
    <row r="23" spans="1:23">
      <c r="A23" s="18" t="s">
        <v>51</v>
      </c>
      <c r="B23" s="18">
        <v>1.032</v>
      </c>
      <c r="C23" s="18" t="str">
        <f t="shared" si="0"/>
        <v>103.2%</v>
      </c>
      <c r="D23" s="13"/>
      <c r="E23" s="18">
        <f t="shared" si="1"/>
        <v>71108.08</v>
      </c>
      <c r="F23" s="88">
        <f>$A$29-E23</f>
        <v>3335.9199999999983</v>
      </c>
      <c r="G23" s="88"/>
      <c r="H23" s="18">
        <f t="shared" si="2"/>
        <v>21.968521567336175</v>
      </c>
      <c r="I23" s="13"/>
      <c r="J23" s="18">
        <f>($F$23-(C32*19))/($B$2/100)</f>
        <v>-4.1822851498189122</v>
      </c>
      <c r="K23" s="22">
        <f>($F$23-(D32*19))/($B$2/100)</f>
        <v>-9.8128416200197677</v>
      </c>
      <c r="L23" s="22">
        <f>($F$23-(E32*19))/($B$2/100)</f>
        <v>-15.443398090220624</v>
      </c>
      <c r="M23" s="18">
        <f>($F$23-(C32*16))/($B$2/100)</f>
        <v>-5.3210405004950584E-2</v>
      </c>
      <c r="N23" s="22">
        <f>($F$23-(D32*16))/($B$2/100)</f>
        <v>-4.7947316430688298</v>
      </c>
      <c r="O23" s="22">
        <f>($F$23-(E32*16))/($B$2/100)</f>
        <v>-9.5362528811327092</v>
      </c>
      <c r="P23" s="18">
        <f>($F$23-(C32*13))/($B$2/100)</f>
        <v>4.0758643398090104</v>
      </c>
      <c r="Q23" s="22">
        <f>($F$23-(D32*13))/($B$2/100)</f>
        <v>0.22337833388210901</v>
      </c>
      <c r="R23" s="22">
        <f>($F$23-(E32*13))/($B$2/100)</f>
        <v>-3.6291076720447926</v>
      </c>
      <c r="S23" s="18">
        <f>($F$23-(C32*10))/($B$2/100)</f>
        <v>8.2049390846229713</v>
      </c>
      <c r="T23" s="22">
        <f>($F$23-(D32*10))/($B$2/100)</f>
        <v>5.2414883108330477</v>
      </c>
      <c r="U23" s="22">
        <f>($F$23-(E32*10))/($B$2/100)</f>
        <v>2.2780375370431232</v>
      </c>
    </row>
    <row r="24" spans="1:23">
      <c r="A24" s="23" t="s">
        <v>52</v>
      </c>
      <c r="B24" s="23">
        <v>1.0820000000000001</v>
      </c>
      <c r="C24" s="23" t="str">
        <f t="shared" si="0"/>
        <v>108.2%</v>
      </c>
      <c r="D24" s="13"/>
      <c r="E24" s="23">
        <f t="shared" si="1"/>
        <v>71867.33</v>
      </c>
      <c r="F24" s="98">
        <f>$A$29-E24</f>
        <v>2576.6699999999983</v>
      </c>
      <c r="G24" s="98"/>
      <c r="H24" s="23">
        <f t="shared" si="2"/>
        <v>16.968521567336175</v>
      </c>
      <c r="I24" s="13"/>
      <c r="J24" s="23">
        <f>($F$24-(C32*19))/($B$2/100)</f>
        <v>-9.1822851498189113</v>
      </c>
      <c r="K24" s="24">
        <f>($F$24-(D32*19))/($B$2/100)</f>
        <v>-14.812841620019768</v>
      </c>
      <c r="L24" s="24">
        <f>($F$24-(E32*19))/($B$2/100)</f>
        <v>-20.443398090220626</v>
      </c>
      <c r="M24" s="23">
        <f>($F$24-(C32*16))/($B$2/100)</f>
        <v>-5.0532104050049504</v>
      </c>
      <c r="N24" s="24">
        <f>($F$24-(D32*16))/($B$2/100)</f>
        <v>-9.7947316430688289</v>
      </c>
      <c r="O24" s="24">
        <f>($F$24-(E32*16))/($B$2/100)</f>
        <v>-14.536252881132709</v>
      </c>
      <c r="P24" s="23">
        <f>($F$24-(C32*13))/($B$2/100)</f>
        <v>-0.92413566019098947</v>
      </c>
      <c r="Q24" s="24">
        <f>($F$24-(D32*13))/($B$2/100)</f>
        <v>-4.7766216661178911</v>
      </c>
      <c r="R24" s="24">
        <f>($F$24-(E32*13))/($B$2/100)</f>
        <v>-8.6291076720447926</v>
      </c>
      <c r="S24" s="23">
        <f>($F$24-(C32*10))/($B$2/100)</f>
        <v>3.2049390846229717</v>
      </c>
      <c r="T24" s="24">
        <f>($F$24-(D32*10))/($B$2/100)</f>
        <v>0.24148831083304745</v>
      </c>
      <c r="U24" s="24">
        <f>($F$24-(E32*10))/($B$2/100)</f>
        <v>-2.7219624629568768</v>
      </c>
    </row>
    <row r="25" spans="1:23">
      <c r="A25" s="25"/>
      <c r="B25" s="26"/>
      <c r="C25" s="26"/>
      <c r="D25" s="27"/>
      <c r="E25" s="27"/>
      <c r="F25" s="99"/>
      <c r="G25" s="99"/>
      <c r="H25" s="28"/>
      <c r="I25" s="27"/>
      <c r="J25" s="28"/>
      <c r="K25" s="28"/>
      <c r="L25" s="28"/>
      <c r="M25" s="28"/>
      <c r="N25" s="28"/>
      <c r="O25" s="28"/>
      <c r="P25" s="28"/>
      <c r="Q25" s="27"/>
      <c r="R25" s="27"/>
      <c r="S25" s="27"/>
      <c r="T25" s="27"/>
      <c r="U25" s="29"/>
    </row>
    <row r="26" spans="1:23">
      <c r="A26" s="30" t="s">
        <v>53</v>
      </c>
      <c r="B26" s="101" t="s">
        <v>9</v>
      </c>
      <c r="C26" s="102"/>
      <c r="D26" s="31"/>
      <c r="E26" s="32"/>
      <c r="F26" s="100"/>
      <c r="G26" s="100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</row>
    <row r="27" spans="1:23">
      <c r="A27" s="18" t="s">
        <v>48</v>
      </c>
      <c r="B27" s="18">
        <v>0.41299999999999998</v>
      </c>
      <c r="C27" s="18" t="str">
        <f>B27*100&amp;"%"</f>
        <v>41.3%</v>
      </c>
      <c r="D27" s="13"/>
      <c r="E27" s="66">
        <f>$B$16+B2*B27</f>
        <v>61708.565000000002</v>
      </c>
      <c r="F27" s="89">
        <f>$A$29-E27</f>
        <v>12735.434999999998</v>
      </c>
      <c r="G27" s="110"/>
      <c r="H27" s="66">
        <f>F27/($B$2/100)</f>
        <v>83.868521567336174</v>
      </c>
      <c r="I27" s="38"/>
      <c r="J27" s="35">
        <f>($F$27-(C32*19))/($B$2/100)</f>
        <v>57.717714850181089</v>
      </c>
      <c r="K27" s="36">
        <f>($F$27-(D32*19))/($B$2/100)</f>
        <v>52.087158379980231</v>
      </c>
      <c r="L27" s="37">
        <f>($F$27-(E32*19))/($B$2/100)</f>
        <v>46.456601909779373</v>
      </c>
      <c r="M27" s="35">
        <f>($F$27-(C32*16))/($B$2/100)</f>
        <v>61.846789594995045</v>
      </c>
      <c r="N27" s="36">
        <f>($F$27-(D32*16))/($B$2/100)</f>
        <v>57.10526835693117</v>
      </c>
      <c r="O27" s="37">
        <f>($F$27-(E32*16))/($B$2/100)</f>
        <v>52.363747118867288</v>
      </c>
      <c r="P27" s="35">
        <f>($F$27-(C32*13))/($B$2/100)</f>
        <v>65.975864339809007</v>
      </c>
      <c r="Q27" s="36">
        <f>($F$27-(D32*13))/($B$2/100)</f>
        <v>62.123378333882108</v>
      </c>
      <c r="R27" s="37">
        <f>($F$27-(E32*13))/($B$2/100)</f>
        <v>58.270892327955202</v>
      </c>
      <c r="S27" s="35">
        <f>($F$27-(C32*10))/($B$2/100)</f>
        <v>70.10493908462297</v>
      </c>
      <c r="T27" s="36">
        <f>($F$27-(D32*10))/($B$2/100)</f>
        <v>67.14148831083304</v>
      </c>
      <c r="U27" s="37">
        <f>($F$27-(E32*10))/($B$2/100)</f>
        <v>64.178037537043124</v>
      </c>
    </row>
    <row r="28" spans="1:23">
      <c r="A28" s="88" t="s">
        <v>7</v>
      </c>
      <c r="B28" s="88"/>
      <c r="C28" s="43" t="s">
        <v>74</v>
      </c>
      <c r="I28" s="118" t="s">
        <v>73</v>
      </c>
      <c r="J28" s="18">
        <f>J$27/($F$33*100)</f>
        <v>14.077491426873435</v>
      </c>
      <c r="K28" s="18">
        <f>K$27/($F$33*100)</f>
        <v>12.704184970726883</v>
      </c>
      <c r="L28" s="18">
        <f>L$27/($F$33*100)</f>
        <v>11.330878514580334</v>
      </c>
      <c r="M28" s="18">
        <f>M$27/($F$33*100)</f>
        <v>15.084582828047569</v>
      </c>
      <c r="N28" s="18">
        <f>N$27/($F$33*100)</f>
        <v>13.928114233397844</v>
      </c>
      <c r="O28" s="18">
        <f>O$27/($F$33*100)</f>
        <v>12.771645638748117</v>
      </c>
      <c r="P28" s="18">
        <f>P$27/($F$33*100)</f>
        <v>16.091674229221706</v>
      </c>
      <c r="Q28" s="18">
        <f>Q$27/($F$33*100)</f>
        <v>15.152043496068805</v>
      </c>
      <c r="R28" s="18">
        <f>R$27/($F$33*100)</f>
        <v>14.212412762915902</v>
      </c>
      <c r="S28" s="18">
        <f>S$27/($F$33*100)</f>
        <v>17.098765630395842</v>
      </c>
      <c r="T28" s="18">
        <f>T$27/($F$33*100)</f>
        <v>16.375972758739763</v>
      </c>
      <c r="U28" s="18">
        <f>U$27/($F$33*100)</f>
        <v>15.653179887083686</v>
      </c>
      <c r="V28" s="83" t="s">
        <v>12</v>
      </c>
      <c r="W28" s="83"/>
    </row>
    <row r="29" spans="1:23">
      <c r="A29" s="116">
        <v>74444</v>
      </c>
      <c r="B29" s="116"/>
      <c r="C29" s="43">
        <f>B2*0.2</f>
        <v>3037</v>
      </c>
      <c r="F29" s="17" t="s">
        <v>44</v>
      </c>
      <c r="I29" s="119" t="s">
        <v>75</v>
      </c>
      <c r="J29" s="18">
        <f>J$27/($G$33*100)</f>
        <v>11.543542970036217</v>
      </c>
      <c r="K29" s="18">
        <f>K$27/($G$33*100)</f>
        <v>10.417431675996045</v>
      </c>
      <c r="L29" s="18">
        <f>L$27/($G$33*100)</f>
        <v>9.2913203819558738</v>
      </c>
      <c r="M29" s="18">
        <f>M$27/($G$33*100)</f>
        <v>12.369357918999009</v>
      </c>
      <c r="N29" s="18">
        <f>N$27/($G$33*100)</f>
        <v>11.421053671386234</v>
      </c>
      <c r="O29" s="18">
        <f>O$27/($G$33*100)</f>
        <v>10.472749423773458</v>
      </c>
      <c r="P29" s="15">
        <f>P$27/($G$33*100)</f>
        <v>13.195172867961801</v>
      </c>
      <c r="Q29" s="15">
        <f>Q$27/($G$33*100)</f>
        <v>12.424675666776421</v>
      </c>
      <c r="R29" s="15">
        <f>R$27/($G$33*100)</f>
        <v>11.654178465591041</v>
      </c>
      <c r="S29" s="15">
        <f>S$27/($G$33*100)</f>
        <v>14.020987816924594</v>
      </c>
      <c r="T29" s="15">
        <f>T$27/($G$33*100)</f>
        <v>13.428297662166608</v>
      </c>
      <c r="U29" s="15">
        <f>U$27/($G$33*100)</f>
        <v>12.835607507408625</v>
      </c>
      <c r="V29" s="83"/>
      <c r="W29" s="83"/>
    </row>
    <row r="30" spans="1:23">
      <c r="A30" s="93" t="s">
        <v>113</v>
      </c>
      <c r="B30" s="94"/>
      <c r="C30" s="95" t="s">
        <v>55</v>
      </c>
      <c r="D30" s="84" t="s">
        <v>56</v>
      </c>
      <c r="E30" s="86" t="s">
        <v>57</v>
      </c>
      <c r="F30" s="88" t="s">
        <v>11</v>
      </c>
      <c r="G30" s="88"/>
      <c r="H30" s="89"/>
      <c r="I30" s="67" t="s">
        <v>76</v>
      </c>
      <c r="J30" s="18">
        <f>J$27/($H$33*100)</f>
        <v>9.9513301465829453</v>
      </c>
      <c r="K30" s="18">
        <f>K$27/($H$33*100)</f>
        <v>8.9805445482724533</v>
      </c>
      <c r="L30" s="18">
        <f>L$27/($H$33*100)</f>
        <v>8.0097589499619595</v>
      </c>
      <c r="M30" s="18">
        <f>M$27/($H$33*100)</f>
        <v>10.663239585343971</v>
      </c>
      <c r="N30" s="18">
        <f>N$27/($H$33*100)</f>
        <v>9.8457359236088209</v>
      </c>
      <c r="O30" s="18">
        <f>O$27/($H$33*100)</f>
        <v>9.0282322618736686</v>
      </c>
      <c r="P30" s="18">
        <f>P$27/($H$33*100)</f>
        <v>11.375149024104999</v>
      </c>
      <c r="Q30" s="18">
        <f>Q$27/($H$33*100)</f>
        <v>10.71092729894519</v>
      </c>
      <c r="R30" s="18">
        <f>R$27/($H$33*100)</f>
        <v>10.046705573785378</v>
      </c>
      <c r="S30" s="18">
        <f>S$27/($H$33*100)</f>
        <v>12.087058462866027</v>
      </c>
      <c r="T30" s="18">
        <f>T$27/($H$33*100)</f>
        <v>11.576118674281558</v>
      </c>
      <c r="U30" s="18">
        <f>U$27/($H$33*100)</f>
        <v>11.065178885697089</v>
      </c>
      <c r="V30" s="83"/>
      <c r="W30" s="83"/>
    </row>
    <row r="31" spans="1:23">
      <c r="A31" s="93"/>
      <c r="B31" s="94"/>
      <c r="C31" s="96"/>
      <c r="D31" s="97"/>
      <c r="E31" s="87"/>
      <c r="F31" s="88"/>
      <c r="G31" s="88"/>
      <c r="H31" s="88"/>
    </row>
    <row r="32" spans="1:23">
      <c r="A32" s="90" t="s">
        <v>41</v>
      </c>
      <c r="B32" s="90"/>
      <c r="C32" s="117">
        <v>209</v>
      </c>
      <c r="D32" s="117">
        <v>254</v>
      </c>
      <c r="E32" s="117">
        <v>299</v>
      </c>
      <c r="H32" s="39"/>
    </row>
    <row r="33" spans="1:14">
      <c r="A33" s="90" t="s">
        <v>36</v>
      </c>
      <c r="B33" s="90"/>
      <c r="C33" s="18" t="str">
        <f>F33*100&amp;"%"</f>
        <v>4.1%</v>
      </c>
      <c r="D33" s="18" t="str">
        <f t="shared" ref="D33:E33" si="3">G33*100&amp;"%"</f>
        <v>5%</v>
      </c>
      <c r="E33" s="18" t="str">
        <f t="shared" si="3"/>
        <v>5.8%</v>
      </c>
      <c r="F33" s="18">
        <v>4.1000000000000002E-2</v>
      </c>
      <c r="G33" s="18">
        <v>0.05</v>
      </c>
      <c r="H33" s="18">
        <v>5.800000000000001E-2</v>
      </c>
    </row>
    <row r="34" spans="1:14">
      <c r="A34" s="84" t="s">
        <v>23</v>
      </c>
      <c r="B34" s="84"/>
      <c r="C34" s="84"/>
      <c r="D34" s="84"/>
      <c r="E34" s="84"/>
      <c r="F34" s="84"/>
      <c r="G34" s="84"/>
      <c r="H34" s="84"/>
    </row>
    <row r="35" spans="1:14">
      <c r="A35" s="85" t="s">
        <v>100</v>
      </c>
      <c r="B35" s="85"/>
      <c r="C35" s="111"/>
      <c r="D35" s="40" t="s">
        <v>55</v>
      </c>
      <c r="E35" s="40" t="s">
        <v>56</v>
      </c>
      <c r="F35" s="40" t="s">
        <v>57</v>
      </c>
      <c r="G35" s="17" t="s">
        <v>59</v>
      </c>
      <c r="H35" s="40" t="s">
        <v>55</v>
      </c>
      <c r="I35" s="40" t="s">
        <v>56</v>
      </c>
      <c r="J35" s="40" t="s">
        <v>57</v>
      </c>
      <c r="K35" s="17" t="s">
        <v>60</v>
      </c>
      <c r="L35" s="40" t="s">
        <v>55</v>
      </c>
      <c r="M35" s="40" t="s">
        <v>56</v>
      </c>
      <c r="N35" s="40" t="s">
        <v>57</v>
      </c>
    </row>
    <row r="36" spans="1:14">
      <c r="A36" s="85"/>
      <c r="B36" s="85"/>
      <c r="C36" s="111"/>
      <c r="D36" s="18">
        <f>F33*600</f>
        <v>24.6</v>
      </c>
      <c r="E36" s="18">
        <f t="shared" ref="E36:F36" si="4">G33*600</f>
        <v>30</v>
      </c>
      <c r="F36" s="18">
        <f t="shared" si="4"/>
        <v>34.800000000000004</v>
      </c>
      <c r="H36" s="18">
        <f>F33*500</f>
        <v>20.5</v>
      </c>
      <c r="I36" s="18">
        <f t="shared" ref="I36:J36" si="5">G33*500</f>
        <v>25</v>
      </c>
      <c r="J36" s="18">
        <f t="shared" si="5"/>
        <v>29.000000000000004</v>
      </c>
      <c r="L36" s="18">
        <f>F33*400</f>
        <v>16.400000000000002</v>
      </c>
      <c r="M36" s="18">
        <f t="shared" ref="M36:N36" si="6">G33*400</f>
        <v>20</v>
      </c>
      <c r="N36" s="18">
        <f t="shared" si="6"/>
        <v>23.200000000000003</v>
      </c>
    </row>
    <row r="37" spans="1:14">
      <c r="C37" s="17" t="s">
        <v>58</v>
      </c>
      <c r="D37" s="18">
        <f>D36*2</f>
        <v>49.2</v>
      </c>
      <c r="E37" s="18">
        <f t="shared" ref="E37:F37" si="7">E36*2</f>
        <v>60</v>
      </c>
      <c r="F37" s="18">
        <f t="shared" si="7"/>
        <v>69.600000000000009</v>
      </c>
      <c r="H37" s="18">
        <f>H36*2</f>
        <v>41</v>
      </c>
      <c r="I37" s="18">
        <f>I36*2</f>
        <v>50</v>
      </c>
      <c r="J37" s="18">
        <f>J36*2</f>
        <v>58.000000000000007</v>
      </c>
      <c r="L37" s="18">
        <f>L36*2</f>
        <v>32.800000000000004</v>
      </c>
      <c r="M37" s="18">
        <f>M36*2</f>
        <v>40</v>
      </c>
      <c r="N37" s="18">
        <f>N36*2</f>
        <v>46.400000000000006</v>
      </c>
    </row>
  </sheetData>
  <mergeCells count="35">
    <mergeCell ref="L9:L10"/>
    <mergeCell ref="A13:A14"/>
    <mergeCell ref="A1:A2"/>
    <mergeCell ref="A5:A6"/>
    <mergeCell ref="E5:I5"/>
    <mergeCell ref="E6:I6"/>
    <mergeCell ref="A9:A10"/>
    <mergeCell ref="A15:A16"/>
    <mergeCell ref="B19:C19"/>
    <mergeCell ref="B26:C26"/>
    <mergeCell ref="A28:B28"/>
    <mergeCell ref="A29:B29"/>
    <mergeCell ref="S18:U18"/>
    <mergeCell ref="P18:R18"/>
    <mergeCell ref="M18:O18"/>
    <mergeCell ref="J18:L18"/>
    <mergeCell ref="A30:B31"/>
    <mergeCell ref="C30:C31"/>
    <mergeCell ref="D30:D31"/>
    <mergeCell ref="F24:G24"/>
    <mergeCell ref="F25:G25"/>
    <mergeCell ref="F26:G26"/>
    <mergeCell ref="F27:G27"/>
    <mergeCell ref="F19:G19"/>
    <mergeCell ref="F20:G20"/>
    <mergeCell ref="F21:G21"/>
    <mergeCell ref="F22:G22"/>
    <mergeCell ref="F23:G23"/>
    <mergeCell ref="V28:W30"/>
    <mergeCell ref="A34:H34"/>
    <mergeCell ref="A35:C36"/>
    <mergeCell ref="E30:E31"/>
    <mergeCell ref="F30:H31"/>
    <mergeCell ref="A32:B32"/>
    <mergeCell ref="A33:B33"/>
  </mergeCells>
  <phoneticPr fontId="5" type="noConversion"/>
  <pageMargins left="0.69972223043441772" right="0.69972223043441772" top="0.75" bottom="0.75" header="0.30000001192092896" footer="0.30000001192092896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7" r:id="rId4" name="Check Box 15">
              <controlPr defaultSize="0" autoFill="0" autoLine="0" autoPict="0">
                <anchor moveWithCells="1">
                  <from>
                    <xdr:col>5</xdr:col>
                    <xdr:colOff>213360</xdr:colOff>
                    <xdr:row>0</xdr:row>
                    <xdr:rowOff>198120</xdr:rowOff>
                  </from>
                  <to>
                    <xdr:col>6</xdr:col>
                    <xdr:colOff>7620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5" name="Check Box 17">
              <controlPr defaultSize="0" autoFill="0" autoLine="0" autoPict="0">
                <anchor moveWithCells="1">
                  <from>
                    <xdr:col>7</xdr:col>
                    <xdr:colOff>266700</xdr:colOff>
                    <xdr:row>0</xdr:row>
                    <xdr:rowOff>205740</xdr:rowOff>
                  </from>
                  <to>
                    <xdr:col>7</xdr:col>
                    <xdr:colOff>579120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6" name="Check Box 18">
              <controlPr defaultSize="0" autoFill="0" autoLine="0" autoPict="0">
                <anchor moveWithCells="1">
                  <from>
                    <xdr:col>6</xdr:col>
                    <xdr:colOff>190500</xdr:colOff>
                    <xdr:row>0</xdr:row>
                    <xdr:rowOff>205740</xdr:rowOff>
                  </from>
                  <to>
                    <xdr:col>6</xdr:col>
                    <xdr:colOff>495300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7" name="Check Box 19">
              <controlPr defaultSize="0" autoFill="0" autoLine="0" autoPict="0">
                <anchor moveWithCells="1">
                  <from>
                    <xdr:col>1</xdr:col>
                    <xdr:colOff>281940</xdr:colOff>
                    <xdr:row>8</xdr:row>
                    <xdr:rowOff>198120</xdr:rowOff>
                  </from>
                  <to>
                    <xdr:col>1</xdr:col>
                    <xdr:colOff>594360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8" name="Check Box 20">
              <controlPr defaultSize="0" autoFill="0" autoLine="0" autoPict="0">
                <anchor moveWithCells="1">
                  <from>
                    <xdr:col>2</xdr:col>
                    <xdr:colOff>304800</xdr:colOff>
                    <xdr:row>8</xdr:row>
                    <xdr:rowOff>198120</xdr:rowOff>
                  </from>
                  <to>
                    <xdr:col>2</xdr:col>
                    <xdr:colOff>617220</xdr:colOff>
                    <xdr:row>10</xdr:row>
                    <xdr:rowOff>15240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계산식!$A$27:$B$27</xm:f>
          </x14:formula1>
          <xm:sqref>I10</xm:sqref>
        </x14:dataValidation>
        <x14:dataValidation type="list" allowBlank="1" showInputMessage="1" showErrorMessage="1" xr:uid="{00000000-0002-0000-0200-000001000000}">
          <x14:formula1>
            <xm:f>닐루계산식!$E$2:$E$8</xm:f>
          </x14:formula1>
          <xm:sqref>F10</xm:sqref>
        </x14:dataValidation>
        <x14:dataValidation type="list" allowBlank="1" showInputMessage="1" showErrorMessage="1" xr:uid="{00000000-0002-0000-0200-000002000000}">
          <x14:formula1>
            <xm:f>닐루계산식!$D$2:$D$7</xm:f>
          </x14:formula1>
          <xm:sqref>E10</xm:sqref>
        </x14:dataValidation>
        <x14:dataValidation type="list" allowBlank="1" showInputMessage="1" showErrorMessage="1" xr:uid="{00000000-0002-0000-0200-000003000000}">
          <x14:formula1>
            <xm:f>닐루계산식!$C$2:$C$6</xm:f>
          </x14:formula1>
          <xm:sqref>D10</xm:sqref>
        </x14:dataValidation>
        <x14:dataValidation type="list" allowBlank="1" showInputMessage="1" showErrorMessage="1" xr:uid="{00000000-0002-0000-0200-000004000000}">
          <x14:formula1>
            <xm:f>닐루계산식!$C$25:$L$25</xm:f>
          </x14:formula1>
          <xm:sqref>C6</xm:sqref>
        </x14:dataValidation>
        <x14:dataValidation type="list" allowBlank="1" showInputMessage="1" showErrorMessage="1" xr:uid="{00000000-0002-0000-0200-000005000000}">
          <x14:formula1>
            <xm:f>닐루계산식!$C$23:$L$23</xm:f>
          </x14:formula1>
          <xm:sqref>B6</xm:sqref>
        </x14:dataValidation>
        <x14:dataValidation type="list" allowBlank="1" showInputMessage="1" showErrorMessage="1" xr:uid="{AA6270AD-4470-4BBD-BBA4-1E826E58D530}">
          <x14:formula1>
            <xm:f>'닐루성유물 부옵수'!$A$16:$A$26</xm:f>
          </x14:formula1>
          <xm:sqref>N9</xm:sqref>
        </x14:dataValidation>
        <x14:dataValidation type="list" allowBlank="1" showInputMessage="1" showErrorMessage="1" xr:uid="{C1363B0E-7AE0-4FA9-A000-A0098B01C0B9}">
          <x14:formula1>
            <xm:f>'닐루성유물 부옵수'!$A$16:$A$26</xm:f>
          </x14:formula1>
          <xm:sqref>M9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AD2C-97A2-4EF2-AD3A-35A1B59F87B0}">
  <dimension ref="A1:T44"/>
  <sheetViews>
    <sheetView zoomScale="83" zoomScaleNormal="83" zoomScaleSheetLayoutView="225" workbookViewId="0">
      <selection activeCell="P15" sqref="P15"/>
    </sheetView>
  </sheetViews>
  <sheetFormatPr defaultColWidth="8.796875" defaultRowHeight="17.399999999999999"/>
  <cols>
    <col min="1" max="4" width="8.796875" style="60"/>
    <col min="5" max="5" width="10.3984375" style="60" bestFit="1" customWidth="1"/>
    <col min="6" max="9" width="8.796875" style="60"/>
    <col min="10" max="10" width="9.09765625" style="60" customWidth="1"/>
    <col min="11" max="11" width="10.3984375" style="60" bestFit="1" customWidth="1"/>
    <col min="12" max="19" width="8.796875" style="60"/>
    <col min="20" max="20" width="10.3984375" style="60" bestFit="1" customWidth="1"/>
    <col min="21" max="16384" width="8.796875" style="60"/>
  </cols>
  <sheetData>
    <row r="1" spans="1:20">
      <c r="A1" s="9" t="s">
        <v>27</v>
      </c>
      <c r="B1" s="9" t="s">
        <v>29</v>
      </c>
      <c r="C1" s="9" t="s">
        <v>30</v>
      </c>
      <c r="D1" s="9" t="s">
        <v>31</v>
      </c>
      <c r="E1" s="9" t="s">
        <v>32</v>
      </c>
      <c r="G1" s="9" t="s">
        <v>25</v>
      </c>
      <c r="H1" s="9" t="s">
        <v>26</v>
      </c>
      <c r="I1" s="9" t="s">
        <v>40</v>
      </c>
      <c r="J1" s="60" t="s">
        <v>68</v>
      </c>
      <c r="K1" s="60" t="s">
        <v>36</v>
      </c>
      <c r="L1" s="60" t="s">
        <v>35</v>
      </c>
      <c r="M1" s="60" t="s">
        <v>37</v>
      </c>
      <c r="N1" s="60" t="s">
        <v>33</v>
      </c>
      <c r="O1" s="60" t="s">
        <v>34</v>
      </c>
      <c r="P1" s="60" t="s">
        <v>38</v>
      </c>
      <c r="Q1" s="60" t="s">
        <v>39</v>
      </c>
      <c r="R1" s="60" t="s">
        <v>83</v>
      </c>
      <c r="S1" s="60" t="s">
        <v>97</v>
      </c>
      <c r="T1" s="60" t="s">
        <v>96</v>
      </c>
    </row>
    <row r="2" spans="1:20">
      <c r="A2" s="60">
        <v>4780</v>
      </c>
      <c r="B2" s="60">
        <v>311</v>
      </c>
      <c r="C2" s="60" t="s">
        <v>36</v>
      </c>
      <c r="D2" s="60" t="s">
        <v>36</v>
      </c>
      <c r="E2" s="60" t="s">
        <v>36</v>
      </c>
      <c r="G2" s="60">
        <v>0.25</v>
      </c>
      <c r="H2" s="60">
        <v>0.25</v>
      </c>
      <c r="I2" s="60">
        <v>50</v>
      </c>
      <c r="K2" s="60">
        <v>0.46600000000000003</v>
      </c>
      <c r="L2" s="60">
        <v>0.46600000000000003</v>
      </c>
      <c r="M2" s="60">
        <v>0.58299999999999996</v>
      </c>
      <c r="N2" s="60">
        <v>187</v>
      </c>
      <c r="O2" s="60">
        <v>51.8</v>
      </c>
      <c r="P2" s="60">
        <v>31.1</v>
      </c>
      <c r="Q2" s="60">
        <v>62.2</v>
      </c>
      <c r="R2" s="60">
        <v>46.6</v>
      </c>
      <c r="S2" s="60">
        <v>58.3</v>
      </c>
      <c r="T2" s="60">
        <v>35.9</v>
      </c>
    </row>
    <row r="3" spans="1:20">
      <c r="A3" s="60" t="s">
        <v>41</v>
      </c>
      <c r="B3" s="60" t="s">
        <v>42</v>
      </c>
      <c r="C3" s="60" t="s">
        <v>35</v>
      </c>
      <c r="D3" s="60" t="s">
        <v>35</v>
      </c>
      <c r="E3" s="60" t="s">
        <v>35</v>
      </c>
      <c r="G3" s="60" t="s">
        <v>36</v>
      </c>
      <c r="H3" s="60" t="s">
        <v>35</v>
      </c>
      <c r="I3" s="60" t="s">
        <v>33</v>
      </c>
    </row>
    <row r="4" spans="1:20">
      <c r="C4" s="60" t="s">
        <v>37</v>
      </c>
      <c r="D4" s="60" t="s">
        <v>37</v>
      </c>
      <c r="E4" s="60" t="s">
        <v>37</v>
      </c>
    </row>
    <row r="5" spans="1:20">
      <c r="C5" s="60" t="s">
        <v>33</v>
      </c>
      <c r="D5" s="60" t="s">
        <v>33</v>
      </c>
      <c r="E5" s="60" t="s">
        <v>33</v>
      </c>
    </row>
    <row r="6" spans="1:20">
      <c r="C6" s="60" t="s">
        <v>34</v>
      </c>
      <c r="D6" s="60" t="s">
        <v>83</v>
      </c>
      <c r="E6" s="60" t="s">
        <v>38</v>
      </c>
      <c r="N6" s="78" t="s">
        <v>115</v>
      </c>
      <c r="O6" s="78"/>
      <c r="P6" s="78"/>
      <c r="Q6" s="78"/>
      <c r="R6" s="78"/>
      <c r="S6" s="78"/>
      <c r="T6" s="78"/>
    </row>
    <row r="7" spans="1:20">
      <c r="D7" s="60" t="s">
        <v>97</v>
      </c>
      <c r="E7" s="60" t="s">
        <v>39</v>
      </c>
      <c r="N7" s="78"/>
      <c r="O7" s="78"/>
      <c r="P7" s="78"/>
      <c r="Q7" s="78"/>
      <c r="R7" s="78"/>
      <c r="S7" s="78"/>
      <c r="T7" s="78"/>
    </row>
    <row r="8" spans="1:20">
      <c r="E8" s="60" t="s">
        <v>96</v>
      </c>
      <c r="G8" s="59" t="s">
        <v>114</v>
      </c>
      <c r="N8" s="78"/>
      <c r="O8" s="78"/>
      <c r="P8" s="78"/>
      <c r="Q8" s="78"/>
      <c r="R8" s="78"/>
      <c r="S8" s="78"/>
      <c r="T8" s="78"/>
    </row>
    <row r="9" spans="1:20">
      <c r="N9" s="78"/>
      <c r="O9" s="78"/>
      <c r="P9" s="78"/>
      <c r="Q9" s="78"/>
      <c r="R9" s="78"/>
      <c r="S9" s="78"/>
      <c r="T9" s="78"/>
    </row>
    <row r="10" spans="1:20">
      <c r="A10" s="79" t="s">
        <v>84</v>
      </c>
      <c r="B10" s="3" t="s">
        <v>105</v>
      </c>
      <c r="C10" s="3" t="s">
        <v>104</v>
      </c>
      <c r="D10" s="3" t="s">
        <v>106</v>
      </c>
      <c r="N10" s="78"/>
      <c r="O10" s="78"/>
      <c r="P10" s="78"/>
      <c r="Q10" s="78"/>
      <c r="R10" s="78"/>
      <c r="S10" s="78"/>
      <c r="T10" s="78"/>
    </row>
    <row r="11" spans="1:20">
      <c r="A11" s="79"/>
      <c r="B11" s="62">
        <f>닐루!B2</f>
        <v>15185</v>
      </c>
      <c r="C11" s="62">
        <f>닐루!C2+닐루!G2</f>
        <v>436</v>
      </c>
      <c r="D11" s="62">
        <f>닐루!D2</f>
        <v>729</v>
      </c>
      <c r="N11" s="78"/>
      <c r="O11" s="78"/>
      <c r="P11" s="78"/>
      <c r="Q11" s="78"/>
      <c r="R11" s="78"/>
      <c r="S11" s="78"/>
      <c r="T11" s="78"/>
    </row>
    <row r="12" spans="1:20">
      <c r="A12" s="82" t="s">
        <v>4</v>
      </c>
      <c r="B12" s="3" t="s">
        <v>105</v>
      </c>
      <c r="C12" s="3" t="s">
        <v>104</v>
      </c>
      <c r="D12" s="3" t="s">
        <v>106</v>
      </c>
      <c r="E12" s="3" t="s">
        <v>33</v>
      </c>
      <c r="F12" s="3" t="s">
        <v>34</v>
      </c>
      <c r="G12" s="3" t="s">
        <v>38</v>
      </c>
      <c r="H12" s="3" t="s">
        <v>39</v>
      </c>
      <c r="I12" s="3" t="s">
        <v>83</v>
      </c>
      <c r="J12" s="3" t="s">
        <v>97</v>
      </c>
      <c r="K12" s="3" t="s">
        <v>96</v>
      </c>
      <c r="N12" s="78"/>
      <c r="O12" s="78"/>
      <c r="P12" s="78"/>
      <c r="Q12" s="78"/>
      <c r="R12" s="78"/>
      <c r="S12" s="78"/>
      <c r="T12" s="78"/>
    </row>
    <row r="13" spans="1:20">
      <c r="A13" s="81"/>
      <c r="B13" s="62">
        <f>IF(닐루!B6=K1,B11*E24)+IF(닐루!C6=K1,B11*E26)</f>
        <v>4373.28</v>
      </c>
      <c r="C13" s="62">
        <f>IF(닐루!B6=L1,C11*C24)+IF(닐루!C6=L1,C11*C26)</f>
        <v>0</v>
      </c>
      <c r="D13" s="62">
        <f>IF(닐루!B6=M1,D11*D24)+IF(닐루!C6=M1,D11*D26)</f>
        <v>0</v>
      </c>
      <c r="E13" s="62">
        <f>IF(닐루!B6=N1,F24)+IF(닐루!C6=N1,F26)</f>
        <v>0</v>
      </c>
      <c r="F13" s="62">
        <f>IF(닐루!B6=O1,닐루계산식!G24)+IF(닐루!C6=O1,닐루계산식!G26)</f>
        <v>0</v>
      </c>
      <c r="G13" s="62">
        <f>IF(닐루!B6=P1,H24)+IF(닐루!C6=P1,H26)</f>
        <v>0</v>
      </c>
      <c r="H13" s="62">
        <f>IF(닐루!B6=Q1,닐루계산식!I24)+IF(닐루!C6=Q1,닐루계산식!I26)</f>
        <v>0</v>
      </c>
      <c r="I13" s="62">
        <f>IF(닐루!B6=R1,닐루계산식!J24)+IF(닐루!C6=R1,닐루계산식!J26)</f>
        <v>0</v>
      </c>
      <c r="J13" s="62">
        <f>IF(닐루!B6=S1,닐루계산식!K24)+IF(닐루!C6=S1,닐루계산식!K26)</f>
        <v>0</v>
      </c>
      <c r="K13" s="62">
        <f>IF(닐루!B6=T1,닐루계산식!L24)+IF(닐루!C6=T1,닐루계산식!L26)</f>
        <v>0</v>
      </c>
    </row>
    <row r="14" spans="1:20">
      <c r="A14" s="80" t="s">
        <v>43</v>
      </c>
      <c r="B14" s="3" t="s">
        <v>105</v>
      </c>
      <c r="C14" s="3" t="s">
        <v>104</v>
      </c>
      <c r="D14" s="3" t="s">
        <v>106</v>
      </c>
      <c r="E14" s="3" t="s">
        <v>33</v>
      </c>
      <c r="F14" s="3" t="s">
        <v>34</v>
      </c>
      <c r="G14" s="3" t="s">
        <v>38</v>
      </c>
      <c r="H14" s="3" t="s">
        <v>39</v>
      </c>
      <c r="I14" s="3" t="s">
        <v>83</v>
      </c>
      <c r="J14" s="3" t="s">
        <v>97</v>
      </c>
      <c r="K14" s="3" t="s">
        <v>96</v>
      </c>
    </row>
    <row r="15" spans="1:20">
      <c r="A15" s="81"/>
      <c r="B15" s="62">
        <f>B13+IF(C19=K1,B11*K2)+IF(D19=K1,B11*K2)+IF(E19=K1,B11*K2)+IF(F19=TRUE,B11*0.25)+IF(A19=TRUE,A2)+IF(닐루!M9="체%",B11*'닐루성유물 부옵수'!C17)+IF(닐루!N9="체%",B11*'닐루성유물 부옵수'!C17)</f>
        <v>40252.160000000003</v>
      </c>
      <c r="C15" s="62">
        <f>C13+IF(C19=L1,C11*L2)+IF(D19=L1,C11*L2)+IF(E19=L1,C11*L2)+IF(G19=TRUE,C11*0.25)+IF(B19=TRUE,B2)+IF(닐루!M9="공%",C11*'닐루성유물 부옵수'!C18)+IF(닐루!N9="공%",C11*'닐루성유물 부옵수'!C18)+IF(닐루!H1="공격력",닐루계산식!C11*닐루!H2/100)+IF(닐루!I1="공격력",닐루계산식!C11*닐루!I2/100)</f>
        <v>311</v>
      </c>
      <c r="D15" s="62">
        <f>D13+IF(C19=M1,D11*M2)+IF(D19=M1,D11*M2)+IF(E19=M1,D11*M2)+IF(닐루!M9="방%",D11*'닐루성유물 부옵수'!C18)+IF(닐루!N9="방%",D11*'닐루성유물 부옵수'!C18)+IF(닐루!H1="방어력",닐루계산식!D11*닐루!H2/100)+IF(닐루!I1="방어력",닐루계산식!D11*닐루!I2/100)</f>
        <v>0</v>
      </c>
      <c r="E15" s="62">
        <f>E13+IF(C19=N1,N2)+IF(D19=N1,N2)+IF(E19=N1,N2)+IF(H19=TRUE,I2)+IF(닐루!M9="원마",'닐루성유물 부옵수'!C20)+IF(닐루!N9="원마",'닐루성유물 부옵수'!C20)+IF(닐루!H1="원마",닐루!H2)+IF(닐루!I1="원마",닐루!I2)</f>
        <v>50</v>
      </c>
      <c r="F15" s="62">
        <f>F13+IF(C19=O1,O2)+IF(닐루!M9="원충",'닐루성유물 부옵수'!C21)+IF(닐루!N9="원충",'닐루성유물 부옵수'!C21)+IF(닐루!H1="원충",닐루!H2)+IF(닐루!I1="원충",닐루!I2)</f>
        <v>0</v>
      </c>
      <c r="G15" s="62">
        <f>G13+IF(E19=P1,P2)+IF(닐루!M9="치확",'닐루성유물 부옵수'!C22)+IF(닐루!N9="치확",'닐루성유물 부옵수'!C22)+IF(닐루!H1="치확",닐루!H2)+IF(닐루!I1="치확",닐루!I2)</f>
        <v>0</v>
      </c>
      <c r="H15" s="62">
        <f>H13+IF(E19=Q1,Q2)+IF(닐루!M9="치피",'닐루성유물 부옵수'!C23)+IF(닐루!N9="치피",'닐루성유물 부옵수'!C23)+IF(닐루!H1="치피",닐루!H2)+IF(닐루!I1="치피",닐루!I2)</f>
        <v>0</v>
      </c>
      <c r="I15" s="62">
        <f>I13+IF(D19=R1,R2)+IF(닐루!M9="원소피해",'닐루성유물 부옵수'!C24)+IF(닐루!N9="원소피해",'닐루성유물 부옵수'!C24)+IF(닐루!I1="원소피해",닐루!I2)</f>
        <v>0</v>
      </c>
      <c r="J15" s="62">
        <f>J13+IF(D19=S1,S2)+IF(닐루!M9="물리피해",'닐루성유물 부옵수'!C25)+IF(닐루!N9="물리피해",'닐루성유물 부옵수'!C25)+IF(닐루!H1="물리피해",닐루!H2)+IF(닐루!I1="물리피해",닐루!I2)</f>
        <v>0</v>
      </c>
      <c r="K15" s="62">
        <f>K13+IF(E19=T1,T2)+IF(닐루!M9="치유보너스",'닐루성유물 부옵수'!C26)+IF(닐루!N9="치유보너스",'닐루성유물 부옵수'!C26)+IF(닐루!I1="치유보너스",닐루!I2)</f>
        <v>0</v>
      </c>
    </row>
    <row r="16" spans="1:20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8" spans="1:12">
      <c r="A18" s="63" t="s">
        <v>27</v>
      </c>
      <c r="B18" s="63" t="s">
        <v>29</v>
      </c>
      <c r="C18" s="63" t="s">
        <v>30</v>
      </c>
      <c r="D18" s="63" t="s">
        <v>31</v>
      </c>
      <c r="E18" s="63" t="s">
        <v>32</v>
      </c>
      <c r="F18" s="63" t="s">
        <v>25</v>
      </c>
      <c r="G18" s="63" t="s">
        <v>26</v>
      </c>
      <c r="H18" s="63" t="s">
        <v>40</v>
      </c>
    </row>
    <row r="19" spans="1:12">
      <c r="A19" s="62" t="b">
        <v>1</v>
      </c>
      <c r="B19" s="62" t="b">
        <v>1</v>
      </c>
      <c r="C19" s="62" t="str">
        <f>닐루!D10</f>
        <v>체%</v>
      </c>
      <c r="D19" s="62" t="str">
        <f>닐루!E10</f>
        <v>체%</v>
      </c>
      <c r="E19" s="62" t="str">
        <f>닐루!F10</f>
        <v>체%</v>
      </c>
      <c r="F19" s="62" t="b">
        <v>1</v>
      </c>
      <c r="G19" s="62" t="b">
        <v>0</v>
      </c>
      <c r="H19" s="62" t="b">
        <v>1</v>
      </c>
    </row>
    <row r="20" spans="1:12">
      <c r="A20" s="11"/>
      <c r="B20" s="11"/>
      <c r="C20" s="11"/>
    </row>
    <row r="21" spans="1:12">
      <c r="A21" s="60" t="s">
        <v>44</v>
      </c>
    </row>
    <row r="22" spans="1:12">
      <c r="A22" s="63" t="s">
        <v>98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</row>
    <row r="23" spans="1:12">
      <c r="A23" s="77" t="s">
        <v>45</v>
      </c>
      <c r="B23" s="60" t="s">
        <v>68</v>
      </c>
      <c r="C23" s="63" t="s">
        <v>35</v>
      </c>
      <c r="D23" s="63" t="s">
        <v>37</v>
      </c>
      <c r="E23" s="63" t="s">
        <v>36</v>
      </c>
      <c r="F23" s="63" t="s">
        <v>33</v>
      </c>
      <c r="G23" s="63" t="s">
        <v>34</v>
      </c>
      <c r="H23" s="63" t="s">
        <v>38</v>
      </c>
      <c r="I23" s="63" t="s">
        <v>39</v>
      </c>
      <c r="J23" s="63" t="s">
        <v>83</v>
      </c>
      <c r="K23" s="63" t="s">
        <v>97</v>
      </c>
      <c r="L23" s="63" t="s">
        <v>96</v>
      </c>
    </row>
    <row r="24" spans="1:12">
      <c r="A24" s="77"/>
      <c r="C24" s="62">
        <v>0.24</v>
      </c>
      <c r="D24" s="62">
        <v>0.3</v>
      </c>
      <c r="E24" s="62">
        <v>0.24</v>
      </c>
      <c r="F24" s="62">
        <v>96</v>
      </c>
      <c r="G24" s="62">
        <v>26.7</v>
      </c>
      <c r="H24" s="7">
        <v>16</v>
      </c>
      <c r="I24" s="7">
        <v>32</v>
      </c>
      <c r="J24" s="62">
        <v>24</v>
      </c>
      <c r="K24" s="62">
        <v>30</v>
      </c>
      <c r="L24" s="7">
        <v>18.5</v>
      </c>
    </row>
    <row r="25" spans="1:12">
      <c r="A25" s="77" t="s">
        <v>46</v>
      </c>
      <c r="B25" s="60" t="s">
        <v>68</v>
      </c>
      <c r="C25" s="63" t="s">
        <v>35</v>
      </c>
      <c r="D25" s="63" t="s">
        <v>37</v>
      </c>
      <c r="E25" s="63" t="s">
        <v>36</v>
      </c>
      <c r="F25" s="63" t="s">
        <v>33</v>
      </c>
      <c r="G25" s="63" t="s">
        <v>34</v>
      </c>
      <c r="H25" s="63" t="s">
        <v>38</v>
      </c>
      <c r="I25" s="63" t="s">
        <v>39</v>
      </c>
      <c r="J25" s="63" t="s">
        <v>83</v>
      </c>
      <c r="K25" s="63" t="s">
        <v>97</v>
      </c>
      <c r="L25" s="63" t="s">
        <v>96</v>
      </c>
    </row>
    <row r="26" spans="1:12">
      <c r="A26" s="77"/>
      <c r="C26" s="7">
        <v>0.28799999999999998</v>
      </c>
      <c r="D26" s="7">
        <v>0.36</v>
      </c>
      <c r="E26" s="62">
        <v>0.28799999999999998</v>
      </c>
      <c r="F26" s="62">
        <v>115</v>
      </c>
      <c r="G26" s="62">
        <v>32</v>
      </c>
      <c r="H26" s="62">
        <v>19.2</v>
      </c>
      <c r="I26" s="62">
        <v>38.4</v>
      </c>
      <c r="J26" s="62">
        <v>28.8</v>
      </c>
      <c r="K26" s="7">
        <v>36</v>
      </c>
      <c r="L26" s="62">
        <v>22.2</v>
      </c>
    </row>
    <row r="27" spans="1:12">
      <c r="A27" s="68" t="s">
        <v>5</v>
      </c>
      <c r="B27" s="68"/>
      <c r="C27" s="68"/>
      <c r="D27" s="68"/>
    </row>
    <row r="44" spans="11:11">
      <c r="K44" s="59"/>
    </row>
  </sheetData>
  <mergeCells count="7">
    <mergeCell ref="A27:D27"/>
    <mergeCell ref="N6:T12"/>
    <mergeCell ref="A10:A11"/>
    <mergeCell ref="A12:A13"/>
    <mergeCell ref="A14:A15"/>
    <mergeCell ref="A23:A24"/>
    <mergeCell ref="A25:A26"/>
  </mergeCells>
  <phoneticPr fontId="5" type="noConversion"/>
  <pageMargins left="0.69972223043441772" right="0.69972223043441772" top="0.75" bottom="0.75" header="0.30000001192092896" footer="0.30000001192092896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D3A1-C472-4B68-B3F1-84579A1EF2F0}">
  <dimension ref="A1:K42"/>
  <sheetViews>
    <sheetView topLeftCell="A22" zoomScale="69" zoomScaleNormal="69" zoomScaleSheetLayoutView="225" workbookViewId="0">
      <selection activeCell="K15" sqref="K15"/>
    </sheetView>
  </sheetViews>
  <sheetFormatPr defaultColWidth="8.796875" defaultRowHeight="17.399999999999999"/>
  <cols>
    <col min="1" max="1" width="10.8984375" style="60" bestFit="1" customWidth="1"/>
    <col min="2" max="2" width="8.796875" style="60"/>
    <col min="3" max="3" width="10.3984375" style="60" bestFit="1" customWidth="1"/>
    <col min="4" max="6" width="9.5" style="60" bestFit="1" customWidth="1"/>
    <col min="7" max="16384" width="8.796875" style="60"/>
  </cols>
  <sheetData>
    <row r="1" spans="1:11">
      <c r="A1" s="93" t="s">
        <v>17</v>
      </c>
      <c r="B1" s="93"/>
      <c r="C1" s="88" t="s">
        <v>63</v>
      </c>
      <c r="D1" s="88" t="s">
        <v>62</v>
      </c>
      <c r="E1" s="88" t="s">
        <v>56</v>
      </c>
      <c r="F1" s="88" t="s">
        <v>57</v>
      </c>
      <c r="G1" s="88" t="s">
        <v>65</v>
      </c>
      <c r="H1" s="88"/>
      <c r="I1" s="88"/>
      <c r="J1" s="88"/>
    </row>
    <row r="2" spans="1:11">
      <c r="A2" s="93"/>
      <c r="B2" s="93"/>
      <c r="C2" s="88"/>
      <c r="D2" s="88"/>
      <c r="E2" s="88"/>
      <c r="F2" s="88"/>
      <c r="G2" s="88"/>
      <c r="H2" s="88"/>
      <c r="I2" s="88"/>
      <c r="J2" s="88"/>
    </row>
    <row r="3" spans="1:11">
      <c r="A3" s="106" t="s">
        <v>41</v>
      </c>
      <c r="B3" s="106"/>
      <c r="C3" s="65">
        <v>209</v>
      </c>
      <c r="D3" s="65">
        <v>239</v>
      </c>
      <c r="E3" s="65">
        <v>269</v>
      </c>
      <c r="F3" s="65">
        <v>299</v>
      </c>
      <c r="G3" s="65"/>
      <c r="H3" s="65"/>
      <c r="I3" s="65"/>
      <c r="J3" s="65"/>
    </row>
    <row r="4" spans="1:11">
      <c r="A4" s="106" t="s">
        <v>36</v>
      </c>
      <c r="B4" s="106"/>
      <c r="C4" s="65">
        <v>4.1000000000000002E-2</v>
      </c>
      <c r="D4" s="65">
        <v>4.7E-2</v>
      </c>
      <c r="E4" s="65">
        <v>5.3000000000000005E-2</v>
      </c>
      <c r="F4" s="65">
        <v>5.800000000000001E-2</v>
      </c>
      <c r="G4" s="65" t="str">
        <f>C4*100&amp;"%"</f>
        <v>4.1%</v>
      </c>
      <c r="H4" s="65" t="str">
        <f>D4*100&amp;"%"</f>
        <v>4.7%</v>
      </c>
      <c r="I4" s="65" t="str">
        <f>E4*100&amp;"%"</f>
        <v>5.3%</v>
      </c>
      <c r="J4" s="65" t="str">
        <f>F4*100&amp;"%"</f>
        <v>5.8%</v>
      </c>
    </row>
    <row r="5" spans="1:11">
      <c r="A5" s="104" t="s">
        <v>42</v>
      </c>
      <c r="B5" s="104"/>
      <c r="C5" s="62">
        <v>14</v>
      </c>
      <c r="D5" s="62">
        <v>16</v>
      </c>
      <c r="E5" s="62">
        <v>18</v>
      </c>
      <c r="F5" s="62">
        <v>19</v>
      </c>
      <c r="G5" s="65"/>
      <c r="H5" s="65"/>
      <c r="I5" s="65"/>
      <c r="J5" s="65"/>
    </row>
    <row r="6" spans="1:11">
      <c r="A6" s="104" t="s">
        <v>35</v>
      </c>
      <c r="B6" s="104"/>
      <c r="C6" s="65">
        <v>4.1000000000000002E-2</v>
      </c>
      <c r="D6" s="65">
        <v>4.7E-2</v>
      </c>
      <c r="E6" s="65">
        <v>5.3000000000000005E-2</v>
      </c>
      <c r="F6" s="65">
        <v>5.800000000000001E-2</v>
      </c>
      <c r="G6" s="65" t="str">
        <f>C6*100&amp;"%"</f>
        <v>4.1%</v>
      </c>
      <c r="H6" s="65" t="str">
        <f>D6*100&amp;"%"</f>
        <v>4.7%</v>
      </c>
      <c r="I6" s="65" t="str">
        <f>E6*100&amp;"%"</f>
        <v>5.3%</v>
      </c>
      <c r="J6" s="65" t="str">
        <f>F6*100&amp;"%"</f>
        <v>5.8%</v>
      </c>
    </row>
    <row r="7" spans="1:11">
      <c r="A7" s="105" t="s">
        <v>64</v>
      </c>
      <c r="B7" s="105"/>
      <c r="C7" s="62">
        <v>16</v>
      </c>
      <c r="D7" s="62">
        <v>19</v>
      </c>
      <c r="E7" s="62">
        <v>21</v>
      </c>
      <c r="F7" s="62">
        <v>23</v>
      </c>
      <c r="G7" s="65"/>
      <c r="H7" s="65"/>
      <c r="I7" s="65"/>
      <c r="J7" s="65"/>
    </row>
    <row r="8" spans="1:11">
      <c r="A8" s="105" t="s">
        <v>37</v>
      </c>
      <c r="B8" s="105"/>
      <c r="C8" s="65">
        <v>5.1000000000000004E-2</v>
      </c>
      <c r="D8" s="65">
        <v>5.8999999999999997E-2</v>
      </c>
      <c r="E8" s="65">
        <v>6.6000000000000003E-2</v>
      </c>
      <c r="F8" s="65">
        <v>7.2999999999999995E-2</v>
      </c>
      <c r="G8" s="65" t="str">
        <f>C8*100&amp;"%"</f>
        <v>5.1%</v>
      </c>
      <c r="H8" s="65" t="str">
        <f t="shared" ref="H8:J8" si="0">D8*100&amp;"%"</f>
        <v>5.9%</v>
      </c>
      <c r="I8" s="65" t="str">
        <f t="shared" si="0"/>
        <v>6.6%</v>
      </c>
      <c r="J8" s="65" t="str">
        <f t="shared" si="0"/>
        <v>7.3%</v>
      </c>
    </row>
    <row r="9" spans="1:11">
      <c r="A9" s="107" t="s">
        <v>34</v>
      </c>
      <c r="B9" s="107"/>
      <c r="C9" s="62">
        <v>4.5</v>
      </c>
      <c r="D9" s="62">
        <v>5.2</v>
      </c>
      <c r="E9" s="62">
        <v>5.8</v>
      </c>
      <c r="F9" s="62">
        <v>6.5</v>
      </c>
      <c r="G9" s="62" t="str">
        <f>C9&amp;"%"</f>
        <v>4.5%</v>
      </c>
      <c r="H9" s="62" t="str">
        <f t="shared" ref="H9:J9" si="1">D9&amp;"%"</f>
        <v>5.2%</v>
      </c>
      <c r="I9" s="62" t="str">
        <f t="shared" si="1"/>
        <v>5.8%</v>
      </c>
      <c r="J9" s="62" t="str">
        <f t="shared" si="1"/>
        <v>6.5%</v>
      </c>
    </row>
    <row r="10" spans="1:11">
      <c r="A10" s="108" t="s">
        <v>33</v>
      </c>
      <c r="B10" s="108"/>
      <c r="C10" s="62">
        <v>16</v>
      </c>
      <c r="D10" s="62">
        <v>19</v>
      </c>
      <c r="E10" s="62">
        <v>21</v>
      </c>
      <c r="F10" s="62">
        <v>23</v>
      </c>
      <c r="G10" s="62"/>
      <c r="H10" s="62"/>
      <c r="I10" s="62"/>
      <c r="J10" s="62"/>
    </row>
    <row r="11" spans="1:11">
      <c r="A11" s="109" t="s">
        <v>38</v>
      </c>
      <c r="B11" s="109"/>
      <c r="C11" s="62">
        <v>2.7</v>
      </c>
      <c r="D11" s="62">
        <v>3.1</v>
      </c>
      <c r="E11" s="62">
        <v>3.5</v>
      </c>
      <c r="F11" s="62">
        <v>3.9</v>
      </c>
      <c r="G11" s="65" t="str">
        <f t="shared" ref="G11:J12" si="2">C11&amp;"%"</f>
        <v>2.7%</v>
      </c>
      <c r="H11" s="65" t="str">
        <f t="shared" si="2"/>
        <v>3.1%</v>
      </c>
      <c r="I11" s="65" t="str">
        <f t="shared" si="2"/>
        <v>3.5%</v>
      </c>
      <c r="J11" s="65" t="str">
        <f t="shared" si="2"/>
        <v>3.9%</v>
      </c>
    </row>
    <row r="12" spans="1:11">
      <c r="A12" s="109" t="s">
        <v>39</v>
      </c>
      <c r="B12" s="109"/>
      <c r="C12" s="62">
        <f>C11*2</f>
        <v>5.4</v>
      </c>
      <c r="D12" s="62">
        <f t="shared" ref="D12:F12" si="3">D11*2</f>
        <v>6.2</v>
      </c>
      <c r="E12" s="62">
        <f t="shared" si="3"/>
        <v>7</v>
      </c>
      <c r="F12" s="62">
        <f t="shared" si="3"/>
        <v>7.8</v>
      </c>
      <c r="G12" s="65" t="str">
        <f t="shared" si="2"/>
        <v>5.4%</v>
      </c>
      <c r="H12" s="65" t="str">
        <f t="shared" si="2"/>
        <v>6.2%</v>
      </c>
      <c r="I12" s="65" t="str">
        <f t="shared" si="2"/>
        <v>7%</v>
      </c>
      <c r="J12" s="65" t="str">
        <f t="shared" si="2"/>
        <v>7.8%</v>
      </c>
    </row>
    <row r="14" spans="1:11">
      <c r="A14" s="60" t="s">
        <v>66</v>
      </c>
      <c r="B14" s="62" t="s">
        <v>38</v>
      </c>
      <c r="C14" s="62" t="s">
        <v>39</v>
      </c>
      <c r="D14" s="62" t="s">
        <v>34</v>
      </c>
      <c r="E14" s="62" t="s">
        <v>33</v>
      </c>
      <c r="F14" s="62" t="s">
        <v>105</v>
      </c>
      <c r="G14" s="62" t="s">
        <v>104</v>
      </c>
      <c r="H14" s="62" t="s">
        <v>106</v>
      </c>
      <c r="I14" s="60" t="s">
        <v>97</v>
      </c>
      <c r="J14" s="60" t="s">
        <v>83</v>
      </c>
    </row>
    <row r="15" spans="1:11">
      <c r="A15" s="59" t="s">
        <v>111</v>
      </c>
      <c r="B15" s="62" t="s">
        <v>38</v>
      </c>
      <c r="C15" s="62" t="s">
        <v>39</v>
      </c>
      <c r="D15" s="62" t="s">
        <v>34</v>
      </c>
      <c r="E15" s="62" t="s">
        <v>33</v>
      </c>
      <c r="F15" s="62" t="s">
        <v>105</v>
      </c>
      <c r="G15" s="62" t="s">
        <v>104</v>
      </c>
      <c r="H15" s="62" t="s">
        <v>106</v>
      </c>
      <c r="I15" s="60" t="s">
        <v>97</v>
      </c>
      <c r="J15" s="60" t="s">
        <v>83</v>
      </c>
      <c r="K15" s="59" t="s">
        <v>112</v>
      </c>
    </row>
    <row r="16" spans="1:11">
      <c r="A16" s="62" t="s">
        <v>66</v>
      </c>
      <c r="B16" s="62" t="s">
        <v>68</v>
      </c>
      <c r="C16" s="62" t="s">
        <v>68</v>
      </c>
    </row>
    <row r="17" spans="1:6">
      <c r="A17" s="62" t="s">
        <v>36</v>
      </c>
      <c r="B17" s="62" t="str">
        <f>C17*100&amp;"%"</f>
        <v>20%</v>
      </c>
      <c r="C17" s="62">
        <v>0.2</v>
      </c>
    </row>
    <row r="18" spans="1:6">
      <c r="A18" s="62" t="s">
        <v>35</v>
      </c>
      <c r="B18" s="62" t="str">
        <f t="shared" ref="B18:B19" si="4">C18*100&amp;"%"</f>
        <v>18%</v>
      </c>
      <c r="C18" s="62">
        <v>0.18</v>
      </c>
    </row>
    <row r="19" spans="1:6">
      <c r="A19" s="62" t="s">
        <v>37</v>
      </c>
      <c r="B19" s="62" t="str">
        <f t="shared" si="4"/>
        <v>30%</v>
      </c>
      <c r="C19" s="62">
        <v>0.3</v>
      </c>
    </row>
    <row r="20" spans="1:6">
      <c r="A20" s="62" t="s">
        <v>33</v>
      </c>
      <c r="B20" s="62" t="str">
        <f>C20&amp;"pt"</f>
        <v>80pt</v>
      </c>
      <c r="C20" s="62">
        <v>80</v>
      </c>
    </row>
    <row r="21" spans="1:6">
      <c r="A21" s="62" t="s">
        <v>34</v>
      </c>
      <c r="B21" s="62" t="str">
        <f>C21&amp;"%"</f>
        <v>20%</v>
      </c>
      <c r="C21" s="62">
        <v>20</v>
      </c>
    </row>
    <row r="22" spans="1:6">
      <c r="A22" s="62" t="s">
        <v>38</v>
      </c>
      <c r="B22" s="62" t="str">
        <f t="shared" ref="B22:B26" si="5">C22&amp;"%"</f>
        <v>12%</v>
      </c>
      <c r="C22" s="62">
        <v>12</v>
      </c>
    </row>
    <row r="23" spans="1:6">
      <c r="A23" s="48" t="s">
        <v>39</v>
      </c>
      <c r="B23" s="48" t="str">
        <f t="shared" si="5"/>
        <v>24%</v>
      </c>
      <c r="C23" s="48">
        <v>24</v>
      </c>
    </row>
    <row r="24" spans="1:6">
      <c r="A24" s="62" t="s">
        <v>83</v>
      </c>
      <c r="B24" s="62" t="str">
        <f t="shared" si="5"/>
        <v>15%</v>
      </c>
      <c r="C24" s="62">
        <v>15</v>
      </c>
    </row>
    <row r="25" spans="1:6">
      <c r="A25" s="62" t="s">
        <v>97</v>
      </c>
      <c r="B25" s="62" t="str">
        <f t="shared" si="5"/>
        <v>25%</v>
      </c>
      <c r="C25" s="62">
        <v>25</v>
      </c>
    </row>
    <row r="26" spans="1:6">
      <c r="A26" s="62" t="s">
        <v>96</v>
      </c>
      <c r="B26" s="62" t="str">
        <f t="shared" si="5"/>
        <v>15%</v>
      </c>
      <c r="C26" s="62">
        <v>15</v>
      </c>
    </row>
    <row r="29" spans="1:6">
      <c r="A29" s="93" t="s">
        <v>17</v>
      </c>
      <c r="B29" s="93"/>
      <c r="C29" s="88" t="s">
        <v>63</v>
      </c>
      <c r="D29" s="88" t="s">
        <v>62</v>
      </c>
      <c r="E29" s="88" t="s">
        <v>56</v>
      </c>
      <c r="F29" s="88" t="s">
        <v>57</v>
      </c>
    </row>
    <row r="30" spans="1:6">
      <c r="A30" s="93"/>
      <c r="B30" s="93"/>
      <c r="C30" s="88"/>
      <c r="D30" s="88"/>
      <c r="E30" s="88"/>
      <c r="F30" s="88"/>
    </row>
    <row r="31" spans="1:6">
      <c r="A31" s="106" t="s">
        <v>36</v>
      </c>
      <c r="B31" s="106"/>
      <c r="C31" s="52">
        <v>4.0999999999999995E-2</v>
      </c>
      <c r="D31" s="52">
        <v>4.7E-2</v>
      </c>
      <c r="E31" s="52">
        <v>5.3000000000000005E-2</v>
      </c>
      <c r="F31" s="52">
        <v>5.7999999999999996E-2</v>
      </c>
    </row>
    <row r="32" spans="1:6">
      <c r="A32" s="106" t="s">
        <v>3</v>
      </c>
      <c r="B32" s="106"/>
      <c r="C32" s="65">
        <f>계산식!B11*C4</f>
        <v>622.58500000000004</v>
      </c>
      <c r="D32" s="65">
        <f>계산식!B11*D4</f>
        <v>713.69500000000005</v>
      </c>
      <c r="E32" s="65">
        <f>계산식!B11*E4</f>
        <v>804.80500000000006</v>
      </c>
      <c r="F32" s="65">
        <f>계산식!B11*F4</f>
        <v>880.73000000000013</v>
      </c>
    </row>
    <row r="33" spans="1:6">
      <c r="A33" s="104" t="s">
        <v>35</v>
      </c>
      <c r="B33" s="104"/>
      <c r="C33" s="52">
        <v>4.0999999999999995E-2</v>
      </c>
      <c r="D33" s="52">
        <v>4.7E-2</v>
      </c>
      <c r="E33" s="52">
        <v>5.3000000000000005E-2</v>
      </c>
      <c r="F33" s="52">
        <v>5.7999999999999996E-2</v>
      </c>
    </row>
    <row r="34" spans="1:6">
      <c r="A34" s="104" t="s">
        <v>1</v>
      </c>
      <c r="B34" s="104"/>
      <c r="C34" s="65">
        <f>계산식!$C$11*C6</f>
        <v>30.34</v>
      </c>
      <c r="D34" s="65">
        <f>계산식!$C$11*D6</f>
        <v>34.78</v>
      </c>
      <c r="E34" s="65">
        <f>계산식!$C$11*E6</f>
        <v>39.220000000000006</v>
      </c>
      <c r="F34" s="65">
        <f>계산식!$C$11*F6</f>
        <v>42.920000000000009</v>
      </c>
    </row>
    <row r="35" spans="1:6">
      <c r="A35" s="105" t="s">
        <v>37</v>
      </c>
      <c r="B35" s="105"/>
      <c r="C35" s="52">
        <v>5.1000000000000004E-2</v>
      </c>
      <c r="D35" s="52">
        <v>5.8999999999999997E-2</v>
      </c>
      <c r="E35" s="52">
        <v>6.6000000000000003E-2</v>
      </c>
      <c r="F35" s="52">
        <v>7.2999999999999995E-2</v>
      </c>
    </row>
    <row r="36" spans="1:6">
      <c r="A36" s="105" t="s">
        <v>2</v>
      </c>
      <c r="B36" s="105"/>
      <c r="C36" s="65">
        <f>계산식!$D$11*C8</f>
        <v>37.179000000000002</v>
      </c>
      <c r="D36" s="65">
        <f>계산식!$D$11*D8</f>
        <v>43.010999999999996</v>
      </c>
      <c r="E36" s="65">
        <f>계산식!$D$11*E8</f>
        <v>48.114000000000004</v>
      </c>
      <c r="F36" s="65">
        <f>계산식!$D$11*F8</f>
        <v>53.216999999999999</v>
      </c>
    </row>
    <row r="39" spans="1:6">
      <c r="A39" s="93" t="str">
        <f>"깡옵"&amp;계산기!B26&amp;"개"</f>
        <v>깡옵13개</v>
      </c>
      <c r="B39" s="93"/>
      <c r="C39" s="88" t="s">
        <v>63</v>
      </c>
      <c r="D39" s="88" t="s">
        <v>62</v>
      </c>
      <c r="E39" s="88" t="s">
        <v>56</v>
      </c>
      <c r="F39" s="88" t="s">
        <v>57</v>
      </c>
    </row>
    <row r="40" spans="1:6">
      <c r="A40" s="93"/>
      <c r="B40" s="93"/>
      <c r="C40" s="88"/>
      <c r="D40" s="88"/>
      <c r="E40" s="88"/>
      <c r="F40" s="88"/>
    </row>
    <row r="41" spans="1:6">
      <c r="A41" s="106" t="str">
        <f>"깡 "&amp;계산기!B19</f>
        <v>깡 체력</v>
      </c>
      <c r="B41" s="106"/>
      <c r="C41" s="55">
        <f>IF(계산기!$B$19=$F$14,계산기!$B$26*C3,IF(계산기!$B$19=$G$14,계산기!$B$26*C5,IF(계산기!$B$19=$H$14,계산기!$B$26*C7)))</f>
        <v>2717</v>
      </c>
      <c r="D41" s="55">
        <f>IF(계산기!$B$19=$F$14,계산기!$B$26*D3,IF(계산기!$B$19=$G$14,계산기!$B$26*D5,IF(계산기!$B$19=$H$14,계산기!$B$26*D7)))</f>
        <v>3107</v>
      </c>
      <c r="E41" s="55">
        <f>IF(계산기!$B$19=$F$14,계산기!$B$26*E3,IF(계산기!$B$19=$G$14,계산기!$B$26*E5,IF(계산기!$B$19=$H$14,계산기!$B$26*E7)))</f>
        <v>3497</v>
      </c>
      <c r="F41" s="55">
        <f>IF(계산기!$B$19=$F$14,계산기!$B$26*F3,IF(계산기!$B$19=$G$14,계산기!$B$26*F5,IF(계산기!$B$19=$H$14,계산기!$B$26*F7)))</f>
        <v>3887</v>
      </c>
    </row>
    <row r="42" spans="1:6">
      <c r="A42" s="106" t="str">
        <f>"뺀 "&amp;계산기!B19</f>
        <v>뺀 체력</v>
      </c>
      <c r="B42" s="106"/>
      <c r="C42" s="55">
        <f>계산기!$B$23-C41</f>
        <v>10018.434999999998</v>
      </c>
      <c r="D42" s="55">
        <f>계산기!$B$23-D41</f>
        <v>9628.4349999999977</v>
      </c>
      <c r="E42" s="55">
        <f>계산기!$B$23-E41</f>
        <v>9238.4349999999977</v>
      </c>
      <c r="F42" s="55">
        <f>계산기!$B$23-F41</f>
        <v>8848.4349999999977</v>
      </c>
    </row>
  </sheetData>
  <mergeCells count="34">
    <mergeCell ref="E39:E40"/>
    <mergeCell ref="F39:F40"/>
    <mergeCell ref="A41:B41"/>
    <mergeCell ref="A42:B42"/>
    <mergeCell ref="A34:B34"/>
    <mergeCell ref="A35:B35"/>
    <mergeCell ref="A36:B36"/>
    <mergeCell ref="A39:B40"/>
    <mergeCell ref="C39:C40"/>
    <mergeCell ref="D39:D40"/>
    <mergeCell ref="D29:D30"/>
    <mergeCell ref="E29:E30"/>
    <mergeCell ref="F29:F30"/>
    <mergeCell ref="A31:B31"/>
    <mergeCell ref="A32:B32"/>
    <mergeCell ref="A33:B33"/>
    <mergeCell ref="A9:B9"/>
    <mergeCell ref="A10:B10"/>
    <mergeCell ref="A11:B11"/>
    <mergeCell ref="A12:B12"/>
    <mergeCell ref="A29:B30"/>
    <mergeCell ref="C29:C30"/>
    <mergeCell ref="A3:B3"/>
    <mergeCell ref="A4:B4"/>
    <mergeCell ref="A5:B5"/>
    <mergeCell ref="A6:B6"/>
    <mergeCell ref="A7:B7"/>
    <mergeCell ref="A8:B8"/>
    <mergeCell ref="A1:B2"/>
    <mergeCell ref="C1:C2"/>
    <mergeCell ref="D1:D2"/>
    <mergeCell ref="E1:E2"/>
    <mergeCell ref="F1:F2"/>
    <mergeCell ref="G1:J2"/>
  </mergeCells>
  <phoneticPr fontId="5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1"/>
  <sheetViews>
    <sheetView zoomScaleNormal="100" zoomScaleSheetLayoutView="225" workbookViewId="0">
      <selection activeCell="C4" sqref="C4"/>
    </sheetView>
  </sheetViews>
  <sheetFormatPr defaultColWidth="9" defaultRowHeight="17.399999999999999"/>
  <cols>
    <col min="2" max="2" width="10.8984375" style="47" bestFit="1" customWidth="1"/>
    <col min="3" max="3" width="52.8984375" customWidth="1"/>
  </cols>
  <sheetData>
    <row r="1" spans="1:3">
      <c r="A1" s="44" t="s">
        <v>102</v>
      </c>
      <c r="B1" s="45" t="s">
        <v>70</v>
      </c>
      <c r="C1" s="44" t="s">
        <v>71</v>
      </c>
    </row>
    <row r="2" spans="1:3">
      <c r="A2" s="42" t="s">
        <v>82</v>
      </c>
      <c r="B2" s="46">
        <v>45204</v>
      </c>
      <c r="C2" s="42" t="s">
        <v>69</v>
      </c>
    </row>
    <row r="3" spans="1:3">
      <c r="A3" s="42" t="s">
        <v>81</v>
      </c>
      <c r="B3" s="46">
        <v>45208</v>
      </c>
      <c r="C3" s="58" t="s">
        <v>110</v>
      </c>
    </row>
    <row r="4" spans="1:3">
      <c r="A4" s="42" t="s">
        <v>87</v>
      </c>
      <c r="B4" s="46"/>
      <c r="C4" s="42"/>
    </row>
    <row r="5" spans="1:3">
      <c r="A5" s="42" t="s">
        <v>88</v>
      </c>
      <c r="B5" s="46"/>
      <c r="C5" s="42"/>
    </row>
    <row r="6" spans="1:3">
      <c r="A6" s="42" t="s">
        <v>89</v>
      </c>
      <c r="B6" s="46"/>
      <c r="C6" s="42"/>
    </row>
    <row r="7" spans="1:3">
      <c r="A7" s="42" t="s">
        <v>90</v>
      </c>
      <c r="B7" s="46"/>
      <c r="C7" s="42"/>
    </row>
    <row r="8" spans="1:3">
      <c r="A8" s="42" t="s">
        <v>91</v>
      </c>
      <c r="B8" s="46"/>
      <c r="C8" s="42"/>
    </row>
    <row r="9" spans="1:3">
      <c r="A9" s="42" t="s">
        <v>92</v>
      </c>
      <c r="B9" s="46"/>
      <c r="C9" s="42"/>
    </row>
    <row r="10" spans="1:3">
      <c r="A10" s="42" t="s">
        <v>93</v>
      </c>
      <c r="B10" s="46"/>
      <c r="C10" s="42"/>
    </row>
    <row r="11" spans="1:3">
      <c r="A11" s="42" t="s">
        <v>94</v>
      </c>
      <c r="B11" s="46"/>
      <c r="C11" s="42"/>
    </row>
  </sheetData>
  <phoneticPr fontId="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Microsoft Excel</Application>
  <DocSecurity>2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계산기</vt:lpstr>
      <vt:lpstr>계산식</vt:lpstr>
      <vt:lpstr>성유물 부옵수</vt:lpstr>
      <vt:lpstr>닐루</vt:lpstr>
      <vt:lpstr>닐루계산식</vt:lpstr>
      <vt:lpstr>닐루성유물 부옵수</vt:lpstr>
      <vt:lpstr>패치노트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dohum kim</dc:creator>
  <cp:lastModifiedBy>dohum kim</cp:lastModifiedBy>
  <cp:revision>66</cp:revision>
  <cp:lastPrinted>2023-10-10T17:23:32Z</cp:lastPrinted>
  <dcterms:created xsi:type="dcterms:W3CDTF">2023-10-05T05:34:41Z</dcterms:created>
  <dcterms:modified xsi:type="dcterms:W3CDTF">2023-10-10T17:47:58Z</dcterms:modified>
  <cp:version>1000.0100.61</cp:version>
</cp:coreProperties>
</file>