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расчёт на прочность" sheetId="1" r:id="rId3"/>
    <sheet state="visible" name="схема стропила с размерами" sheetId="2" r:id="rId4"/>
    <sheet state="visible" name="размеры окон" sheetId="3" r:id="rId5"/>
    <sheet state="visible" name="Смета на материалы" sheetId="4" r:id="rId6"/>
    <sheet state="visible" name="расчёт количества блоков" sheetId="5" r:id="rId7"/>
  </sheets>
  <definedNames/>
  <calcPr/>
</workbook>
</file>

<file path=xl/sharedStrings.xml><?xml version="1.0" encoding="utf-8"?>
<sst xmlns="http://schemas.openxmlformats.org/spreadsheetml/2006/main" count="1152" uniqueCount="652">
  <si>
    <t>Размер стандартного двухстворчатого пластикового окна</t>
  </si>
  <si>
    <t>Размеры оконного проема, мм</t>
  </si>
  <si>
    <t>Размеры окон, мм</t>
  </si>
  <si>
    <t>В/Ш</t>
  </si>
  <si>
    <t>600/1200</t>
  </si>
  <si>
    <t>570/1170</t>
  </si>
  <si>
    <t>900/1200</t>
  </si>
  <si>
    <t>870/1170</t>
  </si>
  <si>
    <t>900/1350</t>
  </si>
  <si>
    <t>870/1320</t>
  </si>
  <si>
    <t>900/1500</t>
  </si>
  <si>
    <t>870/1470</t>
  </si>
  <si>
    <t>1000/1000</t>
  </si>
  <si>
    <t>970/970</t>
  </si>
  <si>
    <t>1200/900</t>
  </si>
  <si>
    <t>1170/870</t>
  </si>
  <si>
    <t>1200/1000</t>
  </si>
  <si>
    <t>1170/970</t>
  </si>
  <si>
    <t>1200/1200</t>
  </si>
  <si>
    <t>1170/1170</t>
  </si>
  <si>
    <t>1200/1350</t>
  </si>
  <si>
    <t>1170/1320</t>
  </si>
  <si>
    <t>1200/1500</t>
  </si>
  <si>
    <t>1170/1470</t>
  </si>
  <si>
    <t>1350/1000</t>
  </si>
  <si>
    <t>1320/970</t>
  </si>
  <si>
    <t>1350/1200</t>
  </si>
  <si>
    <t>1320/1170</t>
  </si>
  <si>
    <t>1350/1350</t>
  </si>
  <si>
    <t>1320/1320</t>
  </si>
  <si>
    <t>1350/1500</t>
  </si>
  <si>
    <t>1320/1470</t>
  </si>
  <si>
    <t>1500/1200</t>
  </si>
  <si>
    <t>1470/1170</t>
  </si>
  <si>
    <t>1500/1350</t>
  </si>
  <si>
    <t>1470/1320</t>
  </si>
  <si>
    <t>Выбрано для окон 1го этажа</t>
  </si>
  <si>
    <t>1500/1500</t>
  </si>
  <si>
    <t>1470/1470</t>
  </si>
  <si>
    <t>Стандартные размеры одностворчатых окон</t>
  </si>
  <si>
    <t>500/500</t>
  </si>
  <si>
    <t>470/470</t>
  </si>
  <si>
    <t>600/600</t>
  </si>
  <si>
    <t>570/570</t>
  </si>
  <si>
    <t>600/900</t>
  </si>
  <si>
    <t>570/870</t>
  </si>
  <si>
    <t>900/600</t>
  </si>
  <si>
    <t>870/570</t>
  </si>
  <si>
    <t>900/900</t>
  </si>
  <si>
    <t>870/870</t>
  </si>
  <si>
    <t>1200/600</t>
  </si>
  <si>
    <t>1170/570</t>
  </si>
  <si>
    <t>Выбрано для окон мансарды</t>
  </si>
  <si>
    <t>1350/600</t>
  </si>
  <si>
    <t>1320/570</t>
  </si>
  <si>
    <t>1350/900</t>
  </si>
  <si>
    <t>1320/870</t>
  </si>
  <si>
    <t>1500/600</t>
  </si>
  <si>
    <t>1470/570</t>
  </si>
  <si>
    <t>1500/900</t>
  </si>
  <si>
    <t>1470/870</t>
  </si>
  <si>
    <t>Стандартные размеры трехстворчатых пластиковых окон</t>
  </si>
  <si>
    <t>1200/1800</t>
  </si>
  <si>
    <t>1170/1770</t>
  </si>
  <si>
    <t>1200/2100</t>
  </si>
  <si>
    <t>1170/2070</t>
  </si>
  <si>
    <t>1350/1800</t>
  </si>
  <si>
    <t>1320/1770</t>
  </si>
  <si>
    <t>1350/2100</t>
  </si>
  <si>
    <t>1320/2070</t>
  </si>
  <si>
    <t>1500/1800</t>
  </si>
  <si>
    <t>1470/1770</t>
  </si>
  <si>
    <t>1500/2100</t>
  </si>
  <si>
    <t>1470/2070</t>
  </si>
  <si>
    <t>Цоколь, фундамент, основание и дренаж:</t>
  </si>
  <si>
    <t>Цена:</t>
  </si>
  <si>
    <t>Стоимость:</t>
  </si>
  <si>
    <t xml:space="preserve">р. </t>
  </si>
  <si>
    <t>(без работ)</t>
  </si>
  <si>
    <t>Плита</t>
  </si>
  <si>
    <t>Крыльцо</t>
  </si>
  <si>
    <t>Отмостка (0.75м)</t>
  </si>
  <si>
    <t>Всего:</t>
  </si>
  <si>
    <t>Труба дренажная ДГТ-ПНД d110 в фильтре SN2</t>
  </si>
  <si>
    <t>м</t>
  </si>
  <si>
    <t>р.за м</t>
  </si>
  <si>
    <t>Труба дренажная ДГТ-ПНД d110 б/перфорации SN2</t>
  </si>
  <si>
    <t>Колодец дренажный смотровой 340/300х1000 мм с тремя отводами 110 мм, дном и крышкой</t>
  </si>
  <si>
    <t>шт.</t>
  </si>
  <si>
    <t>р.шт</t>
  </si>
  <si>
    <t>Песок:</t>
  </si>
  <si>
    <t>-</t>
  </si>
  <si>
    <t>м^3</t>
  </si>
  <si>
    <t>р.за м3</t>
  </si>
  <si>
    <t>Щебень:</t>
  </si>
  <si>
    <t>Бетон:</t>
  </si>
  <si>
    <t>Утеплитель ЭППС:</t>
  </si>
  <si>
    <t>м^2</t>
  </si>
  <si>
    <t>р.за лист 0.58м*1.18м</t>
  </si>
  <si>
    <t>листов</t>
  </si>
  <si>
    <t>Стеклоизол:</t>
  </si>
  <si>
    <t>р. за м2, в рулоне 9м.</t>
  </si>
  <si>
    <t>рулонов</t>
  </si>
  <si>
    <t>Праймер битумный Bitumast 18 кг/21.5 л</t>
  </si>
  <si>
    <t>Расход: 0,2л/м²</t>
  </si>
  <si>
    <t>л.</t>
  </si>
  <si>
    <t>Гидроизол. мембрана:</t>
  </si>
  <si>
    <t>за рулон, 3 рулона</t>
  </si>
  <si>
    <t>PLANTER eco 2х20 м</t>
  </si>
  <si>
    <t>Фиксатор для арматуры КМ горизонтальный усиленный ФН армат. 6-14/20 слой 50, 65 мм (100шт)</t>
  </si>
  <si>
    <t>Расход: 10 шт на м.кв.</t>
  </si>
  <si>
    <t>Арматура: A-III 12мм (верхняя, шаг 25см.)</t>
  </si>
  <si>
    <t>шаг 20, 2 слоя #</t>
  </si>
  <si>
    <t>шт. (по 5.85м)</t>
  </si>
  <si>
    <t>кг.</t>
  </si>
  <si>
    <t>Арматура: A-III 14мм (нижняя, шаг 20см.)</t>
  </si>
  <si>
    <t>Арматура: A-III 8мм (конструктивная, U-образная)</t>
  </si>
  <si>
    <t>Сетка арматурная 100х100 мм d4,5 мм 1х3 м</t>
  </si>
  <si>
    <t>Опалубка:</t>
  </si>
  <si>
    <t>доска 0.1х0.025х6м</t>
  </si>
  <si>
    <t>шт. (по 6м)</t>
  </si>
  <si>
    <t>Кирпич рядовой Боровичи полнотелый М150 250х120х65 мм 1NF</t>
  </si>
  <si>
    <t xml:space="preserve">Смесь кладочная Кнауф Коттедж серый 25 кг </t>
  </si>
  <si>
    <t>р.мешок</t>
  </si>
  <si>
    <t>Расход: при кладке один мешок на 25 – 30 кирпичей</t>
  </si>
  <si>
    <t>Труба ПНД (ПЭ-100) для систем водоснабжения премиум синяя 25мм (ввод воды)</t>
  </si>
  <si>
    <t>Труба ПНД ПЭ-100 для систем водоснабжения 20 мм (подача воздуха к ЛОС)</t>
  </si>
  <si>
    <t>Труба ПНД ПЭ-100 для систем водоснабжения 25 мм (ввод электрокабеля)</t>
  </si>
  <si>
    <t>Труба канализационная наружная Ostendorf 110х1000 мм</t>
  </si>
  <si>
    <t>Отвод наружный Ostendorf 110 мм 30° однораструбный</t>
  </si>
  <si>
    <t>Труба канализационная наружная Ostendorf 110х2000 мм</t>
  </si>
  <si>
    <t>Стены и перекрытие:</t>
  </si>
  <si>
    <t>На палете, м^3 :</t>
  </si>
  <si>
    <t>На палете, шт.:</t>
  </si>
  <si>
    <t>Балки ЖБ L=4.5м</t>
  </si>
  <si>
    <t>м.п</t>
  </si>
  <si>
    <t>р.за м.п.</t>
  </si>
  <si>
    <t>Блок 375, полных палет:</t>
  </si>
  <si>
    <t>Блок 250, полных палет:</t>
  </si>
  <si>
    <t>Блок 100, полных палет:</t>
  </si>
  <si>
    <t>Блок 375-U, полных палет:</t>
  </si>
  <si>
    <t>Т-блок,полных палет:</t>
  </si>
  <si>
    <t>Клей (расход 1 мешок на палету):</t>
  </si>
  <si>
    <t>Утеплитель ЭППС 50мм (200мм пол 1го этажа)</t>
  </si>
  <si>
    <t>Сетка арматурная 100х100 мм d4,5 мм 1х3 м (арм. плиты, стяжки перекр. и стяжки 1го этажа)</t>
  </si>
  <si>
    <t>Бетон (стяжка пола 1го этажа)</t>
  </si>
  <si>
    <t>Арматура: A-III 12мм</t>
  </si>
  <si>
    <t>Арматура: A-III 14мм</t>
  </si>
  <si>
    <t>Арматура: A-III 8мм</t>
  </si>
  <si>
    <t>Бетон (перемычки 1го этажа)</t>
  </si>
  <si>
    <t>Бетон (заливка плиты перекр.)</t>
  </si>
  <si>
    <t>Бетон (стяжка поверх утеплителя)</t>
  </si>
  <si>
    <t>Бетон (перемычки мансарды)</t>
  </si>
  <si>
    <t>Утеплитель ЭППС 50мм (торец плиты перекр.+200мм сверху)</t>
  </si>
  <si>
    <t>Окно 1470*1320 (1 глух, 1 пов.-откидн, 2-х камерн. энергосбер. пакет)</t>
  </si>
  <si>
    <t>Окно 1170*870 (1 пов.-откидн, 2-х камерн. энергосбер. пакет)</t>
  </si>
  <si>
    <t>Дверь входная стальная утеплённая</t>
  </si>
  <si>
    <t>Кровля:</t>
  </si>
  <si>
    <t>Балки двутавр №18 (прогоны), 4 шт. по 4.5м</t>
  </si>
  <si>
    <t>Доска обрезная 50х200х6000 мм ЕВ сорт 1-2 ГОСТ 8486-86 деловая (стр. ноги и мауэрлат)</t>
  </si>
  <si>
    <t>Доска обрезная 50х150х6000 мм ЕВ сорт 1-2 ГОСТ 8486-86 деловая (затяжки и схватки)</t>
  </si>
  <si>
    <t>Доска обрезная 25х100х6000 мм ЕВ сорт 1-2 ГОСТ 8486-86 деловая (обрешётка , 100 через 100)</t>
  </si>
  <si>
    <t>Металлочерепица Грандлайн 2*9*(2.9*1.1+3.25*1.1) с доборными элементами, гидроизол. и крепежом</t>
  </si>
  <si>
    <t>Металлочерепица 1,18х3,60 м толщина 0,5мм Satin коричневая RAL 8017 - 36 листов</t>
  </si>
  <si>
    <t xml:space="preserve">Инженерные системы: </t>
  </si>
  <si>
    <t>р.</t>
  </si>
  <si>
    <t>Отопление и вентиляция:</t>
  </si>
  <si>
    <t>Канальный кондиционер Mitsubishi Heavy Industries FDUM71VF / FDC71VNX (FDUM71VNXVF)</t>
  </si>
  <si>
    <t>Габариты: Внутреннего блока сплит-системы или мобильного кондиционера (ШxВxГ) 95x28x63.5 см
Наружного блока сплит-системы или оконного кондиционера (ШxВxГ) 88x75x34 см</t>
  </si>
  <si>
    <t>Воздуховод D200мм</t>
  </si>
  <si>
    <t>Воздуховод D125мм</t>
  </si>
  <si>
    <t>Воздуховод 700x200</t>
  </si>
  <si>
    <t>Угол 700х200 гориз. (90)</t>
  </si>
  <si>
    <t>Угол 700х200 вертик. (90)</t>
  </si>
  <si>
    <t>Анемостат D200</t>
  </si>
  <si>
    <t>Анемостат D125</t>
  </si>
  <si>
    <t>Угол D200 (90)</t>
  </si>
  <si>
    <t>Тройник D200</t>
  </si>
  <si>
    <t>Угол D125 (90)</t>
  </si>
  <si>
    <t>Тройник D125</t>
  </si>
  <si>
    <t>KOMFORT Ultra D105-A приточно-вытяжная установка с рекуперацией тепла (алюм.рекуператор)</t>
  </si>
  <si>
    <t>Электрика:</t>
  </si>
  <si>
    <t>Щиток встраиваемый IEK ЩРВ для 24 модулей металлический IP31</t>
  </si>
  <si>
    <t>Печь:</t>
  </si>
  <si>
    <t>Кирпич печной ШБ8 БКО полнотелый 250х124х65 мм желтый 1NF</t>
  </si>
  <si>
    <t>Кирпич печной ЛСР (РКЗ) облицовочный полнотелый 250х120х65 мм М300/500 красный 1NF</t>
  </si>
  <si>
    <t>Кирпич печной R-60 ЛСР (РКЗ) облицовочный полнотелый 250х120х65 мм М300/500 красный 1NF</t>
  </si>
  <si>
    <t>ДВЕРЬ ПЕЧНАЯ ДП308-1С</t>
  </si>
  <si>
    <t>Дверка поддувальная ДП-1 "Варвара" (Р)</t>
  </si>
  <si>
    <t>Решетка чугунная колосниковая бытовая РД-5</t>
  </si>
  <si>
    <t>Плита печная одноконфорная чугунная П 1-3 (340*410 мм)</t>
  </si>
  <si>
    <t>ЗАДВИЖКА ДЫМОХОДА Z101 130Х130</t>
  </si>
  <si>
    <t>лист притопочный 600х500мм</t>
  </si>
  <si>
    <t>Уголок горячекатаный 40х40х4 мм 3 м</t>
  </si>
  <si>
    <t>Cмесь кладочная огнеупорная 25 кг</t>
  </si>
  <si>
    <t>Схема стропила:</t>
  </si>
  <si>
    <t>I - момент инерции;</t>
  </si>
  <si>
    <t>W - момент сопротивления;</t>
  </si>
  <si>
    <t>S - статический момент полусечения;</t>
  </si>
  <si>
    <t>i - радиус инерции;</t>
  </si>
  <si>
    <t>О - центр тяжести поперечного сечения.</t>
  </si>
  <si>
    <t>Расчёт стропила:</t>
  </si>
  <si>
    <t>снеговая нагрузка Q</t>
  </si>
  <si>
    <t>СПб</t>
  </si>
  <si>
    <t>240/168</t>
  </si>
  <si>
    <t>кг/м^2</t>
  </si>
  <si>
    <t>В числителе для расчета по первому предельному состоянию</t>
  </si>
  <si>
    <t>МО</t>
  </si>
  <si>
    <t>180/126</t>
  </si>
  <si>
    <t>В знаменателе для расчета по второму предельному состоянию</t>
  </si>
  <si>
    <t>снеговая нагрузка Q рассчётная</t>
  </si>
  <si>
    <t>Q_р.</t>
  </si>
  <si>
    <t>ЛОС:</t>
  </si>
  <si>
    <t>Расчётная схема:</t>
  </si>
  <si>
    <t>снеговая нагрузка Q нормативная</t>
  </si>
  <si>
    <t>Q_н.</t>
  </si>
  <si>
    <t>Газобетон:</t>
  </si>
  <si>
    <t>375й</t>
  </si>
  <si>
    <t>250й</t>
  </si>
  <si>
    <t>100й</t>
  </si>
  <si>
    <t>375-U</t>
  </si>
  <si>
    <t>250-U</t>
  </si>
  <si>
    <t>Т-блок</t>
  </si>
  <si>
    <t>ВСЕГО, шт.:</t>
  </si>
  <si>
    <t>сечение стропил, шир.</t>
  </si>
  <si>
    <t>b</t>
  </si>
  <si>
    <t>Колодец дренажный смотровой 500/435х1500 мм с тремя отводами 110 мм, дном и крышкой</t>
  </si>
  <si>
    <t>см</t>
  </si>
  <si>
    <t>сечение стропил, выс.</t>
  </si>
  <si>
    <t>h</t>
  </si>
  <si>
    <t>шаг стропил</t>
  </si>
  <si>
    <t>sh</t>
  </si>
  <si>
    <t>m</t>
  </si>
  <si>
    <t>длина пролёта</t>
  </si>
  <si>
    <t>L</t>
  </si>
  <si>
    <t>длина консолей</t>
  </si>
  <si>
    <t>a</t>
  </si>
  <si>
    <t>угол наклона</t>
  </si>
  <si>
    <t>alfa</t>
  </si>
  <si>
    <t>лестница</t>
  </si>
  <si>
    <t>градус</t>
  </si>
  <si>
    <t>cos_alfa</t>
  </si>
  <si>
    <t>ряд1-2</t>
  </si>
  <si>
    <t>sin_alfa</t>
  </si>
  <si>
    <t>Октагон-Био</t>
  </si>
  <si>
    <t>Монтаж (С; Био)</t>
  </si>
  <si>
    <t>Удельный вес древесины</t>
  </si>
  <si>
    <t>Земляные работы (экскаватором)</t>
  </si>
  <si>
    <t>Др. колодец + монтаж (диаметр 1.5 м)</t>
  </si>
  <si>
    <t xml:space="preserve">кг/м^3
</t>
  </si>
  <si>
    <t>ряд3-4</t>
  </si>
  <si>
    <t>Нагрузка от веса стропил (погонная)</t>
  </si>
  <si>
    <t>q_стр.</t>
  </si>
  <si>
    <t>Замена тайваньского компрессора на японский Hiblow hp-60</t>
  </si>
  <si>
    <t>ряд5-6</t>
  </si>
  <si>
    <t>Монтаж канализационной трассы (с материалами), за п.м</t>
  </si>
  <si>
    <t>Доставка манипулятором из Твери (С; Био + др. колодец), за км</t>
  </si>
  <si>
    <t>ряд7-8</t>
  </si>
  <si>
    <t>ряд9-10</t>
  </si>
  <si>
    <t>км.</t>
  </si>
  <si>
    <t>р./км</t>
  </si>
  <si>
    <t>Наращивание горловины септика (кольцо диаметра 1.5 м)</t>
  </si>
  <si>
    <t>кг/м</t>
  </si>
  <si>
    <t>Нагрузка от веса обрешётки (погонная)</t>
  </si>
  <si>
    <t>q_обр.</t>
  </si>
  <si>
    <t>Размеры доски обрещётки: 10 см * 2.5см, на 1 м.п. попадает 5 досок</t>
  </si>
  <si>
    <t>Нагрузка от веса покрытия</t>
  </si>
  <si>
    <t>Q_покр.</t>
  </si>
  <si>
    <t>Нагрузка от веса металлочерепицы</t>
  </si>
  <si>
    <t>Нагрузка от веса утеплителя и подшивки потолка</t>
  </si>
  <si>
    <t>Q_утепл.</t>
  </si>
  <si>
    <t>Нагрузка от веса утеплителя и потолка</t>
  </si>
  <si>
    <t>коэффициент Mu (для угла 33.7)</t>
  </si>
  <si>
    <t>Mu</t>
  </si>
  <si>
    <t>получен интерполяцией, 0.88</t>
  </si>
  <si>
    <t>Нагружение скоплением снега, коэф. неравномеронсти:</t>
  </si>
  <si>
    <t>μ</t>
  </si>
  <si>
    <t>μ = 1.25 - коэфф., учитывающий уклон кровли и возможное скопление наносов снега при таком уклоне</t>
  </si>
  <si>
    <t>коэффициент надежности по нагрузке</t>
  </si>
  <si>
    <t>γс</t>
  </si>
  <si>
    <t>γс = 1.2 - коэффициент надежности по нагрузке.Принимаем 1.4</t>
  </si>
  <si>
    <t>Снеговая нагрузка (приведённая к углу наклона крыши) расчётн.</t>
  </si>
  <si>
    <t>Q_снег.р.</t>
  </si>
  <si>
    <t>ряд11-12</t>
  </si>
  <si>
    <t>Qs = Q_р*Mu*μ*γс*cos(alfa)</t>
  </si>
  <si>
    <t>Полная снеговая расчетная нагрузка</t>
  </si>
  <si>
    <t>Снеговая нагрузка (приведённая к углу наклона крыши) нормативн.</t>
  </si>
  <si>
    <t>Q_снег.н.</t>
  </si>
  <si>
    <t>ряд13 (перекрытие)</t>
  </si>
  <si>
    <t>Полная снеговая нормативная нагрузка</t>
  </si>
  <si>
    <t>коэфф. перехода от соср. нагр. к распред.</t>
  </si>
  <si>
    <t>γ</t>
  </si>
  <si>
    <t>γ = 1.1 - коэфф. перехода от сосредоточенной нагрузки, передаваемой от обрешетки стропилам, к равномерно-распределенной нагрузке при количестве брусьев обрешетки = 8</t>
  </si>
  <si>
    <t>рассчётная погонная нагрузка:</t>
  </si>
  <si>
    <t>q_р.</t>
  </si>
  <si>
    <t>ряд14 (манс.)</t>
  </si>
  <si>
    <t>q = q_стр. + γ*(q_обр. + sh*( Q_покр.+Q_снег.))</t>
  </si>
  <si>
    <t>нормативная погонная нагрузка:</t>
  </si>
  <si>
    <t>q_н.</t>
  </si>
  <si>
    <t>ряд15 (манс.)</t>
  </si>
  <si>
    <t>значение горизонтальной составляющей нагрузки</t>
  </si>
  <si>
    <t>стена манс. вн.</t>
  </si>
  <si>
    <t>N</t>
  </si>
  <si>
    <t>фронтон манс.</t>
  </si>
  <si>
    <t>кг</t>
  </si>
  <si>
    <t>где N - значение горизонтальной составляющей нагрузки, кг:</t>
  </si>
  <si>
    <t>N = qг·l/2 = 326.1·sin27°·4/2 = 296.1 кг</t>
  </si>
  <si>
    <t>площадь сечения стропильной ноги</t>
  </si>
  <si>
    <t>F</t>
  </si>
  <si>
    <t>см^2</t>
  </si>
  <si>
    <t>F - площадь сечения стропильной ноги, см2:</t>
  </si>
  <si>
    <t>F = 5x15 = 75 cм2.</t>
  </si>
  <si>
    <t>радиус инерции</t>
  </si>
  <si>
    <t>i</t>
  </si>
  <si>
    <t>На палете</t>
  </si>
  <si>
    <t>радиус инерции:</t>
  </si>
  <si>
    <t>Кубов в палете</t>
  </si>
  <si>
    <t>шт./м3</t>
  </si>
  <si>
    <t>за куб</t>
  </si>
  <si>
    <t>за шт.</t>
  </si>
  <si>
    <t>i = (Iz/F)1/2 = (h2/12)1/2 = (152/12)1/2 = 4.33 см</t>
  </si>
  <si>
    <t>гибкость стропильной ноги относительно оси z</t>
  </si>
  <si>
    <t>λ</t>
  </si>
  <si>
    <t>Палет:</t>
  </si>
  <si>
    <t>гибкость стропильной ноги относительно оси z:</t>
  </si>
  <si>
    <t>λ = l0/iz</t>
  </si>
  <si>
    <t>где l0 = 400 см - расчетная длина стропильной ноги, тогда</t>
  </si>
  <si>
    <t>λ = 400/4.33 = 92</t>
  </si>
  <si>
    <t>φ</t>
  </si>
  <si>
    <t>Палет полных:</t>
  </si>
  <si>
    <t>так как φ = А/λ2</t>
  </si>
  <si>
    <t>где А = 3000 для древесины (согласно СНиП II-25-80 (1988)), то</t>
  </si>
  <si>
    <t>φ = 3000/922 = 0.3515</t>
  </si>
  <si>
    <t>момент сопротивления поперечного сечения</t>
  </si>
  <si>
    <t>Wz</t>
  </si>
  <si>
    <t>см^3</t>
  </si>
  <si>
    <t>Wz - момент сопротивления поперечного сечения</t>
  </si>
  <si>
    <t>Wz = 5·152/6 = 187.5 см3.</t>
  </si>
  <si>
    <t>Wz = b · h^2 / 6</t>
  </si>
  <si>
    <t>Ry</t>
  </si>
  <si>
    <t>кгс/см^2</t>
  </si>
  <si>
    <t>Ry = Rи/γ =130/1.05 = 124 кгс/см2  - расчетное сопротивление древесины растяжению, сжатию и изгибу по пределу текучести для древесины 2 сорта (согласно СНиП II-25-80 (1988)), деленное на дополнительный коэффициент надежности по нагрузке.</t>
  </si>
  <si>
    <t>Модуль упругости</t>
  </si>
  <si>
    <t>Е</t>
  </si>
  <si>
    <t>кгс/см2</t>
  </si>
  <si>
    <t>Модуль упругости Е для древесины = 10^5 кгс/см2</t>
  </si>
  <si>
    <t>момент инерции</t>
  </si>
  <si>
    <t>Iz</t>
  </si>
  <si>
    <t>см^4</t>
  </si>
  <si>
    <t>момент инерции прямоугольного сечения Iz = bh3/12 = 4.98·0.323/12 = 0.01359872 см4</t>
  </si>
  <si>
    <t>значение изгибающего момента (однопролётная балка)</t>
  </si>
  <si>
    <t>Мz</t>
  </si>
  <si>
    <t>кг*cм</t>
  </si>
  <si>
    <t xml:space="preserve">Mz - значение изгибающего момента, возникающего в поперечном сечении стропильной ноги под действием вертикальной составляющей нагрузки. </t>
  </si>
  <si>
    <t>Мz = 326.1cos27°·42/8 = 581.1 кг·м или 58110 кг·см</t>
  </si>
  <si>
    <t>Mmax = ql^2/8</t>
  </si>
  <si>
    <t>(N/φF) + (Mz/Wz)</t>
  </si>
  <si>
    <t>(N/φF) + (Mz/Wz) ≤ Ry</t>
  </si>
  <si>
    <t>σ</t>
  </si>
  <si>
    <t>σ = М/W ≤ Rизг</t>
  </si>
  <si>
    <t>реакции опор</t>
  </si>
  <si>
    <t>A = B = qL/2</t>
  </si>
  <si>
    <t>значение изгибающего момента (с учётом консолей)</t>
  </si>
  <si>
    <r>
      <t>М</t>
    </r>
    <r>
      <rPr>
        <sz val="8.0"/>
      </rPr>
      <t>l/2</t>
    </r>
  </si>
  <si>
    <r>
      <t>M</t>
    </r>
    <r>
      <rPr>
        <sz val="6.0"/>
      </rPr>
      <t>l/2</t>
    </r>
    <r>
      <t>=q*(L^2-4*a^2)/8</t>
    </r>
  </si>
  <si>
    <t>реакции опор (рассчётн.)</t>
  </si>
  <si>
    <t>A = B = q(L+2a)/2</t>
  </si>
  <si>
    <t>реакции опор (нормативн.)</t>
  </si>
  <si>
    <t>значение изгибающего момента на опорах А,В</t>
  </si>
  <si>
    <t>Mа = Мв</t>
  </si>
  <si>
    <t>Ma=Mb=(q*a^2)/2</t>
  </si>
  <si>
    <t>1/200 длины пролёта , нормируемый прогиб</t>
  </si>
  <si>
    <t>fнор.</t>
  </si>
  <si>
    <t>нормируемый прогиб</t>
  </si>
  <si>
    <t>Прогиб на половине пролёта (как однопролётная балка)</t>
  </si>
  <si>
    <t>fmax</t>
  </si>
  <si>
    <t>fmax = -5ql^4/(384EI)</t>
  </si>
  <si>
    <t>Прогиб на половине пролёта (с учётом консолей)</t>
  </si>
  <si>
    <r>
      <t>f</t>
    </r>
    <r>
      <rPr>
        <sz val="8.0"/>
      </rPr>
      <t>l/2</t>
    </r>
  </si>
  <si>
    <t>f1/2 = q*L^2*(24a^2-5*L^2/(384EI)</t>
  </si>
  <si>
    <t>должен быть меньше fнор.</t>
  </si>
  <si>
    <t>брус заданного сечения:</t>
  </si>
  <si>
    <t>R</t>
  </si>
  <si>
    <t>Ммах</t>
  </si>
  <si>
    <t>M = WzR максимальный изгибающий момент, который может выдержать балка</t>
  </si>
  <si>
    <t>Расчёт прогона:</t>
  </si>
  <si>
    <t>грузовая площадь ската, на один прогон:</t>
  </si>
  <si>
    <t>Sгруз.</t>
  </si>
  <si>
    <t>Длина ската (со свесом), м:</t>
  </si>
  <si>
    <t>грузовая площадь ската(горизонтальная),  на один прогон:</t>
  </si>
  <si>
    <t>Sгруз..гор.</t>
  </si>
  <si>
    <t>Длина ската (со свесом) по горизонтали, м:</t>
  </si>
  <si>
    <t>Длина конька (со свесами), м:</t>
  </si>
  <si>
    <t>число стропильных рам на пролёте</t>
  </si>
  <si>
    <t>Высота в коньке, м:</t>
  </si>
  <si>
    <t>соср. нагрузка от одного стропила Qi (равна B), рассчётная</t>
  </si>
  <si>
    <t>Qi(р)</t>
  </si>
  <si>
    <t>соср. нагрузка от одного стропила Qi (равна B), нормативн</t>
  </si>
  <si>
    <t>Qi(н)</t>
  </si>
  <si>
    <t>Нагрузка от веса прогона (погонная)</t>
  </si>
  <si>
    <t>q_прог.</t>
  </si>
  <si>
    <t>эквивалентная распределенная нагрузка (рассчётн.)</t>
  </si>
  <si>
    <t>qэкв(р.)</t>
  </si>
  <si>
    <t>qэкв = γmQ/L , при 8 нагрузках принимаем коэф.=1</t>
  </si>
  <si>
    <t>γ=</t>
  </si>
  <si>
    <t>эквивалентная распределенная нагрузка (нормативн.)</t>
  </si>
  <si>
    <t>qэкв(н.)</t>
  </si>
  <si>
    <t>M = (q*l^2)/8</t>
  </si>
  <si>
    <t>сечение прогона, шир.</t>
  </si>
  <si>
    <t>сечение прогона, выс.</t>
  </si>
  <si>
    <t>момент инерции прямоугольного сечения Iz = bh^3/12 (см^4)</t>
  </si>
  <si>
    <t>qmax.</t>
  </si>
  <si>
    <t>Двутавр №16</t>
  </si>
  <si>
    <t>табличные данные</t>
  </si>
  <si>
    <t>НЕ УДОВЛЕТВОРЯЕТ по прочности и прогибу</t>
  </si>
  <si>
    <t>qэкв = γmQ/L</t>
  </si>
  <si>
    <t>Модуль упругости Е для стали = 2.1*10^6 кгс/см2 . Перевод в кгс/см2: табличное значение в МПа умножается на 10</t>
  </si>
  <si>
    <t>НЕ ПОДХОДИТ ПО ПРОЧНОСТИ.</t>
  </si>
  <si>
    <t>НЕ ПОДХОДИТ ПО ПРОГИБУ.</t>
  </si>
  <si>
    <t>Расчетное сопротивление стали</t>
  </si>
  <si>
    <t>Сортамент:</t>
  </si>
  <si>
    <t>q = 8M/l2 (макс. нагрузка, которую может выдержать балка)</t>
  </si>
  <si>
    <t>Двутавр №18</t>
  </si>
  <si>
    <t>УДОВЛЕТВОРЯЕТ по прочности и прогибу</t>
  </si>
  <si>
    <t>Подходит по прочности (Mz &lt; Mmax)</t>
  </si>
  <si>
    <t>Подходит по прогибу.</t>
  </si>
  <si>
    <t>Проверка:</t>
  </si>
  <si>
    <t>Снеговая нагрузка (гориз.) расчётн.</t>
  </si>
  <si>
    <t>Снеговая нагрузка (гориз.) нормативн.</t>
  </si>
  <si>
    <t>Нагрузка от веса стропил</t>
  </si>
  <si>
    <t>Q_стр.</t>
  </si>
  <si>
    <t>Нагрузка от веса обрешётки</t>
  </si>
  <si>
    <t>Q_обр.</t>
  </si>
  <si>
    <t>Qsum.р.</t>
  </si>
  <si>
    <t>Qsum.н.</t>
  </si>
  <si>
    <t>Двутавр №18 - подходит по прочности и прогибу.</t>
  </si>
  <si>
    <t>A = B = Q/2</t>
  </si>
  <si>
    <t>Расчётная схема 1:</t>
  </si>
  <si>
    <t>Расчёт перемычки над окном (воспринимает нагрузку от веса стены и соср.нагр. от прогона)</t>
  </si>
  <si>
    <t>смещение нагрузки от края проёма</t>
  </si>
  <si>
    <t>высота стены над перемычкой</t>
  </si>
  <si>
    <t>h_стены</t>
  </si>
  <si>
    <t>ширина стены над перемычкой</t>
  </si>
  <si>
    <t>b_стены</t>
  </si>
  <si>
    <t>Плотность Газобетона</t>
  </si>
  <si>
    <t>Расчётная схема 2:</t>
  </si>
  <si>
    <t>Нагрузка от веса стены (погонная)</t>
  </si>
  <si>
    <t>q_стены</t>
  </si>
  <si>
    <t>Нагрузка от перекрытия (погонная)</t>
  </si>
  <si>
    <t>q_перекр</t>
  </si>
  <si>
    <t>(400+400)*4.5/2 для нар. стены, *2 для внутр - счит. худший вариант</t>
  </si>
  <si>
    <t>Соср.нагрузка от прогона:</t>
  </si>
  <si>
    <t>Q_соср.р.</t>
  </si>
  <si>
    <t>Q_соср.н.</t>
  </si>
  <si>
    <t>сечение перемычки, шир.</t>
  </si>
  <si>
    <t>задано конструктивно</t>
  </si>
  <si>
    <t>сечение перемычки, выс.</t>
  </si>
  <si>
    <t>значение изгибающего момента (от веса стены и перекр.)</t>
  </si>
  <si>
    <t>значение изгибающего момента (от соср.нагрузки)</t>
  </si>
  <si>
    <t>значение изгибающего момента (общее)</t>
  </si>
  <si>
    <t>Мsumm</t>
  </si>
  <si>
    <t>http://doctorlom.com/item170.html</t>
  </si>
  <si>
    <t>μ% = 1÷2%, ξ = 0.3÷0.4 - для балок</t>
  </si>
  <si>
    <t>Табл.1:</t>
  </si>
  <si>
    <t>Расчет сечения арматуры перемычки:</t>
  </si>
  <si>
    <t>диаметр арматуры:</t>
  </si>
  <si>
    <t>d</t>
  </si>
  <si>
    <t>мм</t>
  </si>
  <si>
    <t>Кол-во</t>
  </si>
  <si>
    <t>n</t>
  </si>
  <si>
    <t>Площадь</t>
  </si>
  <si>
    <t>S_арматуры</t>
  </si>
  <si>
    <t>см2</t>
  </si>
  <si>
    <t>для арматуры класса А-III</t>
  </si>
  <si>
    <t>Ra</t>
  </si>
  <si>
    <t>для бетона класса В25</t>
  </si>
  <si>
    <t>Rпр (Rb)</t>
  </si>
  <si>
    <t>a=2см , Ra = 3600 кгс/см2, Rпр (Rb) = 145 кгс/см2</t>
  </si>
  <si>
    <t>А0</t>
  </si>
  <si>
    <t xml:space="preserve">А0 = M/bh20Rпр = 800/(0.1·0.182·1480000) </t>
  </si>
  <si>
    <t>η</t>
  </si>
  <si>
    <t>по табл.1 находим η и ξ для известного А_0</t>
  </si>
  <si>
    <t>ξ</t>
  </si>
  <si>
    <t>Рассчётное сечение арматуры:</t>
  </si>
  <si>
    <t>Fa = M/ηh0Ra</t>
  </si>
  <si>
    <t>Fa = M/ηh0Ra = 800/(0.867·0.155·36000000) = 0.0001653 м2 или 1.653 см2</t>
  </si>
  <si>
    <t>Коэффициент армирования</t>
  </si>
  <si>
    <t>μ%(директивн.)</t>
  </si>
  <si>
    <t>μ = Fa/bh0, или μ = ξRпр/Ra (6.8)</t>
  </si>
  <si>
    <t>μ%</t>
  </si>
  <si>
    <t>μ% = 100μ (6.9)</t>
  </si>
  <si>
    <t>ξ0</t>
  </si>
  <si>
    <t>ξ0 = 0.85 - 0.008·14.5 = 0.734</t>
  </si>
  <si>
    <t>ξR</t>
  </si>
  <si>
    <t>ξR = 0.734/(1 + 365/400(1 + 0.734/1.1)) = 0.2911</t>
  </si>
  <si>
    <t>Удовлетворяет.</t>
  </si>
  <si>
    <t>Граничное условие : ξ ≤ ξR</t>
  </si>
  <si>
    <t>2 стержня А14 в перемычках нар. стены</t>
  </si>
  <si>
    <t>3 стержня А14 в перемычке внутр. стены</t>
  </si>
  <si>
    <t>Расчёт фундаментной плиты</t>
  </si>
  <si>
    <t>http://doctorlom.com/item345.html</t>
  </si>
  <si>
    <t>толщина</t>
  </si>
  <si>
    <t>длина</t>
  </si>
  <si>
    <t>ширина</t>
  </si>
  <si>
    <t>q_печи</t>
  </si>
  <si>
    <t>q_фунд.плиты</t>
  </si>
  <si>
    <t>qфунд.плиты = 2500х1.2х0.3 = 900 кг/м2 (0.09 кг/см2)</t>
  </si>
  <si>
    <t>q_пол1эт.</t>
  </si>
  <si>
    <t>qпол1эт. = 500х1.2 = 600 кг/м2 (0.06 кг/см2)</t>
  </si>
  <si>
    <t>q_ф</t>
  </si>
  <si>
    <t>qф = 900 + 600 = 1500 кг/м2</t>
  </si>
  <si>
    <t>Q_фунд.части стен</t>
  </si>
  <si>
    <t>Qфунд.части стен = 2500х1.2х0.5х0.5 = 750 к</t>
  </si>
  <si>
    <t>Q_стен</t>
  </si>
  <si>
    <t>Qстен = 600х1.3х6х0.4 = 1872 кг</t>
  </si>
  <si>
    <t>наг. от перекрытия ,вкл. мансарду и кровлю</t>
  </si>
  <si>
    <t>Q_нар.стен</t>
  </si>
  <si>
    <t>Qнар.стен = 600х1.2х3 + 300х1.2х3 = 3240 кг</t>
  </si>
  <si>
    <t xml:space="preserve">Q_вн.стены </t>
  </si>
  <si>
    <t>Qвн.стены = (600 + 300)1.2х6 = 6480 кг</t>
  </si>
  <si>
    <t>площадь фронтона и внутр. стены мансарды</t>
  </si>
  <si>
    <t>S</t>
  </si>
  <si>
    <t>m_fr</t>
  </si>
  <si>
    <t>учтём как соср.нагрузку</t>
  </si>
  <si>
    <t>m_вн.ст.мансарды</t>
  </si>
  <si>
    <t>Нагрука от прогонов на стену (нар.)</t>
  </si>
  <si>
    <t>Нагрука от прогонов на стену (внутр..)</t>
  </si>
  <si>
    <t>Q_н.с. от мансарды и кровли</t>
  </si>
  <si>
    <t>Q_вн.с. от мансарды и кровли</t>
  </si>
  <si>
    <t>Qэкв(от мансарды и кровли) н.с</t>
  </si>
  <si>
    <t>Qэкв(от мансарды и кровли) вн.с</t>
  </si>
  <si>
    <t>(с учётом проёмов)</t>
  </si>
  <si>
    <t>Q печи</t>
  </si>
  <si>
    <t>Опорная реакция А =С (нагрузка на крайнюю левую наружную стену) составит (для погонного метра стены):</t>
  </si>
  <si>
    <t>A=C</t>
  </si>
  <si>
    <t>А3 = 750 + 1872 + 3240 +364.5 = 6226.5 кг</t>
  </si>
  <si>
    <t>B</t>
  </si>
  <si>
    <t>В3 = 750 + 1872 + 6480 +364.5 = 9466.5 кг</t>
  </si>
  <si>
    <t>Проверка по сечению длинной стены:</t>
  </si>
  <si>
    <t>В/А =</t>
  </si>
  <si>
    <t>&lt;</t>
  </si>
  <si>
    <t>Параметры для проверки МКЭ:</t>
  </si>
  <si>
    <t>Р А С Ч Е Т   О Д Н О П Р О Л Е Т Н О Й   Б А Л К И</t>
  </si>
  <si>
    <t>Масса 130т.</t>
  </si>
  <si>
    <t>kg</t>
  </si>
  <si>
    <t>Расчетная схема: Балка на упругом основании</t>
  </si>
  <si>
    <t>площадь опоры</t>
  </si>
  <si>
    <t>m2</t>
  </si>
  <si>
    <t>Наименование   :</t>
  </si>
  <si>
    <t>Давление</t>
  </si>
  <si>
    <t>кг/м2</t>
  </si>
  <si>
    <t>Исходные данные:</t>
  </si>
  <si>
    <t>Па</t>
  </si>
  <si>
    <t>Мпа</t>
  </si>
  <si>
    <t>¦         Наименование характеристик         ¦ Разм. ¦    Значение    ¦</t>
  </si>
  <si>
    <t>Н</t>
  </si>
  <si>
    <t>¦ Длина балки,  L .......................... ¦   м   ¦           9.40 ¦</t>
  </si>
  <si>
    <t>¦ Высота балки, H .......................... ¦   м   ¦           0.30 ¦</t>
  </si>
  <si>
    <t>Q_бок.стены (1/2)</t>
  </si>
  <si>
    <t>¦ Ширина балки, B .......................... ¦   м   ¦           1.00 ¦</t>
  </si>
  <si>
    <t>¦ Момент инерции, J ........................ ¦  см4  ¦      225000.00 ¦</t>
  </si>
  <si>
    <t>¦ Модуль деформации грунта, Eo ............. ¦ кг/см2¦          40.00 ¦</t>
  </si>
  <si>
    <t>¦ Коэффициент Пуассона грунта .............. ¦       ¦           0.40 ¦</t>
  </si>
  <si>
    <t>Кол-во на 1м:</t>
  </si>
  <si>
    <t>¦ Класс (Марка) бетона ..................... ¦       ¦           M150 ¦</t>
  </si>
  <si>
    <t>шаг</t>
  </si>
  <si>
    <t>¦ Модуль упругости бетона, Eb .............. ¦ кг/см2¦         210000 ¦</t>
  </si>
  <si>
    <t>Площадь общая</t>
  </si>
  <si>
    <t>¦ Расчетное сопротивление бетона, Rb ....... ¦ кг/см2¦          70.00 ¦</t>
  </si>
  <si>
    <t>¦ Защитный слой бетона ..................... ¦  см   ¦           5.00 ¦</t>
  </si>
  <si>
    <t>¦ Класс арматуры ........................... ¦       ¦          A-III ¦</t>
  </si>
  <si>
    <t>¦ Расчетное сопротивление арматуры, Rs ......¦ кг/см2¦        3750.00 ¦</t>
  </si>
  <si>
    <t>¦ Количество стержней на ширину балки ...... ¦       ¦              5 ¦</t>
  </si>
  <si>
    <t>¦ Коэффициент условий работы бетона ........ ¦       ¦           1.00 ¦</t>
  </si>
  <si>
    <t xml:space="preserve">Вывод: </t>
  </si>
  <si>
    <t>¦ Коэффициент условий работы арматуры ...... ¦       ¦           1.00 ¦</t>
  </si>
  <si>
    <t>¦ Коэффициент надежности ................... ¦       ¦           1.25 ¦</t>
  </si>
  <si>
    <t>Для верхней продольной арматуры используем нахлёст двух хлыстов D12 по 5.85 м с шагом 25 см., защитный слой - 3см.</t>
  </si>
  <si>
    <t>¦ Коэффициент сочетания нагрузок ........... ¦       ¦           1.00 ¦</t>
  </si>
  <si>
    <t>Для верхней поперечной арматуры используем D12 по 5.85 м с шагом 25 см., защитный слой - 4см (под продольной арматурой).</t>
  </si>
  <si>
    <t>Для нижней продольной арматуры используем нахлёст двух хлыстов D14 по 5.85 м с шагом 20 см., защитный слой - 5см.</t>
  </si>
  <si>
    <t>Расчетные нагрузки:</t>
  </si>
  <si>
    <t>Для нижней поперечной арматуры используем D14 по 5.85 м с шагом 20 см., защитный слой - 6.5см (выше продольной).</t>
  </si>
  <si>
    <t>Остальная арматура D8 - конструктивная (U-образная) по 1/4 хлыста, шаг 50 см.</t>
  </si>
  <si>
    <t>¦ Наименование нагрузки ¦  Значение  ¦  Lнач.,м   ¦  Lкон.,м   ¦  Kп  ¦</t>
  </si>
  <si>
    <t>¦Распределенная нагрузка¦            ¦            ¦            ¦      ¦</t>
  </si>
  <si>
    <t>¦ - по всей длине, т/м  ¦       1.50 ¦       0.00 ¦       9.40 ¦ 1.00 ¦</t>
  </si>
  <si>
    <t>¦ Сила, т               ¦       4.40 ¦       0.00 ¦            ¦ 1.00 ¦</t>
  </si>
  <si>
    <t>¦ Сила, т               ¦       2.40 ¦       4.50 ¦            ¦ 1.00 ¦</t>
  </si>
  <si>
    <t>¦ Сила, т               ¦       7.80 ¦       4.70 ¦            ¦ 1.00 ¦</t>
  </si>
  <si>
    <t>¦ Сила, т               ¦       4.40 ¦       9.40 ¦            ¦ 1.00 ¦</t>
  </si>
  <si>
    <t>Р Е З У Л Ь Т А Т Ы    Р А С Ч Е Т А</t>
  </si>
  <si>
    <t>Расстояния  Значения   Значения   Значения  Растянутая  Рекомендуемое</t>
  </si>
  <si>
    <t>от  начала  моментов  поперечных   отпора    арматура    армирование</t>
  </si>
  <si>
    <t>[м]        [т.м]    сил, [т] грунта,[т/м]   [см2]       n*d [мм]</t>
  </si>
  <si>
    <t>0.00       0.00      -4.40       5.41       0.00       5 d 10</t>
  </si>
  <si>
    <t>0.19      -0.76      -3.68       5.22       1.02       5 d 10</t>
  </si>
  <si>
    <t>0.38      -1.39      -3.00       5.03       1.89       5 d 10</t>
  </si>
  <si>
    <t>0.56      -1.89      -2.36       4.84       2.59       5 d 10</t>
  </si>
  <si>
    <t>0.75      -2.28      -1.75       4.66       3.14       5 d 10</t>
  </si>
  <si>
    <t>0.94      -2.55      -1.17       4.48       3.53       5 d 10</t>
  </si>
  <si>
    <t>1.13      -2.72      -0.62       4.31       3.77       5 d 10</t>
  </si>
  <si>
    <t>1.32      -2.78      -0.11       4.15       3.87       5 d 10</t>
  </si>
  <si>
    <t>1.50      -2.76       0.37       3.99       3.84       5 d 10</t>
  </si>
  <si>
    <t>1.69      -2.65       0.83       3.84       3.67       5 d 10</t>
  </si>
  <si>
    <t>1.88      -2.45       1.25       3.70       3.39       5 d 10</t>
  </si>
  <si>
    <t>2.07      -2.18       1.66       3.56       3.00       5 d 10</t>
  </si>
  <si>
    <t>2.26      -1.83       2.03       3.43       2.51       5 d 10</t>
  </si>
  <si>
    <t>2.44      -1.41       2.38       3.31       1.92       5 d 10</t>
  </si>
  <si>
    <t>2.63      -0.93       2.71       3.20       1.26       5 d 10</t>
  </si>
  <si>
    <t>2.82      -0.40       3.02       3.09       0.53       5 d 10</t>
  </si>
  <si>
    <t>3.01       0.20       3.31       2.99       0.27       5 d 10</t>
  </si>
  <si>
    <t>3.20       0.85       3.58       2.90       1.14       5 d 10</t>
  </si>
  <si>
    <t>3.38       1.55       3.84       2.82       2.11       5 d 10</t>
  </si>
  <si>
    <t>3.57       2.29       4.08       2.74       3.16       5 d 10</t>
  </si>
  <si>
    <t>3.76       3.08       4.30       2.68       4.30       5 d 12</t>
  </si>
  <si>
    <t>3.95       3.91       4.52       2.62       5.54       5 d 12</t>
  </si>
  <si>
    <t>4.14       4.78       4.72       2.57       6.87       5 d 14</t>
  </si>
  <si>
    <t>4.32       5.68       4.92       2.53       8.32       5 d 16</t>
  </si>
  <si>
    <t>4.51       6.60       2.71       2.50       9.83       5 d 16</t>
  </si>
  <si>
    <t>4.70       7.12      -4.90       2.49      10.73       5 d 18</t>
  </si>
  <si>
    <t>4.89       6.22      -4.72       2.48       9.20       5 d 16</t>
  </si>
  <si>
    <t>5.08       5.35      -4.53       2.48       7.78       5 d 16</t>
  </si>
  <si>
    <t>5.26       4.52      -4.35       2.49       6.47       5 d 14</t>
  </si>
  <si>
    <t>5.45       3.72      -4.16       2.51       5.25       5 d 12</t>
  </si>
  <si>
    <t>5.64       2.95      -3.97       2.54       4.12       5 d 12</t>
  </si>
  <si>
    <t>5.83       2.23      -3.77       2.59       3.07       5 d 10</t>
  </si>
  <si>
    <t>6.02       1.54      -3.56       2.64       2.10       5 d 10</t>
  </si>
  <si>
    <t>6.20       0.89      -3.34       2.71       1.20       5 d 10</t>
  </si>
  <si>
    <t>6.39       0.28      -3.10       2.79       0.38       5 d 10</t>
  </si>
  <si>
    <t>6.58      -0.27      -2.85       2.88       0.37       5 d 10</t>
  </si>
  <si>
    <t>6.77      -0.79      -2.58       2.98       1.06       5 d 10</t>
  </si>
  <si>
    <t>6.96      -1.24      -2.29       3.09       1.69       5 d 10</t>
  </si>
  <si>
    <t>7.14      -1.65      -1.98       3.22       2.25       5 d 10</t>
  </si>
  <si>
    <t>7.33      -1.99      -1.65       3.36       2.73       5 d 10</t>
  </si>
  <si>
    <t>7.52      -2.26      -1.28       3.51       3.12       5 d 10</t>
  </si>
  <si>
    <t>7.71      -2.47      -0.89       3.67       3.42       5 d 10</t>
  </si>
  <si>
    <t>7.90      -2.60      -0.47       3.85       3.60       5 d 10</t>
  </si>
  <si>
    <t>8.08      -2.64      -0.01       4.04       3.67       5 d 10</t>
  </si>
  <si>
    <t>8.27      -2.60       0.49       4.25       3.60       5 d 10</t>
  </si>
  <si>
    <t>8.46      -2.45       1.03       4.46       3.40       5 d 10</t>
  </si>
  <si>
    <t>8.65      -2.21       1.61       4.70       3.04       5 d 10</t>
  </si>
  <si>
    <t>8.84      -1.85       2.23       4.94       2.53       5 d 10</t>
  </si>
  <si>
    <t>9.02      -1.37       2.90       5.20       1.86       5 d 10</t>
  </si>
  <si>
    <t>9.21      -0.75       3.62       5.48       1.02       5 d 10</t>
  </si>
  <si>
    <t>9.40       0.00       0.00       5.77       0.00       5 d 10</t>
  </si>
  <si>
    <t>-------------------------------------------------------------------</t>
  </si>
  <si>
    <t>Max:         7.12       4.92       5.77      10.73       5 d 18</t>
  </si>
  <si>
    <t>Min:        -2.78      -4.90       2.48      -3.87       5 d 10</t>
  </si>
  <si>
    <t>Примечания:</t>
  </si>
  <si>
    <t>1. Отрицательные значения площади арматуры соответствуют</t>
  </si>
  <si>
    <t>положению растянутой арматуры  в верхней зоне балки.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</si>
</sst>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0.0000"/>
    <numFmt numFmtId="166" formatCode="0.000"/>
  </numFmts>
  <fonts count="20">
    <font>
      <sz val="10.0"/>
      <color rgb="FF000000"/>
      <name val="Arial"/>
    </font>
    <font>
      <b/>
      <sz val="12.0"/>
      <color rgb="FF2E2E2E"/>
      <name val="Arial"/>
    </font>
    <font>
      <sz val="12.0"/>
      <color rgb="FF000000"/>
      <name val="Arial"/>
    </font>
    <font>
      <b/>
      <sz val="12.0"/>
      <color rgb="FF000000"/>
      <name val="Inherit"/>
    </font>
    <font>
      <sz val="12.0"/>
      <color rgb="FF2E2E2E"/>
      <name val="Inherit"/>
    </font>
    <font>
      <sz val="12.0"/>
      <name val="Inherit"/>
    </font>
    <font/>
    <font>
      <b/>
    </font>
    <font>
      <sz val="11.0"/>
      <color rgb="FF1155CC"/>
      <name val="Inconsolata"/>
    </font>
    <font>
      <color rgb="FF000000"/>
      <name val="Arial"/>
    </font>
    <font>
      <sz val="11.0"/>
      <color rgb="FF000000"/>
      <name val="Arial"/>
    </font>
    <font>
      <sz val="11.0"/>
      <color rgb="FF000000"/>
      <name val="Inconsolata"/>
    </font>
    <font>
      <color rgb="FF000000"/>
      <name val="Verdana"/>
    </font>
    <font>
      <name val="Arial"/>
    </font>
    <font>
      <u/>
      <color rgb="FF000000"/>
      <name val="Verdana"/>
    </font>
    <font>
      <b/>
      <color rgb="FFFF0000"/>
    </font>
    <font>
      <b/>
      <color rgb="FF38761D"/>
    </font>
    <font>
      <u/>
      <color rgb="FF0000FF"/>
    </font>
    <font>
      <u/>
      <color rgb="FF0000FF"/>
    </font>
    <font>
      <color rgb="FF000000"/>
      <name val="Roboto"/>
    </font>
  </fonts>
  <fills count="1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CF4F6"/>
        <bgColor rgb="FFECF4F6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FFF2CC"/>
        <bgColor rgb="FFFFF2CC"/>
      </patternFill>
    </fill>
    <fill>
      <patternFill patternType="solid">
        <fgColor rgb="FFD5A6BD"/>
        <bgColor rgb="FFD5A6BD"/>
      </patternFill>
    </fill>
    <fill>
      <patternFill patternType="solid">
        <fgColor rgb="FFD9D9D9"/>
        <bgColor rgb="FFD9D9D9"/>
      </patternFill>
    </fill>
    <fill>
      <patternFill patternType="solid">
        <fgColor rgb="FF6D9EEB"/>
        <bgColor rgb="FF6D9EEB"/>
      </patternFill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2" fontId="2" numFmtId="0" xfId="0" applyFont="1"/>
    <xf borderId="0" fillId="3" fontId="3" numFmtId="0" xfId="0" applyAlignment="1" applyFill="1" applyFont="1">
      <alignment horizontal="center" readingOrder="0"/>
    </xf>
    <xf borderId="0" fillId="2" fontId="4" numFmtId="0" xfId="0" applyAlignment="1" applyFont="1">
      <alignment readingOrder="0"/>
    </xf>
    <xf borderId="0" fillId="4" fontId="5" numFmtId="0" xfId="0" applyAlignment="1" applyFill="1" applyFont="1">
      <alignment readingOrder="0"/>
    </xf>
    <xf borderId="0" fillId="0" fontId="6" numFmtId="0" xfId="0" applyAlignment="1" applyFont="1">
      <alignment readingOrder="0"/>
    </xf>
    <xf borderId="0" fillId="5" fontId="4" numFmtId="0" xfId="0" applyAlignment="1" applyFill="1" applyFont="1">
      <alignment readingOrder="0"/>
    </xf>
    <xf borderId="0" fillId="6" fontId="6" numFmtId="0" xfId="0" applyAlignment="1" applyFill="1" applyFont="1">
      <alignment readingOrder="0"/>
    </xf>
    <xf borderId="0" fillId="6" fontId="6" numFmtId="0" xfId="0" applyFont="1"/>
    <xf borderId="0" fillId="6" fontId="7" numFmtId="0" xfId="0" applyFont="1"/>
    <xf borderId="0" fillId="0" fontId="7" numFmtId="1" xfId="0" applyFont="1" applyNumberFormat="1"/>
    <xf borderId="0" fillId="6" fontId="8" numFmtId="1" xfId="0" applyFont="1" applyNumberFormat="1"/>
    <xf borderId="0" fillId="6" fontId="6" numFmtId="0" xfId="0" applyAlignment="1" applyFont="1">
      <alignment horizontal="center" readingOrder="0"/>
    </xf>
    <xf borderId="0" fillId="6" fontId="7" numFmtId="1" xfId="0" applyFont="1" applyNumberFormat="1"/>
    <xf borderId="0" fillId="6" fontId="8" numFmtId="0" xfId="0" applyAlignment="1" applyFont="1">
      <alignment readingOrder="0"/>
    </xf>
    <xf borderId="0" fillId="6" fontId="6" numFmtId="1" xfId="0" applyFont="1" applyNumberFormat="1"/>
    <xf borderId="0" fillId="6" fontId="6" numFmtId="0" xfId="0" applyAlignment="1" applyFont="1">
      <alignment readingOrder="0" shrinkToFit="0" wrapText="0"/>
    </xf>
    <xf borderId="0" fillId="6" fontId="8" numFmtId="0" xfId="0" applyFont="1"/>
    <xf borderId="0" fillId="6" fontId="6" numFmtId="164" xfId="0" applyFont="1" applyNumberFormat="1"/>
    <xf borderId="0" fillId="6" fontId="6" numFmtId="1" xfId="0" applyAlignment="1" applyFont="1" applyNumberFormat="1">
      <alignment readingOrder="0"/>
    </xf>
    <xf borderId="0" fillId="0" fontId="6" numFmtId="1" xfId="0" applyFont="1" applyNumberFormat="1"/>
    <xf borderId="0" fillId="6" fontId="9" numFmtId="0" xfId="0" applyAlignment="1" applyFont="1">
      <alignment readingOrder="0"/>
    </xf>
    <xf borderId="0" fillId="2" fontId="9" numFmtId="0" xfId="0" applyAlignment="1" applyFont="1">
      <alignment readingOrder="0"/>
    </xf>
    <xf borderId="0" fillId="2" fontId="10" numFmtId="0" xfId="0" applyAlignment="1" applyFont="1">
      <alignment readingOrder="0"/>
    </xf>
    <xf borderId="0" fillId="6" fontId="8" numFmtId="164" xfId="0" applyAlignment="1" applyFont="1" applyNumberFormat="1">
      <alignment readingOrder="0"/>
    </xf>
    <xf borderId="0" fillId="6" fontId="8" numFmtId="2" xfId="0" applyAlignment="1" applyFont="1" applyNumberFormat="1">
      <alignment readingOrder="0"/>
    </xf>
    <xf borderId="0" fillId="6" fontId="7" numFmtId="1" xfId="0" applyAlignment="1" applyFont="1" applyNumberFormat="1">
      <alignment readingOrder="0"/>
    </xf>
    <xf borderId="0" fillId="6" fontId="11" numFmtId="1" xfId="0" applyFont="1" applyNumberFormat="1"/>
    <xf borderId="0" fillId="6" fontId="11" numFmtId="1" xfId="0" applyAlignment="1" applyFont="1" applyNumberFormat="1">
      <alignment readingOrder="0"/>
    </xf>
    <xf borderId="0" fillId="6" fontId="11" numFmtId="1" xfId="0" applyAlignment="1" applyFont="1" applyNumberFormat="1">
      <alignment horizontal="center" readingOrder="0"/>
    </xf>
    <xf borderId="0" fillId="6" fontId="8" numFmtId="1" xfId="0" applyAlignment="1" applyFont="1" applyNumberFormat="1">
      <alignment readingOrder="0"/>
    </xf>
    <xf borderId="0" fillId="7" fontId="6" numFmtId="0" xfId="0" applyAlignment="1" applyFill="1" applyFont="1">
      <alignment readingOrder="0"/>
    </xf>
    <xf borderId="0" fillId="7" fontId="6" numFmtId="0" xfId="0" applyFont="1"/>
    <xf borderId="0" fillId="7" fontId="7" numFmtId="1" xfId="0" applyFont="1" applyNumberFormat="1"/>
    <xf borderId="0" fillId="7" fontId="7" numFmtId="164" xfId="0" applyFont="1" applyNumberFormat="1"/>
    <xf borderId="0" fillId="7" fontId="8" numFmtId="0" xfId="0" applyAlignment="1" applyFont="1">
      <alignment readingOrder="0"/>
    </xf>
    <xf borderId="0" fillId="7" fontId="6" numFmtId="1" xfId="0" applyFont="1" applyNumberFormat="1"/>
    <xf borderId="0" fillId="7" fontId="6" numFmtId="1" xfId="0" applyAlignment="1" applyFont="1" applyNumberFormat="1">
      <alignment readingOrder="0"/>
    </xf>
    <xf borderId="0" fillId="7" fontId="6" numFmtId="0" xfId="0" applyAlignment="1" applyFont="1">
      <alignment horizontal="right" readingOrder="0"/>
    </xf>
    <xf borderId="0" fillId="7" fontId="6" numFmtId="0" xfId="0" applyAlignment="1" applyFont="1">
      <alignment horizontal="center" readingOrder="0"/>
    </xf>
    <xf borderId="0" fillId="7" fontId="7" numFmtId="0" xfId="0" applyFont="1"/>
    <xf borderId="0" fillId="7" fontId="6" numFmtId="164" xfId="0" applyFont="1" applyNumberFormat="1"/>
    <xf borderId="0" fillId="7" fontId="11" numFmtId="1" xfId="0" applyFont="1" applyNumberFormat="1"/>
    <xf borderId="0" fillId="7" fontId="11" numFmtId="1" xfId="0" applyAlignment="1" applyFont="1" applyNumberFormat="1">
      <alignment horizontal="center" readingOrder="0"/>
    </xf>
    <xf borderId="0" fillId="7" fontId="6" numFmtId="2" xfId="0" applyFont="1" applyNumberFormat="1"/>
    <xf borderId="0" fillId="7" fontId="7" numFmtId="2" xfId="0" applyFont="1" applyNumberFormat="1"/>
    <xf borderId="0" fillId="7" fontId="7" numFmtId="0" xfId="0" applyAlignment="1" applyFont="1">
      <alignment readingOrder="0"/>
    </xf>
    <xf borderId="0" fillId="8" fontId="6" numFmtId="0" xfId="0" applyAlignment="1" applyFill="1" applyFont="1">
      <alignment readingOrder="0"/>
    </xf>
    <xf borderId="0" fillId="8" fontId="6" numFmtId="1" xfId="0" applyFont="1" applyNumberFormat="1"/>
    <xf borderId="0" fillId="8" fontId="6" numFmtId="1" xfId="0" applyAlignment="1" applyFont="1" applyNumberFormat="1">
      <alignment readingOrder="0"/>
    </xf>
    <xf borderId="0" fillId="8" fontId="7" numFmtId="0" xfId="0" applyFont="1"/>
    <xf borderId="0" fillId="8" fontId="8" numFmtId="0" xfId="0" applyAlignment="1" applyFont="1">
      <alignment readingOrder="0"/>
    </xf>
    <xf borderId="0" fillId="8" fontId="7" numFmtId="1" xfId="0" applyFont="1" applyNumberFormat="1"/>
    <xf borderId="0" fillId="8" fontId="7" numFmtId="164" xfId="0" applyFont="1" applyNumberFormat="1"/>
    <xf borderId="0" fillId="8" fontId="7" numFmtId="164" xfId="0" applyAlignment="1" applyFont="1" applyNumberFormat="1">
      <alignment readingOrder="0"/>
    </xf>
    <xf borderId="0" fillId="8" fontId="7" numFmtId="0" xfId="0" applyAlignment="1" applyFont="1">
      <alignment readingOrder="0"/>
    </xf>
    <xf borderId="0" fillId="8" fontId="6" numFmtId="0" xfId="0" applyFont="1"/>
    <xf borderId="0" fillId="0" fontId="7" numFmtId="0" xfId="0" applyFont="1"/>
    <xf borderId="0" fillId="9" fontId="6" numFmtId="0" xfId="0" applyAlignment="1" applyFill="1" applyFont="1">
      <alignment readingOrder="0"/>
    </xf>
    <xf borderId="0" fillId="9" fontId="6" numFmtId="0" xfId="0" applyFont="1"/>
    <xf borderId="0" fillId="9" fontId="7" numFmtId="164" xfId="0" applyFont="1" applyNumberFormat="1"/>
    <xf borderId="0" fillId="9" fontId="6" numFmtId="0" xfId="0" applyAlignment="1" applyFont="1">
      <alignment readingOrder="0" shrinkToFit="0" wrapText="1"/>
    </xf>
    <xf borderId="0" fillId="9" fontId="7" numFmtId="0" xfId="0" applyAlignment="1" applyFont="1">
      <alignment readingOrder="0"/>
    </xf>
    <xf borderId="0" fillId="9" fontId="8" numFmtId="0" xfId="0" applyAlignment="1" applyFont="1">
      <alignment readingOrder="0"/>
    </xf>
    <xf borderId="0" fillId="0" fontId="7" numFmtId="0" xfId="0" applyAlignment="1" applyFont="1">
      <alignment readingOrder="0"/>
    </xf>
    <xf borderId="0" fillId="2" fontId="8" numFmtId="0" xfId="0" applyAlignment="1" applyFont="1">
      <alignment readingOrder="0"/>
    </xf>
    <xf borderId="0" fillId="10" fontId="6" numFmtId="0" xfId="0" applyAlignment="1" applyFill="1" applyFont="1">
      <alignment readingOrder="0"/>
    </xf>
    <xf borderId="0" fillId="10" fontId="6" numFmtId="0" xfId="0" applyFont="1"/>
    <xf borderId="0" fillId="10" fontId="7" numFmtId="0" xfId="0" applyAlignment="1" applyFont="1">
      <alignment readingOrder="0"/>
    </xf>
    <xf borderId="0" fillId="10" fontId="8" numFmtId="0" xfId="0" applyAlignment="1" applyFont="1">
      <alignment readingOrder="0"/>
    </xf>
    <xf borderId="0" fillId="10" fontId="7" numFmtId="164" xfId="0" applyFont="1" applyNumberFormat="1"/>
    <xf borderId="0" fillId="11" fontId="6" numFmtId="0" xfId="0" applyAlignment="1" applyFill="1" applyFont="1">
      <alignment readingOrder="0"/>
    </xf>
    <xf borderId="0" fillId="11" fontId="6" numFmtId="0" xfId="0" applyFont="1"/>
    <xf borderId="0" fillId="11" fontId="7" numFmtId="164" xfId="0" applyFont="1" applyNumberFormat="1"/>
    <xf borderId="0" fillId="11" fontId="11" numFmtId="1" xfId="0" applyAlignment="1" applyFont="1" applyNumberFormat="1">
      <alignment horizontal="center" readingOrder="0"/>
    </xf>
    <xf borderId="0" fillId="11" fontId="7" numFmtId="0" xfId="0" applyFont="1"/>
    <xf borderId="0" fillId="11" fontId="8" numFmtId="0" xfId="0" applyAlignment="1" applyFont="1">
      <alignment readingOrder="0"/>
    </xf>
    <xf borderId="0" fillId="11" fontId="10" numFmtId="0" xfId="0" applyAlignment="1" applyFont="1">
      <alignment readingOrder="0"/>
    </xf>
    <xf borderId="0" fillId="11" fontId="7" numFmtId="0" xfId="0" applyAlignment="1" applyFont="1">
      <alignment readingOrder="0"/>
    </xf>
    <xf borderId="0" fillId="11" fontId="7" numFmtId="1" xfId="0" applyFont="1" applyNumberFormat="1"/>
    <xf borderId="0" fillId="0" fontId="12" numFmtId="0" xfId="0" applyAlignment="1" applyFont="1">
      <alignment readingOrder="0"/>
    </xf>
    <xf borderId="0" fillId="11" fontId="6" numFmtId="1" xfId="0" applyFont="1" applyNumberFormat="1"/>
    <xf borderId="0" fillId="0" fontId="6" numFmtId="0" xfId="0" applyAlignment="1" applyFont="1">
      <alignment horizontal="left"/>
    </xf>
    <xf borderId="0" fillId="2" fontId="11" numFmtId="0" xfId="0" applyAlignment="1" applyFont="1">
      <alignment readingOrder="0"/>
    </xf>
    <xf borderId="0" fillId="12" fontId="6" numFmtId="0" xfId="0" applyAlignment="1" applyFill="1" applyFont="1">
      <alignment readingOrder="0"/>
    </xf>
    <xf borderId="0" fillId="12" fontId="6" numFmtId="0" xfId="0" applyFont="1"/>
    <xf borderId="0" fillId="12" fontId="6" numFmtId="0" xfId="0" applyAlignment="1" applyFont="1">
      <alignment horizontal="left"/>
    </xf>
    <xf borderId="0" fillId="0" fontId="13" numFmtId="0" xfId="0" applyAlignment="1" applyFont="1">
      <alignment vertical="bottom"/>
    </xf>
    <xf borderId="0" fillId="0" fontId="13" numFmtId="0" xfId="0" applyAlignment="1" applyFont="1">
      <alignment horizontal="right" vertical="bottom"/>
    </xf>
    <xf borderId="0" fillId="13" fontId="6" numFmtId="0" xfId="0" applyAlignment="1" applyFill="1" applyFont="1">
      <alignment readingOrder="0"/>
    </xf>
    <xf borderId="0" fillId="13" fontId="6" numFmtId="0" xfId="0" applyFont="1"/>
    <xf borderId="0" fillId="0" fontId="7" numFmtId="0" xfId="0" applyAlignment="1" applyFont="1">
      <alignment horizontal="right" readingOrder="0"/>
    </xf>
    <xf borderId="0" fillId="0" fontId="7" numFmtId="0" xfId="0" applyAlignment="1" applyFont="1">
      <alignment readingOrder="0" shrinkToFit="0" wrapText="1"/>
    </xf>
    <xf borderId="0" fillId="13" fontId="7" numFmtId="164" xfId="0" applyFont="1" applyNumberFormat="1"/>
    <xf borderId="1" fillId="0" fontId="7" numFmtId="0" xfId="0" applyAlignment="1" applyBorder="1" applyFont="1">
      <alignment readingOrder="0"/>
    </xf>
    <xf borderId="0" fillId="0" fontId="13" numFmtId="1" xfId="0" applyAlignment="1" applyFont="1" applyNumberFormat="1">
      <alignment horizontal="right" vertical="bottom"/>
    </xf>
    <xf borderId="0" fillId="13" fontId="6" numFmtId="0" xfId="0" applyAlignment="1" applyFont="1">
      <alignment readingOrder="0" shrinkToFit="0" wrapText="0"/>
    </xf>
    <xf borderId="0" fillId="0" fontId="12" numFmtId="0" xfId="0" applyAlignment="1" applyFont="1">
      <alignment vertical="bottom"/>
    </xf>
    <xf borderId="2" fillId="0" fontId="7" numFmtId="0" xfId="0" applyBorder="1" applyFont="1"/>
    <xf borderId="0" fillId="0" fontId="13" numFmtId="2" xfId="0" applyAlignment="1" applyFont="1" applyNumberFormat="1">
      <alignment horizontal="right" vertical="bottom"/>
    </xf>
    <xf borderId="0" fillId="13" fontId="8" numFmtId="0" xfId="0" applyAlignment="1" applyFont="1">
      <alignment readingOrder="0"/>
    </xf>
    <xf borderId="0" fillId="0" fontId="13" numFmtId="164" xfId="0" applyAlignment="1" applyFont="1" applyNumberFormat="1">
      <alignment horizontal="right" vertical="bottom"/>
    </xf>
    <xf borderId="0" fillId="13" fontId="8" numFmtId="0" xfId="0" applyFont="1"/>
    <xf borderId="0" fillId="0" fontId="13" numFmtId="0" xfId="0" applyAlignment="1" applyFont="1">
      <alignment vertical="bottom"/>
    </xf>
    <xf borderId="3" fillId="0" fontId="6" numFmtId="0" xfId="0" applyAlignment="1" applyBorder="1" applyFont="1">
      <alignment readingOrder="0"/>
    </xf>
    <xf borderId="4" fillId="0" fontId="6" numFmtId="0" xfId="0" applyBorder="1" applyFont="1"/>
    <xf borderId="0" fillId="13" fontId="7" numFmtId="0" xfId="0" applyFont="1"/>
    <xf borderId="0" fillId="0" fontId="13" numFmtId="165" xfId="0" applyAlignment="1" applyFont="1" applyNumberFormat="1">
      <alignment horizontal="right" vertical="bottom"/>
    </xf>
    <xf borderId="0" fillId="2" fontId="11" numFmtId="0" xfId="0" applyAlignment="1" applyFont="1">
      <alignment vertical="bottom"/>
    </xf>
    <xf borderId="0" fillId="13" fontId="7" numFmtId="0" xfId="0" applyAlignment="1" applyFont="1">
      <alignment readingOrder="0"/>
    </xf>
    <xf borderId="0" fillId="0" fontId="13" numFmtId="0" xfId="0" applyAlignment="1" applyFont="1">
      <alignment horizontal="right" vertical="bottom"/>
    </xf>
    <xf borderId="0" fillId="0" fontId="12" numFmtId="0" xfId="0" applyAlignment="1" applyFont="1">
      <alignment horizontal="right" vertical="bottom"/>
    </xf>
    <xf borderId="0" fillId="0" fontId="12" numFmtId="0" xfId="0" applyAlignment="1" applyFont="1">
      <alignment horizontal="left" readingOrder="0"/>
    </xf>
    <xf borderId="0" fillId="0" fontId="6" numFmtId="2" xfId="0" applyFont="1" applyNumberFormat="1"/>
    <xf borderId="5" fillId="0" fontId="6" numFmtId="0" xfId="0" applyAlignment="1" applyBorder="1" applyFont="1">
      <alignment readingOrder="0"/>
    </xf>
    <xf borderId="6" fillId="0" fontId="6" numFmtId="0" xfId="0" applyBorder="1" applyFont="1"/>
    <xf borderId="7" fillId="0" fontId="6" numFmtId="0" xfId="0" applyBorder="1" applyFont="1"/>
    <xf borderId="0" fillId="0" fontId="12" numFmtId="0" xfId="0" applyAlignment="1" applyFont="1">
      <alignment horizontal="center"/>
    </xf>
    <xf borderId="0" fillId="0" fontId="12" numFmtId="0" xfId="0" applyAlignment="1" applyFont="1">
      <alignment horizontal="center" readingOrder="0"/>
    </xf>
    <xf borderId="0" fillId="0" fontId="6" numFmtId="165" xfId="0" applyFont="1" applyNumberFormat="1"/>
    <xf borderId="0" fillId="0" fontId="14" numFmtId="0" xfId="0" applyAlignment="1" applyFont="1">
      <alignment readingOrder="0"/>
    </xf>
    <xf borderId="0" fillId="14" fontId="11" numFmtId="0" xfId="0" applyAlignment="1" applyFill="1" applyFont="1">
      <alignment readingOrder="0"/>
    </xf>
    <xf borderId="0" fillId="14" fontId="6" numFmtId="1" xfId="0" applyFont="1" applyNumberFormat="1"/>
    <xf borderId="0" fillId="14" fontId="6" numFmtId="0" xfId="0" applyAlignment="1" applyFont="1">
      <alignment readingOrder="0"/>
    </xf>
    <xf borderId="0" fillId="14" fontId="11" numFmtId="0" xfId="0" applyAlignment="1" applyFont="1">
      <alignment vertical="bottom"/>
    </xf>
    <xf borderId="0" fillId="15" fontId="11" numFmtId="0" xfId="0" applyAlignment="1" applyFill="1" applyFont="1">
      <alignment readingOrder="0"/>
    </xf>
    <xf borderId="0" fillId="15" fontId="6" numFmtId="1" xfId="0" applyFont="1" applyNumberFormat="1"/>
    <xf borderId="0" fillId="15" fontId="6" numFmtId="0" xfId="0" applyAlignment="1" applyFont="1">
      <alignment readingOrder="0"/>
    </xf>
    <xf borderId="0" fillId="8" fontId="11" numFmtId="0" xfId="0" applyAlignment="1" applyFont="1">
      <alignment readingOrder="0"/>
    </xf>
    <xf borderId="0" fillId="0" fontId="6" numFmtId="164" xfId="0" applyFont="1" applyNumberFormat="1"/>
    <xf borderId="0" fillId="15" fontId="12" numFmtId="0" xfId="0" applyAlignment="1" applyFont="1">
      <alignment horizontal="left" readingOrder="0"/>
    </xf>
    <xf borderId="0" fillId="15" fontId="6" numFmtId="164" xfId="0" applyFont="1" applyNumberFormat="1"/>
    <xf borderId="0" fillId="16" fontId="11" numFmtId="0" xfId="0" applyAlignment="1" applyFill="1" applyFont="1">
      <alignment readingOrder="0"/>
    </xf>
    <xf borderId="0" fillId="16" fontId="6" numFmtId="1" xfId="0" applyAlignment="1" applyFont="1" applyNumberFormat="1">
      <alignment readingOrder="0"/>
    </xf>
    <xf borderId="0" fillId="16" fontId="6" numFmtId="0" xfId="0" applyAlignment="1" applyFont="1">
      <alignment readingOrder="0"/>
    </xf>
    <xf borderId="0" fillId="16" fontId="6" numFmtId="1" xfId="0" applyFont="1" applyNumberFormat="1"/>
    <xf borderId="8" fillId="0" fontId="6" numFmtId="0" xfId="0" applyAlignment="1" applyBorder="1" applyFont="1">
      <alignment readingOrder="0" shrinkToFit="0" wrapText="1"/>
    </xf>
    <xf borderId="8" fillId="0" fontId="6" numFmtId="0" xfId="0" applyAlignment="1" applyBorder="1" applyFont="1">
      <alignment shrinkToFit="0" wrapText="1"/>
    </xf>
    <xf borderId="8" fillId="0" fontId="7" numFmtId="0" xfId="0" applyAlignment="1" applyBorder="1" applyFont="1">
      <alignment readingOrder="0" shrinkToFit="0" wrapText="1"/>
    </xf>
    <xf borderId="0" fillId="2" fontId="11" numFmtId="164" xfId="0" applyAlignment="1" applyFont="1" applyNumberFormat="1">
      <alignment readingOrder="0"/>
    </xf>
    <xf borderId="8" fillId="0" fontId="6" numFmtId="0" xfId="0" applyBorder="1" applyFont="1"/>
    <xf borderId="8" fillId="0" fontId="7" numFmtId="0" xfId="0" applyAlignment="1" applyBorder="1" applyFont="1">
      <alignment readingOrder="0"/>
    </xf>
    <xf borderId="8" fillId="0" fontId="6" numFmtId="0" xfId="0" applyAlignment="1" applyBorder="1" applyFont="1">
      <alignment readingOrder="0"/>
    </xf>
    <xf borderId="0" fillId="0" fontId="6" numFmtId="2" xfId="0" applyAlignment="1" applyFont="1" applyNumberFormat="1">
      <alignment readingOrder="0"/>
    </xf>
    <xf borderId="0" fillId="0" fontId="12" numFmtId="0" xfId="0" applyAlignment="1" applyFont="1">
      <alignment horizontal="right" readingOrder="0"/>
    </xf>
    <xf borderId="0" fillId="0" fontId="6" numFmtId="0" xfId="0" applyAlignment="1" applyFont="1">
      <alignment horizontal="left" readingOrder="0"/>
    </xf>
    <xf borderId="0" fillId="0" fontId="6" numFmtId="1" xfId="0" applyAlignment="1" applyFont="1" applyNumberFormat="1">
      <alignment readingOrder="0"/>
    </xf>
    <xf borderId="0" fillId="17" fontId="11" numFmtId="0" xfId="0" applyAlignment="1" applyFill="1" applyFont="1">
      <alignment readingOrder="0"/>
    </xf>
    <xf borderId="0" fillId="17" fontId="6" numFmtId="1" xfId="0" applyFont="1" applyNumberFormat="1"/>
    <xf borderId="0" fillId="4" fontId="11" numFmtId="0" xfId="0" applyAlignment="1" applyFont="1">
      <alignment readingOrder="0"/>
    </xf>
    <xf borderId="0" fillId="4" fontId="6" numFmtId="1" xfId="0" applyFont="1" applyNumberFormat="1"/>
    <xf borderId="0" fillId="4" fontId="12" numFmtId="0" xfId="0" applyAlignment="1" applyFont="1">
      <alignment horizontal="left" readingOrder="0"/>
    </xf>
    <xf borderId="0" fillId="4" fontId="6" numFmtId="164" xfId="0" applyFont="1" applyNumberFormat="1"/>
    <xf borderId="0" fillId="14" fontId="6" numFmtId="0" xfId="0" applyFont="1"/>
    <xf borderId="0" fillId="14" fontId="15" numFmtId="0" xfId="0" applyAlignment="1" applyFont="1">
      <alignment readingOrder="0"/>
    </xf>
    <xf borderId="0" fillId="11" fontId="11" numFmtId="0" xfId="0" applyAlignment="1" applyFont="1">
      <alignment readingOrder="0"/>
    </xf>
    <xf borderId="0" fillId="11" fontId="12" numFmtId="0" xfId="0" applyAlignment="1" applyFont="1">
      <alignment horizontal="left" readingOrder="0"/>
    </xf>
    <xf borderId="0" fillId="11" fontId="6" numFmtId="164" xfId="0" applyFont="1" applyNumberFormat="1"/>
    <xf borderId="0" fillId="16" fontId="6" numFmtId="0" xfId="0" applyFont="1"/>
    <xf borderId="0" fillId="14" fontId="16" numFmtId="0" xfId="0" applyAlignment="1" applyFont="1">
      <alignment readingOrder="0"/>
    </xf>
    <xf borderId="0" fillId="5" fontId="11" numFmtId="0" xfId="0" applyAlignment="1" applyFont="1">
      <alignment readingOrder="0"/>
    </xf>
    <xf borderId="0" fillId="5" fontId="6" numFmtId="1" xfId="0" applyFont="1" applyNumberFormat="1"/>
    <xf borderId="0" fillId="5" fontId="6" numFmtId="0" xfId="0" applyAlignment="1" applyFont="1">
      <alignment readingOrder="0"/>
    </xf>
    <xf borderId="0" fillId="5" fontId="12" numFmtId="0" xfId="0" applyAlignment="1" applyFont="1">
      <alignment horizontal="left" readingOrder="0"/>
    </xf>
    <xf borderId="0" fillId="5" fontId="6" numFmtId="164" xfId="0" applyFont="1" applyNumberFormat="1"/>
    <xf borderId="0" fillId="5" fontId="6" numFmtId="0" xfId="0" applyFont="1"/>
    <xf borderId="0" fillId="5" fontId="11" numFmtId="164" xfId="0" applyAlignment="1" applyFont="1" applyNumberFormat="1">
      <alignment readingOrder="0"/>
    </xf>
    <xf borderId="0" fillId="5" fontId="13" numFmtId="0" xfId="0" applyAlignment="1" applyFont="1">
      <alignment readingOrder="0" vertical="bottom"/>
    </xf>
    <xf borderId="0" fillId="5" fontId="13" numFmtId="0" xfId="0" applyAlignment="1" applyFont="1">
      <alignment vertical="bottom"/>
    </xf>
    <xf borderId="0" fillId="5" fontId="13" numFmtId="1" xfId="0" applyAlignment="1" applyFont="1" applyNumberFormat="1">
      <alignment horizontal="right" vertical="bottom"/>
    </xf>
    <xf borderId="0" fillId="5" fontId="11" numFmtId="0" xfId="0" applyAlignment="1" applyFont="1">
      <alignment readingOrder="0" vertical="bottom"/>
    </xf>
    <xf borderId="0" fillId="5" fontId="13" numFmtId="0" xfId="0" applyAlignment="1" applyFont="1">
      <alignment horizontal="right" vertical="bottom"/>
    </xf>
    <xf borderId="0" fillId="5" fontId="13" numFmtId="164" xfId="0" applyAlignment="1" applyFont="1" applyNumberFormat="1">
      <alignment horizontal="right" vertical="bottom"/>
    </xf>
    <xf borderId="0" fillId="5" fontId="11" numFmtId="0" xfId="0" applyAlignment="1" applyFont="1">
      <alignment vertical="bottom"/>
    </xf>
    <xf borderId="0" fillId="2" fontId="11" numFmtId="0" xfId="0" applyAlignment="1" applyFont="1">
      <alignment readingOrder="0" vertical="bottom"/>
    </xf>
    <xf borderId="0" fillId="0" fontId="13" numFmtId="0" xfId="0" applyAlignment="1" applyFont="1">
      <alignment readingOrder="0" vertical="bottom"/>
    </xf>
    <xf borderId="0" fillId="0" fontId="13" numFmtId="1" xfId="0" applyAlignment="1" applyFont="1" applyNumberFormat="1">
      <alignment readingOrder="0" vertical="bottom"/>
    </xf>
    <xf borderId="0" fillId="0" fontId="13" numFmtId="1" xfId="0" applyAlignment="1" applyFont="1" applyNumberFormat="1">
      <alignment vertical="bottom"/>
    </xf>
    <xf borderId="0" fillId="0" fontId="13" numFmtId="1" xfId="0" applyAlignment="1" applyFont="1" applyNumberFormat="1">
      <alignment horizontal="right" readingOrder="0" vertical="bottom"/>
    </xf>
    <xf borderId="0" fillId="0" fontId="11" numFmtId="0" xfId="0" applyAlignment="1" applyFont="1">
      <alignment readingOrder="0"/>
    </xf>
    <xf borderId="0" fillId="0" fontId="17" numFmtId="0" xfId="0" applyAlignment="1" applyFont="1">
      <alignment readingOrder="0"/>
    </xf>
    <xf borderId="0" fillId="16" fontId="6" numFmtId="2" xfId="0" applyAlignment="1" applyFont="1" applyNumberFormat="1">
      <alignment readingOrder="0"/>
    </xf>
    <xf borderId="0" fillId="0" fontId="6" numFmtId="166" xfId="0" applyFont="1" applyNumberFormat="1"/>
    <xf borderId="0" fillId="4" fontId="6" numFmtId="0" xfId="0" applyAlignment="1" applyFont="1">
      <alignment readingOrder="0"/>
    </xf>
    <xf borderId="0" fillId="12" fontId="18" numFmtId="0" xfId="0" applyAlignment="1" applyFont="1">
      <alignment readingOrder="0"/>
    </xf>
    <xf borderId="0" fillId="2" fontId="19" numFmtId="0" xfId="0" applyAlignment="1" applyFont="1">
      <alignment readingOrder="0"/>
    </xf>
    <xf borderId="0" fillId="0" fontId="12" numFmtId="0" xfId="0" applyAlignment="1" applyFont="1">
      <alignment readingOrder="0" shrinkToFit="0" wrapText="1"/>
    </xf>
    <xf borderId="0" fillId="0" fontId="6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3" Type="http://schemas.openxmlformats.org/officeDocument/2006/relationships/image" Target="../media/image14.png"/><Relationship Id="rId12" Type="http://schemas.openxmlformats.org/officeDocument/2006/relationships/image" Target="../media/image13.png"/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12.png"/><Relationship Id="rId15" Type="http://schemas.openxmlformats.org/officeDocument/2006/relationships/image" Target="../media/image16.png"/><Relationship Id="rId14" Type="http://schemas.openxmlformats.org/officeDocument/2006/relationships/image" Target="../media/image15.png"/><Relationship Id="rId16" Type="http://schemas.openxmlformats.org/officeDocument/2006/relationships/image" Target="../media/image17.png"/><Relationship Id="rId5" Type="http://schemas.openxmlformats.org/officeDocument/2006/relationships/image" Target="../media/image6.png"/><Relationship Id="rId6" Type="http://schemas.openxmlformats.org/officeDocument/2006/relationships/image" Target="../media/image7.png"/><Relationship Id="rId7" Type="http://schemas.openxmlformats.org/officeDocument/2006/relationships/image" Target="../media/image9.png"/><Relationship Id="rId8" Type="http://schemas.openxmlformats.org/officeDocument/2006/relationships/image" Target="../media/image8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19050</xdr:colOff>
      <xdr:row>62</xdr:row>
      <xdr:rowOff>171450</xdr:rowOff>
    </xdr:from>
    <xdr:ext cx="4562475" cy="281940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163</xdr:row>
      <xdr:rowOff>0</xdr:rowOff>
    </xdr:from>
    <xdr:ext cx="5362575" cy="63722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163</xdr:row>
      <xdr:rowOff>0</xdr:rowOff>
    </xdr:from>
    <xdr:ext cx="5267325" cy="1495425"/>
    <xdr:pic>
      <xdr:nvPicPr>
        <xdr:cNvPr id="0" name="image5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7</xdr:row>
      <xdr:rowOff>0</xdr:rowOff>
    </xdr:from>
    <xdr:ext cx="8448675" cy="1552575"/>
    <xdr:pic>
      <xdr:nvPicPr>
        <xdr:cNvPr id="0" name="image4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106</xdr:row>
      <xdr:rowOff>0</xdr:rowOff>
    </xdr:from>
    <xdr:ext cx="7734300" cy="3038475"/>
    <xdr:pic>
      <xdr:nvPicPr>
        <xdr:cNvPr id="0" name="image6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82</xdr:row>
      <xdr:rowOff>0</xdr:rowOff>
    </xdr:from>
    <xdr:ext cx="7877175" cy="1409700"/>
    <xdr:pic>
      <xdr:nvPicPr>
        <xdr:cNvPr id="0" name="image7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48</xdr:row>
      <xdr:rowOff>0</xdr:rowOff>
    </xdr:from>
    <xdr:ext cx="7877175" cy="1409700"/>
    <xdr:pic>
      <xdr:nvPicPr>
        <xdr:cNvPr id="0" name="image9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141</xdr:row>
      <xdr:rowOff>0</xdr:rowOff>
    </xdr:from>
    <xdr:ext cx="7877175" cy="1409700"/>
    <xdr:pic>
      <xdr:nvPicPr>
        <xdr:cNvPr id="0" name="image8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150</xdr:row>
      <xdr:rowOff>0</xdr:rowOff>
    </xdr:from>
    <xdr:ext cx="7896225" cy="1638300"/>
    <xdr:pic>
      <xdr:nvPicPr>
        <xdr:cNvPr id="0" name="image12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125</xdr:row>
      <xdr:rowOff>0</xdr:rowOff>
    </xdr:from>
    <xdr:ext cx="7877175" cy="1409700"/>
    <xdr:pic>
      <xdr:nvPicPr>
        <xdr:cNvPr id="0" name="image10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201</xdr:row>
      <xdr:rowOff>0</xdr:rowOff>
    </xdr:from>
    <xdr:ext cx="3990975" cy="1685925"/>
    <xdr:pic>
      <xdr:nvPicPr>
        <xdr:cNvPr id="0" name="image11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216</xdr:row>
      <xdr:rowOff>0</xdr:rowOff>
    </xdr:from>
    <xdr:ext cx="5762625" cy="3590925"/>
    <xdr:pic>
      <xdr:nvPicPr>
        <xdr:cNvPr id="0" name="image13.pn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235</xdr:row>
      <xdr:rowOff>0</xdr:rowOff>
    </xdr:from>
    <xdr:ext cx="5772150" cy="3400425"/>
    <xdr:pic>
      <xdr:nvPicPr>
        <xdr:cNvPr id="0" name="image14.pn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253</xdr:row>
      <xdr:rowOff>0</xdr:rowOff>
    </xdr:from>
    <xdr:ext cx="5772150" cy="3400425"/>
    <xdr:pic>
      <xdr:nvPicPr>
        <xdr:cNvPr id="0" name="image15.pn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271</xdr:row>
      <xdr:rowOff>0</xdr:rowOff>
    </xdr:from>
    <xdr:ext cx="5772150" cy="3400425"/>
    <xdr:pic>
      <xdr:nvPicPr>
        <xdr:cNvPr id="0" name="image16.png" title="Image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289</xdr:row>
      <xdr:rowOff>0</xdr:rowOff>
    </xdr:from>
    <xdr:ext cx="5772150" cy="3400425"/>
    <xdr:pic>
      <xdr:nvPicPr>
        <xdr:cNvPr id="0" name="image17.png" title="Image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171450</xdr:colOff>
      <xdr:row>3</xdr:row>
      <xdr:rowOff>200025</xdr:rowOff>
    </xdr:from>
    <xdr:ext cx="17973675" cy="816292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doctorlom.com/item222.html" TargetMode="External"/><Relationship Id="rId2" Type="http://schemas.openxmlformats.org/officeDocument/2006/relationships/hyperlink" Target="http://doctorlom.com/item170.html" TargetMode="External"/><Relationship Id="rId3" Type="http://schemas.openxmlformats.org/officeDocument/2006/relationships/hyperlink" Target="http://doctorlom.com/item345.htm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0.71"/>
    <col customWidth="1" min="2" max="2" width="19.43"/>
    <col customWidth="1" min="3" max="3" width="27.86"/>
    <col customWidth="1" min="4" max="4" width="10.57"/>
    <col customWidth="1" min="5" max="5" width="11.0"/>
    <col customWidth="1" min="6" max="6" width="63.57"/>
    <col customWidth="1" min="7" max="7" width="10.57"/>
    <col customWidth="1" min="8" max="8" width="10.43"/>
    <col customWidth="1" min="9" max="9" width="10.57"/>
    <col customWidth="1" min="10" max="10" width="10.0"/>
    <col customWidth="1" min="11" max="11" width="29.0"/>
    <col customWidth="1" min="12" max="12" width="94.43"/>
    <col customWidth="1" min="13" max="13" width="66.57"/>
    <col customWidth="1" min="14" max="14" width="69.86"/>
    <col customWidth="1" min="15" max="15" width="54.14"/>
  </cols>
  <sheetData>
    <row r="1">
      <c r="A1" s="6"/>
      <c r="D1" s="6"/>
      <c r="J1" s="83"/>
    </row>
    <row r="2">
      <c r="A2" s="85" t="s">
        <v>201</v>
      </c>
      <c r="B2" s="86"/>
      <c r="C2" s="86"/>
      <c r="D2" s="85"/>
      <c r="E2" s="86"/>
      <c r="F2" s="86"/>
      <c r="G2" s="86"/>
      <c r="H2" s="86"/>
      <c r="I2" s="86"/>
      <c r="J2" s="87"/>
      <c r="K2" s="86"/>
      <c r="L2" s="86"/>
      <c r="M2" s="86"/>
      <c r="N2" s="86"/>
      <c r="O2" s="86"/>
      <c r="P2" s="86"/>
      <c r="Q2" s="86"/>
      <c r="R2" s="86"/>
      <c r="S2" s="86"/>
    </row>
    <row r="3">
      <c r="A3" s="85"/>
      <c r="B3" s="86"/>
      <c r="C3" s="86"/>
      <c r="D3" s="85"/>
      <c r="E3" s="86"/>
      <c r="F3" s="86"/>
      <c r="G3" s="86"/>
      <c r="H3" s="86"/>
      <c r="I3" s="86"/>
      <c r="J3" s="87"/>
      <c r="K3" s="86"/>
      <c r="L3" s="86"/>
      <c r="M3" s="86"/>
      <c r="N3" s="86"/>
      <c r="O3" s="86"/>
      <c r="P3" s="86"/>
      <c r="Q3" s="86"/>
      <c r="R3" s="86"/>
      <c r="S3" s="86"/>
    </row>
    <row r="4">
      <c r="A4" s="65" t="s">
        <v>202</v>
      </c>
      <c r="B4" s="65" t="s">
        <v>203</v>
      </c>
      <c r="C4" s="65" t="s">
        <v>204</v>
      </c>
      <c r="D4" s="65" t="s">
        <v>205</v>
      </c>
      <c r="E4" s="6" t="s">
        <v>206</v>
      </c>
    </row>
    <row r="5">
      <c r="B5" s="6" t="s">
        <v>207</v>
      </c>
      <c r="C5" s="6" t="s">
        <v>208</v>
      </c>
      <c r="D5" s="6" t="s">
        <v>205</v>
      </c>
      <c r="E5" s="6" t="s">
        <v>209</v>
      </c>
      <c r="J5" s="83"/>
    </row>
    <row r="6">
      <c r="A6" s="6"/>
      <c r="J6" s="83"/>
    </row>
    <row r="7">
      <c r="A7" s="88" t="s">
        <v>210</v>
      </c>
      <c r="B7" s="88" t="s">
        <v>211</v>
      </c>
      <c r="C7" s="89">
        <v>240.0</v>
      </c>
      <c r="D7" s="88" t="s">
        <v>205</v>
      </c>
      <c r="F7" s="6" t="s">
        <v>213</v>
      </c>
      <c r="J7" s="83"/>
    </row>
    <row r="8">
      <c r="A8" s="88" t="s">
        <v>214</v>
      </c>
      <c r="B8" s="88" t="s">
        <v>215</v>
      </c>
      <c r="C8" s="89">
        <f>C7*0.7</f>
        <v>168</v>
      </c>
      <c r="D8" s="88" t="s">
        <v>205</v>
      </c>
      <c r="J8" s="83"/>
    </row>
    <row r="9">
      <c r="A9" s="88" t="s">
        <v>224</v>
      </c>
      <c r="B9" s="88" t="s">
        <v>225</v>
      </c>
      <c r="C9" s="96">
        <v>5.0</v>
      </c>
      <c r="D9" s="88" t="s">
        <v>227</v>
      </c>
      <c r="J9" s="83"/>
    </row>
    <row r="10">
      <c r="A10" s="88" t="s">
        <v>228</v>
      </c>
      <c r="B10" s="88" t="s">
        <v>229</v>
      </c>
      <c r="C10" s="96">
        <v>20.0</v>
      </c>
      <c r="D10" s="88" t="s">
        <v>227</v>
      </c>
      <c r="J10" s="83"/>
    </row>
    <row r="11">
      <c r="A11" s="88" t="s">
        <v>230</v>
      </c>
      <c r="B11" s="98" t="s">
        <v>231</v>
      </c>
      <c r="C11" s="100">
        <v>0.6</v>
      </c>
      <c r="D11" s="88" t="s">
        <v>232</v>
      </c>
      <c r="H11" s="84"/>
      <c r="J11" s="83"/>
    </row>
    <row r="12">
      <c r="A12" s="88" t="s">
        <v>233</v>
      </c>
      <c r="B12" s="88" t="s">
        <v>234</v>
      </c>
      <c r="C12" s="102">
        <v>4.3313</v>
      </c>
      <c r="D12" s="88" t="s">
        <v>232</v>
      </c>
      <c r="J12" s="83"/>
    </row>
    <row r="13">
      <c r="A13" s="88" t="s">
        <v>235</v>
      </c>
      <c r="B13" s="88" t="s">
        <v>236</v>
      </c>
      <c r="C13" s="100">
        <v>0.75</v>
      </c>
      <c r="D13" s="88" t="s">
        <v>232</v>
      </c>
      <c r="J13" s="83"/>
    </row>
    <row r="14">
      <c r="A14" s="88" t="s">
        <v>237</v>
      </c>
      <c r="B14" s="88" t="s">
        <v>238</v>
      </c>
      <c r="C14" s="89">
        <v>33.65</v>
      </c>
      <c r="D14" s="88" t="s">
        <v>240</v>
      </c>
      <c r="J14" s="83"/>
    </row>
    <row r="15">
      <c r="A15" s="104"/>
      <c r="B15" s="88" t="s">
        <v>241</v>
      </c>
      <c r="C15" s="108">
        <f>COS(RADIANS(C14))</f>
        <v>0.8324379984</v>
      </c>
      <c r="D15" s="88"/>
      <c r="F15" s="65"/>
      <c r="J15" s="83"/>
    </row>
    <row r="16">
      <c r="A16" s="104"/>
      <c r="B16" s="88" t="s">
        <v>243</v>
      </c>
      <c r="C16" s="108">
        <f>SIN(RADIANS(C14))</f>
        <v>0.5541181993</v>
      </c>
      <c r="D16" s="88"/>
      <c r="F16" s="65"/>
      <c r="J16" s="83"/>
    </row>
    <row r="17" ht="16.5" customHeight="1">
      <c r="A17" s="109" t="s">
        <v>246</v>
      </c>
      <c r="B17" s="88"/>
      <c r="C17" s="89">
        <v>600.0</v>
      </c>
      <c r="D17" s="88" t="s">
        <v>249</v>
      </c>
      <c r="F17" s="81"/>
      <c r="J17" s="83"/>
    </row>
    <row r="18">
      <c r="A18" s="109" t="s">
        <v>251</v>
      </c>
      <c r="B18" s="88" t="s">
        <v>252</v>
      </c>
      <c r="C18" s="111">
        <f>0.01*C9*0.01*C10*C17</f>
        <v>6</v>
      </c>
      <c r="D18" s="88" t="s">
        <v>262</v>
      </c>
      <c r="F18" s="81"/>
      <c r="J18" s="83"/>
    </row>
    <row r="19">
      <c r="A19" s="109" t="s">
        <v>263</v>
      </c>
      <c r="B19" s="88" t="s">
        <v>264</v>
      </c>
      <c r="C19" s="102">
        <f>C17*5*0.1*0.025*C11</f>
        <v>4.5</v>
      </c>
      <c r="D19" s="88" t="s">
        <v>262</v>
      </c>
      <c r="F19" s="81" t="s">
        <v>265</v>
      </c>
      <c r="H19" s="65"/>
      <c r="J19" s="83"/>
    </row>
    <row r="20">
      <c r="A20" s="109" t="s">
        <v>266</v>
      </c>
      <c r="B20" s="88" t="s">
        <v>267</v>
      </c>
      <c r="C20" s="96">
        <v>5.0</v>
      </c>
      <c r="D20" s="88" t="s">
        <v>205</v>
      </c>
      <c r="F20" s="81" t="s">
        <v>268</v>
      </c>
      <c r="J20" s="83"/>
    </row>
    <row r="21">
      <c r="A21" s="109" t="s">
        <v>269</v>
      </c>
      <c r="B21" s="88" t="s">
        <v>270</v>
      </c>
      <c r="C21" s="96">
        <v>25.0</v>
      </c>
      <c r="D21" s="88" t="s">
        <v>205</v>
      </c>
      <c r="F21" s="81" t="s">
        <v>271</v>
      </c>
      <c r="J21" s="83"/>
    </row>
    <row r="22">
      <c r="A22" s="109" t="s">
        <v>272</v>
      </c>
      <c r="B22" s="109" t="s">
        <v>273</v>
      </c>
      <c r="C22" s="112">
        <v>0.88</v>
      </c>
      <c r="D22" s="88"/>
      <c r="F22" s="81" t="s">
        <v>274</v>
      </c>
      <c r="J22" s="83"/>
    </row>
    <row r="23">
      <c r="A23" s="109" t="s">
        <v>275</v>
      </c>
      <c r="B23" s="109" t="s">
        <v>276</v>
      </c>
      <c r="C23" s="112">
        <v>1.25</v>
      </c>
      <c r="D23" s="88"/>
      <c r="F23" s="81" t="s">
        <v>277</v>
      </c>
      <c r="J23" s="83"/>
    </row>
    <row r="24">
      <c r="A24" s="109" t="s">
        <v>278</v>
      </c>
      <c r="B24" s="109" t="s">
        <v>279</v>
      </c>
      <c r="C24" s="89">
        <v>1.4</v>
      </c>
      <c r="D24" s="88"/>
      <c r="F24" s="81" t="s">
        <v>280</v>
      </c>
      <c r="J24" s="83"/>
    </row>
    <row r="25">
      <c r="A25" s="88" t="s">
        <v>281</v>
      </c>
      <c r="B25" s="88" t="s">
        <v>282</v>
      </c>
      <c r="C25" s="96">
        <f>C7*C23*C24*C22*COS(RADIANS(C14))</f>
        <v>307.6690842</v>
      </c>
      <c r="D25" s="88" t="s">
        <v>205</v>
      </c>
      <c r="F25" s="113" t="s">
        <v>284</v>
      </c>
      <c r="G25" s="84" t="s">
        <v>285</v>
      </c>
      <c r="I25" s="81"/>
      <c r="J25" s="83"/>
    </row>
    <row r="26">
      <c r="A26" s="88" t="s">
        <v>286</v>
      </c>
      <c r="B26" s="88" t="s">
        <v>287</v>
      </c>
      <c r="C26" s="96">
        <f>C8*C23*C24*C22*COS(RADIANS(C14))</f>
        <v>215.3683589</v>
      </c>
      <c r="D26" s="88" t="s">
        <v>205</v>
      </c>
      <c r="F26" s="113"/>
      <c r="G26" s="84" t="s">
        <v>289</v>
      </c>
      <c r="J26" s="83"/>
    </row>
    <row r="27">
      <c r="A27" s="109" t="s">
        <v>290</v>
      </c>
      <c r="B27" s="109" t="s">
        <v>291</v>
      </c>
      <c r="C27" s="102">
        <v>1.1</v>
      </c>
      <c r="D27" s="88"/>
      <c r="F27" s="81" t="s">
        <v>292</v>
      </c>
      <c r="J27" s="83"/>
    </row>
    <row r="28">
      <c r="A28" s="88" t="s">
        <v>293</v>
      </c>
      <c r="B28" s="88" t="s">
        <v>294</v>
      </c>
      <c r="C28" s="96">
        <f>C18+C27*(((C20+C25))*C11+C19)</f>
        <v>217.3115956</v>
      </c>
      <c r="D28" s="88" t="s">
        <v>262</v>
      </c>
      <c r="F28" s="6" t="s">
        <v>296</v>
      </c>
      <c r="J28" s="83"/>
    </row>
    <row r="29">
      <c r="A29" s="88" t="s">
        <v>297</v>
      </c>
      <c r="B29" s="88" t="s">
        <v>298</v>
      </c>
      <c r="C29" s="96">
        <f>C18+C27*(((C20+C26))*C11+C19)</f>
        <v>156.3931169</v>
      </c>
      <c r="D29" s="88" t="s">
        <v>262</v>
      </c>
      <c r="J29" s="83"/>
    </row>
    <row r="30">
      <c r="A30" s="84"/>
      <c r="B30" s="6"/>
      <c r="C30" s="114"/>
      <c r="D30" s="6"/>
      <c r="F30" s="81"/>
      <c r="J30" s="113"/>
    </row>
    <row r="31">
      <c r="A31" s="84" t="s">
        <v>300</v>
      </c>
      <c r="B31" s="6" t="s">
        <v>302</v>
      </c>
      <c r="C31" s="114">
        <f>C28*C16/2</f>
        <v>60.20815502</v>
      </c>
      <c r="D31" s="6" t="s">
        <v>304</v>
      </c>
      <c r="F31" s="81" t="s">
        <v>305</v>
      </c>
      <c r="J31" s="113" t="s">
        <v>306</v>
      </c>
    </row>
    <row r="32">
      <c r="A32" s="84" t="s">
        <v>307</v>
      </c>
      <c r="B32" s="6" t="s">
        <v>308</v>
      </c>
      <c r="C32">
        <f>C9*C10</f>
        <v>100</v>
      </c>
      <c r="D32" s="6" t="s">
        <v>309</v>
      </c>
      <c r="F32" s="81" t="s">
        <v>310</v>
      </c>
      <c r="J32" s="113" t="s">
        <v>311</v>
      </c>
    </row>
    <row r="33">
      <c r="A33" s="84" t="s">
        <v>312</v>
      </c>
      <c r="B33" s="6" t="s">
        <v>313</v>
      </c>
      <c r="C33" s="114">
        <f>sqrt((C10^2)/12)</f>
        <v>5.773502692</v>
      </c>
      <c r="D33" s="6" t="s">
        <v>227</v>
      </c>
      <c r="F33" s="84" t="s">
        <v>315</v>
      </c>
      <c r="I33" s="118"/>
      <c r="J33" s="113" t="s">
        <v>320</v>
      </c>
    </row>
    <row r="34">
      <c r="A34" s="84" t="s">
        <v>321</v>
      </c>
      <c r="B34" s="84" t="s">
        <v>322</v>
      </c>
      <c r="C34" s="114">
        <f>C12*100/C33</f>
        <v>75.02031663</v>
      </c>
      <c r="D34" s="6"/>
      <c r="F34" s="81" t="s">
        <v>324</v>
      </c>
      <c r="J34" s="119" t="s">
        <v>325</v>
      </c>
      <c r="K34" s="81" t="s">
        <v>326</v>
      </c>
      <c r="N34" s="119" t="s">
        <v>327</v>
      </c>
    </row>
    <row r="35">
      <c r="A35" s="6"/>
      <c r="B35" s="84" t="s">
        <v>328</v>
      </c>
      <c r="C35" s="114">
        <f>3000/C34^2</f>
        <v>0.5330445031</v>
      </c>
      <c r="D35" s="6"/>
      <c r="F35" s="81" t="s">
        <v>330</v>
      </c>
      <c r="G35" s="81" t="s">
        <v>331</v>
      </c>
      <c r="J35" s="83"/>
      <c r="N35" s="119" t="s">
        <v>332</v>
      </c>
    </row>
    <row r="36">
      <c r="A36" s="84" t="s">
        <v>333</v>
      </c>
      <c r="B36" s="84" t="s">
        <v>334</v>
      </c>
      <c r="C36" s="21">
        <f>C9*C10^2/6</f>
        <v>333.3333333</v>
      </c>
      <c r="D36" s="6" t="s">
        <v>335</v>
      </c>
      <c r="F36" s="121" t="s">
        <v>336</v>
      </c>
      <c r="J36" s="113" t="s">
        <v>337</v>
      </c>
      <c r="L36" s="119" t="s">
        <v>338</v>
      </c>
    </row>
    <row r="37">
      <c r="A37" s="6"/>
      <c r="B37" s="84" t="s">
        <v>339</v>
      </c>
      <c r="C37" s="21">
        <f>130/1.05</f>
        <v>123.8095238</v>
      </c>
      <c r="D37" s="6" t="s">
        <v>340</v>
      </c>
      <c r="F37" s="81" t="s">
        <v>341</v>
      </c>
      <c r="J37" s="83"/>
    </row>
    <row r="38">
      <c r="A38" s="84" t="s">
        <v>342</v>
      </c>
      <c r="B38" s="84" t="s">
        <v>343</v>
      </c>
      <c r="C38">
        <f>10^5</f>
        <v>100000</v>
      </c>
      <c r="D38" s="84" t="s">
        <v>344</v>
      </c>
      <c r="F38" s="81" t="s">
        <v>345</v>
      </c>
      <c r="J38" s="83"/>
    </row>
    <row r="39">
      <c r="A39" s="84" t="s">
        <v>346</v>
      </c>
      <c r="B39" s="81" t="s">
        <v>347</v>
      </c>
      <c r="C39" s="21">
        <f>C9*C10^3/12</f>
        <v>3333.333333</v>
      </c>
      <c r="D39" s="84" t="s">
        <v>348</v>
      </c>
      <c r="F39" s="81" t="s">
        <v>349</v>
      </c>
      <c r="J39" s="83"/>
    </row>
    <row r="40">
      <c r="A40" s="84"/>
      <c r="B40" s="84"/>
      <c r="C40" s="21"/>
      <c r="D40" s="6"/>
      <c r="F40" s="81"/>
      <c r="J40" s="83"/>
      <c r="N40" s="113"/>
      <c r="Q40" s="119"/>
    </row>
    <row r="41">
      <c r="A41" s="122" t="s">
        <v>350</v>
      </c>
      <c r="B41" s="122" t="s">
        <v>351</v>
      </c>
      <c r="C41" s="123">
        <f>C28*COS(RADIANS(C14))*C12^2/8*100</f>
        <v>42421.04285</v>
      </c>
      <c r="D41" s="124" t="s">
        <v>352</v>
      </c>
      <c r="F41" s="81" t="s">
        <v>353</v>
      </c>
      <c r="J41" s="83"/>
      <c r="N41" s="113" t="s">
        <v>354</v>
      </c>
      <c r="Q41" s="119" t="s">
        <v>355</v>
      </c>
    </row>
    <row r="42">
      <c r="A42" s="124"/>
      <c r="B42" s="122" t="s">
        <v>356</v>
      </c>
      <c r="C42" s="123">
        <f>(C31/(C35*C32))+(C41/C36)</f>
        <v>128.3926431</v>
      </c>
      <c r="D42" s="122" t="s">
        <v>340</v>
      </c>
      <c r="F42" s="113" t="s">
        <v>357</v>
      </c>
      <c r="J42" s="83"/>
    </row>
    <row r="43">
      <c r="A43" s="124"/>
      <c r="B43" s="125" t="s">
        <v>358</v>
      </c>
      <c r="C43" s="123">
        <f>C41/C36</f>
        <v>127.2631285</v>
      </c>
      <c r="D43" s="125" t="s">
        <v>340</v>
      </c>
      <c r="F43" s="88" t="s">
        <v>359</v>
      </c>
      <c r="J43" s="83"/>
    </row>
    <row r="44">
      <c r="A44" s="124" t="s">
        <v>360</v>
      </c>
      <c r="B44" s="124" t="s">
        <v>361</v>
      </c>
      <c r="C44" s="123">
        <f>C28*C12/2</f>
        <v>470.620857</v>
      </c>
      <c r="D44" s="124" t="s">
        <v>304</v>
      </c>
      <c r="J44" s="83"/>
    </row>
    <row r="45">
      <c r="A45" s="84"/>
      <c r="B45" s="84"/>
      <c r="C45" s="21"/>
      <c r="D45" s="6"/>
      <c r="F45" s="6"/>
      <c r="J45" s="83"/>
    </row>
    <row r="46">
      <c r="A46" s="126" t="s">
        <v>362</v>
      </c>
      <c r="B46" s="126" t="s">
        <v>363</v>
      </c>
      <c r="C46" s="127">
        <f>C28*COS(RADIANS(C14))*(C12^2-4*C13^2)/8*100</f>
        <v>37333.27451</v>
      </c>
      <c r="D46" s="128" t="s">
        <v>352</v>
      </c>
      <c r="F46" s="6" t="s">
        <v>364</v>
      </c>
      <c r="J46" s="83"/>
    </row>
    <row r="47">
      <c r="A47" s="48"/>
      <c r="B47" s="129" t="s">
        <v>356</v>
      </c>
      <c r="C47" s="49">
        <f>(C31/(C35*C32))+(C46/C36)</f>
        <v>113.1293381</v>
      </c>
      <c r="D47" s="129" t="s">
        <v>340</v>
      </c>
      <c r="F47" s="113" t="s">
        <v>357</v>
      </c>
      <c r="J47" s="83"/>
    </row>
    <row r="48">
      <c r="A48" s="57"/>
      <c r="B48" s="129" t="s">
        <v>358</v>
      </c>
      <c r="C48" s="49">
        <f>C46/C36</f>
        <v>111.9998235</v>
      </c>
      <c r="D48" s="129" t="s">
        <v>340</v>
      </c>
      <c r="F48" s="6" t="s">
        <v>359</v>
      </c>
      <c r="J48" s="83"/>
    </row>
    <row r="49">
      <c r="A49" s="48" t="s">
        <v>365</v>
      </c>
      <c r="B49" s="48" t="s">
        <v>366</v>
      </c>
      <c r="C49" s="49">
        <f>C28*(C12+2*C13)/2</f>
        <v>633.6045536</v>
      </c>
      <c r="D49" s="48" t="s">
        <v>304</v>
      </c>
      <c r="J49" s="83"/>
    </row>
    <row r="50">
      <c r="A50" s="48" t="s">
        <v>367</v>
      </c>
      <c r="B50" s="48" t="s">
        <v>366</v>
      </c>
      <c r="C50" s="49">
        <f>C29*(C12+2*C13)/2</f>
        <v>455.9875913</v>
      </c>
      <c r="D50" s="48" t="s">
        <v>304</v>
      </c>
    </row>
    <row r="51">
      <c r="A51" s="48" t="s">
        <v>368</v>
      </c>
      <c r="B51" s="48" t="s">
        <v>369</v>
      </c>
      <c r="C51" s="49">
        <f>((C28*C13^2)/2)*100</f>
        <v>6111.888626</v>
      </c>
      <c r="D51" s="48" t="s">
        <v>352</v>
      </c>
      <c r="F51" s="6" t="s">
        <v>370</v>
      </c>
    </row>
    <row r="53">
      <c r="A53" s="6" t="s">
        <v>371</v>
      </c>
      <c r="B53" t="s">
        <v>372</v>
      </c>
      <c r="C53" s="130">
        <f>C12*100/200</f>
        <v>2.16565</v>
      </c>
      <c r="D53" t="s">
        <v>227</v>
      </c>
      <c r="F53" s="84" t="s">
        <v>373</v>
      </c>
      <c r="J53" s="83"/>
    </row>
    <row r="54">
      <c r="A54" s="6" t="s">
        <v>374</v>
      </c>
      <c r="B54" s="113" t="s">
        <v>375</v>
      </c>
      <c r="C54" s="130">
        <f>-5*C29*0.01*(C12*100)^4/(384*C38*C39)</f>
        <v>-2.150060752</v>
      </c>
      <c r="D54" s="84" t="s">
        <v>227</v>
      </c>
      <c r="F54" s="113" t="s">
        <v>376</v>
      </c>
      <c r="J54" s="83"/>
    </row>
    <row r="55">
      <c r="A55" s="128" t="s">
        <v>377</v>
      </c>
      <c r="B55" s="131" t="s">
        <v>378</v>
      </c>
      <c r="C55" s="132">
        <f>C29*0.01*(C12*100)^2*(24*(C13*100)^2-5*(C12*100)^2)/(384*C38*C39)</f>
        <v>-1.840619675</v>
      </c>
      <c r="D55" s="126" t="s">
        <v>227</v>
      </c>
      <c r="F55" s="113" t="s">
        <v>379</v>
      </c>
      <c r="G55" s="6" t="s">
        <v>380</v>
      </c>
      <c r="J55" s="83"/>
    </row>
    <row r="56">
      <c r="J56" s="83"/>
    </row>
    <row r="57">
      <c r="A57" s="124" t="s">
        <v>381</v>
      </c>
      <c r="B57" s="133" t="s">
        <v>382</v>
      </c>
      <c r="C57" s="134">
        <f>130/1.05</f>
        <v>123.8095238</v>
      </c>
      <c r="D57" s="133" t="s">
        <v>340</v>
      </c>
      <c r="F57" s="81" t="s">
        <v>341</v>
      </c>
      <c r="J57" s="83"/>
    </row>
    <row r="58">
      <c r="A58" s="124"/>
      <c r="B58" s="135" t="s">
        <v>383</v>
      </c>
      <c r="C58" s="136">
        <f>C36*C57</f>
        <v>41269.84127</v>
      </c>
      <c r="D58" s="135" t="s">
        <v>352</v>
      </c>
      <c r="F58" s="6" t="s">
        <v>384</v>
      </c>
      <c r="J58" s="83"/>
    </row>
    <row r="59">
      <c r="J59" s="83"/>
    </row>
    <row r="60">
      <c r="J60" s="83"/>
    </row>
    <row r="61">
      <c r="A61" s="86"/>
      <c r="B61" s="86"/>
      <c r="C61" s="86"/>
      <c r="D61" s="86"/>
      <c r="E61" s="86"/>
      <c r="F61" s="86"/>
      <c r="G61" s="86"/>
      <c r="H61" s="86"/>
      <c r="I61" s="86"/>
      <c r="J61" s="87"/>
      <c r="K61" s="86"/>
      <c r="L61" s="86"/>
      <c r="M61" s="86"/>
      <c r="N61" s="86"/>
      <c r="O61" s="86"/>
      <c r="P61" s="86"/>
      <c r="Q61" s="86"/>
      <c r="R61" s="86"/>
      <c r="S61" s="86"/>
    </row>
    <row r="62">
      <c r="A62" s="85" t="s">
        <v>385</v>
      </c>
      <c r="B62" s="86"/>
      <c r="C62" s="86"/>
      <c r="D62" s="86"/>
      <c r="E62" s="86"/>
      <c r="F62" s="86"/>
      <c r="G62" s="86"/>
      <c r="H62" s="86"/>
      <c r="I62" s="86"/>
      <c r="J62" s="87"/>
      <c r="K62" s="86"/>
      <c r="L62" s="86"/>
      <c r="M62" s="86"/>
      <c r="N62" s="86"/>
      <c r="O62" s="86"/>
      <c r="P62" s="86"/>
      <c r="Q62" s="86"/>
      <c r="R62" s="86"/>
      <c r="S62" s="86"/>
    </row>
    <row r="63">
      <c r="A63" s="6" t="s">
        <v>386</v>
      </c>
      <c r="B63" s="6" t="s">
        <v>387</v>
      </c>
      <c r="C63">
        <f>H63*H65/4</f>
        <v>14.85</v>
      </c>
      <c r="D63" s="6" t="s">
        <v>97</v>
      </c>
      <c r="F63" s="137" t="s">
        <v>388</v>
      </c>
      <c r="G63" s="138"/>
      <c r="H63" s="139">
        <v>6.0</v>
      </c>
      <c r="J63" s="83"/>
    </row>
    <row r="64">
      <c r="A64" s="6" t="s">
        <v>389</v>
      </c>
      <c r="B64" s="6" t="s">
        <v>390</v>
      </c>
      <c r="C64" s="140">
        <f>H64*H65/4</f>
        <v>12.25125</v>
      </c>
      <c r="D64" s="6" t="s">
        <v>97</v>
      </c>
      <c r="F64" s="137" t="s">
        <v>391</v>
      </c>
      <c r="G64" s="138"/>
      <c r="H64" s="139">
        <f>4.95</f>
        <v>4.95</v>
      </c>
      <c r="J64" s="83"/>
    </row>
    <row r="65">
      <c r="A65" s="6" t="s">
        <v>233</v>
      </c>
      <c r="B65" s="6" t="s">
        <v>234</v>
      </c>
      <c r="C65" s="140">
        <v>4.5</v>
      </c>
      <c r="D65" s="6" t="s">
        <v>232</v>
      </c>
      <c r="F65" s="137" t="s">
        <v>392</v>
      </c>
      <c r="G65" s="141"/>
      <c r="H65" s="142">
        <v>9.9</v>
      </c>
      <c r="J65" s="83"/>
    </row>
    <row r="66">
      <c r="A66" s="6" t="s">
        <v>393</v>
      </c>
      <c r="B66" s="6" t="s">
        <v>232</v>
      </c>
      <c r="C66" s="6">
        <v>8.0</v>
      </c>
      <c r="D66" s="6" t="s">
        <v>88</v>
      </c>
      <c r="F66" s="143" t="s">
        <v>394</v>
      </c>
      <c r="G66" s="141"/>
      <c r="H66" s="142">
        <v>7.23</v>
      </c>
      <c r="J66" s="83"/>
    </row>
    <row r="67">
      <c r="A67" s="6" t="s">
        <v>230</v>
      </c>
      <c r="B67" s="81" t="s">
        <v>231</v>
      </c>
      <c r="C67" s="144">
        <f>C11</f>
        <v>0.6</v>
      </c>
      <c r="D67" s="6" t="s">
        <v>232</v>
      </c>
      <c r="J67" s="83"/>
    </row>
    <row r="68">
      <c r="A68" s="6" t="s">
        <v>395</v>
      </c>
      <c r="B68" s="6" t="s">
        <v>396</v>
      </c>
      <c r="C68" s="21">
        <f t="shared" ref="C68:C69" si="1">C49</f>
        <v>633.6045536</v>
      </c>
      <c r="D68" s="84" t="s">
        <v>304</v>
      </c>
      <c r="J68" s="83"/>
    </row>
    <row r="69">
      <c r="A69" s="6" t="s">
        <v>397</v>
      </c>
      <c r="B69" s="6" t="s">
        <v>398</v>
      </c>
      <c r="C69" s="21">
        <f t="shared" si="1"/>
        <v>455.9875913</v>
      </c>
      <c r="D69" s="84" t="s">
        <v>304</v>
      </c>
      <c r="J69" s="83"/>
    </row>
    <row r="70" ht="17.25" customHeight="1">
      <c r="A70" s="84" t="s">
        <v>246</v>
      </c>
      <c r="B70" s="6"/>
      <c r="C70" s="6">
        <v>600.0</v>
      </c>
      <c r="D70" s="6" t="s">
        <v>249</v>
      </c>
      <c r="F70" s="119"/>
      <c r="G70" s="145"/>
      <c r="H70" s="146"/>
      <c r="J70" s="83"/>
    </row>
    <row r="71">
      <c r="A71" s="84" t="s">
        <v>399</v>
      </c>
      <c r="B71" s="6" t="s">
        <v>400</v>
      </c>
      <c r="C71">
        <f>0.01*C76*0.01*C77*C70</f>
        <v>37.5</v>
      </c>
      <c r="D71" s="6" t="s">
        <v>262</v>
      </c>
      <c r="F71" s="119"/>
      <c r="G71" s="145"/>
      <c r="H71" s="146"/>
      <c r="J71" s="83"/>
    </row>
    <row r="72">
      <c r="A72" s="81" t="s">
        <v>401</v>
      </c>
      <c r="B72" s="113" t="s">
        <v>402</v>
      </c>
      <c r="C72" s="21">
        <f>H72*C66*C68/C65+C71</f>
        <v>1163.908095</v>
      </c>
      <c r="D72" s="6" t="s">
        <v>262</v>
      </c>
      <c r="F72" s="113" t="s">
        <v>403</v>
      </c>
      <c r="G72" s="145" t="s">
        <v>404</v>
      </c>
      <c r="H72" s="146">
        <v>1.0</v>
      </c>
      <c r="J72" s="83"/>
    </row>
    <row r="73">
      <c r="A73" s="81" t="s">
        <v>405</v>
      </c>
      <c r="B73" s="113" t="s">
        <v>406</v>
      </c>
      <c r="C73" s="21">
        <f>H72*C66*C69/C65+C71</f>
        <v>848.1446068</v>
      </c>
      <c r="D73" s="6" t="s">
        <v>262</v>
      </c>
      <c r="J73" s="83"/>
    </row>
    <row r="74">
      <c r="J74" s="83"/>
    </row>
    <row r="75">
      <c r="A75" s="122" t="s">
        <v>350</v>
      </c>
      <c r="B75" s="122" t="s">
        <v>351</v>
      </c>
      <c r="C75" s="123">
        <f>C72*C65^2/8*100</f>
        <v>294614.2366</v>
      </c>
      <c r="D75" s="124" t="s">
        <v>352</v>
      </c>
      <c r="F75" s="6" t="s">
        <v>407</v>
      </c>
      <c r="J75" s="83"/>
    </row>
    <row r="76">
      <c r="A76" s="6" t="s">
        <v>408</v>
      </c>
      <c r="B76" s="6" t="s">
        <v>225</v>
      </c>
      <c r="C76" s="147">
        <v>25.0</v>
      </c>
      <c r="D76" s="6" t="s">
        <v>227</v>
      </c>
      <c r="J76" s="83"/>
    </row>
    <row r="77">
      <c r="A77" s="6" t="s">
        <v>409</v>
      </c>
      <c r="B77" s="6" t="s">
        <v>229</v>
      </c>
      <c r="C77" s="147">
        <v>25.0</v>
      </c>
      <c r="D77" s="6" t="s">
        <v>227</v>
      </c>
      <c r="J77" s="83"/>
    </row>
    <row r="78">
      <c r="A78" s="84" t="s">
        <v>333</v>
      </c>
      <c r="B78" s="84" t="s">
        <v>334</v>
      </c>
      <c r="C78" s="21">
        <f>C76*C77^2/6</f>
        <v>2604.166667</v>
      </c>
      <c r="D78" s="6" t="s">
        <v>335</v>
      </c>
      <c r="F78" s="84" t="s">
        <v>338</v>
      </c>
      <c r="J78" s="83"/>
    </row>
    <row r="79">
      <c r="A79" s="6"/>
      <c r="B79" s="148" t="s">
        <v>339</v>
      </c>
      <c r="C79" s="149">
        <f>130/1.05</f>
        <v>123.8095238</v>
      </c>
      <c r="D79" s="84" t="s">
        <v>340</v>
      </c>
      <c r="F79" s="81" t="s">
        <v>341</v>
      </c>
      <c r="J79" s="83"/>
    </row>
    <row r="80">
      <c r="A80" s="84" t="s">
        <v>342</v>
      </c>
      <c r="B80" s="84" t="s">
        <v>343</v>
      </c>
      <c r="C80">
        <f>10^5</f>
        <v>100000</v>
      </c>
      <c r="D80" s="84" t="s">
        <v>344</v>
      </c>
      <c r="F80" s="81" t="s">
        <v>345</v>
      </c>
      <c r="J80" s="83"/>
    </row>
    <row r="81">
      <c r="A81" s="84" t="s">
        <v>346</v>
      </c>
      <c r="B81" s="81" t="s">
        <v>347</v>
      </c>
      <c r="C81" s="21">
        <f>C76*C77^3/12</f>
        <v>32552.08333</v>
      </c>
      <c r="D81" s="84" t="s">
        <v>348</v>
      </c>
      <c r="F81" s="81" t="s">
        <v>410</v>
      </c>
      <c r="J81" s="83"/>
    </row>
    <row r="82">
      <c r="B82" s="150" t="s">
        <v>358</v>
      </c>
      <c r="C82" s="151">
        <f>C75/C78</f>
        <v>113.1318669</v>
      </c>
      <c r="D82" s="84" t="s">
        <v>340</v>
      </c>
      <c r="F82" s="88" t="s">
        <v>359</v>
      </c>
      <c r="H82" s="6" t="s">
        <v>213</v>
      </c>
      <c r="L82" s="83"/>
    </row>
    <row r="83">
      <c r="A83" s="6" t="s">
        <v>360</v>
      </c>
      <c r="B83" s="113" t="s">
        <v>361</v>
      </c>
      <c r="C83" s="21">
        <f>C72*C65/2</f>
        <v>2618.793215</v>
      </c>
      <c r="D83" s="84" t="s">
        <v>304</v>
      </c>
      <c r="L83" s="83"/>
    </row>
    <row r="84">
      <c r="A84" s="6" t="s">
        <v>374</v>
      </c>
      <c r="B84" s="113" t="s">
        <v>375</v>
      </c>
      <c r="C84" s="130">
        <f>-5*C73*0.01*(C65*100)^4/(384*C80*C81)</f>
        <v>-1.391169191</v>
      </c>
      <c r="D84" s="84" t="s">
        <v>227</v>
      </c>
      <c r="F84" s="113" t="s">
        <v>376</v>
      </c>
      <c r="L84" s="83"/>
    </row>
    <row r="85">
      <c r="A85" s="6" t="s">
        <v>371</v>
      </c>
      <c r="B85" s="152" t="s">
        <v>372</v>
      </c>
      <c r="C85" s="153">
        <f>C65*100/200</f>
        <v>2.25</v>
      </c>
      <c r="D85" s="84" t="s">
        <v>227</v>
      </c>
      <c r="F85" s="84" t="s">
        <v>373</v>
      </c>
      <c r="L85" s="83"/>
    </row>
    <row r="86">
      <c r="L86" s="83"/>
    </row>
    <row r="87">
      <c r="A87" s="124" t="s">
        <v>381</v>
      </c>
      <c r="B87" s="133" t="s">
        <v>382</v>
      </c>
      <c r="C87" s="134">
        <f>130/1.05</f>
        <v>123.8095238</v>
      </c>
      <c r="D87" s="133" t="s">
        <v>340</v>
      </c>
      <c r="L87" s="83"/>
    </row>
    <row r="88">
      <c r="A88" s="124"/>
      <c r="B88" s="135" t="s">
        <v>383</v>
      </c>
      <c r="C88" s="136">
        <f>C78*C87</f>
        <v>322420.6349</v>
      </c>
      <c r="D88" s="135" t="s">
        <v>352</v>
      </c>
      <c r="L88" s="83"/>
    </row>
    <row r="89">
      <c r="A89" s="124"/>
      <c r="B89" s="135" t="s">
        <v>411</v>
      </c>
      <c r="C89" s="136">
        <f>8*(C88*0.01)/C65^2</f>
        <v>1273.760533</v>
      </c>
      <c r="D89" s="135" t="s">
        <v>262</v>
      </c>
      <c r="L89" s="83"/>
    </row>
    <row r="90">
      <c r="L90" s="83"/>
    </row>
    <row r="91">
      <c r="J91" s="83"/>
    </row>
    <row r="92">
      <c r="J92" s="83"/>
    </row>
    <row r="93">
      <c r="A93" s="124" t="s">
        <v>412</v>
      </c>
      <c r="B93" s="124" t="s">
        <v>308</v>
      </c>
      <c r="C93" s="124">
        <v>20.2</v>
      </c>
      <c r="D93" s="122" t="s">
        <v>309</v>
      </c>
      <c r="E93" s="154"/>
      <c r="F93" s="124" t="s">
        <v>413</v>
      </c>
      <c r="J93" s="83"/>
    </row>
    <row r="94">
      <c r="A94" s="154"/>
      <c r="B94" s="124" t="s">
        <v>400</v>
      </c>
      <c r="C94" s="124">
        <v>15.9</v>
      </c>
      <c r="D94" s="122" t="s">
        <v>262</v>
      </c>
      <c r="E94" s="154"/>
      <c r="F94" s="154"/>
      <c r="J94" s="83"/>
    </row>
    <row r="95">
      <c r="A95" s="155" t="s">
        <v>414</v>
      </c>
      <c r="B95" s="124" t="s">
        <v>347</v>
      </c>
      <c r="C95" s="124">
        <v>873.0</v>
      </c>
      <c r="D95" s="122" t="s">
        <v>348</v>
      </c>
      <c r="E95" s="154"/>
      <c r="F95" s="154"/>
      <c r="J95" s="83"/>
    </row>
    <row r="96">
      <c r="A96" s="154"/>
      <c r="B96" s="124" t="s">
        <v>334</v>
      </c>
      <c r="C96" s="124">
        <v>109.0</v>
      </c>
      <c r="D96" s="122" t="s">
        <v>335</v>
      </c>
      <c r="E96" s="154"/>
      <c r="F96" s="154"/>
      <c r="J96" s="83"/>
    </row>
    <row r="97">
      <c r="J97" s="83"/>
    </row>
    <row r="98">
      <c r="A98" s="84" t="s">
        <v>399</v>
      </c>
      <c r="B98" s="6" t="s">
        <v>400</v>
      </c>
      <c r="C98">
        <f>C94</f>
        <v>15.9</v>
      </c>
      <c r="D98" s="6" t="s">
        <v>262</v>
      </c>
      <c r="J98" s="83"/>
    </row>
    <row r="99">
      <c r="A99" s="81" t="s">
        <v>401</v>
      </c>
      <c r="B99" s="113" t="s">
        <v>402</v>
      </c>
      <c r="C99" s="21">
        <f>H72*C66*C68/C65+C98</f>
        <v>1142.308095</v>
      </c>
      <c r="D99" s="6" t="s">
        <v>262</v>
      </c>
      <c r="F99" s="119" t="s">
        <v>415</v>
      </c>
      <c r="G99" s="145" t="s">
        <v>404</v>
      </c>
      <c r="H99" s="146">
        <v>1.0</v>
      </c>
      <c r="J99" s="83"/>
    </row>
    <row r="100">
      <c r="A100" s="81" t="s">
        <v>405</v>
      </c>
      <c r="B100" s="113" t="s">
        <v>406</v>
      </c>
      <c r="C100" s="21">
        <f>H72*C66*C69/C65+C98</f>
        <v>826.5446068</v>
      </c>
      <c r="D100" s="6" t="s">
        <v>262</v>
      </c>
      <c r="J100" s="83"/>
    </row>
    <row r="101">
      <c r="A101" s="84" t="s">
        <v>342</v>
      </c>
      <c r="B101" s="84" t="s">
        <v>343</v>
      </c>
      <c r="C101">
        <f>2.1*10^6</f>
        <v>2100000</v>
      </c>
      <c r="D101" s="84" t="s">
        <v>344</v>
      </c>
      <c r="F101" s="81" t="s">
        <v>416</v>
      </c>
      <c r="J101" s="83"/>
    </row>
    <row r="102">
      <c r="A102" s="156" t="s">
        <v>350</v>
      </c>
      <c r="B102" s="156" t="s">
        <v>351</v>
      </c>
      <c r="C102" s="82">
        <f>C99*C65^2/8*100</f>
        <v>289146.7366</v>
      </c>
      <c r="D102" s="72" t="s">
        <v>352</v>
      </c>
      <c r="F102" s="6" t="s">
        <v>407</v>
      </c>
      <c r="G102" s="6" t="s">
        <v>417</v>
      </c>
      <c r="J102" s="83"/>
    </row>
    <row r="103">
      <c r="A103" s="72" t="s">
        <v>374</v>
      </c>
      <c r="B103" s="157" t="s">
        <v>375</v>
      </c>
      <c r="C103" s="158">
        <f>-5*C100*0.01*(C65*100)^4/(384*C101*C95)</f>
        <v>-2.407252204</v>
      </c>
      <c r="D103" s="156" t="s">
        <v>227</v>
      </c>
      <c r="F103" s="113" t="s">
        <v>376</v>
      </c>
      <c r="G103" s="6" t="s">
        <v>418</v>
      </c>
      <c r="J103" s="83"/>
    </row>
    <row r="104">
      <c r="J104" s="83"/>
    </row>
    <row r="105">
      <c r="A105" s="124" t="s">
        <v>412</v>
      </c>
      <c r="B105" s="133" t="s">
        <v>382</v>
      </c>
      <c r="C105" s="134">
        <v>2100.0</v>
      </c>
      <c r="D105" s="133" t="s">
        <v>340</v>
      </c>
      <c r="F105" s="6" t="s">
        <v>419</v>
      </c>
      <c r="J105" s="83"/>
    </row>
    <row r="106">
      <c r="A106" s="124" t="s">
        <v>412</v>
      </c>
      <c r="B106" s="135" t="s">
        <v>383</v>
      </c>
      <c r="C106" s="159">
        <f>C96*C105</f>
        <v>228900</v>
      </c>
      <c r="D106" s="135" t="s">
        <v>352</v>
      </c>
      <c r="F106" s="6" t="s">
        <v>384</v>
      </c>
      <c r="I106" s="6" t="s">
        <v>420</v>
      </c>
      <c r="J106" s="83"/>
    </row>
    <row r="107">
      <c r="A107" s="124" t="s">
        <v>412</v>
      </c>
      <c r="B107" s="135" t="s">
        <v>411</v>
      </c>
      <c r="C107" s="136">
        <f>8*(C106*0.01)/C65^2</f>
        <v>904.2962963</v>
      </c>
      <c r="D107" s="135" t="s">
        <v>262</v>
      </c>
      <c r="F107" s="113" t="s">
        <v>421</v>
      </c>
      <c r="J107" s="83"/>
    </row>
    <row r="108">
      <c r="J108" s="83"/>
    </row>
    <row r="109">
      <c r="A109" s="124" t="s">
        <v>422</v>
      </c>
      <c r="B109" s="124" t="s">
        <v>308</v>
      </c>
      <c r="C109" s="124">
        <v>23.4</v>
      </c>
      <c r="D109" s="122" t="s">
        <v>309</v>
      </c>
      <c r="E109" s="154"/>
      <c r="F109" s="124" t="s">
        <v>413</v>
      </c>
      <c r="J109" s="83"/>
    </row>
    <row r="110">
      <c r="A110" s="154"/>
      <c r="B110" s="124" t="s">
        <v>400</v>
      </c>
      <c r="C110" s="124">
        <v>18.4</v>
      </c>
      <c r="D110" s="122" t="s">
        <v>262</v>
      </c>
      <c r="E110" s="154"/>
      <c r="F110" s="154"/>
      <c r="J110" s="83"/>
    </row>
    <row r="111">
      <c r="A111" s="160" t="s">
        <v>423</v>
      </c>
      <c r="B111" s="124" t="s">
        <v>347</v>
      </c>
      <c r="C111" s="124">
        <v>1290.0</v>
      </c>
      <c r="D111" s="122" t="s">
        <v>348</v>
      </c>
      <c r="E111" s="154"/>
      <c r="F111" s="154"/>
      <c r="J111" s="83"/>
    </row>
    <row r="112">
      <c r="A112" s="154"/>
      <c r="B112" s="124" t="s">
        <v>334</v>
      </c>
      <c r="C112" s="124">
        <v>143.0</v>
      </c>
      <c r="D112" s="122" t="s">
        <v>335</v>
      </c>
      <c r="E112" s="154"/>
      <c r="F112" s="154"/>
      <c r="J112" s="83"/>
    </row>
    <row r="113">
      <c r="J113" s="83"/>
    </row>
    <row r="114">
      <c r="A114" s="84" t="s">
        <v>399</v>
      </c>
      <c r="B114" s="6" t="s">
        <v>400</v>
      </c>
      <c r="C114">
        <f>C110</f>
        <v>18.4</v>
      </c>
      <c r="D114" s="6" t="s">
        <v>262</v>
      </c>
      <c r="F114">
        <f>4*C114</f>
        <v>73.6</v>
      </c>
      <c r="J114" s="83"/>
    </row>
    <row r="115">
      <c r="A115" s="81" t="s">
        <v>401</v>
      </c>
      <c r="B115" s="113" t="s">
        <v>402</v>
      </c>
      <c r="C115" s="21">
        <f>H72*C66*C68/C65+C114</f>
        <v>1144.808095</v>
      </c>
      <c r="D115" s="6" t="s">
        <v>262</v>
      </c>
      <c r="F115">
        <f>4.5*0.25^2*600</f>
        <v>168.75</v>
      </c>
      <c r="J115" s="83"/>
    </row>
    <row r="116">
      <c r="A116" s="81" t="s">
        <v>405</v>
      </c>
      <c r="B116" s="113" t="s">
        <v>406</v>
      </c>
      <c r="C116" s="21">
        <f>H72*C66*C69/C65+C114</f>
        <v>829.0446068</v>
      </c>
      <c r="D116" s="6" t="s">
        <v>262</v>
      </c>
      <c r="J116" s="83"/>
    </row>
    <row r="117">
      <c r="A117" s="84" t="s">
        <v>342</v>
      </c>
      <c r="B117" s="84" t="s">
        <v>343</v>
      </c>
      <c r="C117">
        <f>2.1*10^6</f>
        <v>2100000</v>
      </c>
      <c r="D117" s="84" t="s">
        <v>344</v>
      </c>
      <c r="J117" s="83"/>
    </row>
    <row r="118">
      <c r="A118" s="161" t="s">
        <v>350</v>
      </c>
      <c r="B118" s="161" t="s">
        <v>351</v>
      </c>
      <c r="C118" s="162">
        <f>C115*C65^2/8*100</f>
        <v>289779.5491</v>
      </c>
      <c r="D118" s="163" t="s">
        <v>352</v>
      </c>
      <c r="E118" s="6" t="s">
        <v>424</v>
      </c>
      <c r="J118" s="83"/>
    </row>
    <row r="119">
      <c r="A119" s="163" t="s">
        <v>374</v>
      </c>
      <c r="B119" s="164" t="s">
        <v>375</v>
      </c>
      <c r="C119" s="165">
        <f>-5*C116*0.01*(C65*100)^4/(384*C117*C111)</f>
        <v>-1.634021357</v>
      </c>
      <c r="D119" s="161" t="s">
        <v>227</v>
      </c>
      <c r="E119" s="6" t="s">
        <v>425</v>
      </c>
      <c r="J119" s="83"/>
    </row>
    <row r="120">
      <c r="J120" s="83"/>
    </row>
    <row r="121">
      <c r="A121" s="124" t="s">
        <v>422</v>
      </c>
      <c r="B121" s="133" t="s">
        <v>382</v>
      </c>
      <c r="C121" s="134">
        <v>2100.0</v>
      </c>
      <c r="D121" s="133" t="s">
        <v>340</v>
      </c>
      <c r="F121" s="6" t="s">
        <v>419</v>
      </c>
      <c r="J121" s="83"/>
    </row>
    <row r="122">
      <c r="A122" s="124" t="s">
        <v>422</v>
      </c>
      <c r="B122" s="135" t="s">
        <v>383</v>
      </c>
      <c r="C122" s="159">
        <f>C112*C121</f>
        <v>300300</v>
      </c>
      <c r="D122" s="135" t="s">
        <v>352</v>
      </c>
      <c r="F122" s="6" t="s">
        <v>384</v>
      </c>
      <c r="J122" s="83"/>
    </row>
    <row r="123">
      <c r="A123" s="124" t="s">
        <v>422</v>
      </c>
      <c r="B123" s="135" t="s">
        <v>411</v>
      </c>
      <c r="C123" s="136">
        <f>8*(C122*0.01)/C65^2</f>
        <v>1186.37037</v>
      </c>
      <c r="D123" s="135" t="s">
        <v>262</v>
      </c>
      <c r="E123" s="119"/>
      <c r="F123" s="113" t="s">
        <v>421</v>
      </c>
      <c r="J123" s="83"/>
    </row>
    <row r="124">
      <c r="J124" s="83"/>
    </row>
    <row r="125">
      <c r="A125" s="163" t="s">
        <v>426</v>
      </c>
      <c r="B125" s="166"/>
      <c r="C125" s="166"/>
      <c r="D125" s="166"/>
      <c r="F125" s="6" t="s">
        <v>213</v>
      </c>
      <c r="J125" s="83"/>
    </row>
    <row r="126">
      <c r="A126" s="163" t="s">
        <v>386</v>
      </c>
      <c r="B126" s="163" t="s">
        <v>387</v>
      </c>
      <c r="C126" s="166">
        <f>H63*H65/4</f>
        <v>14.85</v>
      </c>
      <c r="D126" s="163" t="s">
        <v>97</v>
      </c>
      <c r="J126" s="83"/>
    </row>
    <row r="127">
      <c r="A127" s="163" t="s">
        <v>389</v>
      </c>
      <c r="B127" s="163" t="s">
        <v>390</v>
      </c>
      <c r="C127" s="167">
        <f>C64</f>
        <v>12.25125</v>
      </c>
      <c r="D127" s="163" t="s">
        <v>97</v>
      </c>
      <c r="J127" s="83"/>
    </row>
    <row r="128">
      <c r="A128" s="168" t="s">
        <v>427</v>
      </c>
      <c r="B128" s="169" t="s">
        <v>282</v>
      </c>
      <c r="C128" s="170">
        <f>C7*C23*C24*C22</f>
        <v>369.6</v>
      </c>
      <c r="D128" s="169" t="s">
        <v>205</v>
      </c>
      <c r="J128" s="83"/>
    </row>
    <row r="129">
      <c r="A129" s="168" t="s">
        <v>428</v>
      </c>
      <c r="B129" s="169" t="s">
        <v>287</v>
      </c>
      <c r="C129" s="170">
        <f>C8*C23*C24*C22</f>
        <v>258.72</v>
      </c>
      <c r="D129" s="169" t="s">
        <v>205</v>
      </c>
      <c r="J129" s="83"/>
    </row>
    <row r="130">
      <c r="A130" s="171" t="s">
        <v>429</v>
      </c>
      <c r="B130" s="168" t="s">
        <v>430</v>
      </c>
      <c r="C130" s="172">
        <f>C18/C11</f>
        <v>10</v>
      </c>
      <c r="D130" s="169" t="s">
        <v>205</v>
      </c>
      <c r="J130" s="83"/>
    </row>
    <row r="131">
      <c r="A131" s="171" t="s">
        <v>431</v>
      </c>
      <c r="B131" s="168" t="s">
        <v>432</v>
      </c>
      <c r="C131" s="173">
        <f>C19/C11</f>
        <v>7.5</v>
      </c>
      <c r="D131" s="169" t="s">
        <v>205</v>
      </c>
      <c r="J131" s="83"/>
    </row>
    <row r="132">
      <c r="A132" s="174" t="s">
        <v>266</v>
      </c>
      <c r="B132" s="169" t="s">
        <v>267</v>
      </c>
      <c r="C132" s="170">
        <v>5.0</v>
      </c>
      <c r="D132" s="169" t="s">
        <v>205</v>
      </c>
      <c r="J132" s="83"/>
    </row>
    <row r="133">
      <c r="A133" s="174" t="s">
        <v>269</v>
      </c>
      <c r="B133" s="169" t="s">
        <v>270</v>
      </c>
      <c r="C133" s="170">
        <v>25.0</v>
      </c>
      <c r="D133" s="169" t="s">
        <v>205</v>
      </c>
      <c r="J133" s="83"/>
    </row>
    <row r="134">
      <c r="A134" s="166"/>
      <c r="B134" s="163" t="s">
        <v>433</v>
      </c>
      <c r="C134" s="162">
        <f>C126*(C130+C131+C132+C133)+C127*C128</f>
        <v>5233.437</v>
      </c>
      <c r="D134" s="168" t="s">
        <v>304</v>
      </c>
      <c r="J134" s="83"/>
    </row>
    <row r="135">
      <c r="A135" s="166"/>
      <c r="B135" s="163" t="s">
        <v>434</v>
      </c>
      <c r="C135" s="162">
        <f>C126*(C130+C131+C132+C133)+C127*C129</f>
        <v>3875.0184</v>
      </c>
      <c r="D135" s="168" t="s">
        <v>304</v>
      </c>
      <c r="J135" s="83"/>
    </row>
    <row r="136">
      <c r="A136" s="166"/>
      <c r="B136" s="164" t="s">
        <v>402</v>
      </c>
      <c r="C136" s="162">
        <f>C134/C65</f>
        <v>1162.986</v>
      </c>
      <c r="D136" s="163" t="s">
        <v>262</v>
      </c>
      <c r="J136" s="83"/>
    </row>
    <row r="137">
      <c r="A137" s="166"/>
      <c r="B137" s="164" t="s">
        <v>406</v>
      </c>
      <c r="C137" s="162">
        <f>C135/C65</f>
        <v>861.1152</v>
      </c>
      <c r="D137" s="163" t="s">
        <v>262</v>
      </c>
      <c r="J137" s="83"/>
    </row>
    <row r="138">
      <c r="A138" s="166"/>
      <c r="B138" s="161" t="s">
        <v>351</v>
      </c>
      <c r="C138" s="162">
        <f>C136*C65^2/8*100</f>
        <v>294380.8313</v>
      </c>
      <c r="D138" s="163" t="s">
        <v>352</v>
      </c>
      <c r="J138" s="83"/>
    </row>
    <row r="139">
      <c r="A139" s="163" t="s">
        <v>435</v>
      </c>
      <c r="B139" s="164" t="s">
        <v>375</v>
      </c>
      <c r="C139" s="165">
        <f>-5*C137*0.01*(C65*100)^4/(384*C117*C111)</f>
        <v>-1.697231507</v>
      </c>
      <c r="D139" s="161" t="s">
        <v>227</v>
      </c>
      <c r="J139" s="83"/>
    </row>
    <row r="140">
      <c r="A140" s="6" t="s">
        <v>360</v>
      </c>
      <c r="B140" s="113" t="s">
        <v>436</v>
      </c>
      <c r="C140" s="21">
        <f>C134/2</f>
        <v>2616.7185</v>
      </c>
      <c r="D140" s="84" t="s">
        <v>304</v>
      </c>
      <c r="J140" s="83"/>
    </row>
    <row r="141">
      <c r="H141" s="6" t="s">
        <v>437</v>
      </c>
      <c r="J141" s="83"/>
    </row>
    <row r="142">
      <c r="A142" s="86"/>
      <c r="B142" s="86"/>
      <c r="C142" s="86"/>
      <c r="D142" s="86"/>
      <c r="E142" s="86"/>
      <c r="F142" s="86"/>
      <c r="J142" s="83"/>
    </row>
    <row r="143">
      <c r="A143" s="85" t="s">
        <v>438</v>
      </c>
      <c r="B143" s="86"/>
      <c r="C143" s="86"/>
      <c r="D143" s="86"/>
      <c r="E143" s="86"/>
      <c r="F143" s="86"/>
      <c r="J143" s="83"/>
    </row>
    <row r="144">
      <c r="J144" s="83"/>
    </row>
    <row r="145">
      <c r="A145" s="6" t="s">
        <v>233</v>
      </c>
      <c r="B145" s="6" t="s">
        <v>234</v>
      </c>
      <c r="C145" s="140">
        <v>1.35</v>
      </c>
      <c r="D145" s="6" t="s">
        <v>84</v>
      </c>
      <c r="J145" s="83"/>
    </row>
    <row r="146">
      <c r="A146" s="6" t="s">
        <v>439</v>
      </c>
      <c r="B146" s="6" t="s">
        <v>236</v>
      </c>
      <c r="C146" s="6">
        <v>0.48</v>
      </c>
      <c r="D146" s="6" t="s">
        <v>84</v>
      </c>
      <c r="J146" s="83"/>
    </row>
    <row r="147">
      <c r="A147" s="6" t="s">
        <v>439</v>
      </c>
      <c r="B147" s="6" t="s">
        <v>225</v>
      </c>
      <c r="C147" s="130">
        <f>C145-C146</f>
        <v>0.87</v>
      </c>
      <c r="D147" s="6" t="s">
        <v>84</v>
      </c>
      <c r="J147" s="83"/>
    </row>
    <row r="148">
      <c r="A148" s="6" t="s">
        <v>440</v>
      </c>
      <c r="B148" s="6" t="s">
        <v>441</v>
      </c>
      <c r="C148" s="6">
        <v>3.5</v>
      </c>
      <c r="D148" s="6" t="s">
        <v>84</v>
      </c>
      <c r="J148" s="83"/>
    </row>
    <row r="149">
      <c r="A149" s="6" t="s">
        <v>442</v>
      </c>
      <c r="B149" s="6" t="s">
        <v>443</v>
      </c>
      <c r="C149" s="6">
        <v>0.375</v>
      </c>
      <c r="D149" s="6" t="s">
        <v>84</v>
      </c>
      <c r="J149" s="83"/>
    </row>
    <row r="150" ht="18.0" customHeight="1">
      <c r="A150" s="6" t="s">
        <v>444</v>
      </c>
      <c r="B150" s="6"/>
      <c r="C150" s="6">
        <v>400.0</v>
      </c>
      <c r="D150" s="6" t="s">
        <v>249</v>
      </c>
      <c r="H150" s="6" t="s">
        <v>445</v>
      </c>
      <c r="J150" s="83"/>
    </row>
    <row r="151">
      <c r="A151" s="175" t="s">
        <v>446</v>
      </c>
      <c r="B151" s="176" t="s">
        <v>447</v>
      </c>
      <c r="C151" s="96">
        <f>C149*C148*C150</f>
        <v>525</v>
      </c>
      <c r="D151" s="88" t="s">
        <v>262</v>
      </c>
      <c r="J151" s="83"/>
    </row>
    <row r="152">
      <c r="A152" s="175" t="s">
        <v>448</v>
      </c>
      <c r="B152" s="176" t="s">
        <v>449</v>
      </c>
      <c r="C152" s="177">
        <f>(400+400)*4.5/2</f>
        <v>1800</v>
      </c>
      <c r="D152" s="178" t="s">
        <v>262</v>
      </c>
      <c r="F152" s="66" t="s">
        <v>450</v>
      </c>
      <c r="J152" s="83"/>
    </row>
    <row r="153">
      <c r="A153" s="6" t="s">
        <v>451</v>
      </c>
      <c r="B153" s="6" t="s">
        <v>452</v>
      </c>
      <c r="C153" s="21">
        <f t="shared" ref="C153:C154" si="2">C134/2</f>
        <v>2616.7185</v>
      </c>
      <c r="D153" s="6" t="s">
        <v>304</v>
      </c>
      <c r="J153" s="83"/>
    </row>
    <row r="154">
      <c r="B154" s="6" t="s">
        <v>453</v>
      </c>
      <c r="C154" s="21">
        <f t="shared" si="2"/>
        <v>1937.5092</v>
      </c>
      <c r="D154" s="6" t="s">
        <v>304</v>
      </c>
      <c r="J154" s="83"/>
    </row>
    <row r="155">
      <c r="J155" s="83"/>
    </row>
    <row r="156">
      <c r="A156" s="176" t="s">
        <v>454</v>
      </c>
      <c r="B156" s="88" t="s">
        <v>225</v>
      </c>
      <c r="C156" s="179">
        <v>15.0</v>
      </c>
      <c r="D156" s="88" t="s">
        <v>227</v>
      </c>
      <c r="F156" s="6" t="s">
        <v>455</v>
      </c>
      <c r="J156" s="83"/>
    </row>
    <row r="157">
      <c r="A157" s="176" t="s">
        <v>456</v>
      </c>
      <c r="B157" s="88" t="s">
        <v>229</v>
      </c>
      <c r="C157" s="179">
        <v>19.0</v>
      </c>
      <c r="D157" s="88" t="s">
        <v>227</v>
      </c>
      <c r="F157" s="6" t="s">
        <v>455</v>
      </c>
      <c r="J157" s="83"/>
    </row>
    <row r="158">
      <c r="J158" s="83"/>
    </row>
    <row r="159">
      <c r="A159" s="180" t="s">
        <v>457</v>
      </c>
      <c r="B159" s="180" t="s">
        <v>351</v>
      </c>
      <c r="C159" s="21">
        <f>(C151+C152)*C145^2/8*100</f>
        <v>52966.40625</v>
      </c>
      <c r="D159" s="6" t="s">
        <v>352</v>
      </c>
      <c r="J159" s="83"/>
    </row>
    <row r="160">
      <c r="A160" s="180" t="s">
        <v>458</v>
      </c>
      <c r="B160" s="180" t="s">
        <v>351</v>
      </c>
      <c r="C160" s="21">
        <f>C153*C146*C147/C145*100</f>
        <v>80943.8256</v>
      </c>
      <c r="D160" s="6" t="s">
        <v>352</v>
      </c>
      <c r="J160" s="83"/>
    </row>
    <row r="161">
      <c r="A161" s="166" t="s">
        <v>459</v>
      </c>
      <c r="B161" s="163" t="s">
        <v>460</v>
      </c>
      <c r="C161" s="162">
        <f>C159+C160</f>
        <v>133910.2319</v>
      </c>
      <c r="D161" s="168" t="s">
        <v>352</v>
      </c>
      <c r="J161" s="83"/>
    </row>
    <row r="162">
      <c r="A162" s="84"/>
      <c r="B162" s="81"/>
      <c r="C162" s="21"/>
      <c r="D162" s="84"/>
      <c r="F162" s="181" t="s">
        <v>461</v>
      </c>
      <c r="J162" s="83"/>
    </row>
    <row r="163">
      <c r="F163" s="119" t="s">
        <v>462</v>
      </c>
      <c r="I163" s="6" t="s">
        <v>463</v>
      </c>
      <c r="J163" s="83"/>
    </row>
    <row r="164">
      <c r="J164" s="83"/>
    </row>
    <row r="165">
      <c r="J165" s="83"/>
    </row>
    <row r="166">
      <c r="J166" s="83"/>
    </row>
    <row r="167">
      <c r="A167" s="85" t="s">
        <v>464</v>
      </c>
      <c r="J167" s="83"/>
    </row>
    <row r="168">
      <c r="A168" s="135" t="s">
        <v>465</v>
      </c>
      <c r="B168" s="135" t="s">
        <v>466</v>
      </c>
      <c r="C168" s="135">
        <v>14.0</v>
      </c>
      <c r="D168" s="135" t="s">
        <v>467</v>
      </c>
      <c r="J168" s="83"/>
    </row>
    <row r="169">
      <c r="A169" s="135" t="s">
        <v>468</v>
      </c>
      <c r="B169" s="135" t="s">
        <v>469</v>
      </c>
      <c r="C169" s="135">
        <v>2.0</v>
      </c>
      <c r="D169" s="135" t="s">
        <v>88</v>
      </c>
      <c r="J169" s="83"/>
    </row>
    <row r="170">
      <c r="A170" s="135" t="s">
        <v>470</v>
      </c>
      <c r="B170" s="135" t="s">
        <v>471</v>
      </c>
      <c r="C170" s="182">
        <f>C169*3.141516*(C168*0.1)^2/4</f>
        <v>3.07868568</v>
      </c>
      <c r="D170" s="133" t="s">
        <v>472</v>
      </c>
      <c r="J170" s="83"/>
    </row>
    <row r="171">
      <c r="B171" s="6" t="s">
        <v>236</v>
      </c>
      <c r="C171" s="6">
        <v>2.0</v>
      </c>
      <c r="D171" s="6" t="s">
        <v>227</v>
      </c>
      <c r="J171" s="83"/>
    </row>
    <row r="172">
      <c r="A172" s="81" t="s">
        <v>473</v>
      </c>
      <c r="B172" s="84" t="s">
        <v>474</v>
      </c>
      <c r="C172" s="6">
        <v>3600.0</v>
      </c>
      <c r="D172" s="84" t="s">
        <v>344</v>
      </c>
      <c r="J172" s="83"/>
    </row>
    <row r="173">
      <c r="A173" s="81" t="s">
        <v>475</v>
      </c>
      <c r="B173" s="84" t="s">
        <v>476</v>
      </c>
      <c r="C173" s="6">
        <v>145.0</v>
      </c>
      <c r="D173" s="84" t="s">
        <v>344</v>
      </c>
      <c r="F173" s="6" t="s">
        <v>477</v>
      </c>
      <c r="J173" s="83"/>
    </row>
    <row r="174">
      <c r="B174" s="84" t="s">
        <v>478</v>
      </c>
      <c r="C174" s="114">
        <f>C161/(C156*C157^2*C173)</f>
        <v>0.1705482623</v>
      </c>
      <c r="F174" s="6" t="s">
        <v>479</v>
      </c>
      <c r="J174" s="83"/>
    </row>
    <row r="175">
      <c r="B175" s="84" t="s">
        <v>480</v>
      </c>
      <c r="C175" s="6">
        <v>0.905</v>
      </c>
      <c r="F175" s="81" t="s">
        <v>481</v>
      </c>
      <c r="J175" s="83"/>
    </row>
    <row r="176">
      <c r="B176" s="84" t="s">
        <v>482</v>
      </c>
      <c r="C176" s="6">
        <v>0.19</v>
      </c>
      <c r="J176" s="83"/>
    </row>
    <row r="177">
      <c r="A177" s="6" t="s">
        <v>483</v>
      </c>
      <c r="B177" s="84" t="s">
        <v>484</v>
      </c>
      <c r="C177" s="183">
        <f>C161/(C175*(C157-C171)*C172)</f>
        <v>2.417763187</v>
      </c>
      <c r="D177" s="84" t="s">
        <v>472</v>
      </c>
      <c r="F177" s="81" t="s">
        <v>485</v>
      </c>
      <c r="J177" s="83"/>
    </row>
    <row r="178">
      <c r="A178" s="81" t="s">
        <v>486</v>
      </c>
      <c r="B178" s="84" t="s">
        <v>487</v>
      </c>
      <c r="C178" s="114">
        <f>100*C170/(C156*(C157-C171))</f>
        <v>1.207327718</v>
      </c>
      <c r="J178" s="83"/>
    </row>
    <row r="179">
      <c r="B179" s="84" t="s">
        <v>276</v>
      </c>
      <c r="C179" s="120">
        <f>C176*C173/C172</f>
        <v>0.007652777778</v>
      </c>
      <c r="F179" s="113" t="s">
        <v>488</v>
      </c>
      <c r="J179" s="83"/>
    </row>
    <row r="180">
      <c r="B180" s="84" t="s">
        <v>489</v>
      </c>
      <c r="C180" s="183">
        <f>100*C179</f>
        <v>0.7652777778</v>
      </c>
      <c r="F180" s="113" t="s">
        <v>490</v>
      </c>
      <c r="J180" s="83"/>
    </row>
    <row r="181">
      <c r="B181" s="113" t="s">
        <v>491</v>
      </c>
      <c r="C181">
        <f>0.85-0.008*C173/10</f>
        <v>0.734</v>
      </c>
      <c r="F181" s="113" t="s">
        <v>492</v>
      </c>
      <c r="J181" s="83"/>
    </row>
    <row r="182">
      <c r="B182" s="84" t="s">
        <v>493</v>
      </c>
      <c r="C182" s="183">
        <f>C181/(1+(365/400)*(1+C181/1.1))</f>
        <v>0.2911096889</v>
      </c>
      <c r="F182" s="113" t="s">
        <v>494</v>
      </c>
      <c r="J182" s="83"/>
    </row>
    <row r="183">
      <c r="C183" s="6" t="s">
        <v>495</v>
      </c>
      <c r="F183" s="113" t="s">
        <v>496</v>
      </c>
      <c r="J183" s="83"/>
    </row>
    <row r="184">
      <c r="A184" s="184" t="s">
        <v>497</v>
      </c>
      <c r="J184" s="83"/>
    </row>
    <row r="185">
      <c r="A185" s="184" t="s">
        <v>498</v>
      </c>
      <c r="J185" s="83"/>
    </row>
    <row r="186">
      <c r="J186" s="83"/>
    </row>
    <row r="187">
      <c r="J187" s="83"/>
    </row>
    <row r="188">
      <c r="A188" s="86"/>
      <c r="B188" s="86"/>
      <c r="C188" s="86"/>
      <c r="D188" s="86"/>
      <c r="E188" s="86"/>
      <c r="F188" s="86"/>
      <c r="J188" s="83"/>
    </row>
    <row r="189">
      <c r="A189" s="85" t="s">
        <v>499</v>
      </c>
      <c r="B189" s="86"/>
      <c r="C189" s="86"/>
      <c r="D189" s="86"/>
      <c r="E189" s="86"/>
      <c r="F189" s="185" t="s">
        <v>500</v>
      </c>
      <c r="J189" s="83"/>
    </row>
    <row r="190">
      <c r="A190" s="6" t="s">
        <v>501</v>
      </c>
      <c r="B190" s="6" t="s">
        <v>229</v>
      </c>
      <c r="C190" s="6">
        <v>0.3</v>
      </c>
      <c r="D190" s="6" t="s">
        <v>84</v>
      </c>
      <c r="J190" s="83"/>
    </row>
    <row r="191">
      <c r="A191" s="6" t="s">
        <v>502</v>
      </c>
      <c r="B191" s="6" t="s">
        <v>234</v>
      </c>
      <c r="C191" s="6">
        <v>9.4</v>
      </c>
      <c r="D191" s="6" t="s">
        <v>84</v>
      </c>
      <c r="J191" s="83"/>
    </row>
    <row r="192">
      <c r="A192" s="6" t="s">
        <v>503</v>
      </c>
      <c r="B192" s="6" t="s">
        <v>225</v>
      </c>
      <c r="C192" s="6">
        <v>8.4</v>
      </c>
      <c r="D192" s="6" t="s">
        <v>84</v>
      </c>
      <c r="J192" s="83"/>
    </row>
    <row r="193">
      <c r="B193" s="186" t="s">
        <v>504</v>
      </c>
      <c r="C193" s="21">
        <f>C211/(0.65*0.75)</f>
        <v>4975.384615</v>
      </c>
      <c r="D193" s="84" t="s">
        <v>205</v>
      </c>
      <c r="F193" s="119"/>
      <c r="J193" s="83"/>
    </row>
    <row r="194">
      <c r="B194" s="186" t="s">
        <v>505</v>
      </c>
      <c r="C194">
        <f>2500*1.2*C190</f>
        <v>900</v>
      </c>
      <c r="D194" s="84" t="s">
        <v>205</v>
      </c>
      <c r="F194" s="119" t="s">
        <v>506</v>
      </c>
      <c r="J194" s="83"/>
    </row>
    <row r="195">
      <c r="B195" s="84" t="s">
        <v>507</v>
      </c>
      <c r="C195" s="6">
        <f>500*1.2</f>
        <v>600</v>
      </c>
      <c r="D195" s="84" t="s">
        <v>205</v>
      </c>
      <c r="F195" s="119" t="s">
        <v>508</v>
      </c>
      <c r="J195" s="83"/>
    </row>
    <row r="196">
      <c r="B196" s="84" t="s">
        <v>509</v>
      </c>
      <c r="C196">
        <f>C194+C195</f>
        <v>1500</v>
      </c>
      <c r="D196" s="84" t="s">
        <v>205</v>
      </c>
      <c r="F196" s="119" t="s">
        <v>510</v>
      </c>
      <c r="J196" s="83"/>
    </row>
    <row r="197">
      <c r="B197" s="6" t="s">
        <v>511</v>
      </c>
      <c r="C197" s="21">
        <f>2500*1.2*0.32*0.16</f>
        <v>153.6</v>
      </c>
      <c r="D197" s="84" t="s">
        <v>262</v>
      </c>
      <c r="F197" s="119" t="s">
        <v>512</v>
      </c>
      <c r="J197" s="83"/>
    </row>
    <row r="198">
      <c r="B198" s="84" t="s">
        <v>513</v>
      </c>
      <c r="C198" s="21">
        <f>400*1.3*3.75*0.375</f>
        <v>731.25</v>
      </c>
      <c r="D198" s="84" t="s">
        <v>262</v>
      </c>
      <c r="F198" s="119" t="s">
        <v>514</v>
      </c>
      <c r="J198" s="83"/>
    </row>
    <row r="199">
      <c r="A199" s="6" t="s">
        <v>515</v>
      </c>
      <c r="B199" s="84" t="s">
        <v>516</v>
      </c>
      <c r="C199" s="21">
        <f>(400+400)*1.2*(4.5/2)+C209</f>
        <v>2539.817679</v>
      </c>
      <c r="D199" s="84" t="s">
        <v>262</v>
      </c>
      <c r="F199" s="119" t="s">
        <v>517</v>
      </c>
      <c r="J199" s="83"/>
    </row>
    <row r="200">
      <c r="A200" s="6" t="s">
        <v>515</v>
      </c>
      <c r="B200" s="84" t="s">
        <v>518</v>
      </c>
      <c r="C200" s="21">
        <f>(400+400)*1.2*4.5+C210</f>
        <v>6007.04198</v>
      </c>
      <c r="D200" s="84" t="s">
        <v>262</v>
      </c>
      <c r="F200" s="119" t="s">
        <v>519</v>
      </c>
      <c r="J200" s="83"/>
    </row>
    <row r="201">
      <c r="A201" s="6"/>
      <c r="B201" s="6"/>
      <c r="C201" s="130"/>
      <c r="D201" s="84"/>
      <c r="J201" s="83"/>
    </row>
    <row r="202">
      <c r="A202" s="6" t="s">
        <v>520</v>
      </c>
      <c r="B202" s="6" t="s">
        <v>521</v>
      </c>
      <c r="C202" s="130">
        <f>8.5*2.7/4</f>
        <v>5.7375</v>
      </c>
      <c r="D202" s="84" t="s">
        <v>97</v>
      </c>
      <c r="J202" s="83"/>
    </row>
    <row r="203">
      <c r="B203" s="6" t="s">
        <v>522</v>
      </c>
      <c r="C203">
        <f>400*0.25*C202</f>
        <v>573.75</v>
      </c>
      <c r="D203" s="6" t="s">
        <v>304</v>
      </c>
      <c r="F203" s="6" t="s">
        <v>523</v>
      </c>
      <c r="J203" s="83"/>
    </row>
    <row r="204">
      <c r="B204" s="6" t="s">
        <v>524</v>
      </c>
      <c r="C204">
        <f>400*0.375*C202</f>
        <v>860.625</v>
      </c>
      <c r="D204" s="6" t="s">
        <v>304</v>
      </c>
      <c r="F204" s="6" t="s">
        <v>523</v>
      </c>
      <c r="J204" s="83"/>
    </row>
    <row r="205">
      <c r="A205" s="6" t="s">
        <v>525</v>
      </c>
      <c r="C205" s="21">
        <f>C140</f>
        <v>2616.7185</v>
      </c>
      <c r="D205" s="6" t="s">
        <v>304</v>
      </c>
      <c r="J205" s="83"/>
    </row>
    <row r="206">
      <c r="A206" s="6" t="s">
        <v>526</v>
      </c>
      <c r="C206">
        <f>C140*2</f>
        <v>5233.437</v>
      </c>
      <c r="D206" s="6" t="s">
        <v>304</v>
      </c>
      <c r="J206" s="83"/>
    </row>
    <row r="207">
      <c r="A207" s="6" t="s">
        <v>527</v>
      </c>
      <c r="C207" s="21">
        <f t="shared" ref="C207:C208" si="3">C203+C205</f>
        <v>3190.4685</v>
      </c>
      <c r="D207" s="6" t="s">
        <v>304</v>
      </c>
      <c r="J207" s="83"/>
    </row>
    <row r="208">
      <c r="A208" s="6" t="s">
        <v>528</v>
      </c>
      <c r="C208">
        <f t="shared" si="3"/>
        <v>6094.062</v>
      </c>
      <c r="D208" s="6" t="s">
        <v>304</v>
      </c>
      <c r="J208" s="83"/>
    </row>
    <row r="209">
      <c r="A209" s="84" t="s">
        <v>529</v>
      </c>
      <c r="C209" s="21">
        <f>C207/8.4</f>
        <v>379.8176786</v>
      </c>
      <c r="D209" s="84" t="s">
        <v>262</v>
      </c>
      <c r="J209" s="83"/>
    </row>
    <row r="210">
      <c r="A210" s="84" t="s">
        <v>530</v>
      </c>
      <c r="C210" s="21">
        <f>(C208+C211)/(1.625+1.6+1.175+0.65)</f>
        <v>1687.04198</v>
      </c>
      <c r="D210" s="84" t="s">
        <v>262</v>
      </c>
      <c r="F210" s="6" t="s">
        <v>531</v>
      </c>
      <c r="J210" s="83"/>
    </row>
    <row r="211">
      <c r="A211" s="6" t="s">
        <v>532</v>
      </c>
      <c r="C211" s="21">
        <f>3.5*(352+21+4*(5200/65))</f>
        <v>2425.5</v>
      </c>
      <c r="D211" s="6" t="s">
        <v>304</v>
      </c>
      <c r="F211" s="6" t="s">
        <v>523</v>
      </c>
      <c r="J211" s="83"/>
    </row>
    <row r="212">
      <c r="J212" s="83"/>
    </row>
    <row r="213">
      <c r="A213" s="187" t="s">
        <v>533</v>
      </c>
      <c r="B213" s="6" t="s">
        <v>534</v>
      </c>
      <c r="C213" s="21">
        <f>C196/2+C197+C198+C199</f>
        <v>4174.667679</v>
      </c>
      <c r="D213" s="6" t="s">
        <v>304</v>
      </c>
      <c r="F213" s="119" t="s">
        <v>535</v>
      </c>
      <c r="J213" s="83"/>
    </row>
    <row r="214">
      <c r="B214" s="6" t="s">
        <v>536</v>
      </c>
      <c r="C214" s="21">
        <f>C196/2+C197+C198+C200</f>
        <v>7641.89198</v>
      </c>
      <c r="D214" s="6" t="s">
        <v>304</v>
      </c>
      <c r="F214" s="119" t="s">
        <v>537</v>
      </c>
      <c r="H214" s="6" t="s">
        <v>538</v>
      </c>
      <c r="J214" s="83"/>
    </row>
    <row r="215">
      <c r="B215" s="81" t="s">
        <v>539</v>
      </c>
      <c r="C215" s="114">
        <f>C214/C213</f>
        <v>1.830538996</v>
      </c>
      <c r="D215" s="188" t="s">
        <v>540</v>
      </c>
      <c r="E215" s="114">
        <f>10/3</f>
        <v>3.333333333</v>
      </c>
      <c r="J215" s="83"/>
    </row>
    <row r="216">
      <c r="J216" s="83"/>
    </row>
    <row r="217">
      <c r="A217" s="6" t="s">
        <v>541</v>
      </c>
      <c r="J217" s="83"/>
      <c r="L217" s="6" t="s">
        <v>542</v>
      </c>
    </row>
    <row r="218">
      <c r="A218" s="6" t="s">
        <v>543</v>
      </c>
      <c r="B218">
        <f>130*1000</f>
        <v>130000</v>
      </c>
      <c r="C218" s="6" t="s">
        <v>544</v>
      </c>
      <c r="J218" s="83"/>
      <c r="L218" s="6" t="s">
        <v>545</v>
      </c>
    </row>
    <row r="219">
      <c r="A219" s="6" t="s">
        <v>546</v>
      </c>
      <c r="B219">
        <f>8.4*9.4</f>
        <v>78.96</v>
      </c>
      <c r="C219" s="6" t="s">
        <v>547</v>
      </c>
      <c r="J219" s="83"/>
      <c r="L219" s="6" t="s">
        <v>548</v>
      </c>
    </row>
    <row r="220">
      <c r="A220" s="6" t="s">
        <v>549</v>
      </c>
      <c r="B220" s="21">
        <f>B218/B219</f>
        <v>1646.403242</v>
      </c>
      <c r="C220" s="6" t="s">
        <v>550</v>
      </c>
      <c r="J220" s="83"/>
      <c r="L220" s="6" t="s">
        <v>551</v>
      </c>
    </row>
    <row r="221">
      <c r="B221" s="130">
        <f>10*B220</f>
        <v>16464.03242</v>
      </c>
      <c r="C221" s="6" t="s">
        <v>552</v>
      </c>
      <c r="J221" s="83"/>
    </row>
    <row r="222">
      <c r="B222" s="114">
        <f>B221*10^(-6)</f>
        <v>0.01646403242</v>
      </c>
      <c r="C222" s="6" t="s">
        <v>553</v>
      </c>
      <c r="J222" s="83"/>
      <c r="L222" s="6" t="s">
        <v>554</v>
      </c>
    </row>
    <row r="223">
      <c r="J223" s="83"/>
    </row>
    <row r="224">
      <c r="A224" s="84" t="s">
        <v>516</v>
      </c>
      <c r="B224" s="130">
        <f t="shared" ref="B224:B225" si="4">10*C199*8.5</f>
        <v>215884.5027</v>
      </c>
      <c r="C224" s="6" t="s">
        <v>555</v>
      </c>
      <c r="J224" s="83"/>
      <c r="L224" s="6" t="s">
        <v>556</v>
      </c>
    </row>
    <row r="225">
      <c r="A225" s="84" t="s">
        <v>518</v>
      </c>
      <c r="B225" s="130">
        <f t="shared" si="4"/>
        <v>510598.5683</v>
      </c>
      <c r="C225" s="6" t="s">
        <v>555</v>
      </c>
      <c r="J225" s="83"/>
      <c r="L225" s="6" t="s">
        <v>557</v>
      </c>
    </row>
    <row r="226">
      <c r="A226" s="84" t="s">
        <v>558</v>
      </c>
      <c r="B226" s="130">
        <f>10*C198*1.3*4.5</f>
        <v>42778.125</v>
      </c>
      <c r="C226" s="6" t="s">
        <v>555</v>
      </c>
      <c r="J226" s="83"/>
      <c r="L226" s="6" t="s">
        <v>559</v>
      </c>
    </row>
    <row r="227">
      <c r="J227" s="83"/>
      <c r="L227" s="6" t="s">
        <v>560</v>
      </c>
    </row>
    <row r="228">
      <c r="J228" s="83"/>
      <c r="L228" s="6" t="s">
        <v>561</v>
      </c>
    </row>
    <row r="229">
      <c r="A229" s="135" t="s">
        <v>465</v>
      </c>
      <c r="B229" s="135" t="s">
        <v>466</v>
      </c>
      <c r="C229" s="135">
        <v>18.0</v>
      </c>
      <c r="D229" s="135" t="s">
        <v>467</v>
      </c>
      <c r="J229" s="83"/>
      <c r="L229" s="6" t="s">
        <v>562</v>
      </c>
    </row>
    <row r="230">
      <c r="A230" s="135" t="s">
        <v>563</v>
      </c>
      <c r="B230" s="135" t="s">
        <v>469</v>
      </c>
      <c r="C230" s="135">
        <v>5.0</v>
      </c>
      <c r="D230" s="135" t="s">
        <v>88</v>
      </c>
      <c r="J230" s="83"/>
      <c r="L230" s="6" t="s">
        <v>564</v>
      </c>
    </row>
    <row r="231">
      <c r="A231" s="6" t="s">
        <v>565</v>
      </c>
      <c r="C231">
        <f>100/(C230)</f>
        <v>20</v>
      </c>
      <c r="J231" s="83"/>
      <c r="L231" s="6" t="s">
        <v>566</v>
      </c>
    </row>
    <row r="232">
      <c r="A232" s="135" t="s">
        <v>567</v>
      </c>
      <c r="B232" s="135" t="s">
        <v>471</v>
      </c>
      <c r="C232" s="182">
        <f>C230*3.141516*(C229*0.1)^2/4</f>
        <v>12.7231398</v>
      </c>
      <c r="D232" s="133" t="s">
        <v>472</v>
      </c>
      <c r="J232" s="83"/>
      <c r="L232" s="6" t="s">
        <v>568</v>
      </c>
    </row>
    <row r="233">
      <c r="J233" s="83"/>
      <c r="L233" s="6" t="s">
        <v>569</v>
      </c>
    </row>
    <row r="234">
      <c r="A234" s="135" t="s">
        <v>465</v>
      </c>
      <c r="B234" s="135" t="s">
        <v>466</v>
      </c>
      <c r="C234" s="135">
        <v>12.0</v>
      </c>
      <c r="D234" s="135" t="s">
        <v>467</v>
      </c>
      <c r="J234" s="83"/>
      <c r="L234" s="6" t="s">
        <v>570</v>
      </c>
    </row>
    <row r="235">
      <c r="A235" s="135" t="s">
        <v>563</v>
      </c>
      <c r="B235" s="135" t="s">
        <v>469</v>
      </c>
      <c r="C235" s="135">
        <v>10.0</v>
      </c>
      <c r="D235" s="135" t="s">
        <v>88</v>
      </c>
      <c r="J235" s="83"/>
      <c r="L235" s="6" t="s">
        <v>571</v>
      </c>
    </row>
    <row r="236">
      <c r="A236" s="6" t="s">
        <v>565</v>
      </c>
      <c r="C236">
        <f>100/(C235)</f>
        <v>10</v>
      </c>
      <c r="J236" s="83"/>
      <c r="L236" s="6" t="s">
        <v>572</v>
      </c>
    </row>
    <row r="237">
      <c r="A237" s="135" t="s">
        <v>567</v>
      </c>
      <c r="B237" s="135" t="s">
        <v>471</v>
      </c>
      <c r="C237" s="182">
        <f>C235*3.141516*(C234*0.1)^2/4</f>
        <v>11.3094576</v>
      </c>
      <c r="D237" s="133" t="s">
        <v>472</v>
      </c>
      <c r="J237" s="83"/>
      <c r="L237" s="6" t="s">
        <v>573</v>
      </c>
    </row>
    <row r="238">
      <c r="A238" s="6" t="s">
        <v>574</v>
      </c>
      <c r="J238" s="83"/>
      <c r="L238" s="6" t="s">
        <v>575</v>
      </c>
    </row>
    <row r="239">
      <c r="J239" s="83"/>
      <c r="L239" s="6" t="s">
        <v>576</v>
      </c>
    </row>
    <row r="240">
      <c r="A240" s="186" t="s">
        <v>577</v>
      </c>
      <c r="J240" s="83"/>
      <c r="L240" s="6" t="s">
        <v>578</v>
      </c>
    </row>
    <row r="241">
      <c r="A241" s="186" t="s">
        <v>579</v>
      </c>
      <c r="J241" s="83"/>
    </row>
    <row r="242">
      <c r="A242" s="186" t="s">
        <v>580</v>
      </c>
      <c r="J242" s="83"/>
      <c r="L242" s="6" t="s">
        <v>581</v>
      </c>
    </row>
    <row r="243">
      <c r="A243" s="186" t="s">
        <v>582</v>
      </c>
      <c r="J243" s="83"/>
    </row>
    <row r="244">
      <c r="A244" s="6" t="s">
        <v>583</v>
      </c>
      <c r="J244" s="83"/>
      <c r="L244" s="6" t="s">
        <v>584</v>
      </c>
    </row>
    <row r="245">
      <c r="J245" s="83"/>
    </row>
    <row r="246">
      <c r="J246" s="83"/>
      <c r="L246" s="6" t="s">
        <v>585</v>
      </c>
    </row>
    <row r="247">
      <c r="J247" s="83"/>
      <c r="L247" s="6" t="s">
        <v>586</v>
      </c>
    </row>
    <row r="248">
      <c r="J248" s="83"/>
      <c r="L248" s="6" t="s">
        <v>587</v>
      </c>
    </row>
    <row r="249">
      <c r="J249" s="83"/>
      <c r="L249" s="6" t="s">
        <v>588</v>
      </c>
    </row>
    <row r="250">
      <c r="J250" s="83"/>
      <c r="L250" s="6" t="s">
        <v>589</v>
      </c>
    </row>
    <row r="251">
      <c r="J251" s="83"/>
      <c r="L251" s="6" t="s">
        <v>590</v>
      </c>
    </row>
    <row r="252">
      <c r="J252" s="83"/>
    </row>
    <row r="253">
      <c r="J253" s="83"/>
    </row>
    <row r="254">
      <c r="J254" s="83"/>
      <c r="L254" s="6" t="s">
        <v>591</v>
      </c>
    </row>
    <row r="255">
      <c r="J255" s="83"/>
    </row>
    <row r="256">
      <c r="J256" s="83"/>
      <c r="L256" s="6" t="s">
        <v>592</v>
      </c>
    </row>
    <row r="257">
      <c r="J257" s="83"/>
      <c r="L257" s="6" t="s">
        <v>593</v>
      </c>
    </row>
    <row r="258">
      <c r="J258" s="83"/>
      <c r="L258" s="6" t="s">
        <v>594</v>
      </c>
    </row>
    <row r="259">
      <c r="J259" s="83"/>
      <c r="L259" s="6" t="s">
        <v>595</v>
      </c>
    </row>
    <row r="260">
      <c r="J260" s="83"/>
      <c r="L260" s="6" t="s">
        <v>596</v>
      </c>
    </row>
    <row r="261">
      <c r="J261" s="83"/>
      <c r="L261" s="6" t="s">
        <v>597</v>
      </c>
    </row>
    <row r="262">
      <c r="J262" s="83"/>
      <c r="L262" s="6" t="s">
        <v>598</v>
      </c>
    </row>
    <row r="263">
      <c r="J263" s="83"/>
      <c r="L263" s="6" t="s">
        <v>599</v>
      </c>
    </row>
    <row r="264">
      <c r="J264" s="83"/>
      <c r="L264" s="6" t="s">
        <v>600</v>
      </c>
    </row>
    <row r="265">
      <c r="J265" s="83"/>
      <c r="L265" s="6" t="s">
        <v>601</v>
      </c>
    </row>
    <row r="266">
      <c r="J266" s="83"/>
      <c r="L266" s="6" t="s">
        <v>602</v>
      </c>
    </row>
    <row r="267">
      <c r="J267" s="83"/>
      <c r="L267" s="6" t="s">
        <v>603</v>
      </c>
    </row>
    <row r="268">
      <c r="J268" s="83"/>
      <c r="L268" s="6" t="s">
        <v>604</v>
      </c>
    </row>
    <row r="269">
      <c r="J269" s="83"/>
      <c r="L269" s="6" t="s">
        <v>605</v>
      </c>
    </row>
    <row r="270">
      <c r="J270" s="83"/>
      <c r="L270" s="6" t="s">
        <v>606</v>
      </c>
    </row>
    <row r="271">
      <c r="J271" s="83"/>
      <c r="L271" s="6" t="s">
        <v>607</v>
      </c>
    </row>
    <row r="272">
      <c r="J272" s="83"/>
      <c r="L272" s="6" t="s">
        <v>608</v>
      </c>
    </row>
    <row r="273">
      <c r="J273" s="83"/>
      <c r="L273" s="6" t="s">
        <v>609</v>
      </c>
    </row>
    <row r="274">
      <c r="J274" s="83"/>
      <c r="L274" s="6" t="s">
        <v>610</v>
      </c>
    </row>
    <row r="275">
      <c r="J275" s="83"/>
      <c r="L275" s="6" t="s">
        <v>611</v>
      </c>
    </row>
    <row r="276">
      <c r="J276" s="83"/>
      <c r="L276" s="6" t="s">
        <v>612</v>
      </c>
    </row>
    <row r="277">
      <c r="J277" s="83"/>
      <c r="L277" s="6" t="s">
        <v>613</v>
      </c>
    </row>
    <row r="278">
      <c r="J278" s="83"/>
      <c r="L278" s="6" t="s">
        <v>614</v>
      </c>
    </row>
    <row r="279">
      <c r="J279" s="83"/>
      <c r="L279" s="6" t="s">
        <v>615</v>
      </c>
    </row>
    <row r="280">
      <c r="J280" s="83"/>
      <c r="L280" s="6" t="s">
        <v>616</v>
      </c>
    </row>
    <row r="281">
      <c r="J281" s="83"/>
      <c r="L281" s="6" t="s">
        <v>617</v>
      </c>
    </row>
    <row r="282">
      <c r="J282" s="83"/>
      <c r="L282" s="6" t="s">
        <v>618</v>
      </c>
    </row>
    <row r="283">
      <c r="J283" s="83"/>
      <c r="L283" s="6" t="s">
        <v>619</v>
      </c>
    </row>
    <row r="284">
      <c r="J284" s="83"/>
      <c r="L284" s="6" t="s">
        <v>620</v>
      </c>
    </row>
    <row r="285">
      <c r="J285" s="83"/>
      <c r="L285" s="6" t="s">
        <v>621</v>
      </c>
    </row>
    <row r="286">
      <c r="J286" s="83"/>
      <c r="L286" s="6" t="s">
        <v>622</v>
      </c>
    </row>
    <row r="287">
      <c r="J287" s="83"/>
      <c r="L287" s="6" t="s">
        <v>623</v>
      </c>
    </row>
    <row r="288">
      <c r="J288" s="83"/>
      <c r="L288" s="6" t="s">
        <v>624</v>
      </c>
    </row>
    <row r="289">
      <c r="J289" s="83"/>
      <c r="L289" s="6" t="s">
        <v>625</v>
      </c>
    </row>
    <row r="290">
      <c r="J290" s="83"/>
      <c r="L290" s="6" t="s">
        <v>626</v>
      </c>
    </row>
    <row r="291">
      <c r="J291" s="83"/>
      <c r="L291" s="6" t="s">
        <v>627</v>
      </c>
    </row>
    <row r="292">
      <c r="J292" s="83"/>
      <c r="L292" s="6" t="s">
        <v>628</v>
      </c>
    </row>
    <row r="293">
      <c r="J293" s="83"/>
      <c r="L293" s="6" t="s">
        <v>629</v>
      </c>
    </row>
    <row r="294">
      <c r="J294" s="83"/>
      <c r="L294" s="6" t="s">
        <v>630</v>
      </c>
    </row>
    <row r="295">
      <c r="J295" s="83"/>
      <c r="L295" s="6" t="s">
        <v>631</v>
      </c>
    </row>
    <row r="296">
      <c r="J296" s="83"/>
      <c r="L296" s="6" t="s">
        <v>632</v>
      </c>
    </row>
    <row r="297">
      <c r="J297" s="83"/>
      <c r="L297" s="6" t="s">
        <v>633</v>
      </c>
    </row>
    <row r="298">
      <c r="J298" s="83"/>
      <c r="L298" s="6" t="s">
        <v>634</v>
      </c>
    </row>
    <row r="299">
      <c r="J299" s="83"/>
      <c r="L299" s="6" t="s">
        <v>635</v>
      </c>
    </row>
    <row r="300">
      <c r="J300" s="83"/>
      <c r="L300" s="6" t="s">
        <v>636</v>
      </c>
    </row>
    <row r="301">
      <c r="J301" s="83"/>
      <c r="L301" s="6" t="s">
        <v>637</v>
      </c>
    </row>
    <row r="302">
      <c r="J302" s="83"/>
      <c r="L302" s="6" t="s">
        <v>638</v>
      </c>
    </row>
    <row r="303">
      <c r="J303" s="83"/>
      <c r="L303" s="6" t="s">
        <v>639</v>
      </c>
    </row>
    <row r="304">
      <c r="J304" s="83"/>
      <c r="L304" s="6" t="s">
        <v>640</v>
      </c>
    </row>
    <row r="305">
      <c r="J305" s="83"/>
      <c r="L305" s="6" t="s">
        <v>641</v>
      </c>
    </row>
    <row r="306">
      <c r="J306" s="83"/>
      <c r="L306" s="6" t="s">
        <v>642</v>
      </c>
    </row>
    <row r="307">
      <c r="J307" s="83"/>
      <c r="L307" s="6" t="s">
        <v>643</v>
      </c>
    </row>
    <row r="308">
      <c r="J308" s="83"/>
      <c r="L308" s="6" t="s">
        <v>644</v>
      </c>
    </row>
    <row r="309">
      <c r="J309" s="83"/>
      <c r="L309" s="6" t="s">
        <v>645</v>
      </c>
    </row>
    <row r="310">
      <c r="J310" s="83"/>
      <c r="L310" s="6" t="s">
        <v>646</v>
      </c>
    </row>
    <row r="311">
      <c r="J311" s="83"/>
      <c r="L311" s="6" t="s">
        <v>647</v>
      </c>
    </row>
    <row r="312">
      <c r="J312" s="83"/>
      <c r="L312" s="6" t="s">
        <v>648</v>
      </c>
    </row>
    <row r="313">
      <c r="J313" s="83"/>
      <c r="L313" s="6" t="s">
        <v>649</v>
      </c>
    </row>
    <row r="314">
      <c r="J314" s="83"/>
      <c r="L314" s="6" t="s">
        <v>650</v>
      </c>
    </row>
    <row r="315">
      <c r="J315" s="83"/>
      <c r="L315" s="6" t="s">
        <v>651</v>
      </c>
    </row>
    <row r="316">
      <c r="J316" s="83"/>
    </row>
    <row r="317">
      <c r="J317" s="83"/>
    </row>
    <row r="318">
      <c r="J318" s="83"/>
    </row>
    <row r="319">
      <c r="J319" s="83"/>
    </row>
    <row r="320">
      <c r="J320" s="83"/>
    </row>
    <row r="321">
      <c r="J321" s="83"/>
    </row>
    <row r="322">
      <c r="J322" s="83"/>
    </row>
    <row r="323">
      <c r="J323" s="83"/>
    </row>
    <row r="324">
      <c r="J324" s="83"/>
    </row>
    <row r="325">
      <c r="J325" s="83"/>
    </row>
    <row r="326">
      <c r="J326" s="83"/>
    </row>
    <row r="327">
      <c r="J327" s="83"/>
    </row>
    <row r="328">
      <c r="J328" s="83"/>
    </row>
    <row r="329">
      <c r="J329" s="83"/>
    </row>
    <row r="330">
      <c r="J330" s="83"/>
    </row>
    <row r="331">
      <c r="J331" s="83"/>
    </row>
    <row r="332">
      <c r="J332" s="83"/>
    </row>
    <row r="333">
      <c r="J333" s="83"/>
    </row>
    <row r="334">
      <c r="J334" s="83"/>
    </row>
    <row r="335">
      <c r="J335" s="83"/>
    </row>
    <row r="336">
      <c r="J336" s="83"/>
    </row>
    <row r="337">
      <c r="J337" s="83"/>
    </row>
    <row r="338">
      <c r="J338" s="83"/>
    </row>
    <row r="339">
      <c r="J339" s="83"/>
    </row>
    <row r="340">
      <c r="J340" s="83"/>
    </row>
    <row r="341">
      <c r="J341" s="83"/>
    </row>
    <row r="342">
      <c r="J342" s="83"/>
    </row>
    <row r="343">
      <c r="J343" s="83"/>
    </row>
    <row r="344">
      <c r="J344" s="83"/>
    </row>
    <row r="345">
      <c r="J345" s="83"/>
    </row>
    <row r="346">
      <c r="J346" s="83"/>
    </row>
    <row r="347">
      <c r="J347" s="83"/>
    </row>
    <row r="348">
      <c r="J348" s="83"/>
    </row>
    <row r="349">
      <c r="J349" s="83"/>
    </row>
    <row r="350">
      <c r="J350" s="83"/>
    </row>
    <row r="351">
      <c r="J351" s="83"/>
    </row>
    <row r="352">
      <c r="J352" s="83"/>
    </row>
    <row r="353">
      <c r="J353" s="83"/>
    </row>
    <row r="354">
      <c r="J354" s="83"/>
    </row>
    <row r="355">
      <c r="J355" s="83"/>
    </row>
    <row r="356">
      <c r="J356" s="83"/>
    </row>
    <row r="357">
      <c r="J357" s="83"/>
    </row>
    <row r="358">
      <c r="J358" s="83"/>
    </row>
    <row r="359">
      <c r="J359" s="83"/>
    </row>
    <row r="360">
      <c r="J360" s="83"/>
    </row>
    <row r="361">
      <c r="J361" s="83"/>
    </row>
    <row r="362">
      <c r="J362" s="83"/>
    </row>
    <row r="363">
      <c r="J363" s="83"/>
    </row>
    <row r="364">
      <c r="J364" s="83"/>
    </row>
    <row r="365">
      <c r="J365" s="83"/>
    </row>
    <row r="366">
      <c r="J366" s="83"/>
    </row>
    <row r="367">
      <c r="J367" s="83"/>
    </row>
    <row r="368">
      <c r="J368" s="83"/>
    </row>
    <row r="369">
      <c r="J369" s="83"/>
    </row>
    <row r="370">
      <c r="J370" s="83"/>
    </row>
    <row r="371">
      <c r="J371" s="83"/>
    </row>
    <row r="372">
      <c r="J372" s="83"/>
    </row>
    <row r="373">
      <c r="J373" s="83"/>
    </row>
    <row r="374">
      <c r="J374" s="83"/>
    </row>
    <row r="375">
      <c r="J375" s="83"/>
    </row>
    <row r="376">
      <c r="J376" s="83"/>
    </row>
    <row r="377">
      <c r="J377" s="83"/>
    </row>
    <row r="378">
      <c r="J378" s="83"/>
    </row>
    <row r="379">
      <c r="J379" s="83"/>
    </row>
    <row r="380">
      <c r="J380" s="83"/>
    </row>
    <row r="381">
      <c r="J381" s="83"/>
    </row>
    <row r="382">
      <c r="J382" s="83"/>
    </row>
    <row r="383">
      <c r="J383" s="83"/>
    </row>
    <row r="384">
      <c r="J384" s="83"/>
    </row>
    <row r="385">
      <c r="J385" s="83"/>
    </row>
    <row r="386">
      <c r="J386" s="83"/>
    </row>
    <row r="387">
      <c r="J387" s="83"/>
    </row>
    <row r="388">
      <c r="J388" s="83"/>
    </row>
    <row r="389">
      <c r="J389" s="83"/>
    </row>
    <row r="390">
      <c r="J390" s="83"/>
    </row>
    <row r="391">
      <c r="J391" s="83"/>
    </row>
    <row r="392">
      <c r="J392" s="83"/>
    </row>
    <row r="393">
      <c r="J393" s="83"/>
    </row>
    <row r="394">
      <c r="J394" s="83"/>
    </row>
    <row r="395">
      <c r="J395" s="83"/>
    </row>
    <row r="396">
      <c r="J396" s="83"/>
    </row>
    <row r="397">
      <c r="J397" s="83"/>
    </row>
    <row r="398">
      <c r="J398" s="83"/>
    </row>
    <row r="399">
      <c r="J399" s="83"/>
    </row>
    <row r="400">
      <c r="J400" s="83"/>
    </row>
    <row r="401">
      <c r="J401" s="83"/>
    </row>
    <row r="402">
      <c r="J402" s="83"/>
    </row>
    <row r="403">
      <c r="J403" s="83"/>
    </row>
    <row r="404">
      <c r="J404" s="83"/>
    </row>
    <row r="405">
      <c r="J405" s="83"/>
    </row>
    <row r="406">
      <c r="J406" s="83"/>
    </row>
    <row r="407">
      <c r="J407" s="83"/>
    </row>
    <row r="408">
      <c r="J408" s="83"/>
    </row>
    <row r="409">
      <c r="J409" s="83"/>
    </row>
    <row r="410">
      <c r="J410" s="83"/>
    </row>
    <row r="411">
      <c r="J411" s="83"/>
    </row>
    <row r="412">
      <c r="J412" s="83"/>
    </row>
    <row r="413">
      <c r="J413" s="83"/>
    </row>
    <row r="414">
      <c r="J414" s="83"/>
    </row>
    <row r="415">
      <c r="J415" s="83"/>
    </row>
    <row r="416">
      <c r="J416" s="83"/>
    </row>
    <row r="417">
      <c r="J417" s="83"/>
    </row>
    <row r="418">
      <c r="J418" s="83"/>
    </row>
    <row r="419">
      <c r="J419" s="83"/>
    </row>
    <row r="420">
      <c r="J420" s="83"/>
    </row>
    <row r="421">
      <c r="J421" s="83"/>
    </row>
    <row r="422">
      <c r="J422" s="83"/>
    </row>
    <row r="423">
      <c r="J423" s="83"/>
    </row>
    <row r="424">
      <c r="J424" s="83"/>
    </row>
    <row r="425">
      <c r="J425" s="83"/>
    </row>
    <row r="426">
      <c r="J426" s="83"/>
    </row>
    <row r="427">
      <c r="J427" s="83"/>
    </row>
    <row r="428">
      <c r="J428" s="83"/>
    </row>
    <row r="429">
      <c r="J429" s="83"/>
    </row>
    <row r="430">
      <c r="J430" s="83"/>
    </row>
    <row r="431">
      <c r="J431" s="83"/>
    </row>
    <row r="432">
      <c r="J432" s="83"/>
    </row>
    <row r="433">
      <c r="J433" s="83"/>
    </row>
    <row r="434">
      <c r="J434" s="83"/>
    </row>
    <row r="435">
      <c r="J435" s="83"/>
    </row>
    <row r="436">
      <c r="J436" s="83"/>
    </row>
    <row r="437">
      <c r="J437" s="83"/>
    </row>
    <row r="438">
      <c r="J438" s="83"/>
    </row>
    <row r="439">
      <c r="J439" s="83"/>
    </row>
    <row r="440">
      <c r="J440" s="83"/>
    </row>
    <row r="441">
      <c r="J441" s="83"/>
    </row>
    <row r="442">
      <c r="J442" s="83"/>
    </row>
    <row r="443">
      <c r="J443" s="83"/>
    </row>
    <row r="444">
      <c r="J444" s="83"/>
    </row>
    <row r="445">
      <c r="J445" s="83"/>
    </row>
    <row r="446">
      <c r="J446" s="83"/>
    </row>
    <row r="447">
      <c r="J447" s="83"/>
    </row>
    <row r="448">
      <c r="J448" s="83"/>
    </row>
    <row r="449">
      <c r="J449" s="83"/>
    </row>
    <row r="450">
      <c r="J450" s="83"/>
    </row>
    <row r="451">
      <c r="J451" s="83"/>
    </row>
    <row r="452">
      <c r="J452" s="83"/>
    </row>
    <row r="453">
      <c r="J453" s="83"/>
    </row>
    <row r="454">
      <c r="J454" s="83"/>
    </row>
    <row r="455">
      <c r="J455" s="83"/>
    </row>
    <row r="456">
      <c r="J456" s="83"/>
    </row>
    <row r="457">
      <c r="J457" s="83"/>
    </row>
    <row r="458">
      <c r="J458" s="83"/>
    </row>
    <row r="459">
      <c r="J459" s="83"/>
    </row>
    <row r="460">
      <c r="J460" s="83"/>
    </row>
    <row r="461">
      <c r="J461" s="83"/>
    </row>
    <row r="462">
      <c r="J462" s="83"/>
    </row>
    <row r="463">
      <c r="J463" s="83"/>
    </row>
    <row r="464">
      <c r="J464" s="83"/>
    </row>
    <row r="465">
      <c r="J465" s="83"/>
    </row>
    <row r="466">
      <c r="J466" s="83"/>
    </row>
    <row r="467">
      <c r="J467" s="83"/>
    </row>
    <row r="468">
      <c r="J468" s="83"/>
    </row>
    <row r="469">
      <c r="J469" s="83"/>
    </row>
    <row r="470">
      <c r="J470" s="83"/>
    </row>
    <row r="471">
      <c r="J471" s="83"/>
    </row>
    <row r="472">
      <c r="J472" s="83"/>
    </row>
    <row r="473">
      <c r="J473" s="83"/>
    </row>
    <row r="474">
      <c r="J474" s="83"/>
    </row>
    <row r="475">
      <c r="J475" s="83"/>
    </row>
    <row r="476">
      <c r="J476" s="83"/>
    </row>
    <row r="477">
      <c r="J477" s="83"/>
    </row>
    <row r="478">
      <c r="J478" s="83"/>
    </row>
    <row r="479">
      <c r="J479" s="83"/>
    </row>
    <row r="480">
      <c r="J480" s="83"/>
    </row>
    <row r="481">
      <c r="J481" s="83"/>
    </row>
    <row r="482">
      <c r="J482" s="83"/>
    </row>
    <row r="483">
      <c r="J483" s="83"/>
    </row>
    <row r="484">
      <c r="J484" s="83"/>
    </row>
    <row r="485">
      <c r="J485" s="83"/>
    </row>
    <row r="486">
      <c r="J486" s="83"/>
    </row>
    <row r="487">
      <c r="J487" s="83"/>
    </row>
    <row r="488">
      <c r="J488" s="83"/>
    </row>
    <row r="489">
      <c r="J489" s="83"/>
    </row>
    <row r="490">
      <c r="J490" s="83"/>
    </row>
    <row r="491">
      <c r="J491" s="83"/>
    </row>
    <row r="492">
      <c r="J492" s="83"/>
    </row>
    <row r="493">
      <c r="J493" s="83"/>
    </row>
    <row r="494">
      <c r="J494" s="83"/>
    </row>
    <row r="495">
      <c r="J495" s="83"/>
    </row>
    <row r="496">
      <c r="J496" s="83"/>
    </row>
    <row r="497">
      <c r="J497" s="83"/>
    </row>
    <row r="498">
      <c r="J498" s="83"/>
    </row>
    <row r="499">
      <c r="J499" s="83"/>
    </row>
    <row r="500">
      <c r="J500" s="83"/>
    </row>
    <row r="501">
      <c r="J501" s="83"/>
    </row>
    <row r="502">
      <c r="J502" s="83"/>
    </row>
    <row r="503">
      <c r="J503" s="83"/>
    </row>
    <row r="504">
      <c r="J504" s="83"/>
    </row>
    <row r="505">
      <c r="J505" s="83"/>
    </row>
    <row r="506">
      <c r="J506" s="83"/>
    </row>
    <row r="507">
      <c r="J507" s="83"/>
    </row>
    <row r="508">
      <c r="J508" s="83"/>
    </row>
    <row r="509">
      <c r="J509" s="83"/>
    </row>
    <row r="510">
      <c r="J510" s="83"/>
    </row>
    <row r="511">
      <c r="J511" s="83"/>
    </row>
    <row r="512">
      <c r="J512" s="83"/>
    </row>
    <row r="513">
      <c r="J513" s="83"/>
    </row>
    <row r="514">
      <c r="J514" s="83"/>
    </row>
    <row r="515">
      <c r="J515" s="83"/>
    </row>
    <row r="516">
      <c r="J516" s="83"/>
    </row>
    <row r="517">
      <c r="J517" s="83"/>
    </row>
    <row r="518">
      <c r="J518" s="83"/>
    </row>
    <row r="519">
      <c r="J519" s="83"/>
    </row>
    <row r="520">
      <c r="J520" s="83"/>
    </row>
    <row r="521">
      <c r="J521" s="83"/>
    </row>
    <row r="522">
      <c r="J522" s="83"/>
    </row>
    <row r="523">
      <c r="J523" s="83"/>
    </row>
    <row r="524">
      <c r="J524" s="83"/>
    </row>
    <row r="525">
      <c r="J525" s="83"/>
    </row>
    <row r="526">
      <c r="J526" s="83"/>
    </row>
    <row r="527">
      <c r="J527" s="83"/>
    </row>
    <row r="528">
      <c r="J528" s="83"/>
    </row>
    <row r="529">
      <c r="J529" s="83"/>
    </row>
    <row r="530">
      <c r="J530" s="83"/>
    </row>
    <row r="531">
      <c r="J531" s="83"/>
    </row>
    <row r="532">
      <c r="J532" s="83"/>
    </row>
    <row r="533">
      <c r="J533" s="83"/>
    </row>
    <row r="534">
      <c r="J534" s="83"/>
    </row>
    <row r="535">
      <c r="J535" s="83"/>
    </row>
    <row r="536">
      <c r="J536" s="83"/>
    </row>
    <row r="537">
      <c r="J537" s="83"/>
    </row>
    <row r="538">
      <c r="J538" s="83"/>
    </row>
    <row r="539">
      <c r="J539" s="83"/>
    </row>
    <row r="540">
      <c r="J540" s="83"/>
    </row>
    <row r="541">
      <c r="J541" s="83"/>
    </row>
    <row r="542">
      <c r="J542" s="83"/>
    </row>
    <row r="543">
      <c r="J543" s="83"/>
    </row>
    <row r="544">
      <c r="J544" s="83"/>
    </row>
    <row r="545">
      <c r="J545" s="83"/>
    </row>
    <row r="546">
      <c r="J546" s="83"/>
    </row>
    <row r="547">
      <c r="J547" s="83"/>
    </row>
    <row r="548">
      <c r="J548" s="83"/>
    </row>
    <row r="549">
      <c r="J549" s="83"/>
    </row>
    <row r="550">
      <c r="J550" s="83"/>
    </row>
    <row r="551">
      <c r="J551" s="83"/>
    </row>
    <row r="552">
      <c r="J552" s="83"/>
    </row>
    <row r="553">
      <c r="J553" s="83"/>
    </row>
    <row r="554">
      <c r="J554" s="83"/>
    </row>
    <row r="555">
      <c r="J555" s="83"/>
    </row>
    <row r="556">
      <c r="J556" s="83"/>
    </row>
    <row r="557">
      <c r="J557" s="83"/>
    </row>
    <row r="558">
      <c r="J558" s="83"/>
    </row>
    <row r="559">
      <c r="J559" s="83"/>
    </row>
    <row r="560">
      <c r="J560" s="83"/>
    </row>
    <row r="561">
      <c r="J561" s="83"/>
    </row>
    <row r="562">
      <c r="J562" s="83"/>
    </row>
    <row r="563">
      <c r="J563" s="83"/>
    </row>
    <row r="564">
      <c r="J564" s="83"/>
    </row>
    <row r="565">
      <c r="J565" s="83"/>
    </row>
    <row r="566">
      <c r="J566" s="83"/>
    </row>
    <row r="567">
      <c r="J567" s="83"/>
    </row>
    <row r="568">
      <c r="J568" s="83"/>
    </row>
    <row r="569">
      <c r="J569" s="83"/>
    </row>
    <row r="570">
      <c r="J570" s="83"/>
    </row>
    <row r="571">
      <c r="J571" s="83"/>
    </row>
    <row r="572">
      <c r="J572" s="83"/>
    </row>
    <row r="573">
      <c r="J573" s="83"/>
    </row>
    <row r="574">
      <c r="J574" s="83"/>
    </row>
    <row r="575">
      <c r="J575" s="83"/>
    </row>
    <row r="576">
      <c r="J576" s="83"/>
    </row>
    <row r="577">
      <c r="J577" s="83"/>
    </row>
    <row r="578">
      <c r="J578" s="83"/>
    </row>
    <row r="579">
      <c r="J579" s="83"/>
    </row>
    <row r="580">
      <c r="J580" s="83"/>
    </row>
    <row r="581">
      <c r="J581" s="83"/>
    </row>
    <row r="582">
      <c r="J582" s="83"/>
    </row>
    <row r="583">
      <c r="J583" s="83"/>
    </row>
    <row r="584">
      <c r="J584" s="83"/>
    </row>
    <row r="585">
      <c r="J585" s="83"/>
    </row>
    <row r="586">
      <c r="J586" s="83"/>
    </row>
    <row r="587">
      <c r="J587" s="83"/>
    </row>
    <row r="588">
      <c r="J588" s="83"/>
    </row>
    <row r="589">
      <c r="J589" s="83"/>
    </row>
    <row r="590">
      <c r="J590" s="83"/>
    </row>
    <row r="591">
      <c r="J591" s="83"/>
    </row>
    <row r="592">
      <c r="J592" s="83"/>
    </row>
    <row r="593">
      <c r="J593" s="83"/>
    </row>
    <row r="594">
      <c r="J594" s="83"/>
    </row>
    <row r="595">
      <c r="J595" s="83"/>
    </row>
    <row r="596">
      <c r="J596" s="83"/>
    </row>
    <row r="597">
      <c r="J597" s="83"/>
    </row>
    <row r="598">
      <c r="J598" s="83"/>
    </row>
    <row r="599">
      <c r="J599" s="83"/>
    </row>
    <row r="600">
      <c r="J600" s="83"/>
    </row>
    <row r="601">
      <c r="J601" s="83"/>
    </row>
    <row r="602">
      <c r="J602" s="83"/>
    </row>
    <row r="603">
      <c r="J603" s="83"/>
    </row>
    <row r="604">
      <c r="J604" s="83"/>
    </row>
    <row r="605">
      <c r="J605" s="83"/>
    </row>
    <row r="606">
      <c r="J606" s="83"/>
    </row>
    <row r="607">
      <c r="J607" s="83"/>
    </row>
    <row r="608">
      <c r="J608" s="83"/>
    </row>
    <row r="609">
      <c r="J609" s="83"/>
    </row>
    <row r="610">
      <c r="J610" s="83"/>
    </row>
    <row r="611">
      <c r="J611" s="83"/>
    </row>
    <row r="612">
      <c r="J612" s="83"/>
    </row>
    <row r="613">
      <c r="J613" s="83"/>
    </row>
    <row r="614">
      <c r="J614" s="83"/>
    </row>
    <row r="615">
      <c r="J615" s="83"/>
    </row>
    <row r="616">
      <c r="J616" s="83"/>
    </row>
    <row r="617">
      <c r="J617" s="83"/>
    </row>
    <row r="618">
      <c r="J618" s="83"/>
    </row>
    <row r="619">
      <c r="J619" s="83"/>
    </row>
    <row r="620">
      <c r="J620" s="83"/>
    </row>
    <row r="621">
      <c r="J621" s="83"/>
    </row>
    <row r="622">
      <c r="J622" s="83"/>
    </row>
    <row r="623">
      <c r="J623" s="83"/>
    </row>
    <row r="624">
      <c r="J624" s="83"/>
    </row>
    <row r="625">
      <c r="J625" s="83"/>
    </row>
    <row r="626">
      <c r="J626" s="83"/>
    </row>
    <row r="627">
      <c r="J627" s="83"/>
    </row>
    <row r="628">
      <c r="J628" s="83"/>
    </row>
    <row r="629">
      <c r="J629" s="83"/>
    </row>
    <row r="630">
      <c r="J630" s="83"/>
    </row>
    <row r="631">
      <c r="J631" s="83"/>
    </row>
    <row r="632">
      <c r="J632" s="83"/>
    </row>
    <row r="633">
      <c r="J633" s="83"/>
    </row>
    <row r="634">
      <c r="J634" s="83"/>
    </row>
    <row r="635">
      <c r="J635" s="83"/>
    </row>
    <row r="636">
      <c r="J636" s="83"/>
    </row>
    <row r="637">
      <c r="J637" s="83"/>
    </row>
    <row r="638">
      <c r="J638" s="83"/>
    </row>
    <row r="639">
      <c r="J639" s="83"/>
    </row>
    <row r="640">
      <c r="J640" s="83"/>
    </row>
    <row r="641">
      <c r="J641" s="83"/>
    </row>
    <row r="642">
      <c r="J642" s="83"/>
    </row>
    <row r="643">
      <c r="J643" s="83"/>
    </row>
    <row r="644">
      <c r="J644" s="83"/>
    </row>
    <row r="645">
      <c r="J645" s="83"/>
    </row>
    <row r="646">
      <c r="J646" s="83"/>
    </row>
    <row r="647">
      <c r="J647" s="83"/>
    </row>
    <row r="648">
      <c r="J648" s="83"/>
    </row>
    <row r="649">
      <c r="J649" s="83"/>
    </row>
    <row r="650">
      <c r="J650" s="83"/>
    </row>
    <row r="651">
      <c r="J651" s="83"/>
    </row>
    <row r="652">
      <c r="J652" s="83"/>
    </row>
    <row r="653">
      <c r="J653" s="83"/>
    </row>
    <row r="654">
      <c r="J654" s="83"/>
    </row>
    <row r="655">
      <c r="J655" s="83"/>
    </row>
    <row r="656">
      <c r="J656" s="83"/>
    </row>
    <row r="657">
      <c r="J657" s="83"/>
    </row>
    <row r="658">
      <c r="J658" s="83"/>
    </row>
    <row r="659">
      <c r="J659" s="83"/>
    </row>
    <row r="660">
      <c r="J660" s="83"/>
    </row>
    <row r="661">
      <c r="J661" s="83"/>
    </row>
    <row r="662">
      <c r="J662" s="83"/>
    </row>
    <row r="663">
      <c r="J663" s="83"/>
    </row>
    <row r="664">
      <c r="J664" s="83"/>
    </row>
    <row r="665">
      <c r="J665" s="83"/>
    </row>
    <row r="666">
      <c r="J666" s="83"/>
    </row>
    <row r="667">
      <c r="J667" s="83"/>
    </row>
    <row r="668">
      <c r="J668" s="83"/>
    </row>
    <row r="669">
      <c r="J669" s="83"/>
    </row>
    <row r="670">
      <c r="J670" s="83"/>
    </row>
    <row r="671">
      <c r="J671" s="83"/>
    </row>
    <row r="672">
      <c r="J672" s="83"/>
    </row>
    <row r="673">
      <c r="J673" s="83"/>
    </row>
    <row r="674">
      <c r="J674" s="83"/>
    </row>
    <row r="675">
      <c r="J675" s="83"/>
    </row>
    <row r="676">
      <c r="J676" s="83"/>
    </row>
    <row r="677">
      <c r="J677" s="83"/>
    </row>
    <row r="678">
      <c r="J678" s="83"/>
    </row>
    <row r="679">
      <c r="J679" s="83"/>
    </row>
    <row r="680">
      <c r="J680" s="83"/>
    </row>
    <row r="681">
      <c r="J681" s="83"/>
    </row>
    <row r="682">
      <c r="J682" s="83"/>
    </row>
    <row r="683">
      <c r="J683" s="83"/>
    </row>
    <row r="684">
      <c r="J684" s="83"/>
    </row>
    <row r="685">
      <c r="J685" s="83"/>
    </row>
    <row r="686">
      <c r="J686" s="83"/>
    </row>
    <row r="687">
      <c r="J687" s="83"/>
    </row>
    <row r="688">
      <c r="J688" s="83"/>
    </row>
    <row r="689">
      <c r="J689" s="83"/>
    </row>
    <row r="690">
      <c r="J690" s="83"/>
    </row>
    <row r="691">
      <c r="J691" s="83"/>
    </row>
    <row r="692">
      <c r="J692" s="83"/>
    </row>
    <row r="693">
      <c r="J693" s="83"/>
    </row>
    <row r="694">
      <c r="J694" s="83"/>
    </row>
    <row r="695">
      <c r="J695" s="83"/>
    </row>
    <row r="696">
      <c r="J696" s="83"/>
    </row>
    <row r="697">
      <c r="J697" s="83"/>
    </row>
    <row r="698">
      <c r="J698" s="83"/>
    </row>
    <row r="699">
      <c r="J699" s="83"/>
    </row>
    <row r="700">
      <c r="J700" s="83"/>
    </row>
    <row r="701">
      <c r="J701" s="83"/>
    </row>
    <row r="702">
      <c r="J702" s="83"/>
    </row>
    <row r="703">
      <c r="J703" s="83"/>
    </row>
    <row r="704">
      <c r="J704" s="83"/>
    </row>
    <row r="705">
      <c r="J705" s="83"/>
    </row>
    <row r="706">
      <c r="J706" s="83"/>
    </row>
    <row r="707">
      <c r="J707" s="83"/>
    </row>
    <row r="708">
      <c r="J708" s="83"/>
    </row>
    <row r="709">
      <c r="J709" s="83"/>
    </row>
    <row r="710">
      <c r="J710" s="83"/>
    </row>
    <row r="711">
      <c r="J711" s="83"/>
    </row>
    <row r="712">
      <c r="J712" s="83"/>
    </row>
    <row r="713">
      <c r="J713" s="83"/>
    </row>
    <row r="714">
      <c r="J714" s="83"/>
    </row>
    <row r="715">
      <c r="J715" s="83"/>
    </row>
    <row r="716">
      <c r="J716" s="83"/>
    </row>
    <row r="717">
      <c r="J717" s="83"/>
    </row>
    <row r="718">
      <c r="J718" s="83"/>
    </row>
    <row r="719">
      <c r="J719" s="83"/>
    </row>
    <row r="720">
      <c r="J720" s="83"/>
    </row>
    <row r="721">
      <c r="J721" s="83"/>
    </row>
    <row r="722">
      <c r="J722" s="83"/>
    </row>
    <row r="723">
      <c r="J723" s="83"/>
    </row>
    <row r="724">
      <c r="J724" s="83"/>
    </row>
    <row r="725">
      <c r="J725" s="83"/>
    </row>
    <row r="726">
      <c r="J726" s="83"/>
    </row>
    <row r="727">
      <c r="J727" s="83"/>
    </row>
    <row r="728">
      <c r="J728" s="83"/>
    </row>
    <row r="729">
      <c r="J729" s="83"/>
    </row>
    <row r="730">
      <c r="J730" s="83"/>
    </row>
    <row r="731">
      <c r="J731" s="83"/>
    </row>
    <row r="732">
      <c r="J732" s="83"/>
    </row>
    <row r="733">
      <c r="J733" s="83"/>
    </row>
    <row r="734">
      <c r="J734" s="83"/>
    </row>
    <row r="735">
      <c r="J735" s="83"/>
    </row>
    <row r="736">
      <c r="J736" s="83"/>
    </row>
    <row r="737">
      <c r="J737" s="83"/>
    </row>
    <row r="738">
      <c r="J738" s="83"/>
    </row>
    <row r="739">
      <c r="J739" s="83"/>
    </row>
    <row r="740">
      <c r="J740" s="83"/>
    </row>
    <row r="741">
      <c r="J741" s="83"/>
    </row>
    <row r="742">
      <c r="J742" s="83"/>
    </row>
    <row r="743">
      <c r="J743" s="83"/>
    </row>
    <row r="744">
      <c r="J744" s="83"/>
    </row>
    <row r="745">
      <c r="J745" s="83"/>
    </row>
    <row r="746">
      <c r="J746" s="83"/>
    </row>
    <row r="747">
      <c r="J747" s="83"/>
    </row>
    <row r="748">
      <c r="J748" s="83"/>
    </row>
    <row r="749">
      <c r="J749" s="83"/>
    </row>
    <row r="750">
      <c r="J750" s="83"/>
    </row>
    <row r="751">
      <c r="J751" s="83"/>
    </row>
    <row r="752">
      <c r="J752" s="83"/>
    </row>
    <row r="753">
      <c r="J753" s="83"/>
    </row>
    <row r="754">
      <c r="J754" s="83"/>
    </row>
    <row r="755">
      <c r="J755" s="83"/>
    </row>
    <row r="756">
      <c r="J756" s="83"/>
    </row>
    <row r="757">
      <c r="J757" s="83"/>
    </row>
    <row r="758">
      <c r="J758" s="83"/>
    </row>
    <row r="759">
      <c r="J759" s="83"/>
    </row>
    <row r="760">
      <c r="J760" s="83"/>
    </row>
    <row r="761">
      <c r="J761" s="83"/>
    </row>
    <row r="762">
      <c r="J762" s="83"/>
    </row>
    <row r="763">
      <c r="J763" s="83"/>
    </row>
    <row r="764">
      <c r="J764" s="83"/>
    </row>
    <row r="765">
      <c r="J765" s="83"/>
    </row>
    <row r="766">
      <c r="J766" s="83"/>
    </row>
    <row r="767">
      <c r="J767" s="83"/>
    </row>
    <row r="768">
      <c r="J768" s="83"/>
    </row>
    <row r="769">
      <c r="J769" s="83"/>
    </row>
    <row r="770">
      <c r="J770" s="83"/>
    </row>
    <row r="771">
      <c r="J771" s="83"/>
    </row>
    <row r="772">
      <c r="J772" s="83"/>
    </row>
    <row r="773">
      <c r="J773" s="83"/>
    </row>
    <row r="774">
      <c r="J774" s="83"/>
    </row>
    <row r="775">
      <c r="J775" s="83"/>
    </row>
    <row r="776">
      <c r="J776" s="83"/>
    </row>
    <row r="777">
      <c r="J777" s="83"/>
    </row>
    <row r="778">
      <c r="J778" s="83"/>
    </row>
    <row r="779">
      <c r="J779" s="83"/>
    </row>
    <row r="780">
      <c r="J780" s="83"/>
    </row>
    <row r="781">
      <c r="J781" s="83"/>
    </row>
    <row r="782">
      <c r="J782" s="83"/>
    </row>
    <row r="783">
      <c r="J783" s="83"/>
    </row>
    <row r="784">
      <c r="J784" s="83"/>
    </row>
    <row r="785">
      <c r="J785" s="83"/>
    </row>
    <row r="786">
      <c r="J786" s="83"/>
    </row>
    <row r="787">
      <c r="J787" s="83"/>
    </row>
    <row r="788">
      <c r="J788" s="83"/>
    </row>
    <row r="789">
      <c r="J789" s="83"/>
    </row>
    <row r="790">
      <c r="J790" s="83"/>
    </row>
    <row r="791">
      <c r="J791" s="83"/>
    </row>
    <row r="792">
      <c r="J792" s="83"/>
    </row>
    <row r="793">
      <c r="J793" s="83"/>
    </row>
    <row r="794">
      <c r="J794" s="83"/>
    </row>
    <row r="795">
      <c r="J795" s="83"/>
    </row>
    <row r="796">
      <c r="J796" s="83"/>
    </row>
    <row r="797">
      <c r="J797" s="83"/>
    </row>
    <row r="798">
      <c r="J798" s="83"/>
    </row>
    <row r="799">
      <c r="J799" s="83"/>
    </row>
    <row r="800">
      <c r="J800" s="83"/>
    </row>
    <row r="801">
      <c r="J801" s="83"/>
    </row>
    <row r="802">
      <c r="J802" s="83"/>
    </row>
    <row r="803">
      <c r="J803" s="83"/>
    </row>
    <row r="804">
      <c r="J804" s="83"/>
    </row>
    <row r="805">
      <c r="J805" s="83"/>
    </row>
    <row r="806">
      <c r="J806" s="83"/>
    </row>
    <row r="807">
      <c r="J807" s="83"/>
    </row>
    <row r="808">
      <c r="J808" s="83"/>
    </row>
    <row r="809">
      <c r="J809" s="83"/>
    </row>
    <row r="810">
      <c r="J810" s="83"/>
    </row>
    <row r="811">
      <c r="J811" s="83"/>
    </row>
    <row r="812">
      <c r="J812" s="83"/>
    </row>
    <row r="813">
      <c r="J813" s="83"/>
    </row>
    <row r="814">
      <c r="J814" s="83"/>
    </row>
    <row r="815">
      <c r="J815" s="83"/>
    </row>
    <row r="816">
      <c r="J816" s="83"/>
    </row>
    <row r="817">
      <c r="J817" s="83"/>
    </row>
    <row r="818">
      <c r="J818" s="83"/>
    </row>
    <row r="819">
      <c r="J819" s="83"/>
    </row>
    <row r="820">
      <c r="J820" s="83"/>
    </row>
    <row r="821">
      <c r="J821" s="83"/>
    </row>
    <row r="822">
      <c r="J822" s="83"/>
    </row>
    <row r="823">
      <c r="J823" s="83"/>
    </row>
    <row r="824">
      <c r="J824" s="83"/>
    </row>
    <row r="825">
      <c r="J825" s="83"/>
    </row>
    <row r="826">
      <c r="J826" s="83"/>
    </row>
    <row r="827">
      <c r="J827" s="83"/>
    </row>
    <row r="828">
      <c r="J828" s="83"/>
    </row>
    <row r="829">
      <c r="J829" s="83"/>
    </row>
    <row r="830">
      <c r="J830" s="83"/>
    </row>
    <row r="831">
      <c r="J831" s="83"/>
    </row>
    <row r="832">
      <c r="J832" s="83"/>
    </row>
    <row r="833">
      <c r="J833" s="83"/>
    </row>
    <row r="834">
      <c r="J834" s="83"/>
    </row>
    <row r="835">
      <c r="J835" s="83"/>
    </row>
    <row r="836">
      <c r="J836" s="83"/>
    </row>
    <row r="837">
      <c r="J837" s="83"/>
    </row>
    <row r="838">
      <c r="J838" s="83"/>
    </row>
    <row r="839">
      <c r="J839" s="83"/>
    </row>
    <row r="840">
      <c r="J840" s="83"/>
    </row>
    <row r="841">
      <c r="J841" s="83"/>
    </row>
    <row r="842">
      <c r="J842" s="83"/>
    </row>
    <row r="843">
      <c r="J843" s="83"/>
    </row>
    <row r="844">
      <c r="J844" s="83"/>
    </row>
    <row r="845">
      <c r="J845" s="83"/>
    </row>
    <row r="846">
      <c r="J846" s="83"/>
    </row>
    <row r="847">
      <c r="J847" s="83"/>
    </row>
    <row r="848">
      <c r="J848" s="83"/>
    </row>
    <row r="849">
      <c r="J849" s="83"/>
    </row>
    <row r="850">
      <c r="J850" s="83"/>
    </row>
    <row r="851">
      <c r="J851" s="83"/>
    </row>
    <row r="852">
      <c r="J852" s="83"/>
    </row>
    <row r="853">
      <c r="J853" s="83"/>
    </row>
    <row r="854">
      <c r="J854" s="83"/>
    </row>
    <row r="855">
      <c r="J855" s="83"/>
    </row>
    <row r="856">
      <c r="J856" s="83"/>
    </row>
    <row r="857">
      <c r="J857" s="83"/>
    </row>
    <row r="858">
      <c r="J858" s="83"/>
    </row>
    <row r="859">
      <c r="J859" s="83"/>
    </row>
    <row r="860">
      <c r="J860" s="83"/>
    </row>
    <row r="861">
      <c r="J861" s="83"/>
    </row>
    <row r="862">
      <c r="J862" s="83"/>
    </row>
    <row r="863">
      <c r="J863" s="83"/>
    </row>
    <row r="864">
      <c r="J864" s="83"/>
    </row>
    <row r="865">
      <c r="J865" s="83"/>
    </row>
    <row r="866">
      <c r="J866" s="83"/>
    </row>
    <row r="867">
      <c r="J867" s="83"/>
    </row>
    <row r="868">
      <c r="J868" s="83"/>
    </row>
    <row r="869">
      <c r="J869" s="83"/>
    </row>
    <row r="870">
      <c r="J870" s="83"/>
    </row>
    <row r="871">
      <c r="J871" s="83"/>
    </row>
    <row r="872">
      <c r="J872" s="83"/>
    </row>
    <row r="873">
      <c r="J873" s="83"/>
    </row>
    <row r="874">
      <c r="J874" s="83"/>
    </row>
    <row r="875">
      <c r="J875" s="83"/>
    </row>
    <row r="876">
      <c r="J876" s="83"/>
    </row>
    <row r="877">
      <c r="J877" s="83"/>
    </row>
    <row r="878">
      <c r="J878" s="83"/>
    </row>
    <row r="879">
      <c r="J879" s="83"/>
    </row>
    <row r="880">
      <c r="J880" s="83"/>
    </row>
    <row r="881">
      <c r="J881" s="83"/>
    </row>
    <row r="882">
      <c r="J882" s="83"/>
    </row>
    <row r="883">
      <c r="J883" s="83"/>
    </row>
    <row r="884">
      <c r="J884" s="83"/>
    </row>
    <row r="885">
      <c r="J885" s="83"/>
    </row>
    <row r="886">
      <c r="J886" s="83"/>
    </row>
    <row r="887">
      <c r="J887" s="83"/>
    </row>
    <row r="888">
      <c r="J888" s="83"/>
    </row>
    <row r="889">
      <c r="J889" s="83"/>
    </row>
    <row r="890">
      <c r="J890" s="83"/>
    </row>
    <row r="891">
      <c r="J891" s="83"/>
    </row>
    <row r="892">
      <c r="J892" s="83"/>
    </row>
    <row r="893">
      <c r="J893" s="83"/>
    </row>
    <row r="894">
      <c r="J894" s="83"/>
    </row>
    <row r="895">
      <c r="J895" s="83"/>
    </row>
    <row r="896">
      <c r="J896" s="83"/>
    </row>
    <row r="897">
      <c r="J897" s="83"/>
    </row>
    <row r="898">
      <c r="J898" s="83"/>
    </row>
    <row r="899">
      <c r="J899" s="83"/>
    </row>
    <row r="900">
      <c r="J900" s="83"/>
    </row>
    <row r="901">
      <c r="J901" s="83"/>
    </row>
    <row r="902">
      <c r="J902" s="83"/>
    </row>
    <row r="903">
      <c r="J903" s="83"/>
    </row>
    <row r="904">
      <c r="J904" s="83"/>
    </row>
    <row r="905">
      <c r="J905" s="83"/>
    </row>
    <row r="906">
      <c r="J906" s="83"/>
    </row>
    <row r="907">
      <c r="J907" s="83"/>
    </row>
    <row r="908">
      <c r="J908" s="83"/>
    </row>
    <row r="909">
      <c r="J909" s="83"/>
    </row>
    <row r="910">
      <c r="J910" s="83"/>
    </row>
    <row r="911">
      <c r="J911" s="83"/>
    </row>
    <row r="912">
      <c r="J912" s="83"/>
    </row>
    <row r="913">
      <c r="J913" s="83"/>
    </row>
    <row r="914">
      <c r="J914" s="83"/>
    </row>
    <row r="915">
      <c r="J915" s="83"/>
    </row>
    <row r="916">
      <c r="J916" s="83"/>
    </row>
    <row r="917">
      <c r="J917" s="83"/>
    </row>
    <row r="918">
      <c r="J918" s="83"/>
    </row>
  </sheetData>
  <hyperlinks>
    <hyperlink r:id="rId1" ref="F36"/>
    <hyperlink r:id="rId2" ref="F162"/>
    <hyperlink r:id="rId3" ref="F189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4">
      <c r="C4" s="6" t="s">
        <v>195</v>
      </c>
    </row>
    <row r="66">
      <c r="C66" s="81" t="s">
        <v>196</v>
      </c>
    </row>
    <row r="67">
      <c r="C67" s="81" t="s">
        <v>197</v>
      </c>
    </row>
    <row r="68">
      <c r="C68" s="81" t="s">
        <v>198</v>
      </c>
    </row>
    <row r="69">
      <c r="C69" s="81" t="s">
        <v>199</v>
      </c>
    </row>
    <row r="70">
      <c r="C70" s="81" t="s">
        <v>200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9.71"/>
    <col customWidth="1" min="3" max="3" width="39.57"/>
  </cols>
  <sheetData>
    <row r="3">
      <c r="B3" s="1" t="s">
        <v>0</v>
      </c>
    </row>
    <row r="4">
      <c r="B4" s="2"/>
    </row>
    <row r="5">
      <c r="B5" s="3" t="s">
        <v>1</v>
      </c>
      <c r="C5" s="3" t="s">
        <v>2</v>
      </c>
    </row>
    <row r="6">
      <c r="B6" s="4" t="s">
        <v>3</v>
      </c>
      <c r="C6" s="4" t="s">
        <v>3</v>
      </c>
    </row>
    <row r="7">
      <c r="B7" s="4" t="s">
        <v>4</v>
      </c>
      <c r="C7" s="4" t="s">
        <v>5</v>
      </c>
    </row>
    <row r="8">
      <c r="B8" s="4" t="s">
        <v>6</v>
      </c>
      <c r="C8" s="4" t="s">
        <v>7</v>
      </c>
    </row>
    <row r="9">
      <c r="B9" s="4" t="s">
        <v>8</v>
      </c>
      <c r="C9" s="4" t="s">
        <v>9</v>
      </c>
    </row>
    <row r="10">
      <c r="B10" s="4" t="s">
        <v>10</v>
      </c>
      <c r="C10" s="4" t="s">
        <v>11</v>
      </c>
    </row>
    <row r="11">
      <c r="B11" s="4" t="s">
        <v>12</v>
      </c>
      <c r="C11" s="4" t="s">
        <v>13</v>
      </c>
    </row>
    <row r="12">
      <c r="B12" s="4" t="s">
        <v>14</v>
      </c>
      <c r="C12" s="4" t="s">
        <v>15</v>
      </c>
    </row>
    <row r="13">
      <c r="B13" s="4" t="s">
        <v>16</v>
      </c>
      <c r="C13" s="4" t="s">
        <v>17</v>
      </c>
    </row>
    <row r="14">
      <c r="B14" s="4" t="s">
        <v>18</v>
      </c>
      <c r="C14" s="4" t="s">
        <v>19</v>
      </c>
    </row>
    <row r="15">
      <c r="B15" s="4" t="s">
        <v>20</v>
      </c>
      <c r="C15" s="4" t="s">
        <v>21</v>
      </c>
    </row>
    <row r="16">
      <c r="B16" s="4" t="s">
        <v>22</v>
      </c>
      <c r="C16" s="4" t="s">
        <v>23</v>
      </c>
    </row>
    <row r="17">
      <c r="B17" s="4" t="s">
        <v>24</v>
      </c>
      <c r="C17" s="4" t="s">
        <v>25</v>
      </c>
    </row>
    <row r="18">
      <c r="B18" s="4" t="s">
        <v>26</v>
      </c>
      <c r="C18" s="4" t="s">
        <v>27</v>
      </c>
    </row>
    <row r="19">
      <c r="B19" s="4" t="s">
        <v>28</v>
      </c>
      <c r="C19" s="4" t="s">
        <v>29</v>
      </c>
    </row>
    <row r="20">
      <c r="B20" s="4" t="s">
        <v>30</v>
      </c>
      <c r="C20" s="4" t="s">
        <v>31</v>
      </c>
    </row>
    <row r="21">
      <c r="B21" s="4" t="s">
        <v>32</v>
      </c>
      <c r="C21" s="4" t="s">
        <v>33</v>
      </c>
    </row>
    <row r="22">
      <c r="B22" s="5" t="s">
        <v>34</v>
      </c>
      <c r="C22" s="5" t="s">
        <v>35</v>
      </c>
      <c r="D22" s="6" t="s">
        <v>36</v>
      </c>
    </row>
    <row r="23">
      <c r="B23" s="4" t="s">
        <v>37</v>
      </c>
      <c r="C23" s="4" t="s">
        <v>38</v>
      </c>
    </row>
    <row r="25">
      <c r="B25" s="1" t="s">
        <v>39</v>
      </c>
    </row>
    <row r="26">
      <c r="B26" s="2"/>
    </row>
    <row r="27">
      <c r="B27" s="3" t="s">
        <v>1</v>
      </c>
      <c r="C27" s="3" t="s">
        <v>2</v>
      </c>
    </row>
    <row r="28">
      <c r="B28" s="4" t="s">
        <v>3</v>
      </c>
      <c r="C28" s="4" t="s">
        <v>3</v>
      </c>
    </row>
    <row r="29">
      <c r="B29" s="4" t="s">
        <v>40</v>
      </c>
      <c r="C29" s="4" t="s">
        <v>41</v>
      </c>
    </row>
    <row r="30">
      <c r="B30" s="4" t="s">
        <v>42</v>
      </c>
      <c r="C30" s="4" t="s">
        <v>43</v>
      </c>
    </row>
    <row r="31">
      <c r="B31" s="4" t="s">
        <v>44</v>
      </c>
      <c r="C31" s="4" t="s">
        <v>45</v>
      </c>
    </row>
    <row r="32">
      <c r="B32" s="4" t="s">
        <v>46</v>
      </c>
      <c r="C32" s="4" t="s">
        <v>47</v>
      </c>
    </row>
    <row r="33">
      <c r="B33" s="4" t="s">
        <v>48</v>
      </c>
      <c r="C33" s="4" t="s">
        <v>49</v>
      </c>
    </row>
    <row r="34">
      <c r="B34" s="4" t="s">
        <v>50</v>
      </c>
      <c r="C34" s="4" t="s">
        <v>51</v>
      </c>
    </row>
    <row r="35">
      <c r="B35" s="7" t="s">
        <v>14</v>
      </c>
      <c r="C35" s="7" t="s">
        <v>15</v>
      </c>
      <c r="D35" s="6" t="s">
        <v>52</v>
      </c>
    </row>
    <row r="36">
      <c r="B36" s="4" t="s">
        <v>53</v>
      </c>
      <c r="C36" s="4" t="s">
        <v>54</v>
      </c>
    </row>
    <row r="37">
      <c r="B37" s="4" t="s">
        <v>55</v>
      </c>
      <c r="C37" s="4" t="s">
        <v>56</v>
      </c>
    </row>
    <row r="38">
      <c r="B38" s="4" t="s">
        <v>57</v>
      </c>
      <c r="C38" s="4" t="s">
        <v>58</v>
      </c>
    </row>
    <row r="39">
      <c r="B39" s="4" t="s">
        <v>59</v>
      </c>
      <c r="C39" s="4" t="s">
        <v>60</v>
      </c>
    </row>
    <row r="40">
      <c r="B40" s="1" t="s">
        <v>61</v>
      </c>
    </row>
    <row r="41">
      <c r="B41" s="2"/>
    </row>
    <row r="42">
      <c r="B42" s="3" t="s">
        <v>1</v>
      </c>
      <c r="C42" s="3" t="s">
        <v>2</v>
      </c>
    </row>
    <row r="43">
      <c r="B43" s="4" t="s">
        <v>3</v>
      </c>
      <c r="C43" s="4" t="s">
        <v>3</v>
      </c>
    </row>
    <row r="44">
      <c r="B44" s="4" t="s">
        <v>62</v>
      </c>
      <c r="C44" s="4" t="s">
        <v>63</v>
      </c>
    </row>
    <row r="45">
      <c r="B45" s="4" t="s">
        <v>64</v>
      </c>
      <c r="C45" s="4" t="s">
        <v>65</v>
      </c>
    </row>
    <row r="46">
      <c r="B46" s="4" t="s">
        <v>66</v>
      </c>
      <c r="C46" s="4" t="s">
        <v>67</v>
      </c>
    </row>
    <row r="47">
      <c r="B47" s="4" t="s">
        <v>68</v>
      </c>
      <c r="C47" s="4" t="s">
        <v>69</v>
      </c>
    </row>
    <row r="48">
      <c r="B48" s="4" t="s">
        <v>70</v>
      </c>
      <c r="C48" s="4" t="s">
        <v>71</v>
      </c>
    </row>
    <row r="49">
      <c r="B49" s="4" t="s">
        <v>72</v>
      </c>
      <c r="C49" s="4" t="s">
        <v>73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9.86"/>
    <col customWidth="1" min="4" max="4" width="18.29"/>
    <col customWidth="1" min="7" max="7" width="8.57"/>
    <col customWidth="1" min="8" max="8" width="34.0"/>
    <col customWidth="1" min="10" max="10" width="14.71"/>
    <col customWidth="1" min="11" max="11" width="15.71"/>
    <col customWidth="1" min="12" max="12" width="9.43"/>
  </cols>
  <sheetData>
    <row r="2">
      <c r="A2" s="8" t="s">
        <v>74</v>
      </c>
      <c r="B2" s="9"/>
      <c r="C2" s="9"/>
      <c r="D2" s="9"/>
      <c r="E2" s="9"/>
      <c r="F2" s="9"/>
      <c r="G2" s="8" t="s">
        <v>75</v>
      </c>
      <c r="H2" s="8" t="s">
        <v>76</v>
      </c>
      <c r="I2" s="10">
        <f>SUM(I3:I34)</f>
        <v>311260.8</v>
      </c>
      <c r="J2" s="6" t="s">
        <v>77</v>
      </c>
      <c r="M2" s="11">
        <f>I2+I37+I67+I79</f>
        <v>1849095.022</v>
      </c>
      <c r="N2" s="6" t="s">
        <v>78</v>
      </c>
    </row>
    <row r="3">
      <c r="A3" s="9"/>
      <c r="B3" s="8" t="s">
        <v>79</v>
      </c>
      <c r="C3" s="8" t="s">
        <v>80</v>
      </c>
      <c r="D3" s="8" t="s">
        <v>81</v>
      </c>
      <c r="E3" s="8" t="s">
        <v>82</v>
      </c>
      <c r="F3" s="9"/>
      <c r="G3" s="9"/>
      <c r="H3" s="9"/>
      <c r="I3" s="9"/>
    </row>
    <row r="4">
      <c r="A4" s="8" t="s">
        <v>83</v>
      </c>
      <c r="B4" s="12">
        <f>25+25</f>
        <v>50</v>
      </c>
      <c r="C4" s="12"/>
      <c r="D4" s="13"/>
      <c r="E4" s="14">
        <f t="shared" ref="E4:E13" si="1">sum(B4:D4)</f>
        <v>50</v>
      </c>
      <c r="F4" s="8" t="s">
        <v>84</v>
      </c>
      <c r="G4" s="8">
        <v>50.0</v>
      </c>
      <c r="H4" s="15" t="s">
        <v>85</v>
      </c>
      <c r="I4" s="16">
        <f t="shared" ref="I4:I9" si="2">E4*G4</f>
        <v>2500</v>
      </c>
    </row>
    <row r="5">
      <c r="A5" s="8" t="s">
        <v>86</v>
      </c>
      <c r="B5" s="12">
        <f>10+10</f>
        <v>20</v>
      </c>
      <c r="C5" s="12"/>
      <c r="D5" s="13"/>
      <c r="E5" s="14">
        <f t="shared" si="1"/>
        <v>20</v>
      </c>
      <c r="F5" s="8" t="s">
        <v>84</v>
      </c>
      <c r="G5" s="8">
        <v>60.0</v>
      </c>
      <c r="H5" s="15" t="s">
        <v>85</v>
      </c>
      <c r="I5" s="16">
        <f t="shared" si="2"/>
        <v>1200</v>
      </c>
    </row>
    <row r="6">
      <c r="A6" s="17" t="s">
        <v>87</v>
      </c>
      <c r="B6" s="15">
        <v>1.0</v>
      </c>
      <c r="C6" s="18"/>
      <c r="D6" s="18"/>
      <c r="E6" s="10">
        <f t="shared" si="1"/>
        <v>1</v>
      </c>
      <c r="F6" s="8" t="s">
        <v>88</v>
      </c>
      <c r="G6" s="8">
        <v>1800.0</v>
      </c>
      <c r="H6" s="15" t="s">
        <v>89</v>
      </c>
      <c r="I6" s="9">
        <f t="shared" si="2"/>
        <v>1800</v>
      </c>
    </row>
    <row r="7">
      <c r="A7" s="8" t="s">
        <v>90</v>
      </c>
      <c r="B7" s="12">
        <f>10*11*0.35</f>
        <v>38.5</v>
      </c>
      <c r="C7" s="12">
        <f>4.2*1.5*0.35</f>
        <v>2.205</v>
      </c>
      <c r="D7" s="13" t="s">
        <v>91</v>
      </c>
      <c r="E7" s="14">
        <f t="shared" si="1"/>
        <v>40.705</v>
      </c>
      <c r="F7" s="8" t="s">
        <v>92</v>
      </c>
      <c r="G7" s="8">
        <v>500.0</v>
      </c>
      <c r="H7" s="15" t="s">
        <v>93</v>
      </c>
      <c r="I7" s="16">
        <f t="shared" si="2"/>
        <v>20352.5</v>
      </c>
    </row>
    <row r="8">
      <c r="A8" s="8" t="s">
        <v>94</v>
      </c>
      <c r="B8" s="12">
        <f>10*11*0.15</f>
        <v>16.5</v>
      </c>
      <c r="C8" s="12">
        <f>4.2*1.5*0.15</f>
        <v>0.945</v>
      </c>
      <c r="D8" s="13" t="s">
        <v>91</v>
      </c>
      <c r="E8" s="14">
        <f t="shared" si="1"/>
        <v>17.445</v>
      </c>
      <c r="F8" s="8" t="s">
        <v>92</v>
      </c>
      <c r="G8" s="8">
        <v>1500.0</v>
      </c>
      <c r="H8" s="15" t="s">
        <v>93</v>
      </c>
      <c r="I8" s="16">
        <f t="shared" si="2"/>
        <v>26167.5</v>
      </c>
    </row>
    <row r="9">
      <c r="A9" s="8" t="s">
        <v>95</v>
      </c>
      <c r="B9" s="16">
        <f>9.4*8.4*0.3</f>
        <v>23.688</v>
      </c>
      <c r="C9" s="16">
        <f>3*1.5*0.2</f>
        <v>0.9</v>
      </c>
      <c r="D9" s="19">
        <f>D10*0.05</f>
        <v>1.6</v>
      </c>
      <c r="E9" s="14">
        <f t="shared" si="1"/>
        <v>26.188</v>
      </c>
      <c r="F9" s="8" t="s">
        <v>92</v>
      </c>
      <c r="G9" s="8">
        <v>3500.0</v>
      </c>
      <c r="H9" s="15" t="s">
        <v>93</v>
      </c>
      <c r="I9" s="16">
        <f t="shared" si="2"/>
        <v>91658</v>
      </c>
    </row>
    <row r="10">
      <c r="A10" s="8" t="s">
        <v>96</v>
      </c>
      <c r="B10" s="16">
        <f>(9.4+8.4)*2*0.45</f>
        <v>16.02</v>
      </c>
      <c r="C10" s="16">
        <f>3*1.5</f>
        <v>4.5</v>
      </c>
      <c r="D10" s="20">
        <v>32.0</v>
      </c>
      <c r="E10" s="14">
        <f t="shared" si="1"/>
        <v>52.52</v>
      </c>
      <c r="F10" s="8" t="s">
        <v>97</v>
      </c>
      <c r="G10" s="8">
        <v>150.0</v>
      </c>
      <c r="H10" s="15" t="s">
        <v>98</v>
      </c>
      <c r="I10" s="9">
        <f>J10*G10</f>
        <v>12000</v>
      </c>
      <c r="J10" s="6">
        <v>80.0</v>
      </c>
      <c r="K10" s="6" t="s">
        <v>99</v>
      </c>
      <c r="L10">
        <f>J10*0.58*1.18</f>
        <v>54.752</v>
      </c>
      <c r="M10" s="6" t="s">
        <v>97</v>
      </c>
    </row>
    <row r="11">
      <c r="A11" s="8" t="s">
        <v>100</v>
      </c>
      <c r="B11" s="12">
        <f> 9.4*8.4</f>
        <v>78.96</v>
      </c>
      <c r="C11" s="13" t="s">
        <v>91</v>
      </c>
      <c r="D11" s="13" t="s">
        <v>91</v>
      </c>
      <c r="E11" s="14">
        <f t="shared" si="1"/>
        <v>78.96</v>
      </c>
      <c r="F11" s="8" t="s">
        <v>97</v>
      </c>
      <c r="G11" s="8">
        <v>50.0</v>
      </c>
      <c r="H11" s="15" t="s">
        <v>101</v>
      </c>
      <c r="I11" s="9">
        <f t="shared" ref="I11:I12" si="3">E11*G11</f>
        <v>3948</v>
      </c>
      <c r="J11" s="21">
        <f>E11/9</f>
        <v>8.773333333</v>
      </c>
      <c r="K11" s="6" t="s">
        <v>102</v>
      </c>
    </row>
    <row r="12">
      <c r="A12" s="22" t="s">
        <v>103</v>
      </c>
      <c r="B12" s="15">
        <v>1.0</v>
      </c>
      <c r="C12" s="18"/>
      <c r="D12" s="18"/>
      <c r="E12" s="10">
        <f t="shared" si="1"/>
        <v>1</v>
      </c>
      <c r="F12" s="8" t="s">
        <v>88</v>
      </c>
      <c r="G12" s="8">
        <v>1900.0</v>
      </c>
      <c r="H12" s="15" t="s">
        <v>89</v>
      </c>
      <c r="I12" s="9">
        <f t="shared" si="3"/>
        <v>1900</v>
      </c>
      <c r="J12" s="23"/>
      <c r="K12" s="24" t="s">
        <v>104</v>
      </c>
      <c r="L12">
        <f>0.2*9.4*8.4</f>
        <v>15.792</v>
      </c>
      <c r="M12" s="6" t="s">
        <v>105</v>
      </c>
    </row>
    <row r="13">
      <c r="A13" s="8" t="s">
        <v>106</v>
      </c>
      <c r="B13" s="18">
        <f> 9.5*8.5</f>
        <v>80.75</v>
      </c>
      <c r="C13" s="18">
        <f>3*1.5</f>
        <v>4.5</v>
      </c>
      <c r="D13" s="12">
        <f>D10</f>
        <v>32</v>
      </c>
      <c r="E13" s="10">
        <f t="shared" si="1"/>
        <v>117.25</v>
      </c>
      <c r="F13" s="8" t="s">
        <v>97</v>
      </c>
      <c r="G13" s="8">
        <v>4250.0</v>
      </c>
      <c r="H13" s="8" t="s">
        <v>107</v>
      </c>
      <c r="I13" s="9">
        <f>3*G13</f>
        <v>12750</v>
      </c>
      <c r="J13" s="23" t="s">
        <v>108</v>
      </c>
      <c r="L13">
        <f>2*20*3</f>
        <v>120</v>
      </c>
    </row>
    <row r="14">
      <c r="A14" s="8" t="s">
        <v>109</v>
      </c>
      <c r="B14" s="25">
        <f> 9.4*8.4/100</f>
        <v>0.7896</v>
      </c>
      <c r="C14" s="26">
        <f>3*1.5/100</f>
        <v>0.045</v>
      </c>
      <c r="D14" s="18"/>
      <c r="E14" s="27">
        <v>1.0</v>
      </c>
      <c r="F14" s="8" t="s">
        <v>88</v>
      </c>
      <c r="G14" s="8">
        <v>900.0</v>
      </c>
      <c r="H14" s="15" t="s">
        <v>89</v>
      </c>
      <c r="I14" s="9">
        <f>E14*G14</f>
        <v>900</v>
      </c>
      <c r="J14" s="6" t="s">
        <v>110</v>
      </c>
    </row>
    <row r="15">
      <c r="A15" s="8" t="s">
        <v>111</v>
      </c>
      <c r="B15" s="20">
        <f>(33*(2*5.85)+37*(1.5*5.85))</f>
        <v>710.775</v>
      </c>
      <c r="C15" s="28">
        <f>2*(5*(5.85/2)+11*(5.85/4))</f>
        <v>61.425</v>
      </c>
      <c r="D15" s="13" t="s">
        <v>91</v>
      </c>
      <c r="E15" s="14">
        <f>sum(B15:D15)</f>
        <v>772.2</v>
      </c>
      <c r="F15" s="8" t="s">
        <v>84</v>
      </c>
      <c r="G15" s="9"/>
      <c r="H15" s="15" t="s">
        <v>112</v>
      </c>
      <c r="I15" s="9"/>
    </row>
    <row r="16">
      <c r="A16" s="9"/>
      <c r="B16" s="9"/>
      <c r="C16" s="9"/>
      <c r="D16" s="9"/>
      <c r="E16" s="14">
        <f>E15/5.85</f>
        <v>132</v>
      </c>
      <c r="F16" s="8" t="s">
        <v>113</v>
      </c>
      <c r="G16" s="8">
        <v>250.0</v>
      </c>
      <c r="H16" s="15" t="s">
        <v>89</v>
      </c>
      <c r="I16" s="9">
        <f>E16*G16</f>
        <v>33000</v>
      </c>
    </row>
    <row r="17">
      <c r="A17" s="9"/>
      <c r="B17" s="9"/>
      <c r="C17" s="9"/>
      <c r="D17" s="9"/>
      <c r="E17" s="14">
        <f>E15*0.888</f>
        <v>685.7136</v>
      </c>
      <c r="F17" s="8" t="s">
        <v>114</v>
      </c>
      <c r="G17" s="9"/>
      <c r="H17" s="9"/>
      <c r="I17" s="9"/>
    </row>
    <row r="18">
      <c r="A18" s="8" t="s">
        <v>115</v>
      </c>
      <c r="B18" s="20">
        <f>(41*(2*5.85)+46*(1.5*5.85))</f>
        <v>883.35</v>
      </c>
      <c r="C18" s="29" t="s">
        <v>91</v>
      </c>
      <c r="D18" s="13" t="s">
        <v>91</v>
      </c>
      <c r="E18" s="14">
        <f>sum(B18:D18)</f>
        <v>883.35</v>
      </c>
      <c r="F18" s="8" t="s">
        <v>84</v>
      </c>
      <c r="G18" s="9"/>
      <c r="H18" s="15" t="s">
        <v>112</v>
      </c>
      <c r="I18" s="9"/>
    </row>
    <row r="19">
      <c r="A19" s="9"/>
      <c r="B19" s="9"/>
      <c r="C19" s="9"/>
      <c r="D19" s="9"/>
      <c r="E19" s="14">
        <f>E18/5.85</f>
        <v>151</v>
      </c>
      <c r="F19" s="8" t="s">
        <v>113</v>
      </c>
      <c r="G19" s="8">
        <v>350.0</v>
      </c>
      <c r="H19" s="15" t="s">
        <v>89</v>
      </c>
      <c r="I19" s="9">
        <f>E19*G19</f>
        <v>52850</v>
      </c>
    </row>
    <row r="20">
      <c r="A20" s="9"/>
      <c r="B20" s="9"/>
      <c r="C20" s="9"/>
      <c r="D20" s="9"/>
      <c r="E20" s="14">
        <f>E18*0.888</f>
        <v>784.4148</v>
      </c>
      <c r="F20" s="8" t="s">
        <v>114</v>
      </c>
      <c r="G20" s="9"/>
      <c r="H20" s="9"/>
      <c r="I20" s="9"/>
    </row>
    <row r="21">
      <c r="A21" s="8" t="s">
        <v>116</v>
      </c>
      <c r="B21" s="20">
        <f>16*3*5.85/4+18*2*5.85/4</f>
        <v>122.85</v>
      </c>
      <c r="C21" s="30" t="s">
        <v>91</v>
      </c>
      <c r="D21" s="13" t="s">
        <v>91</v>
      </c>
      <c r="E21" s="14">
        <f>sum(B21:D21)</f>
        <v>122.85</v>
      </c>
      <c r="F21" s="8" t="s">
        <v>84</v>
      </c>
      <c r="G21" s="9"/>
      <c r="H21" s="15" t="s">
        <v>112</v>
      </c>
      <c r="I21" s="9"/>
    </row>
    <row r="22">
      <c r="A22" s="9"/>
      <c r="B22" s="9"/>
      <c r="C22" s="9"/>
      <c r="D22" s="9"/>
      <c r="E22" s="14">
        <f>E21/5.85</f>
        <v>21</v>
      </c>
      <c r="F22" s="8" t="s">
        <v>113</v>
      </c>
      <c r="G22" s="8">
        <v>130.0</v>
      </c>
      <c r="H22" s="15" t="s">
        <v>89</v>
      </c>
      <c r="I22" s="9">
        <f>E22*G22</f>
        <v>2730</v>
      </c>
    </row>
    <row r="23">
      <c r="A23" s="9"/>
      <c r="B23" s="9"/>
      <c r="C23" s="9"/>
      <c r="D23" s="9"/>
      <c r="E23" s="14">
        <f>E21*0.888</f>
        <v>109.0908</v>
      </c>
      <c r="F23" s="8" t="s">
        <v>114</v>
      </c>
      <c r="G23" s="9"/>
      <c r="H23" s="9"/>
      <c r="I23" s="9"/>
    </row>
    <row r="24">
      <c r="A24" s="8" t="s">
        <v>117</v>
      </c>
      <c r="B24" s="13" t="s">
        <v>91</v>
      </c>
      <c r="C24" s="13" t="s">
        <v>91</v>
      </c>
      <c r="D24" s="8">
        <f>2*(4+4)+2</f>
        <v>18</v>
      </c>
      <c r="E24" s="10">
        <f>sum(B24:D24)</f>
        <v>18</v>
      </c>
      <c r="F24" s="8" t="s">
        <v>88</v>
      </c>
      <c r="G24" s="8">
        <v>550.0</v>
      </c>
      <c r="H24" s="15" t="s">
        <v>89</v>
      </c>
      <c r="I24" s="9">
        <f>E24*G24</f>
        <v>9900</v>
      </c>
    </row>
    <row r="25">
      <c r="A25" s="8" t="s">
        <v>118</v>
      </c>
      <c r="B25" s="9"/>
      <c r="C25" s="9"/>
      <c r="D25" s="9"/>
      <c r="E25" s="9"/>
      <c r="F25" s="9"/>
      <c r="G25" s="9"/>
      <c r="H25" s="9"/>
      <c r="I25" s="9"/>
    </row>
    <row r="26">
      <c r="A26" s="8" t="s">
        <v>119</v>
      </c>
      <c r="B26" s="20">
        <f>4*3*2</f>
        <v>24</v>
      </c>
      <c r="C26" s="8">
        <v>2.0</v>
      </c>
      <c r="D26" s="9">
        <f>2*4</f>
        <v>8</v>
      </c>
      <c r="E26" s="14">
        <f t="shared" ref="E26:E27" si="4">sum(B26:D26)</f>
        <v>34</v>
      </c>
      <c r="F26" s="8" t="s">
        <v>120</v>
      </c>
      <c r="G26" s="8">
        <v>200.0</v>
      </c>
      <c r="H26" s="15" t="s">
        <v>89</v>
      </c>
      <c r="I26" s="9">
        <f t="shared" ref="I26:I34" si="5">E26*G26</f>
        <v>6800</v>
      </c>
    </row>
    <row r="27">
      <c r="A27" s="8" t="s">
        <v>121</v>
      </c>
      <c r="B27" s="9">
        <f>2*(31*2*2+37*2*2+34+38)+(2500/250)*3*2+(4500/250)*3*2+(3750/250)*2+(8750/250)*2+(1750/250)*2+(3250/250)*2+(2500/250)*2*2</f>
        <v>1036</v>
      </c>
      <c r="C27" s="30" t="s">
        <v>91</v>
      </c>
      <c r="D27" s="30" t="s">
        <v>91</v>
      </c>
      <c r="E27" s="10">
        <f t="shared" si="4"/>
        <v>1036</v>
      </c>
      <c r="F27" s="8" t="s">
        <v>88</v>
      </c>
      <c r="G27" s="8">
        <v>16.0</v>
      </c>
      <c r="H27" s="15" t="s">
        <v>89</v>
      </c>
      <c r="I27" s="9">
        <f t="shared" si="5"/>
        <v>16576</v>
      </c>
    </row>
    <row r="28">
      <c r="A28" s="8" t="s">
        <v>122</v>
      </c>
      <c r="B28" s="9"/>
      <c r="C28" s="9"/>
      <c r="D28" s="9"/>
      <c r="E28" s="14">
        <f>E27/25</f>
        <v>41.44</v>
      </c>
      <c r="F28" s="8" t="s">
        <v>88</v>
      </c>
      <c r="G28" s="8">
        <v>270.0</v>
      </c>
      <c r="H28" s="15" t="s">
        <v>123</v>
      </c>
      <c r="I28" s="16">
        <f t="shared" si="5"/>
        <v>11188.8</v>
      </c>
      <c r="J28" s="24" t="s">
        <v>124</v>
      </c>
    </row>
    <row r="29">
      <c r="A29" s="8" t="s">
        <v>125</v>
      </c>
      <c r="B29" s="31">
        <v>15.0</v>
      </c>
      <c r="C29" s="12"/>
      <c r="D29" s="13"/>
      <c r="E29" s="14">
        <f t="shared" ref="E29:E34" si="6">sum(B29:D29)</f>
        <v>15</v>
      </c>
      <c r="F29" s="8" t="s">
        <v>84</v>
      </c>
      <c r="G29" s="8">
        <v>40.0</v>
      </c>
      <c r="H29" s="15" t="s">
        <v>85</v>
      </c>
      <c r="I29" s="16">
        <f t="shared" si="5"/>
        <v>600</v>
      </c>
    </row>
    <row r="30">
      <c r="A30" s="8" t="s">
        <v>126</v>
      </c>
      <c r="B30" s="31">
        <v>7.0</v>
      </c>
      <c r="C30" s="12"/>
      <c r="D30" s="13"/>
      <c r="E30" s="14">
        <f t="shared" si="6"/>
        <v>7</v>
      </c>
      <c r="F30" s="8" t="s">
        <v>84</v>
      </c>
      <c r="G30" s="8">
        <v>20.0</v>
      </c>
      <c r="H30" s="15" t="s">
        <v>85</v>
      </c>
      <c r="I30" s="16">
        <f t="shared" si="5"/>
        <v>140</v>
      </c>
    </row>
    <row r="31">
      <c r="A31" s="8" t="s">
        <v>127</v>
      </c>
      <c r="B31" s="31">
        <v>10.0</v>
      </c>
      <c r="C31" s="12"/>
      <c r="D31" s="13"/>
      <c r="E31" s="14">
        <f t="shared" si="6"/>
        <v>10</v>
      </c>
      <c r="F31" s="8" t="s">
        <v>84</v>
      </c>
      <c r="G31" s="8">
        <v>25.0</v>
      </c>
      <c r="H31" s="15" t="s">
        <v>85</v>
      </c>
      <c r="I31" s="16">
        <f t="shared" si="5"/>
        <v>250</v>
      </c>
    </row>
    <row r="32">
      <c r="A32" s="8" t="s">
        <v>128</v>
      </c>
      <c r="B32" s="8">
        <v>2.0</v>
      </c>
      <c r="C32" s="18"/>
      <c r="D32" s="18"/>
      <c r="E32" s="10">
        <f t="shared" si="6"/>
        <v>2</v>
      </c>
      <c r="F32" s="8" t="s">
        <v>88</v>
      </c>
      <c r="G32" s="8">
        <v>290.0</v>
      </c>
      <c r="H32" s="15" t="s">
        <v>89</v>
      </c>
      <c r="I32" s="9">
        <f t="shared" si="5"/>
        <v>580</v>
      </c>
    </row>
    <row r="33">
      <c r="A33" s="8" t="s">
        <v>129</v>
      </c>
      <c r="B33" s="8">
        <v>3.0</v>
      </c>
      <c r="C33" s="18"/>
      <c r="D33" s="18"/>
      <c r="E33" s="10">
        <f t="shared" si="6"/>
        <v>3</v>
      </c>
      <c r="F33" s="8" t="s">
        <v>88</v>
      </c>
      <c r="G33" s="8">
        <v>130.0</v>
      </c>
      <c r="H33" s="15" t="s">
        <v>89</v>
      </c>
      <c r="I33" s="9">
        <f t="shared" si="5"/>
        <v>390</v>
      </c>
    </row>
    <row r="34">
      <c r="A34" s="8" t="s">
        <v>130</v>
      </c>
      <c r="B34" s="8">
        <v>2.0</v>
      </c>
      <c r="C34" s="18"/>
      <c r="D34" s="18"/>
      <c r="E34" s="10">
        <f t="shared" si="6"/>
        <v>2</v>
      </c>
      <c r="F34" s="8" t="s">
        <v>88</v>
      </c>
      <c r="G34" s="8">
        <v>540.0</v>
      </c>
      <c r="H34" s="15" t="s">
        <v>89</v>
      </c>
      <c r="I34" s="9">
        <f t="shared" si="5"/>
        <v>1080</v>
      </c>
    </row>
    <row r="37">
      <c r="A37" s="32" t="s">
        <v>131</v>
      </c>
      <c r="B37" s="33"/>
      <c r="C37" s="32" t="s">
        <v>132</v>
      </c>
      <c r="D37" s="32" t="s">
        <v>133</v>
      </c>
      <c r="E37" s="33"/>
      <c r="F37" s="33"/>
      <c r="G37" s="33"/>
      <c r="H37" s="33"/>
      <c r="I37" s="34">
        <f>SUM(I38:I64)</f>
        <v>868976.4222</v>
      </c>
    </row>
    <row r="38">
      <c r="A38" s="32" t="s">
        <v>134</v>
      </c>
      <c r="B38" s="33"/>
      <c r="C38" s="33"/>
      <c r="D38" s="33"/>
      <c r="E38" s="35">
        <f>11*2*4.5</f>
        <v>99</v>
      </c>
      <c r="F38" s="32" t="s">
        <v>135</v>
      </c>
      <c r="G38" s="32">
        <v>1050.0</v>
      </c>
      <c r="H38" s="36" t="s">
        <v>136</v>
      </c>
      <c r="I38" s="37">
        <f t="shared" ref="I38:I44" si="7">E38*G38</f>
        <v>103950</v>
      </c>
    </row>
    <row r="39">
      <c r="A39" s="32" t="s">
        <v>137</v>
      </c>
      <c r="B39" s="32">
        <v>35.0</v>
      </c>
      <c r="C39" s="32">
        <v>1.406</v>
      </c>
      <c r="D39" s="32"/>
      <c r="E39" s="33">
        <f t="shared" ref="E39:E41" si="8">B39*C39</f>
        <v>49.21</v>
      </c>
      <c r="F39" s="32" t="s">
        <v>92</v>
      </c>
      <c r="G39" s="32">
        <v>4850.0</v>
      </c>
      <c r="H39" s="32" t="s">
        <v>93</v>
      </c>
      <c r="I39" s="37">
        <f t="shared" si="7"/>
        <v>238668.5</v>
      </c>
    </row>
    <row r="40">
      <c r="A40" s="32" t="s">
        <v>138</v>
      </c>
      <c r="B40" s="32">
        <v>7.0</v>
      </c>
      <c r="C40" s="32">
        <v>1.406</v>
      </c>
      <c r="D40" s="32"/>
      <c r="E40" s="33">
        <f t="shared" si="8"/>
        <v>9.842</v>
      </c>
      <c r="F40" s="32" t="s">
        <v>92</v>
      </c>
      <c r="G40" s="32">
        <v>4850.0</v>
      </c>
      <c r="H40" s="32" t="s">
        <v>93</v>
      </c>
      <c r="I40" s="37">
        <f t="shared" si="7"/>
        <v>47733.7</v>
      </c>
    </row>
    <row r="41">
      <c r="A41" s="32" t="s">
        <v>139</v>
      </c>
      <c r="B41" s="32">
        <v>5.0</v>
      </c>
      <c r="C41" s="32">
        <v>1.406</v>
      </c>
      <c r="D41" s="32"/>
      <c r="E41" s="33">
        <f t="shared" si="8"/>
        <v>7.03</v>
      </c>
      <c r="F41" s="32" t="s">
        <v>92</v>
      </c>
      <c r="G41" s="32">
        <v>4800.0</v>
      </c>
      <c r="H41" s="32" t="s">
        <v>93</v>
      </c>
      <c r="I41" s="37">
        <f t="shared" si="7"/>
        <v>33744</v>
      </c>
    </row>
    <row r="42">
      <c r="A42" s="32" t="s">
        <v>140</v>
      </c>
      <c r="B42" s="32">
        <v>2.0</v>
      </c>
      <c r="C42" s="33"/>
      <c r="D42" s="32">
        <v>30.0</v>
      </c>
      <c r="E42" s="33">
        <f t="shared" ref="E42:E43" si="9">B42*D42</f>
        <v>60</v>
      </c>
      <c r="F42" s="32" t="s">
        <v>88</v>
      </c>
      <c r="G42" s="32">
        <v>370.0</v>
      </c>
      <c r="H42" s="36" t="s">
        <v>89</v>
      </c>
      <c r="I42" s="37">
        <f t="shared" si="7"/>
        <v>22200</v>
      </c>
    </row>
    <row r="43">
      <c r="A43" s="32" t="s">
        <v>141</v>
      </c>
      <c r="B43" s="32">
        <v>10.0</v>
      </c>
      <c r="C43" s="33"/>
      <c r="D43" s="32">
        <v>42.0</v>
      </c>
      <c r="E43" s="33">
        <f t="shared" si="9"/>
        <v>420</v>
      </c>
      <c r="F43" s="32" t="s">
        <v>88</v>
      </c>
      <c r="G43" s="32">
        <v>170.0</v>
      </c>
      <c r="H43" s="36" t="s">
        <v>89</v>
      </c>
      <c r="I43" s="37">
        <f t="shared" si="7"/>
        <v>71400</v>
      </c>
    </row>
    <row r="44">
      <c r="A44" s="32" t="s">
        <v>142</v>
      </c>
      <c r="B44" s="33"/>
      <c r="C44" s="33"/>
      <c r="D44" s="33"/>
      <c r="E44" s="33">
        <f>SUM(B39:B43)</f>
        <v>59</v>
      </c>
      <c r="F44" s="32" t="s">
        <v>88</v>
      </c>
      <c r="G44" s="32">
        <v>275.0</v>
      </c>
      <c r="H44" s="36" t="s">
        <v>123</v>
      </c>
      <c r="I44" s="37">
        <f t="shared" si="7"/>
        <v>16225</v>
      </c>
    </row>
    <row r="45">
      <c r="A45" s="32" t="s">
        <v>143</v>
      </c>
      <c r="B45" s="37">
        <f>(9*8-2.5*0.8-0.6*0.9-8*0.375)*4</f>
        <v>265.84</v>
      </c>
      <c r="C45" s="37"/>
      <c r="D45" s="38"/>
      <c r="E45" s="34">
        <f t="shared" ref="E45:E48" si="10">sum(B45:D45)</f>
        <v>265.84</v>
      </c>
      <c r="F45" s="32" t="s">
        <v>97</v>
      </c>
      <c r="G45" s="32">
        <v>150.0</v>
      </c>
      <c r="H45" s="36" t="s">
        <v>98</v>
      </c>
      <c r="I45" s="33">
        <f>J45*G45</f>
        <v>58500</v>
      </c>
      <c r="J45" s="6">
        <v>390.0</v>
      </c>
      <c r="K45" s="6" t="s">
        <v>99</v>
      </c>
      <c r="L45">
        <f>J45*0.58*1.18</f>
        <v>266.916</v>
      </c>
      <c r="M45" s="6" t="s">
        <v>97</v>
      </c>
    </row>
    <row r="46">
      <c r="A46" s="32" t="s">
        <v>144</v>
      </c>
      <c r="B46" s="39">
        <f>3*(3*11)</f>
        <v>99</v>
      </c>
      <c r="C46" s="40"/>
      <c r="D46" s="32"/>
      <c r="E46" s="41">
        <f t="shared" si="10"/>
        <v>99</v>
      </c>
      <c r="F46" s="32" t="s">
        <v>88</v>
      </c>
      <c r="G46" s="32">
        <v>550.0</v>
      </c>
      <c r="H46" s="36" t="s">
        <v>89</v>
      </c>
      <c r="I46" s="33">
        <f t="shared" ref="I46:I47" si="11">E46*G46</f>
        <v>54450</v>
      </c>
    </row>
    <row r="47">
      <c r="A47" s="32" t="s">
        <v>145</v>
      </c>
      <c r="B47" s="37">
        <f>9*8*0.05</f>
        <v>3.6</v>
      </c>
      <c r="C47" s="37"/>
      <c r="D47" s="42"/>
      <c r="E47" s="35">
        <f t="shared" si="10"/>
        <v>3.6</v>
      </c>
      <c r="F47" s="32" t="s">
        <v>92</v>
      </c>
      <c r="G47" s="32">
        <v>3500.0</v>
      </c>
      <c r="H47" s="36" t="s">
        <v>93</v>
      </c>
      <c r="I47" s="37">
        <f t="shared" si="11"/>
        <v>12600</v>
      </c>
    </row>
    <row r="48">
      <c r="A48" s="32" t="s">
        <v>146</v>
      </c>
      <c r="B48" s="38">
        <f>2*(5.85+5.85/2)+5*2*(5.85/2)+2*(5.85/3)+4*((5.85+5.85/2)*2+(5.85+5.85)*2)+3*2*(5.85/4)</f>
        <v>223.275</v>
      </c>
      <c r="C48" s="43"/>
      <c r="D48" s="40"/>
      <c r="E48" s="34">
        <f t="shared" si="10"/>
        <v>223.275</v>
      </c>
      <c r="F48" s="32" t="s">
        <v>84</v>
      </c>
      <c r="G48" s="33"/>
      <c r="H48" s="36"/>
      <c r="I48" s="33"/>
    </row>
    <row r="49">
      <c r="A49" s="33"/>
      <c r="B49" s="33"/>
      <c r="C49" s="33"/>
      <c r="D49" s="33"/>
      <c r="E49" s="34">
        <f>E48/5.85</f>
        <v>38.16666667</v>
      </c>
      <c r="F49" s="32" t="s">
        <v>113</v>
      </c>
      <c r="G49" s="32">
        <v>250.0</v>
      </c>
      <c r="H49" s="36" t="s">
        <v>89</v>
      </c>
      <c r="I49" s="37">
        <f>E49*G49</f>
        <v>9541.666667</v>
      </c>
    </row>
    <row r="50">
      <c r="A50" s="33"/>
      <c r="B50" s="33"/>
      <c r="C50" s="33"/>
      <c r="D50" s="33"/>
      <c r="E50" s="34">
        <f>E48*0.888</f>
        <v>198.2682</v>
      </c>
      <c r="F50" s="32" t="s">
        <v>114</v>
      </c>
      <c r="G50" s="33"/>
      <c r="H50" s="33"/>
      <c r="I50" s="33"/>
    </row>
    <row r="51">
      <c r="A51" s="32" t="s">
        <v>147</v>
      </c>
      <c r="B51" s="38">
        <f>3*(5.85+5.85/2)+5*2*(5.85/2)+2*(5.85/3)+3*2*(5.85/4)</f>
        <v>68.25</v>
      </c>
      <c r="C51" s="43"/>
      <c r="D51" s="40"/>
      <c r="E51" s="34">
        <f>sum(B51:D51)</f>
        <v>68.25</v>
      </c>
      <c r="F51" s="32" t="s">
        <v>84</v>
      </c>
      <c r="G51" s="33"/>
      <c r="H51" s="36"/>
      <c r="I51" s="33"/>
    </row>
    <row r="52">
      <c r="A52" s="33"/>
      <c r="B52" s="33"/>
      <c r="C52" s="33"/>
      <c r="D52" s="33"/>
      <c r="E52" s="34">
        <f>E51/5.85</f>
        <v>11.66666667</v>
      </c>
      <c r="F52" s="32" t="s">
        <v>113</v>
      </c>
      <c r="G52" s="32">
        <v>350.0</v>
      </c>
      <c r="H52" s="36" t="s">
        <v>89</v>
      </c>
      <c r="I52" s="37">
        <f>E52*G52</f>
        <v>4083.333333</v>
      </c>
    </row>
    <row r="53">
      <c r="A53" s="33"/>
      <c r="B53" s="33"/>
      <c r="C53" s="33"/>
      <c r="D53" s="33"/>
      <c r="E53" s="34">
        <f>E51*0.888</f>
        <v>60.606</v>
      </c>
      <c r="F53" s="32" t="s">
        <v>114</v>
      </c>
      <c r="G53" s="33"/>
      <c r="H53" s="33"/>
      <c r="I53" s="33"/>
    </row>
    <row r="54">
      <c r="A54" s="32" t="s">
        <v>148</v>
      </c>
      <c r="B54" s="38">
        <f>((7.5+5*2.5+1+2+3*1.5+2*(9.4+8.4))/0.5)*0.5</f>
        <v>63.1</v>
      </c>
      <c r="C54" s="44"/>
      <c r="D54" s="40"/>
      <c r="E54" s="34">
        <f>sum(B54:D54)</f>
        <v>63.1</v>
      </c>
      <c r="F54" s="32" t="s">
        <v>84</v>
      </c>
      <c r="G54" s="33"/>
      <c r="H54" s="36"/>
      <c r="I54" s="33"/>
    </row>
    <row r="55">
      <c r="A55" s="33"/>
      <c r="B55" s="33"/>
      <c r="C55" s="33"/>
      <c r="D55" s="33"/>
      <c r="E55" s="34">
        <f>E54/5.85</f>
        <v>10.78632479</v>
      </c>
      <c r="F55" s="32" t="s">
        <v>113</v>
      </c>
      <c r="G55" s="32">
        <v>130.0</v>
      </c>
      <c r="H55" s="36" t="s">
        <v>89</v>
      </c>
      <c r="I55" s="37">
        <f>E55*G55</f>
        <v>1402.222222</v>
      </c>
    </row>
    <row r="56">
      <c r="A56" s="33"/>
      <c r="B56" s="33"/>
      <c r="C56" s="33"/>
      <c r="D56" s="33"/>
      <c r="E56" s="34">
        <f>E54*0.888</f>
        <v>56.0328</v>
      </c>
      <c r="F56" s="32" t="s">
        <v>114</v>
      </c>
      <c r="G56" s="33"/>
      <c r="H56" s="33"/>
      <c r="I56" s="33"/>
    </row>
    <row r="57">
      <c r="A57" s="32" t="s">
        <v>149</v>
      </c>
      <c r="B57" s="37">
        <f>5*(2.5*0.16*0.19)+(2*0.16*0.19)+(1*0.16*0.19)+(7.5*0.16*0.19)</f>
        <v>0.6992</v>
      </c>
      <c r="C57" s="37"/>
      <c r="D57" s="42"/>
      <c r="E57" s="35">
        <f t="shared" ref="E57:E61" si="12">sum(B57:D57)</f>
        <v>0.6992</v>
      </c>
      <c r="F57" s="32" t="s">
        <v>92</v>
      </c>
      <c r="G57" s="32">
        <v>3500.0</v>
      </c>
      <c r="H57" s="36" t="s">
        <v>93</v>
      </c>
      <c r="I57" s="37">
        <f t="shared" ref="I57:I60" si="13">E57*G57</f>
        <v>2447.2</v>
      </c>
    </row>
    <row r="58">
      <c r="A58" s="32" t="s">
        <v>150</v>
      </c>
      <c r="B58" s="37">
        <f>9.2*8.2*0.05</f>
        <v>3.772</v>
      </c>
      <c r="C58" s="37"/>
      <c r="D58" s="42"/>
      <c r="E58" s="35">
        <f t="shared" si="12"/>
        <v>3.772</v>
      </c>
      <c r="F58" s="32" t="s">
        <v>92</v>
      </c>
      <c r="G58" s="32">
        <v>3500.0</v>
      </c>
      <c r="H58" s="36" t="s">
        <v>93</v>
      </c>
      <c r="I58" s="37">
        <f t="shared" si="13"/>
        <v>13202</v>
      </c>
    </row>
    <row r="59">
      <c r="A59" s="32" t="s">
        <v>151</v>
      </c>
      <c r="B59" s="37">
        <f>9*8*0.05</f>
        <v>3.6</v>
      </c>
      <c r="C59" s="37"/>
      <c r="D59" s="42"/>
      <c r="E59" s="35">
        <f t="shared" si="12"/>
        <v>3.6</v>
      </c>
      <c r="F59" s="32" t="s">
        <v>92</v>
      </c>
      <c r="G59" s="32">
        <v>3500.0</v>
      </c>
      <c r="H59" s="36" t="s">
        <v>93</v>
      </c>
      <c r="I59" s="37">
        <f t="shared" si="13"/>
        <v>12600</v>
      </c>
      <c r="J59" s="6"/>
      <c r="K59" s="6"/>
      <c r="M59" s="6"/>
    </row>
    <row r="60">
      <c r="A60" s="32" t="s">
        <v>152</v>
      </c>
      <c r="B60" s="45">
        <f>3*(1.5*0.16*0.19)</f>
        <v>0.1368</v>
      </c>
      <c r="C60" s="37"/>
      <c r="D60" s="42"/>
      <c r="E60" s="46">
        <f t="shared" si="12"/>
        <v>0.1368</v>
      </c>
      <c r="F60" s="32" t="s">
        <v>92</v>
      </c>
      <c r="G60" s="32">
        <v>3500.0</v>
      </c>
      <c r="H60" s="36" t="s">
        <v>93</v>
      </c>
      <c r="I60" s="37">
        <f t="shared" si="13"/>
        <v>478.8</v>
      </c>
      <c r="J60" s="6"/>
      <c r="K60" s="6"/>
      <c r="M60" s="6"/>
    </row>
    <row r="61">
      <c r="A61" s="32" t="s">
        <v>153</v>
      </c>
      <c r="B61" s="37">
        <f>(9.2+8.2)*2*0.25+(9*8-2.5*0.8-0.6*0.9-8*0.375)*4</f>
        <v>274.54</v>
      </c>
      <c r="C61" s="37"/>
      <c r="D61" s="38"/>
      <c r="E61" s="34">
        <f t="shared" si="12"/>
        <v>274.54</v>
      </c>
      <c r="F61" s="32" t="s">
        <v>97</v>
      </c>
      <c r="G61" s="32">
        <v>150.0</v>
      </c>
      <c r="H61" s="36" t="s">
        <v>98</v>
      </c>
      <c r="I61" s="33">
        <f>J61*G61</f>
        <v>60750</v>
      </c>
      <c r="J61" s="6">
        <v>405.0</v>
      </c>
      <c r="K61" s="6" t="s">
        <v>99</v>
      </c>
      <c r="L61">
        <f>J61*0.58*1.18</f>
        <v>277.182</v>
      </c>
      <c r="M61" s="6" t="s">
        <v>97</v>
      </c>
    </row>
    <row r="62">
      <c r="A62" s="32" t="s">
        <v>154</v>
      </c>
      <c r="B62" s="37"/>
      <c r="C62" s="37"/>
      <c r="D62" s="38"/>
      <c r="E62" s="47">
        <v>5.0</v>
      </c>
      <c r="F62" s="32" t="s">
        <v>88</v>
      </c>
      <c r="G62" s="32">
        <v>12000.0</v>
      </c>
      <c r="H62" s="36" t="s">
        <v>89</v>
      </c>
      <c r="I62" s="37">
        <f t="shared" ref="I62:I64" si="14">E62*G62</f>
        <v>60000</v>
      </c>
      <c r="J62" s="6"/>
      <c r="K62" s="6"/>
      <c r="M62" s="6"/>
    </row>
    <row r="63">
      <c r="A63" s="32" t="s">
        <v>155</v>
      </c>
      <c r="B63" s="37"/>
      <c r="C63" s="37"/>
      <c r="D63" s="38"/>
      <c r="E63" s="47">
        <v>2.0</v>
      </c>
      <c r="F63" s="32" t="s">
        <v>88</v>
      </c>
      <c r="G63" s="32">
        <v>8000.0</v>
      </c>
      <c r="H63" s="36" t="s">
        <v>89</v>
      </c>
      <c r="I63" s="37">
        <f t="shared" si="14"/>
        <v>16000</v>
      </c>
      <c r="J63" s="6"/>
      <c r="K63" s="6"/>
      <c r="M63" s="6"/>
    </row>
    <row r="64">
      <c r="A64" s="32" t="s">
        <v>156</v>
      </c>
      <c r="B64" s="37"/>
      <c r="C64" s="37"/>
      <c r="D64" s="38"/>
      <c r="E64" s="47">
        <v>1.0</v>
      </c>
      <c r="F64" s="32" t="s">
        <v>88</v>
      </c>
      <c r="G64" s="32">
        <v>29000.0</v>
      </c>
      <c r="H64" s="36" t="s">
        <v>89</v>
      </c>
      <c r="I64" s="37">
        <f t="shared" si="14"/>
        <v>29000</v>
      </c>
      <c r="J64" s="6"/>
      <c r="K64" s="6"/>
      <c r="M64" s="6"/>
    </row>
    <row r="66">
      <c r="J66" s="6"/>
      <c r="K66" s="6"/>
      <c r="M66" s="6"/>
    </row>
    <row r="67">
      <c r="A67" s="48" t="s">
        <v>157</v>
      </c>
      <c r="B67" s="49"/>
      <c r="C67" s="49"/>
      <c r="D67" s="50"/>
      <c r="E67" s="51"/>
      <c r="F67" s="48"/>
      <c r="G67" s="48"/>
      <c r="H67" s="52"/>
      <c r="I67" s="53">
        <f>SUM(I68:I75)</f>
        <v>224500</v>
      </c>
      <c r="J67" s="6"/>
      <c r="K67" s="6"/>
      <c r="M67" s="6"/>
    </row>
    <row r="68">
      <c r="A68" s="48" t="s">
        <v>158</v>
      </c>
      <c r="B68" s="49"/>
      <c r="C68" s="49"/>
      <c r="D68" s="50"/>
      <c r="E68" s="54">
        <f>4*4.5</f>
        <v>18</v>
      </c>
      <c r="F68" s="48" t="s">
        <v>135</v>
      </c>
      <c r="G68" s="48">
        <v>1100.0</v>
      </c>
      <c r="H68" s="52" t="s">
        <v>136</v>
      </c>
      <c r="I68" s="49">
        <f t="shared" ref="I68:I73" si="15">E68*G68</f>
        <v>19800</v>
      </c>
      <c r="J68" s="6"/>
      <c r="K68" s="6"/>
      <c r="M68" s="6"/>
    </row>
    <row r="69">
      <c r="A69" s="48" t="s">
        <v>159</v>
      </c>
      <c r="B69" s="49">
        <f>18*2+4</f>
        <v>40</v>
      </c>
      <c r="C69" s="49"/>
      <c r="D69" s="50"/>
      <c r="E69" s="54">
        <f t="shared" ref="E69:E71" si="16">sum(B69:D69)</f>
        <v>40</v>
      </c>
      <c r="F69" s="48" t="s">
        <v>88</v>
      </c>
      <c r="G69" s="48">
        <v>700.0</v>
      </c>
      <c r="H69" s="52" t="s">
        <v>89</v>
      </c>
      <c r="I69" s="49">
        <f t="shared" si="15"/>
        <v>28000</v>
      </c>
      <c r="J69" s="6"/>
      <c r="K69" s="6"/>
      <c r="M69" s="6"/>
    </row>
    <row r="70">
      <c r="A70" s="48" t="s">
        <v>160</v>
      </c>
      <c r="B70" s="49">
        <f>16*2</f>
        <v>32</v>
      </c>
      <c r="C70" s="49"/>
      <c r="D70" s="50"/>
      <c r="E70" s="54">
        <f t="shared" si="16"/>
        <v>32</v>
      </c>
      <c r="F70" s="48" t="s">
        <v>88</v>
      </c>
      <c r="G70" s="48">
        <v>700.0</v>
      </c>
      <c r="H70" s="52" t="s">
        <v>89</v>
      </c>
      <c r="I70" s="49">
        <f t="shared" si="15"/>
        <v>22400</v>
      </c>
      <c r="J70" s="6"/>
      <c r="K70" s="6"/>
      <c r="M70" s="6"/>
    </row>
    <row r="71">
      <c r="A71" s="48" t="s">
        <v>161</v>
      </c>
      <c r="B71" s="49">
        <f>(6*9.9*2/2)/(6*0.1)</f>
        <v>99</v>
      </c>
      <c r="C71" s="49"/>
      <c r="D71" s="50"/>
      <c r="E71" s="54">
        <f t="shared" si="16"/>
        <v>99</v>
      </c>
      <c r="F71" s="48" t="s">
        <v>88</v>
      </c>
      <c r="G71" s="48">
        <v>700.0</v>
      </c>
      <c r="H71" s="52" t="s">
        <v>89</v>
      </c>
      <c r="I71" s="49">
        <f t="shared" si="15"/>
        <v>69300</v>
      </c>
      <c r="J71" s="6"/>
      <c r="K71" s="6"/>
      <c r="M71" s="6"/>
    </row>
    <row r="72">
      <c r="A72" s="48" t="s">
        <v>162</v>
      </c>
      <c r="B72" s="49"/>
      <c r="C72" s="49"/>
      <c r="D72" s="50"/>
      <c r="E72" s="55">
        <v>1.0</v>
      </c>
      <c r="F72" s="48" t="s">
        <v>88</v>
      </c>
      <c r="G72" s="48">
        <v>85000.0</v>
      </c>
      <c r="H72" s="52" t="s">
        <v>89</v>
      </c>
      <c r="I72" s="49">
        <f t="shared" si="15"/>
        <v>85000</v>
      </c>
      <c r="J72" s="6"/>
      <c r="K72" s="6"/>
      <c r="M72" s="6"/>
    </row>
    <row r="73">
      <c r="A73" s="48" t="s">
        <v>163</v>
      </c>
      <c r="B73" s="49"/>
      <c r="C73" s="49"/>
      <c r="D73" s="50"/>
      <c r="E73" s="56">
        <v>0.0</v>
      </c>
      <c r="F73" s="48" t="s">
        <v>88</v>
      </c>
      <c r="G73" s="48">
        <v>1520.0</v>
      </c>
      <c r="H73" s="52" t="s">
        <v>89</v>
      </c>
      <c r="I73" s="49">
        <f t="shared" si="15"/>
        <v>0</v>
      </c>
      <c r="J73" s="6"/>
      <c r="K73" s="6"/>
      <c r="M73" s="6"/>
    </row>
    <row r="74">
      <c r="A74" s="48"/>
      <c r="B74" s="49"/>
      <c r="C74" s="49"/>
      <c r="D74" s="50"/>
      <c r="E74" s="51"/>
      <c r="F74" s="48"/>
      <c r="G74" s="48"/>
      <c r="H74" s="52"/>
      <c r="I74" s="57"/>
      <c r="J74" s="6"/>
      <c r="K74" s="6"/>
      <c r="M74" s="6"/>
    </row>
    <row r="75">
      <c r="A75" s="48"/>
      <c r="B75" s="49"/>
      <c r="C75" s="49"/>
      <c r="D75" s="50"/>
      <c r="E75" s="51"/>
      <c r="F75" s="48"/>
      <c r="G75" s="48"/>
      <c r="H75" s="52"/>
      <c r="I75" s="57"/>
      <c r="J75" s="6"/>
      <c r="K75" s="6"/>
      <c r="M75" s="6"/>
    </row>
    <row r="79">
      <c r="A79" s="6" t="s">
        <v>164</v>
      </c>
      <c r="H79" s="6" t="s">
        <v>76</v>
      </c>
      <c r="I79" s="58">
        <f>SUM(I81:I128)</f>
        <v>444357.8</v>
      </c>
      <c r="J79" s="6" t="s">
        <v>165</v>
      </c>
    </row>
    <row r="80">
      <c r="A80" s="59" t="s">
        <v>166</v>
      </c>
      <c r="B80" s="60"/>
      <c r="C80" s="60"/>
      <c r="D80" s="60"/>
      <c r="E80" s="60"/>
      <c r="F80" s="60"/>
      <c r="G80" s="60"/>
      <c r="H80" s="60"/>
      <c r="I80" s="60"/>
      <c r="J80" s="61">
        <f>sum(I81:I93)</f>
        <v>216110</v>
      </c>
    </row>
    <row r="81">
      <c r="A81" s="62" t="s">
        <v>167</v>
      </c>
      <c r="B81" s="60"/>
      <c r="C81" s="60"/>
      <c r="D81" s="60"/>
      <c r="E81" s="63">
        <v>1.0</v>
      </c>
      <c r="F81" s="59" t="s">
        <v>88</v>
      </c>
      <c r="G81" s="59">
        <v>170000.0</v>
      </c>
      <c r="H81" s="64" t="s">
        <v>89</v>
      </c>
      <c r="I81" s="60">
        <f t="shared" ref="I81:I93" si="17">E81*G81</f>
        <v>170000</v>
      </c>
      <c r="J81" s="60"/>
      <c r="L81" s="6" t="s">
        <v>168</v>
      </c>
    </row>
    <row r="82">
      <c r="A82" s="62" t="s">
        <v>169</v>
      </c>
      <c r="B82" s="60"/>
      <c r="C82" s="60"/>
      <c r="D82" s="60"/>
      <c r="E82" s="63">
        <v>5.0</v>
      </c>
      <c r="F82" s="59" t="s">
        <v>135</v>
      </c>
      <c r="G82" s="59">
        <v>350.0</v>
      </c>
      <c r="H82" s="64" t="s">
        <v>136</v>
      </c>
      <c r="I82" s="60">
        <f t="shared" si="17"/>
        <v>1750</v>
      </c>
      <c r="J82" s="60"/>
    </row>
    <row r="83">
      <c r="A83" s="62" t="s">
        <v>170</v>
      </c>
      <c r="B83" s="60"/>
      <c r="C83" s="60"/>
      <c r="D83" s="60"/>
      <c r="E83" s="63">
        <v>8.0</v>
      </c>
      <c r="F83" s="59" t="s">
        <v>135</v>
      </c>
      <c r="G83" s="59">
        <v>220.0</v>
      </c>
      <c r="H83" s="64" t="s">
        <v>136</v>
      </c>
      <c r="I83" s="60">
        <f t="shared" si="17"/>
        <v>1760</v>
      </c>
      <c r="J83" s="60"/>
    </row>
    <row r="84">
      <c r="A84" s="62" t="s">
        <v>171</v>
      </c>
      <c r="B84" s="60"/>
      <c r="C84" s="60"/>
      <c r="D84" s="60"/>
      <c r="E84" s="63">
        <v>5.0</v>
      </c>
      <c r="F84" s="59" t="s">
        <v>135</v>
      </c>
      <c r="G84" s="59">
        <v>850.0</v>
      </c>
      <c r="H84" s="64" t="s">
        <v>136</v>
      </c>
      <c r="I84" s="60">
        <f t="shared" si="17"/>
        <v>4250</v>
      </c>
      <c r="J84" s="60"/>
    </row>
    <row r="85">
      <c r="A85" s="62" t="s">
        <v>172</v>
      </c>
      <c r="B85" s="60"/>
      <c r="C85" s="60"/>
      <c r="D85" s="60"/>
      <c r="E85" s="63">
        <v>1.0</v>
      </c>
      <c r="F85" s="59" t="s">
        <v>88</v>
      </c>
      <c r="G85" s="59">
        <v>3000.0</v>
      </c>
      <c r="H85" s="64" t="s">
        <v>89</v>
      </c>
      <c r="I85" s="60">
        <f t="shared" si="17"/>
        <v>3000</v>
      </c>
      <c r="J85" s="60"/>
    </row>
    <row r="86">
      <c r="A86" s="62" t="s">
        <v>173</v>
      </c>
      <c r="B86" s="60"/>
      <c r="C86" s="60"/>
      <c r="D86" s="60"/>
      <c r="E86" s="63">
        <v>2.0</v>
      </c>
      <c r="F86" s="59" t="s">
        <v>88</v>
      </c>
      <c r="G86" s="59">
        <v>1350.0</v>
      </c>
      <c r="H86" s="64" t="s">
        <v>89</v>
      </c>
      <c r="I86" s="60">
        <f t="shared" si="17"/>
        <v>2700</v>
      </c>
      <c r="J86" s="60"/>
    </row>
    <row r="87">
      <c r="A87" s="62" t="s">
        <v>174</v>
      </c>
      <c r="B87" s="60"/>
      <c r="C87" s="60"/>
      <c r="D87" s="60"/>
      <c r="E87" s="63">
        <v>7.0</v>
      </c>
      <c r="F87" s="59" t="s">
        <v>88</v>
      </c>
      <c r="G87" s="59">
        <v>350.0</v>
      </c>
      <c r="H87" s="64" t="s">
        <v>89</v>
      </c>
      <c r="I87" s="60">
        <f t="shared" si="17"/>
        <v>2450</v>
      </c>
      <c r="J87" s="60"/>
    </row>
    <row r="88">
      <c r="A88" s="62" t="s">
        <v>175</v>
      </c>
      <c r="B88" s="60"/>
      <c r="C88" s="60"/>
      <c r="D88" s="60"/>
      <c r="E88" s="63">
        <v>2.0</v>
      </c>
      <c r="F88" s="59" t="s">
        <v>88</v>
      </c>
      <c r="G88" s="59">
        <v>300.0</v>
      </c>
      <c r="H88" s="64" t="s">
        <v>89</v>
      </c>
      <c r="I88" s="60">
        <f t="shared" si="17"/>
        <v>600</v>
      </c>
      <c r="J88" s="60"/>
    </row>
    <row r="89">
      <c r="A89" s="62" t="s">
        <v>176</v>
      </c>
      <c r="B89" s="60"/>
      <c r="C89" s="60"/>
      <c r="D89" s="60"/>
      <c r="E89" s="63">
        <v>5.0</v>
      </c>
      <c r="F89" s="59" t="s">
        <v>88</v>
      </c>
      <c r="G89" s="59">
        <v>320.0</v>
      </c>
      <c r="H89" s="64" t="s">
        <v>89</v>
      </c>
      <c r="I89" s="60">
        <f t="shared" si="17"/>
        <v>1600</v>
      </c>
      <c r="J89" s="60"/>
    </row>
    <row r="90">
      <c r="A90" s="62" t="s">
        <v>177</v>
      </c>
      <c r="B90" s="60"/>
      <c r="C90" s="60"/>
      <c r="D90" s="60"/>
      <c r="E90" s="63">
        <v>4.0</v>
      </c>
      <c r="F90" s="59" t="s">
        <v>88</v>
      </c>
      <c r="G90" s="59">
        <v>300.0</v>
      </c>
      <c r="H90" s="64" t="s">
        <v>89</v>
      </c>
      <c r="I90" s="60">
        <f t="shared" si="17"/>
        <v>1200</v>
      </c>
      <c r="J90" s="60"/>
    </row>
    <row r="91">
      <c r="A91" s="62" t="s">
        <v>178</v>
      </c>
      <c r="B91" s="60"/>
      <c r="C91" s="60"/>
      <c r="D91" s="60"/>
      <c r="E91" s="63">
        <v>5.0</v>
      </c>
      <c r="F91" s="59" t="s">
        <v>88</v>
      </c>
      <c r="G91" s="59">
        <v>220.0</v>
      </c>
      <c r="H91" s="64" t="s">
        <v>89</v>
      </c>
      <c r="I91" s="60">
        <f t="shared" si="17"/>
        <v>1100</v>
      </c>
      <c r="J91" s="60"/>
    </row>
    <row r="92">
      <c r="A92" s="62" t="s">
        <v>179</v>
      </c>
      <c r="B92" s="60"/>
      <c r="C92" s="60"/>
      <c r="D92" s="60"/>
      <c r="E92" s="63">
        <v>1.0</v>
      </c>
      <c r="F92" s="59" t="s">
        <v>88</v>
      </c>
      <c r="G92" s="59">
        <v>200.0</v>
      </c>
      <c r="H92" s="64" t="s">
        <v>89</v>
      </c>
      <c r="I92" s="60">
        <f t="shared" si="17"/>
        <v>200</v>
      </c>
      <c r="J92" s="60"/>
    </row>
    <row r="93">
      <c r="A93" s="62" t="s">
        <v>180</v>
      </c>
      <c r="B93" s="60"/>
      <c r="C93" s="60"/>
      <c r="D93" s="60"/>
      <c r="E93" s="63">
        <v>1.0</v>
      </c>
      <c r="F93" s="59" t="s">
        <v>88</v>
      </c>
      <c r="G93" s="59">
        <v>25500.0</v>
      </c>
      <c r="H93" s="64" t="s">
        <v>89</v>
      </c>
      <c r="I93" s="60">
        <f t="shared" si="17"/>
        <v>25500</v>
      </c>
      <c r="J93" s="60"/>
    </row>
    <row r="94">
      <c r="A94" s="6"/>
      <c r="E94" s="65"/>
      <c r="F94" s="6"/>
      <c r="G94" s="6"/>
      <c r="H94" s="66"/>
    </row>
    <row r="95">
      <c r="A95" s="67" t="s">
        <v>181</v>
      </c>
      <c r="B95" s="68"/>
      <c r="C95" s="68"/>
      <c r="D95" s="68"/>
      <c r="E95" s="69"/>
      <c r="F95" s="67"/>
      <c r="G95" s="67"/>
      <c r="H95" s="70"/>
      <c r="I95" s="68"/>
      <c r="J95" s="71">
        <f>sum(I96:I97)</f>
        <v>1100</v>
      </c>
    </row>
    <row r="96">
      <c r="A96" s="67"/>
      <c r="B96" s="68"/>
      <c r="C96" s="68"/>
      <c r="D96" s="68"/>
      <c r="E96" s="69"/>
      <c r="F96" s="67"/>
      <c r="G96" s="67"/>
      <c r="H96" s="70"/>
      <c r="I96" s="68"/>
      <c r="J96" s="68"/>
    </row>
    <row r="97">
      <c r="A97" s="67" t="s">
        <v>182</v>
      </c>
      <c r="B97" s="68"/>
      <c r="C97" s="68"/>
      <c r="D97" s="68"/>
      <c r="E97" s="69">
        <v>1.0</v>
      </c>
      <c r="F97" s="67" t="s">
        <v>88</v>
      </c>
      <c r="G97" s="67">
        <v>1100.0</v>
      </c>
      <c r="H97" s="70" t="s">
        <v>89</v>
      </c>
      <c r="I97" s="68">
        <f>E97*G97</f>
        <v>1100</v>
      </c>
      <c r="J97" s="68"/>
    </row>
    <row r="99">
      <c r="A99" s="72" t="s">
        <v>183</v>
      </c>
      <c r="B99" s="73"/>
      <c r="C99" s="73"/>
      <c r="D99" s="73"/>
      <c r="E99" s="73"/>
      <c r="F99" s="73"/>
      <c r="G99" s="73"/>
      <c r="H99" s="73"/>
      <c r="I99" s="73"/>
      <c r="J99" s="74">
        <f>sum(I100:I112)</f>
        <v>42997.8</v>
      </c>
    </row>
    <row r="100">
      <c r="A100" s="72" t="s">
        <v>184</v>
      </c>
      <c r="B100" s="72">
        <v>21.0</v>
      </c>
      <c r="C100" s="75" t="s">
        <v>91</v>
      </c>
      <c r="D100" s="75" t="s">
        <v>91</v>
      </c>
      <c r="E100" s="76">
        <f t="shared" ref="E100:E103" si="18">sum(B100:D100)</f>
        <v>21</v>
      </c>
      <c r="F100" s="72" t="s">
        <v>88</v>
      </c>
      <c r="G100" s="72">
        <v>60.0</v>
      </c>
      <c r="H100" s="77" t="s">
        <v>89</v>
      </c>
      <c r="I100" s="73">
        <f t="shared" ref="I100:I112" si="19">E100*G100</f>
        <v>1260</v>
      </c>
      <c r="J100" s="73"/>
    </row>
    <row r="101">
      <c r="A101" s="72" t="s">
        <v>121</v>
      </c>
      <c r="B101" s="72">
        <f>4*15+(352-B102-B103)+4*(5200/65)</f>
        <v>463</v>
      </c>
      <c r="C101" s="75" t="s">
        <v>91</v>
      </c>
      <c r="D101" s="75" t="s">
        <v>91</v>
      </c>
      <c r="E101" s="76">
        <f t="shared" si="18"/>
        <v>463</v>
      </c>
      <c r="F101" s="72" t="s">
        <v>88</v>
      </c>
      <c r="G101" s="72">
        <v>16.0</v>
      </c>
      <c r="H101" s="77" t="s">
        <v>89</v>
      </c>
      <c r="I101" s="73">
        <f t="shared" si="19"/>
        <v>7408</v>
      </c>
      <c r="J101" s="73"/>
    </row>
    <row r="102">
      <c r="A102" s="72" t="s">
        <v>185</v>
      </c>
      <c r="B102" s="72">
        <f>5*29</f>
        <v>145</v>
      </c>
      <c r="C102" s="75" t="s">
        <v>91</v>
      </c>
      <c r="D102" s="75" t="s">
        <v>91</v>
      </c>
      <c r="E102" s="76">
        <f t="shared" si="18"/>
        <v>145</v>
      </c>
      <c r="F102" s="72" t="s">
        <v>88</v>
      </c>
      <c r="G102" s="72">
        <v>61.0</v>
      </c>
      <c r="H102" s="77" t="s">
        <v>89</v>
      </c>
      <c r="I102" s="73">
        <f t="shared" si="19"/>
        <v>8845</v>
      </c>
      <c r="J102" s="78"/>
    </row>
    <row r="103">
      <c r="A103" s="72" t="s">
        <v>186</v>
      </c>
      <c r="B103" s="72">
        <v>124.0</v>
      </c>
      <c r="C103" s="75" t="s">
        <v>91</v>
      </c>
      <c r="D103" s="75" t="s">
        <v>91</v>
      </c>
      <c r="E103" s="76">
        <f t="shared" si="18"/>
        <v>124</v>
      </c>
      <c r="F103" s="72" t="s">
        <v>88</v>
      </c>
      <c r="G103" s="72">
        <v>64.0</v>
      </c>
      <c r="H103" s="77" t="s">
        <v>89</v>
      </c>
      <c r="I103" s="73">
        <f t="shared" si="19"/>
        <v>7936</v>
      </c>
      <c r="J103" s="78"/>
    </row>
    <row r="104">
      <c r="A104" s="72" t="s">
        <v>187</v>
      </c>
      <c r="B104" s="75"/>
      <c r="C104" s="75"/>
      <c r="D104" s="75"/>
      <c r="E104" s="79">
        <v>1.0</v>
      </c>
      <c r="F104" s="72" t="s">
        <v>88</v>
      </c>
      <c r="G104" s="72">
        <v>3900.0</v>
      </c>
      <c r="H104" s="77" t="s">
        <v>89</v>
      </c>
      <c r="I104" s="73">
        <f t="shared" si="19"/>
        <v>3900</v>
      </c>
      <c r="J104" s="78"/>
    </row>
    <row r="105">
      <c r="A105" s="72" t="s">
        <v>188</v>
      </c>
      <c r="B105" s="75"/>
      <c r="C105" s="75"/>
      <c r="D105" s="75"/>
      <c r="E105" s="79">
        <v>4.0</v>
      </c>
      <c r="F105" s="72" t="s">
        <v>88</v>
      </c>
      <c r="G105" s="72">
        <v>580.0</v>
      </c>
      <c r="H105" s="77" t="s">
        <v>89</v>
      </c>
      <c r="I105" s="73">
        <f t="shared" si="19"/>
        <v>2320</v>
      </c>
      <c r="J105" s="78"/>
    </row>
    <row r="106">
      <c r="A106" s="72" t="s">
        <v>189</v>
      </c>
      <c r="B106" s="75"/>
      <c r="C106" s="75"/>
      <c r="D106" s="75"/>
      <c r="E106" s="79">
        <v>1.0</v>
      </c>
      <c r="F106" s="72" t="s">
        <v>88</v>
      </c>
      <c r="G106" s="72">
        <v>850.0</v>
      </c>
      <c r="H106" s="77" t="s">
        <v>89</v>
      </c>
      <c r="I106" s="73">
        <f t="shared" si="19"/>
        <v>850</v>
      </c>
      <c r="J106" s="78"/>
    </row>
    <row r="107">
      <c r="A107" s="72" t="s">
        <v>190</v>
      </c>
      <c r="B107" s="75"/>
      <c r="C107" s="75"/>
      <c r="D107" s="75"/>
      <c r="E107" s="79">
        <v>1.0</v>
      </c>
      <c r="F107" s="72" t="s">
        <v>88</v>
      </c>
      <c r="G107" s="72">
        <v>1200.0</v>
      </c>
      <c r="H107" s="77" t="s">
        <v>89</v>
      </c>
      <c r="I107" s="73">
        <f t="shared" si="19"/>
        <v>1200</v>
      </c>
      <c r="J107" s="78"/>
    </row>
    <row r="108">
      <c r="A108" s="72" t="s">
        <v>191</v>
      </c>
      <c r="B108" s="75"/>
      <c r="C108" s="75"/>
      <c r="D108" s="75"/>
      <c r="E108" s="79">
        <v>2.0</v>
      </c>
      <c r="F108" s="72" t="s">
        <v>88</v>
      </c>
      <c r="G108" s="72">
        <v>580.0</v>
      </c>
      <c r="H108" s="77" t="s">
        <v>89</v>
      </c>
      <c r="I108" s="73">
        <f t="shared" si="19"/>
        <v>1160</v>
      </c>
      <c r="J108" s="78"/>
    </row>
    <row r="109">
      <c r="A109" s="72" t="s">
        <v>192</v>
      </c>
      <c r="B109" s="75"/>
      <c r="C109" s="75"/>
      <c r="D109" s="75"/>
      <c r="E109" s="79">
        <v>1.0</v>
      </c>
      <c r="F109" s="72" t="s">
        <v>88</v>
      </c>
      <c r="G109" s="72">
        <v>700.0</v>
      </c>
      <c r="H109" s="77" t="s">
        <v>89</v>
      </c>
      <c r="I109" s="73">
        <f t="shared" si="19"/>
        <v>700</v>
      </c>
      <c r="J109" s="78"/>
    </row>
    <row r="110">
      <c r="A110" s="72" t="s">
        <v>193</v>
      </c>
      <c r="B110" s="75"/>
      <c r="C110" s="75"/>
      <c r="D110" s="75"/>
      <c r="E110" s="79">
        <v>1.0</v>
      </c>
      <c r="F110" s="72" t="s">
        <v>88</v>
      </c>
      <c r="G110" s="72">
        <v>480.0</v>
      </c>
      <c r="H110" s="77" t="s">
        <v>89</v>
      </c>
      <c r="I110" s="73">
        <f t="shared" si="19"/>
        <v>480</v>
      </c>
      <c r="J110" s="78"/>
    </row>
    <row r="111">
      <c r="A111" s="72" t="s">
        <v>194</v>
      </c>
      <c r="B111" s="73"/>
      <c r="C111" s="73"/>
      <c r="D111" s="73"/>
      <c r="E111" s="80">
        <f>(352+21)/25</f>
        <v>14.92</v>
      </c>
      <c r="F111" s="72" t="s">
        <v>88</v>
      </c>
      <c r="G111" s="72">
        <v>190.0</v>
      </c>
      <c r="H111" s="77" t="s">
        <v>123</v>
      </c>
      <c r="I111" s="82">
        <f t="shared" si="19"/>
        <v>2834.8</v>
      </c>
      <c r="J111" s="78"/>
      <c r="L111" s="84" t="s">
        <v>124</v>
      </c>
    </row>
    <row r="112">
      <c r="A112" s="72" t="s">
        <v>122</v>
      </c>
      <c r="B112" s="73"/>
      <c r="C112" s="73"/>
      <c r="D112" s="73"/>
      <c r="E112" s="80">
        <f>(4*15+4*(5200/65))/25</f>
        <v>15.2</v>
      </c>
      <c r="F112" s="72" t="s">
        <v>88</v>
      </c>
      <c r="G112" s="72">
        <v>270.0</v>
      </c>
      <c r="H112" s="77" t="s">
        <v>123</v>
      </c>
      <c r="I112" s="82">
        <f t="shared" si="19"/>
        <v>4104</v>
      </c>
      <c r="J112" s="78"/>
      <c r="L112" s="84" t="s">
        <v>124</v>
      </c>
    </row>
    <row r="114">
      <c r="A114" s="90" t="s">
        <v>212</v>
      </c>
      <c r="B114" s="91"/>
      <c r="C114" s="91"/>
      <c r="D114" s="91"/>
      <c r="E114" s="91"/>
      <c r="F114" s="91"/>
      <c r="G114" s="91"/>
      <c r="H114" s="91"/>
      <c r="I114" s="91"/>
      <c r="J114" s="94">
        <f>sum(I115:I123)</f>
        <v>184150</v>
      </c>
    </row>
    <row r="115">
      <c r="A115" s="97" t="s">
        <v>226</v>
      </c>
      <c r="B115" s="101">
        <v>0.0</v>
      </c>
      <c r="C115" s="103"/>
      <c r="D115" s="103"/>
      <c r="E115" s="107">
        <f t="shared" ref="E115:E121" si="20">sum(B115:D115)</f>
        <v>0</v>
      </c>
      <c r="F115" s="90" t="s">
        <v>88</v>
      </c>
      <c r="G115" s="90">
        <v>6000.0</v>
      </c>
      <c r="H115" s="101" t="s">
        <v>89</v>
      </c>
      <c r="I115" s="91">
        <f t="shared" ref="I115:I123" si="21">E115*G115</f>
        <v>0</v>
      </c>
      <c r="J115" s="91"/>
    </row>
    <row r="116">
      <c r="A116" s="90" t="s">
        <v>244</v>
      </c>
      <c r="B116" s="101">
        <v>1.0</v>
      </c>
      <c r="C116" s="91"/>
      <c r="D116" s="91"/>
      <c r="E116" s="107">
        <f t="shared" si="20"/>
        <v>1</v>
      </c>
      <c r="F116" s="90" t="s">
        <v>88</v>
      </c>
      <c r="G116" s="90">
        <v>59900.0</v>
      </c>
      <c r="H116" s="101" t="s">
        <v>89</v>
      </c>
      <c r="I116" s="91">
        <f t="shared" si="21"/>
        <v>59900</v>
      </c>
      <c r="J116" s="91"/>
    </row>
    <row r="117">
      <c r="A117" s="90" t="s">
        <v>245</v>
      </c>
      <c r="B117" s="101">
        <v>1.0</v>
      </c>
      <c r="C117" s="91"/>
      <c r="D117" s="91"/>
      <c r="E117" s="107">
        <f t="shared" si="20"/>
        <v>1</v>
      </c>
      <c r="F117" s="90" t="s">
        <v>88</v>
      </c>
      <c r="G117" s="90">
        <v>19000.0</v>
      </c>
      <c r="H117" s="101" t="s">
        <v>89</v>
      </c>
      <c r="I117" s="91">
        <f t="shared" si="21"/>
        <v>19000</v>
      </c>
      <c r="J117" s="91"/>
    </row>
    <row r="118">
      <c r="A118" s="90" t="s">
        <v>247</v>
      </c>
      <c r="B118" s="101">
        <v>1.0</v>
      </c>
      <c r="C118" s="91"/>
      <c r="D118" s="91"/>
      <c r="E118" s="107">
        <f t="shared" si="20"/>
        <v>1</v>
      </c>
      <c r="F118" s="90" t="s">
        <v>88</v>
      </c>
      <c r="G118" s="90">
        <v>14000.0</v>
      </c>
      <c r="H118" s="101" t="s">
        <v>89</v>
      </c>
      <c r="I118" s="91">
        <f t="shared" si="21"/>
        <v>14000</v>
      </c>
      <c r="J118" s="91"/>
    </row>
    <row r="119">
      <c r="A119" s="90" t="s">
        <v>248</v>
      </c>
      <c r="B119" s="101">
        <v>1.0</v>
      </c>
      <c r="C119" s="91"/>
      <c r="D119" s="91"/>
      <c r="E119" s="107">
        <f t="shared" si="20"/>
        <v>1</v>
      </c>
      <c r="F119" s="90" t="s">
        <v>88</v>
      </c>
      <c r="G119" s="90">
        <v>20000.0</v>
      </c>
      <c r="H119" s="101" t="s">
        <v>89</v>
      </c>
      <c r="I119" s="91">
        <f t="shared" si="21"/>
        <v>20000</v>
      </c>
      <c r="J119" s="91"/>
    </row>
    <row r="120">
      <c r="A120" s="90" t="s">
        <v>253</v>
      </c>
      <c r="B120" s="101">
        <v>1.0</v>
      </c>
      <c r="C120" s="91"/>
      <c r="D120" s="91"/>
      <c r="E120" s="107">
        <f t="shared" si="20"/>
        <v>1</v>
      </c>
      <c r="F120" s="90" t="s">
        <v>88</v>
      </c>
      <c r="G120" s="90">
        <v>5000.0</v>
      </c>
      <c r="H120" s="101" t="s">
        <v>89</v>
      </c>
      <c r="I120" s="91">
        <f t="shared" si="21"/>
        <v>5000</v>
      </c>
      <c r="J120" s="91"/>
    </row>
    <row r="121">
      <c r="A121" s="90" t="s">
        <v>255</v>
      </c>
      <c r="B121" s="101">
        <v>3.0</v>
      </c>
      <c r="C121" s="91"/>
      <c r="D121" s="91"/>
      <c r="E121" s="107">
        <f t="shared" si="20"/>
        <v>3</v>
      </c>
      <c r="F121" s="90" t="s">
        <v>88</v>
      </c>
      <c r="G121" s="90">
        <v>750.0</v>
      </c>
      <c r="H121" s="101" t="s">
        <v>89</v>
      </c>
      <c r="I121" s="91">
        <f t="shared" si="21"/>
        <v>2250</v>
      </c>
      <c r="J121" s="91"/>
    </row>
    <row r="122">
      <c r="A122" s="90" t="s">
        <v>256</v>
      </c>
      <c r="B122" s="101">
        <v>500.0</v>
      </c>
      <c r="C122" s="91"/>
      <c r="D122" s="91"/>
      <c r="E122" s="110">
        <v>500.0</v>
      </c>
      <c r="F122" s="90" t="s">
        <v>259</v>
      </c>
      <c r="G122" s="90">
        <v>100.0</v>
      </c>
      <c r="H122" s="101" t="s">
        <v>260</v>
      </c>
      <c r="I122" s="91">
        <f t="shared" si="21"/>
        <v>50000</v>
      </c>
      <c r="J122" s="91"/>
    </row>
    <row r="123">
      <c r="A123" s="90" t="s">
        <v>261</v>
      </c>
      <c r="B123" s="101">
        <v>1.0</v>
      </c>
      <c r="C123" s="91"/>
      <c r="D123" s="91"/>
      <c r="E123" s="107">
        <f>sum(B123:D123)</f>
        <v>1</v>
      </c>
      <c r="F123" s="90" t="s">
        <v>88</v>
      </c>
      <c r="G123" s="90">
        <v>14000.0</v>
      </c>
      <c r="H123" s="101" t="s">
        <v>89</v>
      </c>
      <c r="I123" s="91">
        <f t="shared" si="21"/>
        <v>14000</v>
      </c>
      <c r="J123" s="9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29"/>
    <col customWidth="1" min="8" max="8" width="13.0"/>
    <col customWidth="1" min="9" max="9" width="19.0"/>
  </cols>
  <sheetData>
    <row r="2">
      <c r="B2" s="65" t="s">
        <v>216</v>
      </c>
      <c r="C2" s="92" t="s">
        <v>217</v>
      </c>
      <c r="D2" s="92" t="s">
        <v>218</v>
      </c>
      <c r="E2" s="92" t="s">
        <v>219</v>
      </c>
      <c r="F2" s="92" t="s">
        <v>220</v>
      </c>
      <c r="G2" s="92" t="s">
        <v>221</v>
      </c>
      <c r="H2" s="92" t="s">
        <v>222</v>
      </c>
      <c r="I2" s="93" t="s">
        <v>134</v>
      </c>
    </row>
    <row r="3">
      <c r="B3" s="95" t="s">
        <v>223</v>
      </c>
      <c r="C3" s="99">
        <f t="shared" ref="C3:H3" si="1">SUM(C4:C15)</f>
        <v>837</v>
      </c>
      <c r="D3" s="99">
        <f t="shared" si="1"/>
        <v>239</v>
      </c>
      <c r="E3" s="99">
        <f t="shared" si="1"/>
        <v>380</v>
      </c>
      <c r="F3" s="99">
        <f t="shared" si="1"/>
        <v>49</v>
      </c>
      <c r="G3" s="99">
        <f t="shared" si="1"/>
        <v>6</v>
      </c>
      <c r="H3" s="99">
        <f t="shared" si="1"/>
        <v>414</v>
      </c>
      <c r="I3" s="99">
        <f>11*2</f>
        <v>22</v>
      </c>
    </row>
    <row r="4">
      <c r="B4" s="105" t="s">
        <v>239</v>
      </c>
      <c r="D4" s="6">
        <v>12.0</v>
      </c>
      <c r="E4" s="6"/>
      <c r="H4" s="106"/>
      <c r="I4" s="106"/>
    </row>
    <row r="5">
      <c r="B5" s="105" t="s">
        <v>242</v>
      </c>
      <c r="C5">
        <f t="shared" ref="C5:C6" si="2">(14+14+15+13+9)*2</f>
        <v>130</v>
      </c>
      <c r="D5" s="6">
        <f>5</f>
        <v>5</v>
      </c>
      <c r="E5" s="6">
        <f t="shared" ref="E5:E8" si="3">12*2+13*2</f>
        <v>50</v>
      </c>
      <c r="H5" s="106"/>
      <c r="I5" s="106"/>
    </row>
    <row r="6">
      <c r="B6" s="105" t="s">
        <v>250</v>
      </c>
      <c r="C6">
        <f t="shared" si="2"/>
        <v>130</v>
      </c>
      <c r="D6" s="6" t="s">
        <v>91</v>
      </c>
      <c r="E6" s="6">
        <f t="shared" si="3"/>
        <v>50</v>
      </c>
      <c r="H6" s="106"/>
      <c r="I6" s="106"/>
    </row>
    <row r="7">
      <c r="B7" s="105" t="s">
        <v>254</v>
      </c>
      <c r="C7">
        <f t="shared" ref="C7:C8" si="4">(12+9+12+11+9)*2</f>
        <v>106</v>
      </c>
      <c r="E7" s="6">
        <f t="shared" si="3"/>
        <v>50</v>
      </c>
      <c r="H7" s="106"/>
      <c r="I7" s="106"/>
    </row>
    <row r="8">
      <c r="B8" s="105" t="s">
        <v>257</v>
      </c>
      <c r="C8">
        <f t="shared" si="4"/>
        <v>106</v>
      </c>
      <c r="E8" s="6">
        <f t="shared" si="3"/>
        <v>50</v>
      </c>
      <c r="H8" s="106"/>
      <c r="I8" s="106"/>
    </row>
    <row r="9">
      <c r="B9" s="105" t="s">
        <v>258</v>
      </c>
      <c r="C9">
        <f>(12+9+12+11+9)+(9+11+14+9)</f>
        <v>96</v>
      </c>
      <c r="E9" s="6">
        <f>12*2+13*2+4</f>
        <v>54</v>
      </c>
      <c r="F9">
        <f>15+4</f>
        <v>19</v>
      </c>
      <c r="H9" s="106"/>
      <c r="I9" s="106"/>
    </row>
    <row r="10">
      <c r="B10" s="105" t="s">
        <v>283</v>
      </c>
      <c r="C10">
        <f>(9+9+10+5+13)+(13+14+13+15+13)</f>
        <v>114</v>
      </c>
      <c r="E10" s="6">
        <f>12*2+13*2+4*2</f>
        <v>58</v>
      </c>
      <c r="F10">
        <f>2+5*5</f>
        <v>27</v>
      </c>
      <c r="H10" s="106"/>
      <c r="I10" s="106"/>
    </row>
    <row r="11">
      <c r="B11" s="105" t="s">
        <v>288</v>
      </c>
      <c r="C11" s="6" t="s">
        <v>91</v>
      </c>
      <c r="D11" s="6" t="s">
        <v>91</v>
      </c>
      <c r="E11">
        <f>14+15+14+15</f>
        <v>58</v>
      </c>
      <c r="H11" s="106">
        <f>(12*18-2)+(11.5*18-7)</f>
        <v>414</v>
      </c>
      <c r="I11" s="106"/>
    </row>
    <row r="12">
      <c r="B12" s="105" t="s">
        <v>295</v>
      </c>
      <c r="C12">
        <f>16+13+14+13+13</f>
        <v>69</v>
      </c>
      <c r="D12" s="6">
        <v>3.0</v>
      </c>
      <c r="E12" s="6">
        <v>10.0</v>
      </c>
      <c r="H12" s="106"/>
      <c r="I12" s="106"/>
    </row>
    <row r="13">
      <c r="B13" s="105" t="s">
        <v>299</v>
      </c>
      <c r="C13" s="6">
        <v>12.0</v>
      </c>
      <c r="D13">
        <f>13+15+15+14</f>
        <v>57</v>
      </c>
      <c r="H13" s="106"/>
      <c r="I13" s="106"/>
    </row>
    <row r="14">
      <c r="B14" s="105" t="s">
        <v>301</v>
      </c>
      <c r="C14">
        <f>37*2</f>
        <v>74</v>
      </c>
      <c r="F14" s="6">
        <v>3.0</v>
      </c>
      <c r="H14" s="106"/>
      <c r="I14" s="106"/>
    </row>
    <row r="15">
      <c r="B15" s="115" t="s">
        <v>303</v>
      </c>
      <c r="C15" s="116"/>
      <c r="D15" s="116">
        <f>(39+21*2)*2</f>
        <v>162</v>
      </c>
      <c r="E15" s="116"/>
      <c r="F15" s="116"/>
      <c r="G15" s="116">
        <f>2*3</f>
        <v>6</v>
      </c>
      <c r="H15" s="117"/>
      <c r="I15" s="117"/>
    </row>
    <row r="17">
      <c r="B17" s="6" t="s">
        <v>314</v>
      </c>
      <c r="C17" s="6">
        <v>24.0</v>
      </c>
      <c r="D17" s="6">
        <v>36.0</v>
      </c>
      <c r="E17" s="6">
        <v>90.0</v>
      </c>
      <c r="F17" s="6">
        <v>30.0</v>
      </c>
      <c r="G17" s="6">
        <v>45.0</v>
      </c>
      <c r="H17" s="6">
        <v>42.0</v>
      </c>
    </row>
    <row r="18">
      <c r="B18" s="6" t="s">
        <v>316</v>
      </c>
      <c r="C18" s="6">
        <v>1.406</v>
      </c>
      <c r="D18" s="6">
        <v>1.406</v>
      </c>
      <c r="E18" s="6">
        <v>1.406</v>
      </c>
    </row>
    <row r="19">
      <c r="B19" s="6" t="s">
        <v>317</v>
      </c>
      <c r="C19" s="6">
        <v>17.0</v>
      </c>
      <c r="D19" s="6">
        <v>26.0</v>
      </c>
      <c r="E19" s="6">
        <v>64.0</v>
      </c>
    </row>
    <row r="20">
      <c r="B20" s="6" t="s">
        <v>318</v>
      </c>
      <c r="C20" s="6">
        <v>4850.0</v>
      </c>
      <c r="D20" s="6">
        <v>4850.0</v>
      </c>
      <c r="E20" s="6">
        <v>4800.0</v>
      </c>
    </row>
    <row r="21">
      <c r="B21" s="6" t="s">
        <v>319</v>
      </c>
      <c r="C21" s="21">
        <f t="shared" ref="C21:E21" si="5">C20/C19</f>
        <v>285.2941176</v>
      </c>
      <c r="D21" s="21">
        <f t="shared" si="5"/>
        <v>186.5384615</v>
      </c>
      <c r="E21" s="21">
        <f t="shared" si="5"/>
        <v>75</v>
      </c>
      <c r="F21" s="6">
        <v>370.0</v>
      </c>
      <c r="G21" s="6">
        <v>295.0</v>
      </c>
      <c r="H21" s="6">
        <v>170.0</v>
      </c>
    </row>
    <row r="22">
      <c r="B22" s="6" t="s">
        <v>323</v>
      </c>
      <c r="C22">
        <f t="shared" ref="C22:H22" si="6">C3/C17</f>
        <v>34.875</v>
      </c>
      <c r="D22" s="120">
        <f t="shared" si="6"/>
        <v>6.638888889</v>
      </c>
      <c r="E22" s="114">
        <f t="shared" si="6"/>
        <v>4.222222222</v>
      </c>
      <c r="F22" s="114">
        <f t="shared" si="6"/>
        <v>1.633333333</v>
      </c>
      <c r="G22" s="114">
        <f t="shared" si="6"/>
        <v>0.1333333333</v>
      </c>
      <c r="H22" s="114">
        <f t="shared" si="6"/>
        <v>9.857142857</v>
      </c>
    </row>
    <row r="23">
      <c r="B23" s="6" t="s">
        <v>329</v>
      </c>
      <c r="C23" s="6">
        <v>35.0</v>
      </c>
      <c r="D23" s="6">
        <v>7.0</v>
      </c>
      <c r="E23" s="6">
        <v>5.0</v>
      </c>
      <c r="F23" s="6">
        <v>2.0</v>
      </c>
      <c r="G23" s="6">
        <v>0.0</v>
      </c>
      <c r="H23" s="6">
        <v>10.0</v>
      </c>
    </row>
    <row r="24">
      <c r="B24" s="6" t="s">
        <v>76</v>
      </c>
      <c r="C24">
        <f t="shared" ref="C24:E24" si="7">C23*C18*C20</f>
        <v>238668.5</v>
      </c>
      <c r="D24">
        <f t="shared" si="7"/>
        <v>47733.7</v>
      </c>
      <c r="E24">
        <f t="shared" si="7"/>
        <v>33744</v>
      </c>
      <c r="F24">
        <f t="shared" ref="F24:H24" si="8">F21*F17*F23</f>
        <v>22200</v>
      </c>
      <c r="G24">
        <f t="shared" si="8"/>
        <v>0</v>
      </c>
      <c r="H24">
        <f t="shared" si="8"/>
        <v>71400</v>
      </c>
      <c r="I24">
        <f>I3*4.5*1050</f>
        <v>103950</v>
      </c>
      <c r="J24" s="58">
        <f>SUM(C24:I24)</f>
        <v>517696.2</v>
      </c>
    </row>
  </sheetData>
  <drawing r:id="rId1"/>
</worksheet>
</file>