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Midterm\"/>
    </mc:Choice>
  </mc:AlternateContent>
  <bookViews>
    <workbookView xWindow="0" yWindow="0" windowWidth="13230" windowHeight="7350"/>
  </bookViews>
  <sheets>
    <sheet name="Documentation" sheetId="6" r:id="rId1"/>
    <sheet name="Period 10" sheetId="5" r:id="rId2"/>
    <sheet name="Step a" sheetId="7" r:id="rId3"/>
    <sheet name="Step b" sheetId="17" r:id="rId4"/>
    <sheet name="Step c" sheetId="10" r:id="rId5"/>
    <sheet name="Step d" sheetId="12" r:id="rId6"/>
    <sheet name="Step e" sheetId="13" r:id="rId7"/>
    <sheet name="Step f" sheetId="14" r:id="rId8"/>
    <sheet name="Step g" sheetId="15" r:id="rId9"/>
    <sheet name="Step h" sheetId="16" r:id="rId10"/>
    <sheet name="OverheadRates" sheetId="2" r:id="rId11"/>
  </sheets>
  <definedNames>
    <definedName name="EmployeeSalaryChartString">'Period 10'!$A$1:$A$52</definedName>
    <definedName name="GrantInfo">OverheadRates!$A$2:$C$11</definedName>
  </definedNames>
  <calcPr calcId="171027"/>
</workbook>
</file>

<file path=xl/calcChain.xml><?xml version="1.0" encoding="utf-8"?>
<calcChain xmlns="http://schemas.openxmlformats.org/spreadsheetml/2006/main">
  <c r="E49" i="17" l="1"/>
  <c r="D49" i="17"/>
  <c r="C49" i="17"/>
  <c r="E45" i="17"/>
  <c r="D45" i="17"/>
  <c r="C45" i="17"/>
  <c r="E25" i="17"/>
  <c r="D25" i="17"/>
  <c r="C25" i="17"/>
  <c r="E32" i="17"/>
  <c r="D32" i="17"/>
  <c r="C32" i="17"/>
  <c r="E29" i="17"/>
  <c r="D29" i="17"/>
  <c r="C29" i="17"/>
  <c r="E27" i="17"/>
  <c r="D27" i="17"/>
  <c r="C27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5" i="17"/>
  <c r="D15" i="17"/>
  <c r="C15" i="17"/>
  <c r="E19" i="17"/>
  <c r="D19" i="17"/>
  <c r="C19" i="17"/>
  <c r="E30" i="17"/>
  <c r="D30" i="17"/>
  <c r="C30" i="17"/>
  <c r="E17" i="17"/>
  <c r="D17" i="17"/>
  <c r="C17" i="17"/>
  <c r="E7" i="17"/>
  <c r="D7" i="17"/>
  <c r="C7" i="17"/>
  <c r="E6" i="17"/>
  <c r="D6" i="17"/>
  <c r="C6" i="17"/>
  <c r="E2" i="17"/>
  <c r="D2" i="17"/>
  <c r="C2" i="17"/>
  <c r="E44" i="17"/>
  <c r="D44" i="17"/>
  <c r="C44" i="17"/>
  <c r="E52" i="17"/>
  <c r="D52" i="17"/>
  <c r="C52" i="17"/>
  <c r="E51" i="17"/>
  <c r="D51" i="17"/>
  <c r="C51" i="17"/>
  <c r="E47" i="17"/>
  <c r="D47" i="17"/>
  <c r="C47" i="17"/>
  <c r="E46" i="17"/>
  <c r="D46" i="17"/>
  <c r="C46" i="17"/>
  <c r="E33" i="17"/>
  <c r="D33" i="17"/>
  <c r="C33" i="17"/>
  <c r="E39" i="17"/>
  <c r="D39" i="17"/>
  <c r="C39" i="17"/>
  <c r="E37" i="17"/>
  <c r="D37" i="17"/>
  <c r="C37" i="17"/>
  <c r="E35" i="17"/>
  <c r="D35" i="17"/>
  <c r="C35" i="17"/>
  <c r="E50" i="17"/>
  <c r="D50" i="17"/>
  <c r="C50" i="17"/>
  <c r="E28" i="17"/>
  <c r="D28" i="17"/>
  <c r="C28" i="17"/>
  <c r="E34" i="17"/>
  <c r="D34" i="17"/>
  <c r="C34" i="17"/>
  <c r="E42" i="17"/>
  <c r="D42" i="17"/>
  <c r="C42" i="17"/>
  <c r="E18" i="17"/>
  <c r="D18" i="17"/>
  <c r="C18" i="17"/>
  <c r="E14" i="17"/>
  <c r="D14" i="17"/>
  <c r="C14" i="17"/>
  <c r="E13" i="17"/>
  <c r="D13" i="17"/>
  <c r="C13" i="17"/>
  <c r="E12" i="17"/>
  <c r="D12" i="17"/>
  <c r="C12" i="17"/>
  <c r="E10" i="17"/>
  <c r="D10" i="17"/>
  <c r="C10" i="17"/>
  <c r="E9" i="17"/>
  <c r="D9" i="17"/>
  <c r="C9" i="17"/>
  <c r="E4" i="17"/>
  <c r="D4" i="17"/>
  <c r="C4" i="17"/>
  <c r="E48" i="17"/>
  <c r="D48" i="17"/>
  <c r="C48" i="17"/>
  <c r="E43" i="17"/>
  <c r="D43" i="17"/>
  <c r="C43" i="17"/>
  <c r="E26" i="17"/>
  <c r="D26" i="17"/>
  <c r="C26" i="17"/>
  <c r="E16" i="17"/>
  <c r="D16" i="17"/>
  <c r="C16" i="17"/>
  <c r="E40" i="17"/>
  <c r="D40" i="17"/>
  <c r="C40" i="17"/>
  <c r="E8" i="17"/>
  <c r="D8" i="17"/>
  <c r="C8" i="17"/>
  <c r="E31" i="17"/>
  <c r="D31" i="17"/>
  <c r="C31" i="17"/>
  <c r="E11" i="17"/>
  <c r="D11" i="17"/>
  <c r="C11" i="17"/>
  <c r="E38" i="17"/>
  <c r="D38" i="17"/>
  <c r="E5" i="17"/>
  <c r="D5" i="17"/>
  <c r="E36" i="17"/>
  <c r="D36" i="17"/>
  <c r="D3" i="17"/>
  <c r="E3" i="17"/>
  <c r="E41" i="17"/>
  <c r="D41" i="17"/>
  <c r="C38" i="17"/>
  <c r="C5" i="17"/>
  <c r="C36" i="17"/>
  <c r="C3" i="17"/>
  <c r="C41" i="17"/>
  <c r="C53" i="17" l="1"/>
  <c r="A64" i="16"/>
  <c r="D61" i="16"/>
  <c r="E61" i="16" s="1"/>
  <c r="C61" i="16"/>
  <c r="D60" i="16"/>
  <c r="E60" i="16" s="1"/>
  <c r="C60" i="16"/>
  <c r="D59" i="16"/>
  <c r="E59" i="16" s="1"/>
  <c r="C59" i="16"/>
  <c r="D58" i="16"/>
  <c r="E58" i="16" s="1"/>
  <c r="C58" i="16"/>
  <c r="D56" i="16"/>
  <c r="E56" i="16" s="1"/>
  <c r="C56" i="16"/>
  <c r="D55" i="16"/>
  <c r="E55" i="16" s="1"/>
  <c r="C55" i="16"/>
  <c r="D53" i="16"/>
  <c r="E53" i="16" s="1"/>
  <c r="C53" i="16"/>
  <c r="D52" i="16"/>
  <c r="E52" i="16" s="1"/>
  <c r="C52" i="16"/>
  <c r="D51" i="16"/>
  <c r="E51" i="16" s="1"/>
  <c r="C51" i="16"/>
  <c r="D50" i="16"/>
  <c r="E50" i="16" s="1"/>
  <c r="C50" i="16"/>
  <c r="D49" i="16"/>
  <c r="E49" i="16" s="1"/>
  <c r="C49" i="16"/>
  <c r="D48" i="16"/>
  <c r="E48" i="16" s="1"/>
  <c r="C48" i="16"/>
  <c r="D46" i="16"/>
  <c r="E46" i="16" s="1"/>
  <c r="C46" i="16"/>
  <c r="D45" i="16"/>
  <c r="E45" i="16" s="1"/>
  <c r="C45" i="16"/>
  <c r="D44" i="16"/>
  <c r="E44" i="16" s="1"/>
  <c r="C44" i="16"/>
  <c r="D43" i="16"/>
  <c r="E43" i="16" s="1"/>
  <c r="C43" i="16"/>
  <c r="D42" i="16"/>
  <c r="E42" i="16" s="1"/>
  <c r="C42" i="16"/>
  <c r="D41" i="16"/>
  <c r="E41" i="16" s="1"/>
  <c r="C41" i="16"/>
  <c r="D40" i="16"/>
  <c r="E40" i="16" s="1"/>
  <c r="C40" i="16"/>
  <c r="D39" i="16"/>
  <c r="E39" i="16" s="1"/>
  <c r="C39" i="16"/>
  <c r="D38" i="16"/>
  <c r="E38" i="16" s="1"/>
  <c r="C38" i="16"/>
  <c r="D37" i="16"/>
  <c r="E37" i="16" s="1"/>
  <c r="C37" i="16"/>
  <c r="D36" i="16"/>
  <c r="E36" i="16" s="1"/>
  <c r="C36" i="16"/>
  <c r="D35" i="16"/>
  <c r="E35" i="16" s="1"/>
  <c r="C35" i="16"/>
  <c r="D34" i="16"/>
  <c r="E34" i="16" s="1"/>
  <c r="C34" i="16"/>
  <c r="D33" i="16"/>
  <c r="E33" i="16" s="1"/>
  <c r="C33" i="16"/>
  <c r="D31" i="16"/>
  <c r="E31" i="16" s="1"/>
  <c r="C31" i="16"/>
  <c r="D29" i="16"/>
  <c r="E29" i="16" s="1"/>
  <c r="C29" i="16"/>
  <c r="D28" i="16"/>
  <c r="E28" i="16" s="1"/>
  <c r="C28" i="16"/>
  <c r="D27" i="16"/>
  <c r="E27" i="16" s="1"/>
  <c r="C27" i="16"/>
  <c r="D25" i="16"/>
  <c r="E25" i="16" s="1"/>
  <c r="C25" i="16"/>
  <c r="D24" i="16"/>
  <c r="E24" i="16" s="1"/>
  <c r="C24" i="16"/>
  <c r="D23" i="16"/>
  <c r="E23" i="16" s="1"/>
  <c r="C23" i="16"/>
  <c r="D22" i="16"/>
  <c r="C22" i="16"/>
  <c r="D20" i="16"/>
  <c r="E20" i="16" s="1"/>
  <c r="C20" i="16"/>
  <c r="D19" i="16"/>
  <c r="E19" i="16" s="1"/>
  <c r="C19" i="16"/>
  <c r="D18" i="16"/>
  <c r="E18" i="16" s="1"/>
  <c r="C18" i="16"/>
  <c r="D17" i="16"/>
  <c r="E17" i="16" s="1"/>
  <c r="C17" i="16"/>
  <c r="D16" i="16"/>
  <c r="E16" i="16" s="1"/>
  <c r="C16" i="16"/>
  <c r="D15" i="16"/>
  <c r="E15" i="16" s="1"/>
  <c r="C15" i="16"/>
  <c r="D14" i="16"/>
  <c r="E14" i="16" s="1"/>
  <c r="C14" i="16"/>
  <c r="D13" i="16"/>
  <c r="E13" i="16" s="1"/>
  <c r="C13" i="16"/>
  <c r="D11" i="16"/>
  <c r="E11" i="16" s="1"/>
  <c r="C11" i="16"/>
  <c r="D10" i="16"/>
  <c r="E10" i="16" s="1"/>
  <c r="C10" i="16"/>
  <c r="D8" i="16"/>
  <c r="E8" i="16" s="1"/>
  <c r="C8" i="16"/>
  <c r="D7" i="16"/>
  <c r="E7" i="16" s="1"/>
  <c r="C7" i="16"/>
  <c r="D6" i="16"/>
  <c r="E6" i="16" s="1"/>
  <c r="C6" i="16"/>
  <c r="D5" i="16"/>
  <c r="E5" i="16" s="1"/>
  <c r="C5" i="16"/>
  <c r="D4" i="16"/>
  <c r="E4" i="16" s="1"/>
  <c r="C4" i="16"/>
  <c r="D3" i="16"/>
  <c r="E3" i="16" s="1"/>
  <c r="C3" i="16"/>
  <c r="D2" i="16"/>
  <c r="E2" i="16" s="1"/>
  <c r="C2" i="16"/>
  <c r="C27" i="15"/>
  <c r="C17" i="15"/>
  <c r="C16" i="15"/>
  <c r="C9" i="15"/>
  <c r="C30" i="15"/>
  <c r="C34" i="15"/>
  <c r="C26" i="15"/>
  <c r="C10" i="15"/>
  <c r="C49" i="15"/>
  <c r="C35" i="15"/>
  <c r="C52" i="15"/>
  <c r="C50" i="15"/>
  <c r="C51" i="15"/>
  <c r="C28" i="15"/>
  <c r="C25" i="15"/>
  <c r="C29" i="15"/>
  <c r="C24" i="15"/>
  <c r="C37" i="15"/>
  <c r="C36" i="15"/>
  <c r="C41" i="15"/>
  <c r="C46" i="15"/>
  <c r="C42" i="15"/>
  <c r="C45" i="15"/>
  <c r="C44" i="15"/>
  <c r="C21" i="15"/>
  <c r="C43" i="15"/>
  <c r="C20" i="15"/>
  <c r="C32" i="15"/>
  <c r="C22" i="15"/>
  <c r="C31" i="15"/>
  <c r="C40" i="15"/>
  <c r="C33" i="15"/>
  <c r="C19" i="15"/>
  <c r="C47" i="15"/>
  <c r="C23" i="15"/>
  <c r="C48" i="15"/>
  <c r="C3" i="15"/>
  <c r="C38" i="15"/>
  <c r="C11" i="15"/>
  <c r="C39" i="15"/>
  <c r="C15" i="15"/>
  <c r="C12" i="15"/>
  <c r="C6" i="15"/>
  <c r="C4" i="15"/>
  <c r="C2" i="15"/>
  <c r="C8" i="15"/>
  <c r="C13" i="15"/>
  <c r="C14" i="15"/>
  <c r="C18" i="15"/>
  <c r="C7" i="15"/>
  <c r="C5" i="15"/>
  <c r="A53" i="15"/>
  <c r="D5" i="15"/>
  <c r="E5" i="15" s="1"/>
  <c r="D7" i="15"/>
  <c r="E7" i="15" s="1"/>
  <c r="D18" i="15"/>
  <c r="E18" i="15" s="1"/>
  <c r="D14" i="15"/>
  <c r="E14" i="15" s="1"/>
  <c r="D13" i="15"/>
  <c r="E13" i="15" s="1"/>
  <c r="D8" i="15"/>
  <c r="E8" i="15" s="1"/>
  <c r="D2" i="15"/>
  <c r="E2" i="15" s="1"/>
  <c r="D4" i="15"/>
  <c r="E4" i="15" s="1"/>
  <c r="D6" i="15"/>
  <c r="E6" i="15" s="1"/>
  <c r="D12" i="15"/>
  <c r="E12" i="15" s="1"/>
  <c r="D15" i="15"/>
  <c r="E15" i="15" s="1"/>
  <c r="D39" i="15"/>
  <c r="E39" i="15" s="1"/>
  <c r="D11" i="15"/>
  <c r="E11" i="15" s="1"/>
  <c r="D38" i="15"/>
  <c r="E38" i="15" s="1"/>
  <c r="D3" i="15"/>
  <c r="E3" i="15" s="1"/>
  <c r="D48" i="15"/>
  <c r="E48" i="15" s="1"/>
  <c r="D23" i="15"/>
  <c r="E23" i="15" s="1"/>
  <c r="D47" i="15"/>
  <c r="E47" i="15" s="1"/>
  <c r="D19" i="15"/>
  <c r="E19" i="15" s="1"/>
  <c r="D33" i="15"/>
  <c r="E33" i="15" s="1"/>
  <c r="D40" i="15"/>
  <c r="E40" i="15" s="1"/>
  <c r="D31" i="15"/>
  <c r="E31" i="15" s="1"/>
  <c r="D22" i="15"/>
  <c r="E22" i="15" s="1"/>
  <c r="D32" i="15"/>
  <c r="E32" i="15" s="1"/>
  <c r="D20" i="15"/>
  <c r="E20" i="15" s="1"/>
  <c r="D43" i="15"/>
  <c r="E43" i="15" s="1"/>
  <c r="D21" i="15"/>
  <c r="E21" i="15" s="1"/>
  <c r="D44" i="15"/>
  <c r="E44" i="15" s="1"/>
  <c r="D45" i="15"/>
  <c r="E45" i="15" s="1"/>
  <c r="D42" i="15"/>
  <c r="E42" i="15" s="1"/>
  <c r="D46" i="15"/>
  <c r="E46" i="15" s="1"/>
  <c r="D41" i="15"/>
  <c r="E41" i="15" s="1"/>
  <c r="D36" i="15"/>
  <c r="E36" i="15" s="1"/>
  <c r="D37" i="15"/>
  <c r="D24" i="15"/>
  <c r="E24" i="15" s="1"/>
  <c r="D29" i="15"/>
  <c r="E29" i="15" s="1"/>
  <c r="D25" i="15"/>
  <c r="E25" i="15" s="1"/>
  <c r="D28" i="15"/>
  <c r="E28" i="15" s="1"/>
  <c r="D51" i="15"/>
  <c r="E51" i="15" s="1"/>
  <c r="D50" i="15"/>
  <c r="E50" i="15" s="1"/>
  <c r="D52" i="15"/>
  <c r="E52" i="15" s="1"/>
  <c r="D35" i="15"/>
  <c r="E35" i="15" s="1"/>
  <c r="D49" i="15"/>
  <c r="E49" i="15" s="1"/>
  <c r="D10" i="15"/>
  <c r="E10" i="15" s="1"/>
  <c r="D26" i="15"/>
  <c r="E26" i="15" s="1"/>
  <c r="D34" i="15"/>
  <c r="E34" i="15" s="1"/>
  <c r="D30" i="15"/>
  <c r="E30" i="15" s="1"/>
  <c r="D9" i="15"/>
  <c r="E9" i="15" s="1"/>
  <c r="D16" i="15"/>
  <c r="E16" i="15" s="1"/>
  <c r="D17" i="15"/>
  <c r="E17" i="15" s="1"/>
  <c r="D27" i="15"/>
  <c r="E27" i="15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A53" i="14"/>
  <c r="E52" i="14"/>
  <c r="D52" i="14"/>
  <c r="C52" i="14"/>
  <c r="D51" i="14"/>
  <c r="E51" i="14" s="1"/>
  <c r="C51" i="14"/>
  <c r="D50" i="14"/>
  <c r="E50" i="14" s="1"/>
  <c r="C50" i="14"/>
  <c r="D49" i="14"/>
  <c r="E49" i="14" s="1"/>
  <c r="C49" i="14"/>
  <c r="E48" i="14"/>
  <c r="D48" i="14"/>
  <c r="C48" i="14"/>
  <c r="D47" i="14"/>
  <c r="E47" i="14" s="1"/>
  <c r="C47" i="14"/>
  <c r="D46" i="14"/>
  <c r="E46" i="14" s="1"/>
  <c r="C46" i="14"/>
  <c r="D45" i="14"/>
  <c r="E45" i="14" s="1"/>
  <c r="C45" i="14"/>
  <c r="E44" i="14"/>
  <c r="D44" i="14"/>
  <c r="C44" i="14"/>
  <c r="D43" i="14"/>
  <c r="E43" i="14" s="1"/>
  <c r="C43" i="14"/>
  <c r="D42" i="14"/>
  <c r="E42" i="14" s="1"/>
  <c r="C42" i="14"/>
  <c r="D41" i="14"/>
  <c r="E41" i="14" s="1"/>
  <c r="C41" i="14"/>
  <c r="E40" i="14"/>
  <c r="D40" i="14"/>
  <c r="C40" i="14"/>
  <c r="D39" i="14"/>
  <c r="E39" i="14" s="1"/>
  <c r="C39" i="14"/>
  <c r="D38" i="14"/>
  <c r="E38" i="14" s="1"/>
  <c r="C38" i="14"/>
  <c r="D37" i="14"/>
  <c r="E37" i="14" s="1"/>
  <c r="C37" i="14"/>
  <c r="E36" i="14"/>
  <c r="D36" i="14"/>
  <c r="C36" i="14"/>
  <c r="D35" i="14"/>
  <c r="E35" i="14" s="1"/>
  <c r="C35" i="14"/>
  <c r="D34" i="14"/>
  <c r="E34" i="14" s="1"/>
  <c r="C34" i="14"/>
  <c r="D33" i="14"/>
  <c r="E33" i="14" s="1"/>
  <c r="C33" i="14"/>
  <c r="E32" i="14"/>
  <c r="D32" i="14"/>
  <c r="C32" i="14"/>
  <c r="D31" i="14"/>
  <c r="E31" i="14" s="1"/>
  <c r="C31" i="14"/>
  <c r="D30" i="14"/>
  <c r="E30" i="14" s="1"/>
  <c r="C30" i="14"/>
  <c r="D29" i="14"/>
  <c r="E29" i="14" s="1"/>
  <c r="C29" i="14"/>
  <c r="E28" i="14"/>
  <c r="D28" i="14"/>
  <c r="C28" i="14"/>
  <c r="D27" i="14"/>
  <c r="E27" i="14" s="1"/>
  <c r="C27" i="14"/>
  <c r="D26" i="14"/>
  <c r="E26" i="14" s="1"/>
  <c r="C26" i="14"/>
  <c r="D25" i="14"/>
  <c r="E25" i="14" s="1"/>
  <c r="C25" i="14"/>
  <c r="E24" i="14"/>
  <c r="D24" i="14"/>
  <c r="C24" i="14"/>
  <c r="D23" i="14"/>
  <c r="E23" i="14" s="1"/>
  <c r="C23" i="14"/>
  <c r="D22" i="14"/>
  <c r="E22" i="14" s="1"/>
  <c r="C22" i="14"/>
  <c r="D21" i="14"/>
  <c r="E21" i="14" s="1"/>
  <c r="C21" i="14"/>
  <c r="E20" i="14"/>
  <c r="D20" i="14"/>
  <c r="C20" i="14"/>
  <c r="D19" i="14"/>
  <c r="E19" i="14" s="1"/>
  <c r="C19" i="14"/>
  <c r="D18" i="14"/>
  <c r="E18" i="14" s="1"/>
  <c r="C18" i="14"/>
  <c r="D17" i="14"/>
  <c r="E17" i="14" s="1"/>
  <c r="C17" i="14"/>
  <c r="E16" i="14"/>
  <c r="D16" i="14"/>
  <c r="C16" i="14"/>
  <c r="D15" i="14"/>
  <c r="E15" i="14" s="1"/>
  <c r="C15" i="14"/>
  <c r="D14" i="14"/>
  <c r="E14" i="14" s="1"/>
  <c r="C14" i="14"/>
  <c r="D13" i="14"/>
  <c r="E13" i="14" s="1"/>
  <c r="C13" i="14"/>
  <c r="E12" i="14"/>
  <c r="D12" i="14"/>
  <c r="C12" i="14"/>
  <c r="D11" i="14"/>
  <c r="E11" i="14" s="1"/>
  <c r="C11" i="14"/>
  <c r="D10" i="14"/>
  <c r="E10" i="14" s="1"/>
  <c r="C10" i="14"/>
  <c r="D9" i="14"/>
  <c r="E9" i="14" s="1"/>
  <c r="C9" i="14"/>
  <c r="E8" i="14"/>
  <c r="D8" i="14"/>
  <c r="C8" i="14"/>
  <c r="D7" i="14"/>
  <c r="E7" i="14" s="1"/>
  <c r="C7" i="14"/>
  <c r="D6" i="14"/>
  <c r="E6" i="14" s="1"/>
  <c r="C6" i="14"/>
  <c r="D5" i="14"/>
  <c r="E5" i="14" s="1"/>
  <c r="C5" i="14"/>
  <c r="E4" i="14"/>
  <c r="D4" i="14"/>
  <c r="C4" i="14"/>
  <c r="D3" i="14"/>
  <c r="E3" i="14" s="1"/>
  <c r="C3" i="14"/>
  <c r="D2" i="14"/>
  <c r="E2" i="14" s="1"/>
  <c r="C2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A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F52" i="15" l="1"/>
  <c r="F16" i="15"/>
  <c r="F2" i="16"/>
  <c r="F6" i="16"/>
  <c r="F11" i="16"/>
  <c r="F16" i="16"/>
  <c r="F20" i="16"/>
  <c r="F4" i="16"/>
  <c r="F8" i="16"/>
  <c r="F14" i="16"/>
  <c r="F18" i="16"/>
  <c r="F26" i="15"/>
  <c r="F25" i="15"/>
  <c r="E22" i="16"/>
  <c r="F22" i="16"/>
  <c r="F3" i="16"/>
  <c r="F5" i="16"/>
  <c r="F7" i="16"/>
  <c r="F10" i="16"/>
  <c r="F12" i="16" s="1"/>
  <c r="F13" i="16"/>
  <c r="F15" i="16"/>
  <c r="F17" i="16"/>
  <c r="F19" i="16"/>
  <c r="F23" i="16"/>
  <c r="F24" i="16"/>
  <c r="F25" i="16"/>
  <c r="F27" i="16"/>
  <c r="F28" i="16"/>
  <c r="F29" i="16"/>
  <c r="F31" i="16"/>
  <c r="F32" i="16" s="1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8" i="16"/>
  <c r="F49" i="16"/>
  <c r="F50" i="16"/>
  <c r="F51" i="16"/>
  <c r="F52" i="16"/>
  <c r="F53" i="16"/>
  <c r="F55" i="16"/>
  <c r="F56" i="16"/>
  <c r="F58" i="16"/>
  <c r="F59" i="16"/>
  <c r="F60" i="16"/>
  <c r="F61" i="16"/>
  <c r="F27" i="15"/>
  <c r="F30" i="15"/>
  <c r="F49" i="15"/>
  <c r="F51" i="15"/>
  <c r="F24" i="15"/>
  <c r="E37" i="15"/>
  <c r="F37" i="15"/>
  <c r="F17" i="15"/>
  <c r="F9" i="15"/>
  <c r="F34" i="15"/>
  <c r="F10" i="15"/>
  <c r="F35" i="15"/>
  <c r="F50" i="15"/>
  <c r="F28" i="15"/>
  <c r="F29" i="15"/>
  <c r="F36" i="15"/>
  <c r="F41" i="15"/>
  <c r="F46" i="15"/>
  <c r="F42" i="15"/>
  <c r="F45" i="15"/>
  <c r="F44" i="15"/>
  <c r="F21" i="15"/>
  <c r="F43" i="15"/>
  <c r="F20" i="15"/>
  <c r="F32" i="15"/>
  <c r="F22" i="15"/>
  <c r="F31" i="15"/>
  <c r="F40" i="15"/>
  <c r="F33" i="15"/>
  <c r="F19" i="15"/>
  <c r="F47" i="15"/>
  <c r="F23" i="15"/>
  <c r="F48" i="15"/>
  <c r="F3" i="15"/>
  <c r="F38" i="15"/>
  <c r="F11" i="15"/>
  <c r="F39" i="15"/>
  <c r="F15" i="15"/>
  <c r="F12" i="15"/>
  <c r="F6" i="15"/>
  <c r="F4" i="15"/>
  <c r="F2" i="15"/>
  <c r="F8" i="15"/>
  <c r="F13" i="15"/>
  <c r="F14" i="15"/>
  <c r="F18" i="15"/>
  <c r="F7" i="15"/>
  <c r="F5" i="15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A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A53" i="10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B5" i="6"/>
  <c r="F62" i="16" l="1"/>
  <c r="F57" i="16"/>
  <c r="F54" i="16"/>
  <c r="F47" i="16"/>
  <c r="F30" i="16"/>
  <c r="F26" i="16"/>
  <c r="F21" i="16"/>
  <c r="F9" i="16"/>
  <c r="F63" i="16" l="1"/>
</calcChain>
</file>

<file path=xl/sharedStrings.xml><?xml version="1.0" encoding="utf-8"?>
<sst xmlns="http://schemas.openxmlformats.org/spreadsheetml/2006/main" count="1101" uniqueCount="300">
  <si>
    <t>Overhead Rate</t>
  </si>
  <si>
    <t>5063</t>
  </si>
  <si>
    <t>Chemistry</t>
  </si>
  <si>
    <t>5149</t>
  </si>
  <si>
    <t>BioFuel</t>
  </si>
  <si>
    <t>5178</t>
  </si>
  <si>
    <t>Robotics</t>
  </si>
  <si>
    <t>5279</t>
  </si>
  <si>
    <t>Applied Materials</t>
  </si>
  <si>
    <t>5342</t>
  </si>
  <si>
    <t>Stop Smoking</t>
  </si>
  <si>
    <t>5361</t>
  </si>
  <si>
    <t>Math Instruction</t>
  </si>
  <si>
    <t>5556</t>
  </si>
  <si>
    <t>Volunteer Programs</t>
  </si>
  <si>
    <t>5768</t>
  </si>
  <si>
    <t>Graphic Images</t>
  </si>
  <si>
    <t>5933</t>
  </si>
  <si>
    <t>State History</t>
  </si>
  <si>
    <t>5956</t>
  </si>
  <si>
    <t>Building Levees</t>
  </si>
  <si>
    <t>Grant Nbr</t>
  </si>
  <si>
    <t>Grant Name</t>
  </si>
  <si>
    <t>EmployeeSalaryChartString</t>
  </si>
  <si>
    <t xml:space="preserve">  Jill  Psarros62.34695-2804-55560000000-1232</t>
  </si>
  <si>
    <t xml:space="preserve">  Myron   A*dams 47.3695-2806-51780000000-1237</t>
  </si>
  <si>
    <t xml:space="preserve"> *Gabriela  Moss669.11695-5000-53420000000-1232</t>
  </si>
  <si>
    <t xml:space="preserve"> Kelly Murphy1040.58695-2200-50630000000-1235</t>
  </si>
  <si>
    <t xml:space="preserve"> Li*nda Brenton121.69695-2804-55560000000-1234</t>
  </si>
  <si>
    <t xml:space="preserve"> Michele Knight225.86695-2804-55560000000-1232</t>
  </si>
  <si>
    <t>*Janelle Bayer133.76695-2404-53610000000-1231</t>
  </si>
  <si>
    <t>Am*ber Earle167.42695-5000-53420000000-1231</t>
  </si>
  <si>
    <t>Annette  Johnson151.01695-2002-52790000000-1232</t>
  </si>
  <si>
    <t>Ashley Redmond469.11695-2806-51780000000-1233</t>
  </si>
  <si>
    <t>Christine Aliesmaeli63.36695-2806-51780000000-1238</t>
  </si>
  <si>
    <t>Dana Beatie694.45695-2004-51490000000-1232</t>
  </si>
  <si>
    <t>Dee Byrd71.72695-3301-59560000000-1232</t>
  </si>
  <si>
    <t>Donna Carli669.2695-3301-59560000000-1233</t>
  </si>
  <si>
    <t>Grace Quintana76.31695-2806-51780000000-1232</t>
  </si>
  <si>
    <t>Hilde Spencer8.88695-2806-51780000000-1236</t>
  </si>
  <si>
    <t>Jenn*ifer MacInnis354.28695-2695-59330000000-1231</t>
  </si>
  <si>
    <t>Jennifer Mottlova55.8695-2695-59330000000-1232</t>
  </si>
  <si>
    <t>Jessica Nielson70.95695-2804-55560000000-1231</t>
  </si>
  <si>
    <t>John Lawrence  156.41695-2804-55560000000-1233</t>
  </si>
  <si>
    <t>Josene Rollings35.55695-2200-50630000000-1232</t>
  </si>
  <si>
    <t>Karen Sutter67.95695-2200-50630000000-1233</t>
  </si>
  <si>
    <t>Katherine   VanDa*nn301.5695-2200-50630000000-1234</t>
  </si>
  <si>
    <t>Kimberly   Riggs173.6695-2200-50630000000-1236</t>
  </si>
  <si>
    <t>Krista Austin241.2695-2804-55560000000-1232</t>
  </si>
  <si>
    <t>Laura Baldry146.2695-2804-55560000000-1233</t>
  </si>
  <si>
    <t>Luciana Essenfeld301.14695-2804-55560000000-1236</t>
  </si>
  <si>
    <t>Mable Kin*nan35.8695-2002-52790000000-1231</t>
  </si>
  <si>
    <t>Mai Drinkhouse347.22695-2804-55560000000-1235</t>
  </si>
  <si>
    <t>Maria  Garcia93.6695-2804-55560000000-1238</t>
  </si>
  <si>
    <t>Maria Goldberg1704.55695-2119-57680000000-1231</t>
  </si>
  <si>
    <t>Maryam Huff  20.76695-2119-57680000000-1234</t>
  </si>
  <si>
    <t>Miriam Laughlin41.64695-2804-55560000000-1233</t>
  </si>
  <si>
    <t>Paul Iyere59.25695-2119-57680000000-1235</t>
  </si>
  <si>
    <t>Paul Ro*berts446.13695-2200-50630000000-1237</t>
  </si>
  <si>
    <t>Robert Santos79.47695-2806-51780000000-1235</t>
  </si>
  <si>
    <t>Bernadine Sandhu142.01695-2806-51780000000-1234</t>
  </si>
  <si>
    <t xml:space="preserve"> Connie Ariel1025.11695-2004-51490000000-1231</t>
  </si>
  <si>
    <t>Aaron Ponson  1120.11695-2806-51780000000-1231</t>
  </si>
  <si>
    <t>Daniel  Beaver  1242.41695-3301-59560000000-1231</t>
  </si>
  <si>
    <t>Elvira Ca*ro180.11695-3301-59560000000-1234</t>
  </si>
  <si>
    <t>Francine Forbes200.11695-5000-53420000000-1231</t>
  </si>
  <si>
    <t>Hazel  Litmer  576.11695-2002-52790000000-1233</t>
  </si>
  <si>
    <t>Helen Kenniger288.11695-2301-52790000000-1231</t>
  </si>
  <si>
    <t>Joleen Rojo1567.11695-2200-50630000000-1231</t>
  </si>
  <si>
    <t>Kingsley Ackermann  1410.11695-2804-55560000000-1231</t>
  </si>
  <si>
    <t>Mahdokht Gai*nes75.11695-2804-55560000000-1237</t>
  </si>
  <si>
    <t>Marissa Graber6.113695-2119-57680000000-1232</t>
  </si>
  <si>
    <t>Mary Holm*quist255.11695-2119-57680000000-1233</t>
  </si>
  <si>
    <t>Melissa Juris172.11695-2119-57680000000-1236</t>
  </si>
  <si>
    <t xml:space="preserve"> Melody   Keys176.11695-2804-55560000000-1231</t>
  </si>
  <si>
    <t>Created by:</t>
  </si>
  <si>
    <t>Nick Petty</t>
  </si>
  <si>
    <t>Date begun:</t>
  </si>
  <si>
    <t>Date completed:</t>
  </si>
  <si>
    <t>Problem #</t>
  </si>
  <si>
    <t>I did not work with others in arriving at my solutions to the questions.</t>
  </si>
  <si>
    <t>Myron Adams 47.3695-2806-51780000000-1237</t>
  </si>
  <si>
    <t>Aaron Ponson 1120.11695-2806-51780000000-1231</t>
  </si>
  <si>
    <t>Daniel Beaver 1242.41695-3301-59560000000-1231</t>
  </si>
  <si>
    <t>Hazel Litmer 576.11695-2002-52790000000-1233</t>
  </si>
  <si>
    <t>John Lawrence 156.41695-2804-55560000000-1233</t>
  </si>
  <si>
    <t>Kingsley Ackermann 1410.11695-2804-55560000000-1231</t>
  </si>
  <si>
    <t>Maryam Huff 20.76695-2119-57680000000-1234</t>
  </si>
  <si>
    <t>LastName</t>
  </si>
  <si>
    <t>FirstName</t>
  </si>
  <si>
    <t>GrantData</t>
  </si>
  <si>
    <t>Jill Psarros 62.34695-2804-55560000000-1232</t>
  </si>
  <si>
    <t>Gabriela Moss 669.11695-5000-53420000000-1232</t>
  </si>
  <si>
    <t>Connie Ariel 1025.11695-2004-51490000000-1231</t>
  </si>
  <si>
    <t>Kelly Murphy 1040.58695-2200-50630000000-1235</t>
  </si>
  <si>
    <t>Linda Brenton 121.69695-2804-55560000000-1234</t>
  </si>
  <si>
    <t>Michele Knight 225.86695-2804-55560000000-1232</t>
  </si>
  <si>
    <t>Janelle Bayer 133.76695-2404-53610000000-1231</t>
  </si>
  <si>
    <t>Amber Earle 167.42695-5000-53420000000-1231</t>
  </si>
  <si>
    <t>Annette Johnson 151.01695-2002-52790000000-1232</t>
  </si>
  <si>
    <t>Ashley Redmond 469.11695-2806-51780000000-1233</t>
  </si>
  <si>
    <t>Bernadine Sandhu 142.01695-2806-51780000000-1234</t>
  </si>
  <si>
    <t>Christine Aliesmaeli 63.36695-2806-51780000000-1238</t>
  </si>
  <si>
    <t>Dana Beatie 694.45695-2004-51490000000-1232</t>
  </si>
  <si>
    <t>Dee Byrd 71.72695-3301-59560000000-1232</t>
  </si>
  <si>
    <t>Donna Carli 669.2695-3301-59560000000-1233</t>
  </si>
  <si>
    <t>Elvira Caro 180.11695-3301-59560000000-1234</t>
  </si>
  <si>
    <t>Francine Forbes 200.11695-5000-53420000000-1231</t>
  </si>
  <si>
    <t>Grace Quintana 76.31695-2806-51780000000-1232</t>
  </si>
  <si>
    <t>Helen Kenniger 288.11695-2301-52790000000-1231</t>
  </si>
  <si>
    <t>Hilde Spencer 8.88695-2806-51780000000-1236</t>
  </si>
  <si>
    <t>Jennifer MacInnis 354.28695-2695-59330000000-1231</t>
  </si>
  <si>
    <t>Jennifer Mottlova 55.8695-2695-59330000000-1232</t>
  </si>
  <si>
    <t>Jessica Nielson 70.95695-2804-55560000000-1231</t>
  </si>
  <si>
    <t>Joleen Rojo 1567.11695-2200-50630000000-1231</t>
  </si>
  <si>
    <t>Josene Rollings 35.55695-2200-50630000000-1232</t>
  </si>
  <si>
    <t>Karen Sutter 67.95695-2200-50630000000-1233</t>
  </si>
  <si>
    <t>Katherine VanDann 301.5695-2200-50630000000-1234</t>
  </si>
  <si>
    <t>Kimberly Riggs 173.6695-2200-50630000000-1236</t>
  </si>
  <si>
    <t>Krista Austin 241.2695-2804-55560000000-1232</t>
  </si>
  <si>
    <t>Laura Baldry 146.2695-2804-55560000000-1233</t>
  </si>
  <si>
    <t>Luciana Essenfeld 301.14695-2804-55560000000-1236</t>
  </si>
  <si>
    <t>Mable Kinnan 35.8695-2002-52790000000-1231</t>
  </si>
  <si>
    <t>Mahdokht Gaines 75.11695-2804-55560000000-1237</t>
  </si>
  <si>
    <t>Mai Drinkhouse 347.22695-2804-55560000000-1235</t>
  </si>
  <si>
    <t>Maria Garcia 93.6695-2804-55560000000-1238</t>
  </si>
  <si>
    <t>Maria Goldberg 1704.55695-2119-57680000000-1231</t>
  </si>
  <si>
    <t>Marissa Graber 6.113695-2119-57680000000-1232</t>
  </si>
  <si>
    <t>Mary Holmquist 255.11695-2119-57680000000-1233</t>
  </si>
  <si>
    <t>Melissa Juris 172.11695-2119-57680000000-1236</t>
  </si>
  <si>
    <t>Melody Keys 176.11695-2804-55560000000-1231</t>
  </si>
  <si>
    <t>Miriam Laughlin 41.64695-2804-55560000000-1233</t>
  </si>
  <si>
    <t>Paul Iyere 59.25695-2119-57680000000-1235</t>
  </si>
  <si>
    <t>Paul Roberts 446.13695-2200-50630000000-1237</t>
  </si>
  <si>
    <t>Robert Santos 79.47695-2806-51780000000-1235</t>
  </si>
  <si>
    <t>Psarros</t>
  </si>
  <si>
    <t>Jill</t>
  </si>
  <si>
    <t>62.34695-2804-55560000000-1232</t>
  </si>
  <si>
    <t>Adams</t>
  </si>
  <si>
    <t>Myron</t>
  </si>
  <si>
    <t>47.3695-2806-51780000000-1237</t>
  </si>
  <si>
    <t>Moss</t>
  </si>
  <si>
    <t>Gabriela</t>
  </si>
  <si>
    <t>669.11695-5000-53420000000-1232</t>
  </si>
  <si>
    <t>Ariel</t>
  </si>
  <si>
    <t>Connie</t>
  </si>
  <si>
    <t>1025.11695-2004-51490000000-1231</t>
  </si>
  <si>
    <t>Murphy</t>
  </si>
  <si>
    <t>Kelly</t>
  </si>
  <si>
    <t>1040.58695-2200-50630000000-1235</t>
  </si>
  <si>
    <t>Brenton</t>
  </si>
  <si>
    <t>Linda</t>
  </si>
  <si>
    <t>121.69695-2804-55560000000-1234</t>
  </si>
  <si>
    <t>Knight</t>
  </si>
  <si>
    <t>Michele</t>
  </si>
  <si>
    <t>225.86695-2804-55560000000-1232</t>
  </si>
  <si>
    <t>Bayer</t>
  </si>
  <si>
    <t>Janelle</t>
  </si>
  <si>
    <t>133.76695-2404-53610000000-1231</t>
  </si>
  <si>
    <t>Ponson</t>
  </si>
  <si>
    <t>Aaron</t>
  </si>
  <si>
    <t>1120.11695-2806-51780000000-1231</t>
  </si>
  <si>
    <t>Earle</t>
  </si>
  <si>
    <t>Amber</t>
  </si>
  <si>
    <t>167.42695-5000-53420000000-1231</t>
  </si>
  <si>
    <t>Johnson</t>
  </si>
  <si>
    <t>Annette</t>
  </si>
  <si>
    <t>151.01695-2002-52790000000-1232</t>
  </si>
  <si>
    <t>Redmond</t>
  </si>
  <si>
    <t>Ashley</t>
  </si>
  <si>
    <t>469.11695-2806-51780000000-1233</t>
  </si>
  <si>
    <t>Sandhu</t>
  </si>
  <si>
    <t>Bernadine</t>
  </si>
  <si>
    <t>142.01695-2806-51780000000-1234</t>
  </si>
  <si>
    <t>Aliesmaeli</t>
  </si>
  <si>
    <t>Christine</t>
  </si>
  <si>
    <t>63.36695-2806-51780000000-1238</t>
  </si>
  <si>
    <t>Beatie</t>
  </si>
  <si>
    <t>Dana</t>
  </si>
  <si>
    <t>694.45695-2004-51490000000-1232</t>
  </si>
  <si>
    <t>Beaver</t>
  </si>
  <si>
    <t>Daniel</t>
  </si>
  <si>
    <t>1242.41695-3301-59560000000-1231</t>
  </si>
  <si>
    <t>Byrd</t>
  </si>
  <si>
    <t>Dee</t>
  </si>
  <si>
    <t>71.72695-3301-59560000000-1232</t>
  </si>
  <si>
    <t>Carli</t>
  </si>
  <si>
    <t>Donna</t>
  </si>
  <si>
    <t>669.2695-3301-59560000000-1233</t>
  </si>
  <si>
    <t>Caro</t>
  </si>
  <si>
    <t>Elvira</t>
  </si>
  <si>
    <t>180.11695-3301-59560000000-1234</t>
  </si>
  <si>
    <t>Forbes</t>
  </si>
  <si>
    <t>Francine</t>
  </si>
  <si>
    <t>200.11695-5000-53420000000-1231</t>
  </si>
  <si>
    <t>Quintana</t>
  </si>
  <si>
    <t>Grace</t>
  </si>
  <si>
    <t>76.31695-2806-51780000000-1232</t>
  </si>
  <si>
    <t>Litmer</t>
  </si>
  <si>
    <t>Hazel</t>
  </si>
  <si>
    <t>576.11695-2002-52790000000-1233</t>
  </si>
  <si>
    <t>Kenniger</t>
  </si>
  <si>
    <t>Helen</t>
  </si>
  <si>
    <t>288.11695-2301-52790000000-1231</t>
  </si>
  <si>
    <t>Spencer</t>
  </si>
  <si>
    <t>Hilde</t>
  </si>
  <si>
    <t>8.88695-2806-51780000000-1236</t>
  </si>
  <si>
    <t>MacInnis</t>
  </si>
  <si>
    <t>Jennifer</t>
  </si>
  <si>
    <t>354.28695-2695-59330000000-1231</t>
  </si>
  <si>
    <t>Mottlova</t>
  </si>
  <si>
    <t>55.8695-2695-59330000000-1232</t>
  </si>
  <si>
    <t>Nielson</t>
  </si>
  <si>
    <t>Jessica</t>
  </si>
  <si>
    <t>70.95695-2804-55560000000-1231</t>
  </si>
  <si>
    <t>Lawrence</t>
  </si>
  <si>
    <t>John</t>
  </si>
  <si>
    <t>156.41695-2804-55560000000-1233</t>
  </si>
  <si>
    <t>Rojo</t>
  </si>
  <si>
    <t>Joleen</t>
  </si>
  <si>
    <t>1567.11695-2200-50630000000-1231</t>
  </si>
  <si>
    <t>Rollings</t>
  </si>
  <si>
    <t>Josene</t>
  </si>
  <si>
    <t>35.55695-2200-50630000000-1232</t>
  </si>
  <si>
    <t>Sutter</t>
  </si>
  <si>
    <t>Karen</t>
  </si>
  <si>
    <t>67.95695-2200-50630000000-1233</t>
  </si>
  <si>
    <t>VanDann</t>
  </si>
  <si>
    <t>Katherine</t>
  </si>
  <si>
    <t>301.5695-2200-50630000000-1234</t>
  </si>
  <si>
    <t>Riggs</t>
  </si>
  <si>
    <t>Kimberly</t>
  </si>
  <si>
    <t>173.6695-2200-50630000000-1236</t>
  </si>
  <si>
    <t>Ackermann</t>
  </si>
  <si>
    <t>Kingsley</t>
  </si>
  <si>
    <t>1410.11695-2804-55560000000-1231</t>
  </si>
  <si>
    <t>Austin</t>
  </si>
  <si>
    <t>Krista</t>
  </si>
  <si>
    <t>241.2695-2804-55560000000-1232</t>
  </si>
  <si>
    <t>Baldry</t>
  </si>
  <si>
    <t>Laura</t>
  </si>
  <si>
    <t>146.2695-2804-55560000000-1233</t>
  </si>
  <si>
    <t>Essenfeld</t>
  </si>
  <si>
    <t>Luciana</t>
  </si>
  <si>
    <t>301.14695-2804-55560000000-1236</t>
  </si>
  <si>
    <t>Kinnan</t>
  </si>
  <si>
    <t>Mable</t>
  </si>
  <si>
    <t>35.8695-2002-52790000000-1231</t>
  </si>
  <si>
    <t>Gaines</t>
  </si>
  <si>
    <t>Mahdokht</t>
  </si>
  <si>
    <t>75.11695-2804-55560000000-1237</t>
  </si>
  <si>
    <t>Drinkhouse</t>
  </si>
  <si>
    <t>Mai</t>
  </si>
  <si>
    <t>347.22695-2804-55560000000-1235</t>
  </si>
  <si>
    <t>Garcia</t>
  </si>
  <si>
    <t>Maria</t>
  </si>
  <si>
    <t>93.6695-2804-55560000000-1238</t>
  </si>
  <si>
    <t>Goldberg</t>
  </si>
  <si>
    <t>1704.55695-2119-57680000000-1231</t>
  </si>
  <si>
    <t>Graber</t>
  </si>
  <si>
    <t>Marissa</t>
  </si>
  <si>
    <t>6.113695-2119-57680000000-1232</t>
  </si>
  <si>
    <t>Holmquist</t>
  </si>
  <si>
    <t>Mary</t>
  </si>
  <si>
    <t>255.11695-2119-57680000000-1233</t>
  </si>
  <si>
    <t>Huff</t>
  </si>
  <si>
    <t>Maryam</t>
  </si>
  <si>
    <t>20.76695-2119-57680000000-1234</t>
  </si>
  <si>
    <t>Juris</t>
  </si>
  <si>
    <t>Melissa</t>
  </si>
  <si>
    <t>172.11695-2119-57680000000-1236</t>
  </si>
  <si>
    <t>Keys</t>
  </si>
  <si>
    <t>Melody</t>
  </si>
  <si>
    <t>176.11695-2804-55560000000-1231</t>
  </si>
  <si>
    <t>Laughlin</t>
  </si>
  <si>
    <t>Miriam</t>
  </si>
  <si>
    <t>41.64695-2804-55560000000-1233</t>
  </si>
  <si>
    <t>Iyere</t>
  </si>
  <si>
    <t>Paul</t>
  </si>
  <si>
    <t>59.25695-2119-57680000000-1235</t>
  </si>
  <si>
    <t>Roberts</t>
  </si>
  <si>
    <t>446.13695-2200-50630000000-1237</t>
  </si>
  <si>
    <t>Santos</t>
  </si>
  <si>
    <t>Robert</t>
  </si>
  <si>
    <t>79.47695-2806-51780000000-1235</t>
  </si>
  <si>
    <t>Salary</t>
  </si>
  <si>
    <t>GrantNbr</t>
  </si>
  <si>
    <t>GrantName</t>
  </si>
  <si>
    <t>Overhead</t>
  </si>
  <si>
    <t>Chemistry Total</t>
  </si>
  <si>
    <t>BioFuel Total</t>
  </si>
  <si>
    <t>Robotics Total</t>
  </si>
  <si>
    <t>Applied Materials Total</t>
  </si>
  <si>
    <t>Stop Smoking Total</t>
  </si>
  <si>
    <t>Math Instruction Total</t>
  </si>
  <si>
    <t>Volunteer Programs Total</t>
  </si>
  <si>
    <t>Graphic Images Total</t>
  </si>
  <si>
    <t>State History Total</t>
  </si>
  <si>
    <t>Building Levees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</si>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</sst>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applyFont="1" applyFill="1" applyBorder="1"/>
    <xf numFmtId="164" fontId="0" fillId="0" borderId="0" xfId="2" applyNumberFormat="1" applyFont="1" applyFill="1" applyBorder="1"/>
    <xf numFmtId="0" fontId="1" fillId="0" borderId="0" xfId="0" applyFont="1" applyFill="1" applyBorder="1"/>
    <xf numFmtId="0" fontId="7" fillId="2" borderId="0" xfId="0" applyFont="1" applyFill="1" applyBorder="1"/>
    <xf numFmtId="0" fontId="7" fillId="2" borderId="2" xfId="0" applyFont="1" applyFill="1" applyBorder="1"/>
    <xf numFmtId="0" fontId="6" fillId="2" borderId="2" xfId="0" applyFont="1" applyFill="1" applyBorder="1"/>
    <xf numFmtId="0" fontId="8" fillId="3" borderId="3" xfId="0" applyFont="1" applyFill="1" applyBorder="1"/>
    <xf numFmtId="0" fontId="8" fillId="3" borderId="1" xfId="0" applyFont="1" applyFill="1" applyBorder="1"/>
    <xf numFmtId="44" fontId="8" fillId="3" borderId="1" xfId="2" applyNumberFormat="1" applyFont="1" applyFill="1" applyBorder="1"/>
    <xf numFmtId="164" fontId="8" fillId="3" borderId="1" xfId="2" applyNumberFormat="1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44" fontId="8" fillId="4" borderId="5" xfId="2" applyNumberFormat="1" applyFont="1" applyFill="1" applyBorder="1"/>
    <xf numFmtId="164" fontId="8" fillId="4" borderId="5" xfId="2" applyNumberFormat="1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44" fontId="8" fillId="3" borderId="5" xfId="2" applyNumberFormat="1" applyFont="1" applyFill="1" applyBorder="1"/>
    <xf numFmtId="164" fontId="8" fillId="3" borderId="5" xfId="2" applyNumberFormat="1" applyFont="1" applyFill="1" applyBorder="1"/>
    <xf numFmtId="164" fontId="9" fillId="3" borderId="5" xfId="2" applyNumberFormat="1" applyFont="1" applyFill="1" applyBorder="1"/>
    <xf numFmtId="164" fontId="9" fillId="4" borderId="5" xfId="2" applyNumberFormat="1" applyFont="1" applyFill="1" applyBorder="1"/>
    <xf numFmtId="0" fontId="8" fillId="3" borderId="0" xfId="0" applyFont="1" applyFill="1" applyBorder="1"/>
    <xf numFmtId="44" fontId="8" fillId="3" borderId="0" xfId="2" applyNumberFormat="1" applyFont="1" applyFill="1" applyBorder="1"/>
    <xf numFmtId="164" fontId="8" fillId="3" borderId="0" xfId="2" applyNumberFormat="1" applyFont="1" applyFill="1" applyBorder="1"/>
    <xf numFmtId="164" fontId="9" fillId="3" borderId="0" xfId="2" applyNumberFormat="1" applyFont="1" applyFill="1" applyBorder="1"/>
    <xf numFmtId="0" fontId="5" fillId="0" borderId="0" xfId="0" applyFont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2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&quot;$&quot;* #,##0.00_-;\-&quot;$&quot;* #,##0.00_-;_-&quot;$&quot;* &quot;-&quot;??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&quot;$&quot;* #,##0.00_-;\-&quot;$&quot;* #,##0.00_-;_-&quot;$&quot;* &quot;-&quot;??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5" displayName="Table15" ref="C1:E53" totalsRowCount="1">
  <autoFilter ref="C1:E52"/>
  <sortState ref="C2:E52">
    <sortCondition ref="C1:C52"/>
  </sortState>
  <tableColumns count="3">
    <tableColumn id="1" name="LastName" totalsRowFunction="count" dataDxfId="2">
      <calculatedColumnFormula>TRIM(MID(A2, FIND(" ", A2), (FIND(" ", A2, FIND(" ", A2) +1))-FIND(" ", A2)))</calculatedColumnFormula>
    </tableColumn>
    <tableColumn id="2" name="FirstName" dataDxfId="1">
      <calculatedColumnFormula>TRIM(LEFT(A2,FIND(" ",A2)))</calculatedColumnFormula>
    </tableColumn>
    <tableColumn id="3" name="GrantData" dataDxfId="0">
      <calculatedColumnFormula>RIGHT(A2,LEN(A2)-MIN(FIND({1,2,3,4,5,6,7,8,9,0},A2&amp;"1234567890"))+1)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OverheadCalculation" displayName="OverheadCalculation" ref="A1:D53" totalsRowCount="1">
  <autoFilter ref="A1:D52">
    <filterColumn colId="0" hiddenButton="1"/>
    <filterColumn colId="1" hiddenButton="1"/>
    <filterColumn colId="2" hiddenButton="1"/>
    <filterColumn colId="3" hiddenButton="1"/>
  </autoFilter>
  <sortState ref="A2:C52">
    <sortCondition ref="A1:A52"/>
  </sortState>
  <tableColumns count="4">
    <tableColumn id="1" name="LastName" totalsRowFunction="count"/>
    <tableColumn id="2" name="FirstName"/>
    <tableColumn id="4" name="Salary" dataDxfId="22" dataCellStyle="Currency">
      <calculatedColumnFormula>DOLLAR(LEFT(OverheadCalculation[[#This Row],[GrantData]], FIND("-",OverheadCalculation[[#This Row],[GrantData]])- 1), 2)</calculatedColumnFormula>
    </tableColumn>
    <tableColumn id="3" name="GrantDa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OverheadCalculation14" displayName="OverheadCalculation14" ref="A1:E53" totalsRowCount="1">
  <autoFilter ref="A1:E52">
    <filterColumn colId="0" hiddenButton="1"/>
    <filterColumn colId="1" hiddenButton="1"/>
    <filterColumn colId="2" hiddenButton="1"/>
    <filterColumn colId="3" hiddenButton="1"/>
    <filterColumn colId="4" hiddenButton="1"/>
  </autoFilter>
  <sortState ref="A2:C52">
    <sortCondition ref="A1:A52"/>
  </sortState>
  <tableColumns count="5">
    <tableColumn id="1" name="LastName" totalsRowFunction="count"/>
    <tableColumn id="2" name="FirstName"/>
    <tableColumn id="4" name="Salary" dataDxfId="21" dataCellStyle="Currency">
      <calculatedColumnFormula>DOLLAR(LEFT(OverheadCalculation14[[#This Row],[GrantData]], FIND("-",OverheadCalculation14[[#This Row],[GrantData]])- 1), 2)</calculatedColumnFormula>
    </tableColumn>
    <tableColumn id="5" name="GrantNbr" dataDxfId="20" dataCellStyle="Currency">
      <calculatedColumnFormula>MID(OverheadCalculation14[[#This Row],[GrantData]], FIND("-",OverheadCalculation14[[#This Row],[GrantData]], FIND("-",OverheadCalculation14[[#This Row],[GrantData]])+1)+1, 4)</calculatedColumnFormula>
    </tableColumn>
    <tableColumn id="3" name="GrantDat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OverheadCalculation143" displayName="OverheadCalculation143" ref="A1:F53" totalsRowCount="1">
  <autoFilter ref="A1:F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ref="A2:C52">
    <sortCondition ref="A1:A52"/>
  </sortState>
  <tableColumns count="6">
    <tableColumn id="1" name="LastName" totalsRowFunction="count"/>
    <tableColumn id="2" name="FirstName"/>
    <tableColumn id="4" name="Salary" dataDxfId="19" dataCellStyle="Currency">
      <calculatedColumnFormula>DOLLAR(LEFT(OverheadCalculation143[[#This Row],[GrantData]], FIND("-",OverheadCalculation143[[#This Row],[GrantData]])- 1), 2)</calculatedColumnFormula>
    </tableColumn>
    <tableColumn id="5" name="GrantNbr" dataDxfId="18" dataCellStyle="Currency">
      <calculatedColumnFormula>MID(OverheadCalculation143[[#This Row],[GrantData]], FIND("-",OverheadCalculation143[[#This Row],[GrantData]], FIND("-",OverheadCalculation143[[#This Row],[GrantData]])+1)+1, 4)</calculatedColumnFormula>
    </tableColumn>
    <tableColumn id="6" name="GrantName" dataDxfId="17" dataCellStyle="Currency">
      <calculatedColumnFormula>VLOOKUP(OverheadCalculation143[[#This Row],[GrantNbr]],GrantInfo, 2)</calculatedColumnFormula>
    </tableColumn>
    <tableColumn id="3" name="GrantDat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OverheadCalculation1434" displayName="OverheadCalculation1434" ref="A1:G53" totalsRowCount="1">
  <autoFilter ref="A1:G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A2:C52">
    <sortCondition ref="A1:A52"/>
  </sortState>
  <tableColumns count="7">
    <tableColumn id="1" name="LastName" totalsRowFunction="count"/>
    <tableColumn id="2" name="FirstName"/>
    <tableColumn id="4" name="Salary" dataDxfId="16" dataCellStyle="Currency">
      <calculatedColumnFormula>DOLLAR(LEFT(OverheadCalculation1434[[#This Row],[GrantData]], FIND("-",OverheadCalculation1434[[#This Row],[GrantData]])- 1), 2)</calculatedColumnFormula>
    </tableColumn>
    <tableColumn id="5" name="GrantNbr" dataDxfId="15" dataCellStyle="Currency">
      <calculatedColumnFormula>MID(OverheadCalculation1434[[#This Row],[GrantData]], FIND("-",OverheadCalculation1434[[#This Row],[GrantData]], FIND("-",OverheadCalculation1434[[#This Row],[GrantData]])+1)+1, 4)</calculatedColumnFormula>
    </tableColumn>
    <tableColumn id="6" name="GrantName" dataDxfId="14" dataCellStyle="Currency">
      <calculatedColumnFormula>VLOOKUP(OverheadCalculation1434[[#This Row],[GrantNbr]],GrantInfo, 2)</calculatedColumnFormula>
    </tableColumn>
    <tableColumn id="7" name="Overhead" dataDxfId="13" dataCellStyle="Currency">
      <calculatedColumnFormula>VLOOKUP(OverheadCalculation1434[[#This Row],[GrantNbr]],GrantInfo,3)*OverheadCalculation1434[[#This Row],[Salary]]</calculatedColumnFormula>
    </tableColumn>
    <tableColumn id="3" name="GrantDat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G52" totalsRowShown="0" headerRowDxfId="12" dataDxfId="11" tableBorderDxfId="10" dataCellStyle="Currency">
  <autoFilter ref="A1:G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LastName" dataDxfId="9"/>
    <tableColumn id="2" name="FirstName" dataDxfId="8"/>
    <tableColumn id="3" name="Salary" dataDxfId="7" dataCellStyle="Currency">
      <calculatedColumnFormula>_xlfn.NUMBERVALUE(LEFT('Step g'!$G2, FIND("-",'Step g'!$G2)- 1))</calculatedColumnFormula>
    </tableColumn>
    <tableColumn id="4" name="GrantNbr" dataDxfId="6" dataCellStyle="Currency">
      <calculatedColumnFormula>MID('Step g'!$G2, FIND("-",'Step g'!$G2, FIND("-",'Step g'!$G2)+1)+1, 4)</calculatedColumnFormula>
    </tableColumn>
    <tableColumn id="5" name="GrantName" dataDxfId="5" dataCellStyle="Currency">
      <calculatedColumnFormula>VLOOKUP('Step g'!$D2,GrantInfo, 2)</calculatedColumnFormula>
    </tableColumn>
    <tableColumn id="6" name="Overhead" dataDxfId="4" dataCellStyle="Currency">
      <calculatedColumnFormula>VLOOKUP('Step g'!$D2,GrantInfo,3)*'Step g'!$C2</calculatedColumnFormula>
    </tableColumn>
    <tableColumn id="7" name="GrantData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G1"/>
    </sheetView>
  </sheetViews>
  <sheetFormatPr defaultRowHeight="12.75" x14ac:dyDescent="0.2"/>
  <cols>
    <col min="1" max="1" width="14.7109375" bestFit="1" customWidth="1"/>
    <col min="2" max="2" width="9.7109375" bestFit="1" customWidth="1"/>
  </cols>
  <sheetData>
    <row r="1" spans="1:7" x14ac:dyDescent="0.2">
      <c r="A1" s="33" t="s">
        <v>80</v>
      </c>
      <c r="B1" s="33"/>
      <c r="C1" s="33"/>
      <c r="D1" s="33"/>
      <c r="E1" s="33"/>
      <c r="F1" s="33"/>
      <c r="G1" s="33"/>
    </row>
    <row r="3" spans="1:7" x14ac:dyDescent="0.2">
      <c r="A3" s="8" t="s">
        <v>79</v>
      </c>
      <c r="B3">
        <v>1</v>
      </c>
    </row>
    <row r="4" spans="1:7" x14ac:dyDescent="0.2">
      <c r="A4" t="s">
        <v>75</v>
      </c>
      <c r="B4" t="s">
        <v>76</v>
      </c>
    </row>
    <row r="5" spans="1:7" x14ac:dyDescent="0.2">
      <c r="A5" t="s">
        <v>78</v>
      </c>
      <c r="B5" s="7">
        <f ca="1">TODAY()</f>
        <v>42561</v>
      </c>
    </row>
    <row r="6" spans="1:7" x14ac:dyDescent="0.2">
      <c r="A6" t="s">
        <v>77</v>
      </c>
      <c r="B6" s="7">
        <v>42556</v>
      </c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/>
  </sheetViews>
  <sheetFormatPr defaultRowHeight="12.75" outlineLevelRow="2" x14ac:dyDescent="0.2"/>
  <cols>
    <col min="1" max="1" width="10.42578125" bestFit="1" customWidth="1"/>
    <col min="2" max="2" width="10.140625" bestFit="1" customWidth="1"/>
    <col min="3" max="3" width="10.28515625" bestFit="1" customWidth="1"/>
    <col min="4" max="4" width="9.140625" bestFit="1" customWidth="1"/>
    <col min="5" max="5" width="24.7109375" bestFit="1" customWidth="1"/>
    <col min="6" max="6" width="10.28515625" bestFit="1" customWidth="1"/>
    <col min="7" max="7" width="32" bestFit="1" customWidth="1"/>
  </cols>
  <sheetData>
    <row r="1" spans="1:7" ht="13.5" thickBot="1" x14ac:dyDescent="0.25">
      <c r="A1" s="12" t="s">
        <v>88</v>
      </c>
      <c r="B1" s="13" t="s">
        <v>89</v>
      </c>
      <c r="C1" s="13" t="s">
        <v>285</v>
      </c>
      <c r="D1" s="13" t="s">
        <v>286</v>
      </c>
      <c r="E1" s="14" t="s">
        <v>287</v>
      </c>
      <c r="F1" s="14" t="s">
        <v>288</v>
      </c>
      <c r="G1" s="13" t="s">
        <v>90</v>
      </c>
    </row>
    <row r="2" spans="1:7" ht="13.5" outlineLevel="2" thickTop="1" x14ac:dyDescent="0.2">
      <c r="A2" s="15" t="s">
        <v>218</v>
      </c>
      <c r="B2" s="16" t="s">
        <v>219</v>
      </c>
      <c r="C2" s="17">
        <f>_xlfn.NUMBERVALUE(LEFT('Step h'!$G2, FIND("-",'Step h'!$G2)- 1))</f>
        <v>1567.1169500000001</v>
      </c>
      <c r="D2" s="18" t="str">
        <f>MID('Step h'!$G2, FIND("-",'Step h'!$G2, FIND("-",'Step h'!$G2)+1)+1, 4)</f>
        <v>5063</v>
      </c>
      <c r="E2" s="18" t="str">
        <f>VLOOKUP('Step h'!$D2,GrantInfo, 2)</f>
        <v>Chemistry</v>
      </c>
      <c r="F2" s="17">
        <f>VLOOKUP('Step h'!$D2,GrantInfo,3)*'Step h'!$C2</f>
        <v>470.135085</v>
      </c>
      <c r="G2" s="16" t="s">
        <v>220</v>
      </c>
    </row>
    <row r="3" spans="1:7" outlineLevel="2" x14ac:dyDescent="0.2">
      <c r="A3" s="19" t="s">
        <v>147</v>
      </c>
      <c r="B3" s="20" t="s">
        <v>148</v>
      </c>
      <c r="C3" s="21">
        <f>_xlfn.NUMBERVALUE(LEFT('Step h'!$G3, FIND("-",'Step h'!$G3)- 1))</f>
        <v>1040.5869499999999</v>
      </c>
      <c r="D3" s="22" t="str">
        <f>MID('Step h'!$G3, FIND("-",'Step h'!$G3, FIND("-",'Step h'!$G3)+1)+1, 4)</f>
        <v>5063</v>
      </c>
      <c r="E3" s="22" t="str">
        <f>VLOOKUP('Step h'!$D3,GrantInfo, 2)</f>
        <v>Chemistry</v>
      </c>
      <c r="F3" s="21">
        <f>VLOOKUP('Step h'!$D3,GrantInfo,3)*'Step h'!$C3</f>
        <v>312.17608499999994</v>
      </c>
      <c r="G3" s="20" t="s">
        <v>149</v>
      </c>
    </row>
    <row r="4" spans="1:7" outlineLevel="2" x14ac:dyDescent="0.2">
      <c r="A4" s="23" t="s">
        <v>280</v>
      </c>
      <c r="B4" s="24" t="s">
        <v>278</v>
      </c>
      <c r="C4" s="25">
        <f>_xlfn.NUMBERVALUE(LEFT('Step h'!$G4, FIND("-",'Step h'!$G4)- 1))</f>
        <v>446.13695000000001</v>
      </c>
      <c r="D4" s="26" t="str">
        <f>MID('Step h'!$G4, FIND("-",'Step h'!$G4, FIND("-",'Step h'!$G4)+1)+1, 4)</f>
        <v>5063</v>
      </c>
      <c r="E4" s="26" t="str">
        <f>VLOOKUP('Step h'!$D4,GrantInfo, 2)</f>
        <v>Chemistry</v>
      </c>
      <c r="F4" s="25">
        <f>VLOOKUP('Step h'!$D4,GrantInfo,3)*'Step h'!$C4</f>
        <v>133.84108499999999</v>
      </c>
      <c r="G4" s="24" t="s">
        <v>281</v>
      </c>
    </row>
    <row r="5" spans="1:7" outlineLevel="2" x14ac:dyDescent="0.2">
      <c r="A5" s="19" t="s">
        <v>227</v>
      </c>
      <c r="B5" s="20" t="s">
        <v>228</v>
      </c>
      <c r="C5" s="21">
        <f>_xlfn.NUMBERVALUE(LEFT('Step h'!$G5, FIND("-",'Step h'!$G5)- 1))</f>
        <v>301.56950000000001</v>
      </c>
      <c r="D5" s="22" t="str">
        <f>MID('Step h'!$G5, FIND("-",'Step h'!$G5, FIND("-",'Step h'!$G5)+1)+1, 4)</f>
        <v>5063</v>
      </c>
      <c r="E5" s="22" t="str">
        <f>VLOOKUP('Step h'!$D5,GrantInfo, 2)</f>
        <v>Chemistry</v>
      </c>
      <c r="F5" s="21">
        <f>VLOOKUP('Step h'!$D5,GrantInfo,3)*'Step h'!$C5</f>
        <v>90.470849999999999</v>
      </c>
      <c r="G5" s="20" t="s">
        <v>229</v>
      </c>
    </row>
    <row r="6" spans="1:7" outlineLevel="2" x14ac:dyDescent="0.2">
      <c r="A6" s="23" t="s">
        <v>230</v>
      </c>
      <c r="B6" s="24" t="s">
        <v>231</v>
      </c>
      <c r="C6" s="25">
        <f>_xlfn.NUMBERVALUE(LEFT('Step h'!$G6, FIND("-",'Step h'!$G6)- 1))</f>
        <v>173.6695</v>
      </c>
      <c r="D6" s="26" t="str">
        <f>MID('Step h'!$G6, FIND("-",'Step h'!$G6, FIND("-",'Step h'!$G6)+1)+1, 4)</f>
        <v>5063</v>
      </c>
      <c r="E6" s="26" t="str">
        <f>VLOOKUP('Step h'!$D6,GrantInfo, 2)</f>
        <v>Chemistry</v>
      </c>
      <c r="F6" s="25">
        <f>VLOOKUP('Step h'!$D6,GrantInfo,3)*'Step h'!$C6</f>
        <v>52.100850000000001</v>
      </c>
      <c r="G6" s="24" t="s">
        <v>232</v>
      </c>
    </row>
    <row r="7" spans="1:7" outlineLevel="2" x14ac:dyDescent="0.2">
      <c r="A7" s="19" t="s">
        <v>224</v>
      </c>
      <c r="B7" s="20" t="s">
        <v>225</v>
      </c>
      <c r="C7" s="21">
        <f>_xlfn.NUMBERVALUE(LEFT('Step h'!$G7, FIND("-",'Step h'!$G7)- 1))</f>
        <v>67.956950000000006</v>
      </c>
      <c r="D7" s="22" t="str">
        <f>MID('Step h'!$G7, FIND("-",'Step h'!$G7, FIND("-",'Step h'!$G7)+1)+1, 4)</f>
        <v>5063</v>
      </c>
      <c r="E7" s="22" t="str">
        <f>VLOOKUP('Step h'!$D7,GrantInfo, 2)</f>
        <v>Chemistry</v>
      </c>
      <c r="F7" s="21">
        <f>VLOOKUP('Step h'!$D7,GrantInfo,3)*'Step h'!$C7</f>
        <v>20.387085000000003</v>
      </c>
      <c r="G7" s="20" t="s">
        <v>226</v>
      </c>
    </row>
    <row r="8" spans="1:7" outlineLevel="2" x14ac:dyDescent="0.2">
      <c r="A8" s="23" t="s">
        <v>221</v>
      </c>
      <c r="B8" s="24" t="s">
        <v>222</v>
      </c>
      <c r="C8" s="25">
        <f>_xlfn.NUMBERVALUE(LEFT('Step h'!$G8, FIND("-",'Step h'!$G8)- 1))</f>
        <v>35.556950000000001</v>
      </c>
      <c r="D8" s="26" t="str">
        <f>MID('Step h'!$G8, FIND("-",'Step h'!$G8, FIND("-",'Step h'!$G8)+1)+1, 4)</f>
        <v>5063</v>
      </c>
      <c r="E8" s="26" t="str">
        <f>VLOOKUP('Step h'!$D8,GrantInfo, 2)</f>
        <v>Chemistry</v>
      </c>
      <c r="F8" s="25">
        <f>VLOOKUP('Step h'!$D8,GrantInfo,3)*'Step h'!$C8</f>
        <v>10.667085</v>
      </c>
      <c r="G8" s="24" t="s">
        <v>223</v>
      </c>
    </row>
    <row r="9" spans="1:7" outlineLevel="1" x14ac:dyDescent="0.2">
      <c r="A9" s="23"/>
      <c r="B9" s="24"/>
      <c r="C9" s="25"/>
      <c r="D9" s="26"/>
      <c r="E9" s="27" t="s">
        <v>289</v>
      </c>
      <c r="F9" s="25">
        <f>SUBTOTAL(9,F2:F8)</f>
        <v>1089.778125</v>
      </c>
      <c r="G9" s="24"/>
    </row>
    <row r="10" spans="1:7" outlineLevel="2" x14ac:dyDescent="0.2">
      <c r="A10" s="19" t="s">
        <v>144</v>
      </c>
      <c r="B10" s="20" t="s">
        <v>145</v>
      </c>
      <c r="C10" s="21">
        <f>_xlfn.NUMBERVALUE(LEFT('Step h'!$G10, FIND("-",'Step h'!$G10)- 1))</f>
        <v>1025.1169500000001</v>
      </c>
      <c r="D10" s="22" t="str">
        <f>MID('Step h'!$G10, FIND("-",'Step h'!$G10, FIND("-",'Step h'!$G10)+1)+1, 4)</f>
        <v>5149</v>
      </c>
      <c r="E10" s="22" t="str">
        <f>VLOOKUP('Step h'!$D10,GrantInfo, 2)</f>
        <v>BioFuel</v>
      </c>
      <c r="F10" s="21">
        <f>VLOOKUP('Step h'!$D10,GrantInfo,3)*'Step h'!$C10</f>
        <v>307.53508500000004</v>
      </c>
      <c r="G10" s="20" t="s">
        <v>146</v>
      </c>
    </row>
    <row r="11" spans="1:7" outlineLevel="2" x14ac:dyDescent="0.2">
      <c r="A11" s="23" t="s">
        <v>177</v>
      </c>
      <c r="B11" s="24" t="s">
        <v>178</v>
      </c>
      <c r="C11" s="25">
        <f>_xlfn.NUMBERVALUE(LEFT('Step h'!$G11, FIND("-",'Step h'!$G11)- 1))</f>
        <v>694.45695000000001</v>
      </c>
      <c r="D11" s="26" t="str">
        <f>MID('Step h'!$G11, FIND("-",'Step h'!$G11, FIND("-",'Step h'!$G11)+1)+1, 4)</f>
        <v>5149</v>
      </c>
      <c r="E11" s="26" t="str">
        <f>VLOOKUP('Step h'!$D11,GrantInfo, 2)</f>
        <v>BioFuel</v>
      </c>
      <c r="F11" s="25">
        <f>VLOOKUP('Step h'!$D11,GrantInfo,3)*'Step h'!$C11</f>
        <v>208.337085</v>
      </c>
      <c r="G11" s="24" t="s">
        <v>179</v>
      </c>
    </row>
    <row r="12" spans="1:7" outlineLevel="1" x14ac:dyDescent="0.2">
      <c r="A12" s="23"/>
      <c r="B12" s="24"/>
      <c r="C12" s="25"/>
      <c r="D12" s="26"/>
      <c r="E12" s="27" t="s">
        <v>290</v>
      </c>
      <c r="F12" s="25">
        <f>SUBTOTAL(9,F10:F11)</f>
        <v>515.8721700000001</v>
      </c>
      <c r="G12" s="24"/>
    </row>
    <row r="13" spans="1:7" outlineLevel="2" x14ac:dyDescent="0.2">
      <c r="A13" s="19" t="s">
        <v>159</v>
      </c>
      <c r="B13" s="20" t="s">
        <v>160</v>
      </c>
      <c r="C13" s="21">
        <f>_xlfn.NUMBERVALUE(LEFT('Step h'!$G13, FIND("-",'Step h'!$G13)- 1))</f>
        <v>1120.1169500000001</v>
      </c>
      <c r="D13" s="22" t="str">
        <f>MID('Step h'!$G13, FIND("-",'Step h'!$G13, FIND("-",'Step h'!$G13)+1)+1, 4)</f>
        <v>5178</v>
      </c>
      <c r="E13" s="22" t="str">
        <f>VLOOKUP('Step h'!$D13,GrantInfo, 2)</f>
        <v>Robotics</v>
      </c>
      <c r="F13" s="21">
        <f>VLOOKUP('Step h'!$D13,GrantInfo,3)*'Step h'!$C13</f>
        <v>336.03508500000004</v>
      </c>
      <c r="G13" s="20" t="s">
        <v>161</v>
      </c>
    </row>
    <row r="14" spans="1:7" outlineLevel="2" x14ac:dyDescent="0.2">
      <c r="A14" s="23" t="s">
        <v>168</v>
      </c>
      <c r="B14" s="24" t="s">
        <v>169</v>
      </c>
      <c r="C14" s="25">
        <f>_xlfn.NUMBERVALUE(LEFT('Step h'!$G14, FIND("-",'Step h'!$G14)- 1))</f>
        <v>469.11694999999997</v>
      </c>
      <c r="D14" s="26" t="str">
        <f>MID('Step h'!$G14, FIND("-",'Step h'!$G14, FIND("-",'Step h'!$G14)+1)+1, 4)</f>
        <v>5178</v>
      </c>
      <c r="E14" s="26" t="str">
        <f>VLOOKUP('Step h'!$D14,GrantInfo, 2)</f>
        <v>Robotics</v>
      </c>
      <c r="F14" s="25">
        <f>VLOOKUP('Step h'!$D14,GrantInfo,3)*'Step h'!$C14</f>
        <v>140.735085</v>
      </c>
      <c r="G14" s="24" t="s">
        <v>170</v>
      </c>
    </row>
    <row r="15" spans="1:7" outlineLevel="2" x14ac:dyDescent="0.2">
      <c r="A15" s="19" t="s">
        <v>171</v>
      </c>
      <c r="B15" s="20" t="s">
        <v>172</v>
      </c>
      <c r="C15" s="21">
        <f>_xlfn.NUMBERVALUE(LEFT('Step h'!$G15, FIND("-",'Step h'!$G15)- 1))</f>
        <v>142.01695000000001</v>
      </c>
      <c r="D15" s="22" t="str">
        <f>MID('Step h'!$G15, FIND("-",'Step h'!$G15, FIND("-",'Step h'!$G15)+1)+1, 4)</f>
        <v>5178</v>
      </c>
      <c r="E15" s="22" t="str">
        <f>VLOOKUP('Step h'!$D15,GrantInfo, 2)</f>
        <v>Robotics</v>
      </c>
      <c r="F15" s="21">
        <f>VLOOKUP('Step h'!$D15,GrantInfo,3)*'Step h'!$C15</f>
        <v>42.605085000000003</v>
      </c>
      <c r="G15" s="20" t="s">
        <v>173</v>
      </c>
    </row>
    <row r="16" spans="1:7" outlineLevel="2" x14ac:dyDescent="0.2">
      <c r="A16" s="23" t="s">
        <v>282</v>
      </c>
      <c r="B16" s="24" t="s">
        <v>283</v>
      </c>
      <c r="C16" s="25">
        <f>_xlfn.NUMBERVALUE(LEFT('Step h'!$G16, FIND("-",'Step h'!$G16)- 1))</f>
        <v>79.476950000000002</v>
      </c>
      <c r="D16" s="26" t="str">
        <f>MID('Step h'!$G16, FIND("-",'Step h'!$G16, FIND("-",'Step h'!$G16)+1)+1, 4)</f>
        <v>5178</v>
      </c>
      <c r="E16" s="26" t="str">
        <f>VLOOKUP('Step h'!$D16,GrantInfo, 2)</f>
        <v>Robotics</v>
      </c>
      <c r="F16" s="25">
        <f>VLOOKUP('Step h'!$D16,GrantInfo,3)*'Step h'!$C16</f>
        <v>23.843084999999999</v>
      </c>
      <c r="G16" s="24" t="s">
        <v>284</v>
      </c>
    </row>
    <row r="17" spans="1:7" outlineLevel="2" x14ac:dyDescent="0.2">
      <c r="A17" s="19" t="s">
        <v>195</v>
      </c>
      <c r="B17" s="20" t="s">
        <v>196</v>
      </c>
      <c r="C17" s="21">
        <f>_xlfn.NUMBERVALUE(LEFT('Step h'!$G17, FIND("-",'Step h'!$G17)- 1))</f>
        <v>76.316950000000006</v>
      </c>
      <c r="D17" s="22" t="str">
        <f>MID('Step h'!$G17, FIND("-",'Step h'!$G17, FIND("-",'Step h'!$G17)+1)+1, 4)</f>
        <v>5178</v>
      </c>
      <c r="E17" s="22" t="str">
        <f>VLOOKUP('Step h'!$D17,GrantInfo, 2)</f>
        <v>Robotics</v>
      </c>
      <c r="F17" s="21">
        <f>VLOOKUP('Step h'!$D17,GrantInfo,3)*'Step h'!$C17</f>
        <v>22.895085000000002</v>
      </c>
      <c r="G17" s="20" t="s">
        <v>197</v>
      </c>
    </row>
    <row r="18" spans="1:7" outlineLevel="2" x14ac:dyDescent="0.2">
      <c r="A18" s="23" t="s">
        <v>174</v>
      </c>
      <c r="B18" s="24" t="s">
        <v>175</v>
      </c>
      <c r="C18" s="25">
        <f>_xlfn.NUMBERVALUE(LEFT('Step h'!$G18, FIND("-",'Step h'!$G18)- 1))</f>
        <v>63.366950000000003</v>
      </c>
      <c r="D18" s="26" t="str">
        <f>MID('Step h'!$G18, FIND("-",'Step h'!$G18, FIND("-",'Step h'!$G18)+1)+1, 4)</f>
        <v>5178</v>
      </c>
      <c r="E18" s="26" t="str">
        <f>VLOOKUP('Step h'!$D18,GrantInfo, 2)</f>
        <v>Robotics</v>
      </c>
      <c r="F18" s="25">
        <f>VLOOKUP('Step h'!$D18,GrantInfo,3)*'Step h'!$C18</f>
        <v>19.010085</v>
      </c>
      <c r="G18" s="24" t="s">
        <v>176</v>
      </c>
    </row>
    <row r="19" spans="1:7" outlineLevel="2" x14ac:dyDescent="0.2">
      <c r="A19" s="19" t="s">
        <v>138</v>
      </c>
      <c r="B19" s="20" t="s">
        <v>139</v>
      </c>
      <c r="C19" s="21">
        <f>_xlfn.NUMBERVALUE(LEFT('Step h'!$G19, FIND("-",'Step h'!$G19)- 1))</f>
        <v>47.369500000000002</v>
      </c>
      <c r="D19" s="22" t="str">
        <f>MID('Step h'!$G19, FIND("-",'Step h'!$G19, FIND("-",'Step h'!$G19)+1)+1, 4)</f>
        <v>5178</v>
      </c>
      <c r="E19" s="22" t="str">
        <f>VLOOKUP('Step h'!$D19,GrantInfo, 2)</f>
        <v>Robotics</v>
      </c>
      <c r="F19" s="21">
        <f>VLOOKUP('Step h'!$D19,GrantInfo,3)*'Step h'!$C19</f>
        <v>14.210850000000001</v>
      </c>
      <c r="G19" s="20" t="s">
        <v>140</v>
      </c>
    </row>
    <row r="20" spans="1:7" outlineLevel="2" x14ac:dyDescent="0.2">
      <c r="A20" s="23" t="s">
        <v>204</v>
      </c>
      <c r="B20" s="24" t="s">
        <v>205</v>
      </c>
      <c r="C20" s="25">
        <f>_xlfn.NUMBERVALUE(LEFT('Step h'!$G20, FIND("-",'Step h'!$G20)- 1))</f>
        <v>8.8869500000000006</v>
      </c>
      <c r="D20" s="26" t="str">
        <f>MID('Step h'!$G20, FIND("-",'Step h'!$G20, FIND("-",'Step h'!$G20)+1)+1, 4)</f>
        <v>5178</v>
      </c>
      <c r="E20" s="26" t="str">
        <f>VLOOKUP('Step h'!$D20,GrantInfo, 2)</f>
        <v>Robotics</v>
      </c>
      <c r="F20" s="25">
        <f>VLOOKUP('Step h'!$D20,GrantInfo,3)*'Step h'!$C20</f>
        <v>2.6660850000000003</v>
      </c>
      <c r="G20" s="24" t="s">
        <v>206</v>
      </c>
    </row>
    <row r="21" spans="1:7" outlineLevel="1" x14ac:dyDescent="0.2">
      <c r="A21" s="23"/>
      <c r="B21" s="24"/>
      <c r="C21" s="25"/>
      <c r="D21" s="26"/>
      <c r="E21" s="27" t="s">
        <v>291</v>
      </c>
      <c r="F21" s="25">
        <f>SUBTOTAL(9,F13:F20)</f>
        <v>602.00044500000001</v>
      </c>
      <c r="G21" s="24"/>
    </row>
    <row r="22" spans="1:7" outlineLevel="2" x14ac:dyDescent="0.2">
      <c r="A22" s="19" t="s">
        <v>198</v>
      </c>
      <c r="B22" s="20" t="s">
        <v>199</v>
      </c>
      <c r="C22" s="21">
        <f>_xlfn.NUMBERVALUE(LEFT('Step h'!$G22, FIND("-",'Step h'!$G22)- 1))</f>
        <v>576.11694999999997</v>
      </c>
      <c r="D22" s="22" t="str">
        <f>MID('Step h'!$G22, FIND("-",'Step h'!$G22, FIND("-",'Step h'!$G22)+1)+1, 4)</f>
        <v>5279</v>
      </c>
      <c r="E22" s="22" t="str">
        <f>VLOOKUP('Step h'!$D22,GrantInfo, 2)</f>
        <v>Applied Materials</v>
      </c>
      <c r="F22" s="21">
        <f>VLOOKUP('Step h'!$D22,GrantInfo,3)*'Step h'!$C22</f>
        <v>230.44677999999999</v>
      </c>
      <c r="G22" s="20" t="s">
        <v>200</v>
      </c>
    </row>
    <row r="23" spans="1:7" outlineLevel="2" x14ac:dyDescent="0.2">
      <c r="A23" s="23" t="s">
        <v>201</v>
      </c>
      <c r="B23" s="24" t="s">
        <v>202</v>
      </c>
      <c r="C23" s="25">
        <f>_xlfn.NUMBERVALUE(LEFT('Step h'!$G23, FIND("-",'Step h'!$G23)- 1))</f>
        <v>288.11694999999997</v>
      </c>
      <c r="D23" s="26" t="str">
        <f>MID('Step h'!$G23, FIND("-",'Step h'!$G23, FIND("-",'Step h'!$G23)+1)+1, 4)</f>
        <v>5279</v>
      </c>
      <c r="E23" s="26" t="str">
        <f>VLOOKUP('Step h'!$D23,GrantInfo, 2)</f>
        <v>Applied Materials</v>
      </c>
      <c r="F23" s="25">
        <f>VLOOKUP('Step h'!$D23,GrantInfo,3)*'Step h'!$C23</f>
        <v>115.24678</v>
      </c>
      <c r="G23" s="24" t="s">
        <v>203</v>
      </c>
    </row>
    <row r="24" spans="1:7" outlineLevel="2" x14ac:dyDescent="0.2">
      <c r="A24" s="19" t="s">
        <v>165</v>
      </c>
      <c r="B24" s="20" t="s">
        <v>166</v>
      </c>
      <c r="C24" s="21">
        <f>_xlfn.NUMBERVALUE(LEFT('Step h'!$G24, FIND("-",'Step h'!$G24)- 1))</f>
        <v>151.01695000000001</v>
      </c>
      <c r="D24" s="22" t="str">
        <f>MID('Step h'!$G24, FIND("-",'Step h'!$G24, FIND("-",'Step h'!$G24)+1)+1, 4)</f>
        <v>5279</v>
      </c>
      <c r="E24" s="22" t="str">
        <f>VLOOKUP('Step h'!$D24,GrantInfo, 2)</f>
        <v>Applied Materials</v>
      </c>
      <c r="F24" s="21">
        <f>VLOOKUP('Step h'!$D24,GrantInfo,3)*'Step h'!$C24</f>
        <v>60.406780000000005</v>
      </c>
      <c r="G24" s="20" t="s">
        <v>167</v>
      </c>
    </row>
    <row r="25" spans="1:7" outlineLevel="2" x14ac:dyDescent="0.2">
      <c r="A25" s="23" t="s">
        <v>245</v>
      </c>
      <c r="B25" s="24" t="s">
        <v>246</v>
      </c>
      <c r="C25" s="25">
        <f>_xlfn.NUMBERVALUE(LEFT('Step h'!$G25, FIND("-",'Step h'!$G25)- 1))</f>
        <v>35.869500000000002</v>
      </c>
      <c r="D25" s="26" t="str">
        <f>MID('Step h'!$G25, FIND("-",'Step h'!$G25, FIND("-",'Step h'!$G25)+1)+1, 4)</f>
        <v>5279</v>
      </c>
      <c r="E25" s="26" t="str">
        <f>VLOOKUP('Step h'!$D25,GrantInfo, 2)</f>
        <v>Applied Materials</v>
      </c>
      <c r="F25" s="25">
        <f>VLOOKUP('Step h'!$D25,GrantInfo,3)*'Step h'!$C25</f>
        <v>14.347800000000001</v>
      </c>
      <c r="G25" s="24" t="s">
        <v>247</v>
      </c>
    </row>
    <row r="26" spans="1:7" outlineLevel="1" x14ac:dyDescent="0.2">
      <c r="A26" s="23"/>
      <c r="B26" s="24"/>
      <c r="C26" s="25"/>
      <c r="D26" s="26"/>
      <c r="E26" s="27" t="s">
        <v>292</v>
      </c>
      <c r="F26" s="25">
        <f>SUBTOTAL(9,F22:F25)</f>
        <v>420.44814000000002</v>
      </c>
      <c r="G26" s="24"/>
    </row>
    <row r="27" spans="1:7" outlineLevel="2" x14ac:dyDescent="0.2">
      <c r="A27" s="19" t="s">
        <v>141</v>
      </c>
      <c r="B27" s="20" t="s">
        <v>142</v>
      </c>
      <c r="C27" s="21">
        <f>_xlfn.NUMBERVALUE(LEFT('Step h'!$G27, FIND("-",'Step h'!$G27)- 1))</f>
        <v>669.11694999999997</v>
      </c>
      <c r="D27" s="22" t="str">
        <f>MID('Step h'!$G27, FIND("-",'Step h'!$G27, FIND("-",'Step h'!$G27)+1)+1, 4)</f>
        <v>5342</v>
      </c>
      <c r="E27" s="22" t="str">
        <f>VLOOKUP('Step h'!$D27,GrantInfo, 2)</f>
        <v>Stop Smoking</v>
      </c>
      <c r="F27" s="21">
        <f>VLOOKUP('Step h'!$D27,GrantInfo,3)*'Step h'!$C27</f>
        <v>200.735085</v>
      </c>
      <c r="G27" s="20" t="s">
        <v>143</v>
      </c>
    </row>
    <row r="28" spans="1:7" outlineLevel="2" x14ac:dyDescent="0.2">
      <c r="A28" s="23" t="s">
        <v>192</v>
      </c>
      <c r="B28" s="24" t="s">
        <v>193</v>
      </c>
      <c r="C28" s="25">
        <f>_xlfn.NUMBERVALUE(LEFT('Step h'!$G28, FIND("-",'Step h'!$G28)- 1))</f>
        <v>200.11695</v>
      </c>
      <c r="D28" s="26" t="str">
        <f>MID('Step h'!$G28, FIND("-",'Step h'!$G28, FIND("-",'Step h'!$G28)+1)+1, 4)</f>
        <v>5342</v>
      </c>
      <c r="E28" s="26" t="str">
        <f>VLOOKUP('Step h'!$D28,GrantInfo, 2)</f>
        <v>Stop Smoking</v>
      </c>
      <c r="F28" s="25">
        <f>VLOOKUP('Step h'!$D28,GrantInfo,3)*'Step h'!$C28</f>
        <v>60.035084999999995</v>
      </c>
      <c r="G28" s="24" t="s">
        <v>194</v>
      </c>
    </row>
    <row r="29" spans="1:7" outlineLevel="2" x14ac:dyDescent="0.2">
      <c r="A29" s="19" t="s">
        <v>162</v>
      </c>
      <c r="B29" s="20" t="s">
        <v>163</v>
      </c>
      <c r="C29" s="21">
        <f>_xlfn.NUMBERVALUE(LEFT('Step h'!$G29, FIND("-",'Step h'!$G29)- 1))</f>
        <v>167.42695000000001</v>
      </c>
      <c r="D29" s="22" t="str">
        <f>MID('Step h'!$G29, FIND("-",'Step h'!$G29, FIND("-",'Step h'!$G29)+1)+1, 4)</f>
        <v>5342</v>
      </c>
      <c r="E29" s="22" t="str">
        <f>VLOOKUP('Step h'!$D29,GrantInfo, 2)</f>
        <v>Stop Smoking</v>
      </c>
      <c r="F29" s="21">
        <f>VLOOKUP('Step h'!$D29,GrantInfo,3)*'Step h'!$C29</f>
        <v>50.228085</v>
      </c>
      <c r="G29" s="20" t="s">
        <v>164</v>
      </c>
    </row>
    <row r="30" spans="1:7" outlineLevel="1" x14ac:dyDescent="0.2">
      <c r="A30" s="19"/>
      <c r="B30" s="20"/>
      <c r="C30" s="21"/>
      <c r="D30" s="22"/>
      <c r="E30" s="28" t="s">
        <v>293</v>
      </c>
      <c r="F30" s="21">
        <f>SUBTOTAL(9,F27:F29)</f>
        <v>310.99825500000003</v>
      </c>
      <c r="G30" s="20"/>
    </row>
    <row r="31" spans="1:7" outlineLevel="2" x14ac:dyDescent="0.2">
      <c r="A31" s="23" t="s">
        <v>156</v>
      </c>
      <c r="B31" s="24" t="s">
        <v>157</v>
      </c>
      <c r="C31" s="25">
        <f>_xlfn.NUMBERVALUE(LEFT('Step h'!$G31, FIND("-",'Step h'!$G31)- 1))</f>
        <v>133.76695000000001</v>
      </c>
      <c r="D31" s="26" t="str">
        <f>MID('Step h'!$G31, FIND("-",'Step h'!$G31, FIND("-",'Step h'!$G31)+1)+1, 4)</f>
        <v>5361</v>
      </c>
      <c r="E31" s="26" t="str">
        <f>VLOOKUP('Step h'!$D31,GrantInfo, 2)</f>
        <v>Math Instruction</v>
      </c>
      <c r="F31" s="25">
        <f>VLOOKUP('Step h'!$D31,GrantInfo,3)*'Step h'!$C31</f>
        <v>53.506780000000006</v>
      </c>
      <c r="G31" s="24" t="s">
        <v>158</v>
      </c>
    </row>
    <row r="32" spans="1:7" outlineLevel="1" x14ac:dyDescent="0.2">
      <c r="A32" s="23"/>
      <c r="B32" s="24"/>
      <c r="C32" s="25"/>
      <c r="D32" s="26"/>
      <c r="E32" s="27" t="s">
        <v>294</v>
      </c>
      <c r="F32" s="25">
        <f>SUBTOTAL(9,F31:F31)</f>
        <v>53.506780000000006</v>
      </c>
      <c r="G32" s="24"/>
    </row>
    <row r="33" spans="1:7" outlineLevel="2" x14ac:dyDescent="0.2">
      <c r="A33" s="19" t="s">
        <v>233</v>
      </c>
      <c r="B33" s="20" t="s">
        <v>234</v>
      </c>
      <c r="C33" s="21">
        <f>_xlfn.NUMBERVALUE(LEFT('Step h'!$G33, FIND("-",'Step h'!$G33)- 1))</f>
        <v>1410.1169500000001</v>
      </c>
      <c r="D33" s="22" t="str">
        <f>MID('Step h'!$G33, FIND("-",'Step h'!$G33, FIND("-",'Step h'!$G33)+1)+1, 4)</f>
        <v>5556</v>
      </c>
      <c r="E33" s="22" t="str">
        <f>VLOOKUP('Step h'!$D33,GrantInfo, 2)</f>
        <v>Volunteer Programs</v>
      </c>
      <c r="F33" s="21">
        <f>VLOOKUP('Step h'!$D33,GrantInfo,3)*'Step h'!$C33</f>
        <v>282.02339000000001</v>
      </c>
      <c r="G33" s="20" t="s">
        <v>235</v>
      </c>
    </row>
    <row r="34" spans="1:7" outlineLevel="2" x14ac:dyDescent="0.2">
      <c r="A34" s="23" t="s">
        <v>251</v>
      </c>
      <c r="B34" s="24" t="s">
        <v>252</v>
      </c>
      <c r="C34" s="25">
        <f>_xlfn.NUMBERVALUE(LEFT('Step h'!$G34, FIND("-",'Step h'!$G34)- 1))</f>
        <v>347.22694999999999</v>
      </c>
      <c r="D34" s="26" t="str">
        <f>MID('Step h'!$G34, FIND("-",'Step h'!$G34, FIND("-",'Step h'!$G34)+1)+1, 4)</f>
        <v>5556</v>
      </c>
      <c r="E34" s="26" t="str">
        <f>VLOOKUP('Step h'!$D34,GrantInfo, 2)</f>
        <v>Volunteer Programs</v>
      </c>
      <c r="F34" s="25">
        <f>VLOOKUP('Step h'!$D34,GrantInfo,3)*'Step h'!$C34</f>
        <v>69.445390000000003</v>
      </c>
      <c r="G34" s="24" t="s">
        <v>253</v>
      </c>
    </row>
    <row r="35" spans="1:7" outlineLevel="2" x14ac:dyDescent="0.2">
      <c r="A35" s="19" t="s">
        <v>242</v>
      </c>
      <c r="B35" s="20" t="s">
        <v>243</v>
      </c>
      <c r="C35" s="21">
        <f>_xlfn.NUMBERVALUE(LEFT('Step h'!$G35, FIND("-",'Step h'!$G35)- 1))</f>
        <v>301.14695</v>
      </c>
      <c r="D35" s="22" t="str">
        <f>MID('Step h'!$G35, FIND("-",'Step h'!$G35, FIND("-",'Step h'!$G35)+1)+1, 4)</f>
        <v>5556</v>
      </c>
      <c r="E35" s="22" t="str">
        <f>VLOOKUP('Step h'!$D35,GrantInfo, 2)</f>
        <v>Volunteer Programs</v>
      </c>
      <c r="F35" s="21">
        <f>VLOOKUP('Step h'!$D35,GrantInfo,3)*'Step h'!$C35</f>
        <v>60.229390000000002</v>
      </c>
      <c r="G35" s="20" t="s">
        <v>244</v>
      </c>
    </row>
    <row r="36" spans="1:7" outlineLevel="2" x14ac:dyDescent="0.2">
      <c r="A36" s="23" t="s">
        <v>236</v>
      </c>
      <c r="B36" s="24" t="s">
        <v>237</v>
      </c>
      <c r="C36" s="25">
        <f>_xlfn.NUMBERVALUE(LEFT('Step h'!$G36, FIND("-",'Step h'!$G36)- 1))</f>
        <v>241.26949999999999</v>
      </c>
      <c r="D36" s="26" t="str">
        <f>MID('Step h'!$G36, FIND("-",'Step h'!$G36, FIND("-",'Step h'!$G36)+1)+1, 4)</f>
        <v>5556</v>
      </c>
      <c r="E36" s="26" t="str">
        <f>VLOOKUP('Step h'!$D36,GrantInfo, 2)</f>
        <v>Volunteer Programs</v>
      </c>
      <c r="F36" s="25">
        <f>VLOOKUP('Step h'!$D36,GrantInfo,3)*'Step h'!$C36</f>
        <v>48.253900000000002</v>
      </c>
      <c r="G36" s="24" t="s">
        <v>238</v>
      </c>
    </row>
    <row r="37" spans="1:7" outlineLevel="2" x14ac:dyDescent="0.2">
      <c r="A37" s="19" t="s">
        <v>153</v>
      </c>
      <c r="B37" s="20" t="s">
        <v>154</v>
      </c>
      <c r="C37" s="21">
        <f>_xlfn.NUMBERVALUE(LEFT('Step h'!$G37, FIND("-",'Step h'!$G37)- 1))</f>
        <v>225.86695</v>
      </c>
      <c r="D37" s="22" t="str">
        <f>MID('Step h'!$G37, FIND("-",'Step h'!$G37, FIND("-",'Step h'!$G37)+1)+1, 4)</f>
        <v>5556</v>
      </c>
      <c r="E37" s="22" t="str">
        <f>VLOOKUP('Step h'!$D37,GrantInfo, 2)</f>
        <v>Volunteer Programs</v>
      </c>
      <c r="F37" s="21">
        <f>VLOOKUP('Step h'!$D37,GrantInfo,3)*'Step h'!$C37</f>
        <v>45.173390000000005</v>
      </c>
      <c r="G37" s="20" t="s">
        <v>155</v>
      </c>
    </row>
    <row r="38" spans="1:7" outlineLevel="2" x14ac:dyDescent="0.2">
      <c r="A38" s="23" t="s">
        <v>271</v>
      </c>
      <c r="B38" s="24" t="s">
        <v>272</v>
      </c>
      <c r="C38" s="25">
        <f>_xlfn.NUMBERVALUE(LEFT('Step h'!$G38, FIND("-",'Step h'!$G38)- 1))</f>
        <v>176.11695</v>
      </c>
      <c r="D38" s="26" t="str">
        <f>MID('Step h'!$G38, FIND("-",'Step h'!$G38, FIND("-",'Step h'!$G38)+1)+1, 4)</f>
        <v>5556</v>
      </c>
      <c r="E38" s="26" t="str">
        <f>VLOOKUP('Step h'!$D38,GrantInfo, 2)</f>
        <v>Volunteer Programs</v>
      </c>
      <c r="F38" s="25">
        <f>VLOOKUP('Step h'!$D38,GrantInfo,3)*'Step h'!$C38</f>
        <v>35.223390000000002</v>
      </c>
      <c r="G38" s="24" t="s">
        <v>273</v>
      </c>
    </row>
    <row r="39" spans="1:7" outlineLevel="2" x14ac:dyDescent="0.2">
      <c r="A39" s="19" t="s">
        <v>215</v>
      </c>
      <c r="B39" s="20" t="s">
        <v>216</v>
      </c>
      <c r="C39" s="21">
        <f>_xlfn.NUMBERVALUE(LEFT('Step h'!$G39, FIND("-",'Step h'!$G39)- 1))</f>
        <v>156.41695000000001</v>
      </c>
      <c r="D39" s="22" t="str">
        <f>MID('Step h'!$G39, FIND("-",'Step h'!$G39, FIND("-",'Step h'!$G39)+1)+1, 4)</f>
        <v>5556</v>
      </c>
      <c r="E39" s="22" t="str">
        <f>VLOOKUP('Step h'!$D39,GrantInfo, 2)</f>
        <v>Volunteer Programs</v>
      </c>
      <c r="F39" s="21">
        <f>VLOOKUP('Step h'!$D39,GrantInfo,3)*'Step h'!$C39</f>
        <v>31.283390000000004</v>
      </c>
      <c r="G39" s="20" t="s">
        <v>217</v>
      </c>
    </row>
    <row r="40" spans="1:7" outlineLevel="2" x14ac:dyDescent="0.2">
      <c r="A40" s="23" t="s">
        <v>239</v>
      </c>
      <c r="B40" s="24" t="s">
        <v>240</v>
      </c>
      <c r="C40" s="25">
        <f>_xlfn.NUMBERVALUE(LEFT('Step h'!$G40, FIND("-",'Step h'!$G40)- 1))</f>
        <v>146.26949999999999</v>
      </c>
      <c r="D40" s="26" t="str">
        <f>MID('Step h'!$G40, FIND("-",'Step h'!$G40, FIND("-",'Step h'!$G40)+1)+1, 4)</f>
        <v>5556</v>
      </c>
      <c r="E40" s="26" t="str">
        <f>VLOOKUP('Step h'!$D40,GrantInfo, 2)</f>
        <v>Volunteer Programs</v>
      </c>
      <c r="F40" s="25">
        <f>VLOOKUP('Step h'!$D40,GrantInfo,3)*'Step h'!$C40</f>
        <v>29.253900000000002</v>
      </c>
      <c r="G40" s="24" t="s">
        <v>241</v>
      </c>
    </row>
    <row r="41" spans="1:7" outlineLevel="2" x14ac:dyDescent="0.2">
      <c r="A41" s="19" t="s">
        <v>150</v>
      </c>
      <c r="B41" s="20" t="s">
        <v>151</v>
      </c>
      <c r="C41" s="21">
        <f>_xlfn.NUMBERVALUE(LEFT('Step h'!$G41, FIND("-",'Step h'!$G41)- 1))</f>
        <v>121.69695</v>
      </c>
      <c r="D41" s="22" t="str">
        <f>MID('Step h'!$G41, FIND("-",'Step h'!$G41, FIND("-",'Step h'!$G41)+1)+1, 4)</f>
        <v>5556</v>
      </c>
      <c r="E41" s="22" t="str">
        <f>VLOOKUP('Step h'!$D41,GrantInfo, 2)</f>
        <v>Volunteer Programs</v>
      </c>
      <c r="F41" s="21">
        <f>VLOOKUP('Step h'!$D41,GrantInfo,3)*'Step h'!$C41</f>
        <v>24.339390000000002</v>
      </c>
      <c r="G41" s="20" t="s">
        <v>152</v>
      </c>
    </row>
    <row r="42" spans="1:7" outlineLevel="2" x14ac:dyDescent="0.2">
      <c r="A42" s="23" t="s">
        <v>254</v>
      </c>
      <c r="B42" s="24" t="s">
        <v>255</v>
      </c>
      <c r="C42" s="25">
        <f>_xlfn.NUMBERVALUE(LEFT('Step h'!$G42, FIND("-",'Step h'!$G42)- 1))</f>
        <v>93.669499999999999</v>
      </c>
      <c r="D42" s="26" t="str">
        <f>MID('Step h'!$G42, FIND("-",'Step h'!$G42, FIND("-",'Step h'!$G42)+1)+1, 4)</f>
        <v>5556</v>
      </c>
      <c r="E42" s="26" t="str">
        <f>VLOOKUP('Step h'!$D42,GrantInfo, 2)</f>
        <v>Volunteer Programs</v>
      </c>
      <c r="F42" s="25">
        <f>VLOOKUP('Step h'!$D42,GrantInfo,3)*'Step h'!$C42</f>
        <v>18.733900000000002</v>
      </c>
      <c r="G42" s="24" t="s">
        <v>256</v>
      </c>
    </row>
    <row r="43" spans="1:7" outlineLevel="2" x14ac:dyDescent="0.2">
      <c r="A43" s="19" t="s">
        <v>248</v>
      </c>
      <c r="B43" s="20" t="s">
        <v>249</v>
      </c>
      <c r="C43" s="21">
        <f>_xlfn.NUMBERVALUE(LEFT('Step h'!$G43, FIND("-",'Step h'!$G43)- 1))</f>
        <v>75.116950000000003</v>
      </c>
      <c r="D43" s="22" t="str">
        <f>MID('Step h'!$G43, FIND("-",'Step h'!$G43, FIND("-",'Step h'!$G43)+1)+1, 4)</f>
        <v>5556</v>
      </c>
      <c r="E43" s="22" t="str">
        <f>VLOOKUP('Step h'!$D43,GrantInfo, 2)</f>
        <v>Volunteer Programs</v>
      </c>
      <c r="F43" s="21">
        <f>VLOOKUP('Step h'!$D43,GrantInfo,3)*'Step h'!$C43</f>
        <v>15.023390000000001</v>
      </c>
      <c r="G43" s="20" t="s">
        <v>250</v>
      </c>
    </row>
    <row r="44" spans="1:7" outlineLevel="2" x14ac:dyDescent="0.2">
      <c r="A44" s="23" t="s">
        <v>212</v>
      </c>
      <c r="B44" s="24" t="s">
        <v>213</v>
      </c>
      <c r="C44" s="25">
        <f>_xlfn.NUMBERVALUE(LEFT('Step h'!$G44, FIND("-",'Step h'!$G44)- 1))</f>
        <v>70.956950000000006</v>
      </c>
      <c r="D44" s="26" t="str">
        <f>MID('Step h'!$G44, FIND("-",'Step h'!$G44, FIND("-",'Step h'!$G44)+1)+1, 4)</f>
        <v>5556</v>
      </c>
      <c r="E44" s="26" t="str">
        <f>VLOOKUP('Step h'!$D44,GrantInfo, 2)</f>
        <v>Volunteer Programs</v>
      </c>
      <c r="F44" s="25">
        <f>VLOOKUP('Step h'!$D44,GrantInfo,3)*'Step h'!$C44</f>
        <v>14.191390000000002</v>
      </c>
      <c r="G44" s="24" t="s">
        <v>214</v>
      </c>
    </row>
    <row r="45" spans="1:7" outlineLevel="2" x14ac:dyDescent="0.2">
      <c r="A45" s="19" t="s">
        <v>135</v>
      </c>
      <c r="B45" s="20" t="s">
        <v>136</v>
      </c>
      <c r="C45" s="21">
        <f>_xlfn.NUMBERVALUE(LEFT('Step h'!$G45, FIND("-",'Step h'!$G45)- 1))</f>
        <v>62.34695</v>
      </c>
      <c r="D45" s="22" t="str">
        <f>MID('Step h'!$G45, FIND("-",'Step h'!$G45, FIND("-",'Step h'!$G45)+1)+1, 4)</f>
        <v>5556</v>
      </c>
      <c r="E45" s="22" t="str">
        <f>VLOOKUP('Step h'!$D45,GrantInfo, 2)</f>
        <v>Volunteer Programs</v>
      </c>
      <c r="F45" s="21">
        <f>VLOOKUP('Step h'!$D45,GrantInfo,3)*'Step h'!$C45</f>
        <v>12.469390000000001</v>
      </c>
      <c r="G45" s="20" t="s">
        <v>137</v>
      </c>
    </row>
    <row r="46" spans="1:7" outlineLevel="2" x14ac:dyDescent="0.2">
      <c r="A46" s="23" t="s">
        <v>274</v>
      </c>
      <c r="B46" s="24" t="s">
        <v>275</v>
      </c>
      <c r="C46" s="25">
        <f>_xlfn.NUMBERVALUE(LEFT('Step h'!$G46, FIND("-",'Step h'!$G46)- 1))</f>
        <v>41.646949999999997</v>
      </c>
      <c r="D46" s="26" t="str">
        <f>MID('Step h'!$G46, FIND("-",'Step h'!$G46, FIND("-",'Step h'!$G46)+1)+1, 4)</f>
        <v>5556</v>
      </c>
      <c r="E46" s="26" t="str">
        <f>VLOOKUP('Step h'!$D46,GrantInfo, 2)</f>
        <v>Volunteer Programs</v>
      </c>
      <c r="F46" s="25">
        <f>VLOOKUP('Step h'!$D46,GrantInfo,3)*'Step h'!$C46</f>
        <v>8.3293900000000001</v>
      </c>
      <c r="G46" s="24" t="s">
        <v>276</v>
      </c>
    </row>
    <row r="47" spans="1:7" outlineLevel="1" x14ac:dyDescent="0.2">
      <c r="A47" s="23"/>
      <c r="B47" s="24"/>
      <c r="C47" s="25"/>
      <c r="D47" s="26"/>
      <c r="E47" s="27" t="s">
        <v>295</v>
      </c>
      <c r="F47" s="25">
        <f>SUBTOTAL(9,F33:F46)</f>
        <v>693.97298999999998</v>
      </c>
      <c r="G47" s="24"/>
    </row>
    <row r="48" spans="1:7" outlineLevel="2" x14ac:dyDescent="0.2">
      <c r="A48" s="19" t="s">
        <v>257</v>
      </c>
      <c r="B48" s="20" t="s">
        <v>255</v>
      </c>
      <c r="C48" s="21">
        <f>_xlfn.NUMBERVALUE(LEFT('Step h'!$G48, FIND("-",'Step h'!$G48)- 1))</f>
        <v>1704.5569499999999</v>
      </c>
      <c r="D48" s="22" t="str">
        <f>MID('Step h'!$G48, FIND("-",'Step h'!$G48, FIND("-",'Step h'!$G48)+1)+1, 4)</f>
        <v>5768</v>
      </c>
      <c r="E48" s="22" t="str">
        <f>VLOOKUP('Step h'!$D48,GrantInfo, 2)</f>
        <v>Graphic Images</v>
      </c>
      <c r="F48" s="21">
        <f>VLOOKUP('Step h'!$D48,GrantInfo,3)*'Step h'!$C48</f>
        <v>681.82277999999997</v>
      </c>
      <c r="G48" s="20" t="s">
        <v>258</v>
      </c>
    </row>
    <row r="49" spans="1:7" outlineLevel="2" x14ac:dyDescent="0.2">
      <c r="A49" s="23" t="s">
        <v>262</v>
      </c>
      <c r="B49" s="24" t="s">
        <v>263</v>
      </c>
      <c r="C49" s="25">
        <f>_xlfn.NUMBERVALUE(LEFT('Step h'!$G49, FIND("-",'Step h'!$G49)- 1))</f>
        <v>255.11695</v>
      </c>
      <c r="D49" s="26" t="str">
        <f>MID('Step h'!$G49, FIND("-",'Step h'!$G49, FIND("-",'Step h'!$G49)+1)+1, 4)</f>
        <v>5768</v>
      </c>
      <c r="E49" s="26" t="str">
        <f>VLOOKUP('Step h'!$D49,GrantInfo, 2)</f>
        <v>Graphic Images</v>
      </c>
      <c r="F49" s="25">
        <f>VLOOKUP('Step h'!$D49,GrantInfo,3)*'Step h'!$C49</f>
        <v>102.04678000000001</v>
      </c>
      <c r="G49" s="24" t="s">
        <v>264</v>
      </c>
    </row>
    <row r="50" spans="1:7" outlineLevel="2" x14ac:dyDescent="0.2">
      <c r="A50" s="19" t="s">
        <v>268</v>
      </c>
      <c r="B50" s="20" t="s">
        <v>269</v>
      </c>
      <c r="C50" s="21">
        <f>_xlfn.NUMBERVALUE(LEFT('Step h'!$G50, FIND("-",'Step h'!$G50)- 1))</f>
        <v>172.11695</v>
      </c>
      <c r="D50" s="22" t="str">
        <f>MID('Step h'!$G50, FIND("-",'Step h'!$G50, FIND("-",'Step h'!$G50)+1)+1, 4)</f>
        <v>5768</v>
      </c>
      <c r="E50" s="22" t="str">
        <f>VLOOKUP('Step h'!$D50,GrantInfo, 2)</f>
        <v>Graphic Images</v>
      </c>
      <c r="F50" s="21">
        <f>VLOOKUP('Step h'!$D50,GrantInfo,3)*'Step h'!$C50</f>
        <v>68.84678000000001</v>
      </c>
      <c r="G50" s="20" t="s">
        <v>270</v>
      </c>
    </row>
    <row r="51" spans="1:7" outlineLevel="2" x14ac:dyDescent="0.2">
      <c r="A51" s="23" t="s">
        <v>277</v>
      </c>
      <c r="B51" s="24" t="s">
        <v>278</v>
      </c>
      <c r="C51" s="25">
        <f>_xlfn.NUMBERVALUE(LEFT('Step h'!$G51, FIND("-",'Step h'!$G51)- 1))</f>
        <v>59.256950000000003</v>
      </c>
      <c r="D51" s="26" t="str">
        <f>MID('Step h'!$G51, FIND("-",'Step h'!$G51, FIND("-",'Step h'!$G51)+1)+1, 4)</f>
        <v>5768</v>
      </c>
      <c r="E51" s="26" t="str">
        <f>VLOOKUP('Step h'!$D51,GrantInfo, 2)</f>
        <v>Graphic Images</v>
      </c>
      <c r="F51" s="25">
        <f>VLOOKUP('Step h'!$D51,GrantInfo,3)*'Step h'!$C51</f>
        <v>23.702780000000004</v>
      </c>
      <c r="G51" s="24" t="s">
        <v>279</v>
      </c>
    </row>
    <row r="52" spans="1:7" outlineLevel="2" x14ac:dyDescent="0.2">
      <c r="A52" s="19" t="s">
        <v>265</v>
      </c>
      <c r="B52" s="20" t="s">
        <v>266</v>
      </c>
      <c r="C52" s="21">
        <f>_xlfn.NUMBERVALUE(LEFT('Step h'!$G52, FIND("-",'Step h'!$G52)- 1))</f>
        <v>20.766950000000001</v>
      </c>
      <c r="D52" s="22" t="str">
        <f>MID('Step h'!$G52, FIND("-",'Step h'!$G52, FIND("-",'Step h'!$G52)+1)+1, 4)</f>
        <v>5768</v>
      </c>
      <c r="E52" s="22" t="str">
        <f>VLOOKUP('Step h'!$D52,GrantInfo, 2)</f>
        <v>Graphic Images</v>
      </c>
      <c r="F52" s="21">
        <f>VLOOKUP('Step h'!$D52,GrantInfo,3)*'Step h'!$C52</f>
        <v>8.3067800000000016</v>
      </c>
      <c r="G52" s="20" t="s">
        <v>267</v>
      </c>
    </row>
    <row r="53" spans="1:7" outlineLevel="2" x14ac:dyDescent="0.2">
      <c r="A53" s="23" t="s">
        <v>259</v>
      </c>
      <c r="B53" s="24" t="s">
        <v>260</v>
      </c>
      <c r="C53" s="25">
        <f>_xlfn.NUMBERVALUE(LEFT('Step h'!$G53, FIND("-",'Step h'!$G53)- 1))</f>
        <v>6.1136949999999999</v>
      </c>
      <c r="D53" s="26" t="str">
        <f>MID('Step h'!$G53, FIND("-",'Step h'!$G53, FIND("-",'Step h'!$G53)+1)+1, 4)</f>
        <v>5768</v>
      </c>
      <c r="E53" s="26" t="str">
        <f>VLOOKUP('Step h'!$D53,GrantInfo, 2)</f>
        <v>Graphic Images</v>
      </c>
      <c r="F53" s="25">
        <f>VLOOKUP('Step h'!$D53,GrantInfo,3)*'Step h'!$C53</f>
        <v>2.445478</v>
      </c>
      <c r="G53" s="24" t="s">
        <v>261</v>
      </c>
    </row>
    <row r="54" spans="1:7" outlineLevel="1" x14ac:dyDescent="0.2">
      <c r="A54" s="23"/>
      <c r="B54" s="24"/>
      <c r="C54" s="25"/>
      <c r="D54" s="26"/>
      <c r="E54" s="27" t="s">
        <v>296</v>
      </c>
      <c r="F54" s="25">
        <f>SUBTOTAL(9,F48:F53)</f>
        <v>887.17137799999989</v>
      </c>
      <c r="G54" s="24"/>
    </row>
    <row r="55" spans="1:7" outlineLevel="2" x14ac:dyDescent="0.2">
      <c r="A55" s="19" t="s">
        <v>207</v>
      </c>
      <c r="B55" s="20" t="s">
        <v>208</v>
      </c>
      <c r="C55" s="21">
        <f>_xlfn.NUMBERVALUE(LEFT('Step h'!$G55, FIND("-",'Step h'!$G55)- 1))</f>
        <v>354.28694999999999</v>
      </c>
      <c r="D55" s="22" t="str">
        <f>MID('Step h'!$G55, FIND("-",'Step h'!$G55, FIND("-",'Step h'!$G55)+1)+1, 4)</f>
        <v>5933</v>
      </c>
      <c r="E55" s="22" t="str">
        <f>VLOOKUP('Step h'!$D55,GrantInfo, 2)</f>
        <v>State History</v>
      </c>
      <c r="F55" s="21">
        <f>VLOOKUP('Step h'!$D55,GrantInfo,3)*'Step h'!$C55</f>
        <v>88.571737499999998</v>
      </c>
      <c r="G55" s="20" t="s">
        <v>209</v>
      </c>
    </row>
    <row r="56" spans="1:7" outlineLevel="2" x14ac:dyDescent="0.2">
      <c r="A56" s="23" t="s">
        <v>210</v>
      </c>
      <c r="B56" s="24" t="s">
        <v>208</v>
      </c>
      <c r="C56" s="25">
        <f>_xlfn.NUMBERVALUE(LEFT('Step h'!$G56, FIND("-",'Step h'!$G56)- 1))</f>
        <v>55.869500000000002</v>
      </c>
      <c r="D56" s="26" t="str">
        <f>MID('Step h'!$G56, FIND("-",'Step h'!$G56, FIND("-",'Step h'!$G56)+1)+1, 4)</f>
        <v>5933</v>
      </c>
      <c r="E56" s="26" t="str">
        <f>VLOOKUP('Step h'!$D56,GrantInfo, 2)</f>
        <v>State History</v>
      </c>
      <c r="F56" s="25">
        <f>VLOOKUP('Step h'!$D56,GrantInfo,3)*'Step h'!$C56</f>
        <v>13.967375000000001</v>
      </c>
      <c r="G56" s="24" t="s">
        <v>211</v>
      </c>
    </row>
    <row r="57" spans="1:7" outlineLevel="1" x14ac:dyDescent="0.2">
      <c r="A57" s="23"/>
      <c r="B57" s="24"/>
      <c r="C57" s="25"/>
      <c r="D57" s="26"/>
      <c r="E57" s="27" t="s">
        <v>297</v>
      </c>
      <c r="F57" s="25">
        <f>SUBTOTAL(9,F55:F56)</f>
        <v>102.5391125</v>
      </c>
      <c r="G57" s="24"/>
    </row>
    <row r="58" spans="1:7" outlineLevel="2" x14ac:dyDescent="0.2">
      <c r="A58" s="19" t="s">
        <v>180</v>
      </c>
      <c r="B58" s="20" t="s">
        <v>181</v>
      </c>
      <c r="C58" s="21">
        <f>_xlfn.NUMBERVALUE(LEFT('Step h'!$G58, FIND("-",'Step h'!$G58)- 1))</f>
        <v>1242.41695</v>
      </c>
      <c r="D58" s="22" t="str">
        <f>MID('Step h'!$G58, FIND("-",'Step h'!$G58, FIND("-",'Step h'!$G58)+1)+1, 4)</f>
        <v>5956</v>
      </c>
      <c r="E58" s="22" t="str">
        <f>VLOOKUP('Step h'!$D58,GrantInfo, 2)</f>
        <v>Building Levees</v>
      </c>
      <c r="F58" s="21">
        <f>VLOOKUP('Step h'!$D58,GrantInfo,3)*'Step h'!$C58</f>
        <v>372.72508499999998</v>
      </c>
      <c r="G58" s="20" t="s">
        <v>182</v>
      </c>
    </row>
    <row r="59" spans="1:7" outlineLevel="2" x14ac:dyDescent="0.2">
      <c r="A59" s="23" t="s">
        <v>186</v>
      </c>
      <c r="B59" s="24" t="s">
        <v>187</v>
      </c>
      <c r="C59" s="25">
        <f>_xlfn.NUMBERVALUE(LEFT('Step h'!$G59, FIND("-",'Step h'!$G59)- 1))</f>
        <v>669.26949999999999</v>
      </c>
      <c r="D59" s="26" t="str">
        <f>MID('Step h'!$G59, FIND("-",'Step h'!$G59, FIND("-",'Step h'!$G59)+1)+1, 4)</f>
        <v>5956</v>
      </c>
      <c r="E59" s="26" t="str">
        <f>VLOOKUP('Step h'!$D59,GrantInfo, 2)</f>
        <v>Building Levees</v>
      </c>
      <c r="F59" s="25">
        <f>VLOOKUP('Step h'!$D59,GrantInfo,3)*'Step h'!$C59</f>
        <v>200.78084999999999</v>
      </c>
      <c r="G59" s="24" t="s">
        <v>188</v>
      </c>
    </row>
    <row r="60" spans="1:7" outlineLevel="2" x14ac:dyDescent="0.2">
      <c r="A60" s="19" t="s">
        <v>189</v>
      </c>
      <c r="B60" s="20" t="s">
        <v>190</v>
      </c>
      <c r="C60" s="21">
        <f>_xlfn.NUMBERVALUE(LEFT('Step h'!$G60, FIND("-",'Step h'!$G60)- 1))</f>
        <v>180.11695</v>
      </c>
      <c r="D60" s="22" t="str">
        <f>MID('Step h'!$G60, FIND("-",'Step h'!$G60, FIND("-",'Step h'!$G60)+1)+1, 4)</f>
        <v>5956</v>
      </c>
      <c r="E60" s="22" t="str">
        <f>VLOOKUP('Step h'!$D60,GrantInfo, 2)</f>
        <v>Building Levees</v>
      </c>
      <c r="F60" s="21">
        <f>VLOOKUP('Step h'!$D60,GrantInfo,3)*'Step h'!$C60</f>
        <v>54.035085000000002</v>
      </c>
      <c r="G60" s="20" t="s">
        <v>191</v>
      </c>
    </row>
    <row r="61" spans="1:7" outlineLevel="2" x14ac:dyDescent="0.2">
      <c r="A61" s="23" t="s">
        <v>183</v>
      </c>
      <c r="B61" s="24" t="s">
        <v>184</v>
      </c>
      <c r="C61" s="25">
        <f>_xlfn.NUMBERVALUE(LEFT('Step h'!$G61, FIND("-",'Step h'!$G61)- 1))</f>
        <v>71.726950000000002</v>
      </c>
      <c r="D61" s="26" t="str">
        <f>MID('Step h'!$G61, FIND("-",'Step h'!$G61, FIND("-",'Step h'!$G61)+1)+1, 4)</f>
        <v>5956</v>
      </c>
      <c r="E61" s="26" t="str">
        <f>VLOOKUP('Step h'!$D61,GrantInfo, 2)</f>
        <v>Building Levees</v>
      </c>
      <c r="F61" s="25">
        <f>VLOOKUP('Step h'!$D61,GrantInfo,3)*'Step h'!$C61</f>
        <v>21.518084999999999</v>
      </c>
      <c r="G61" s="24" t="s">
        <v>185</v>
      </c>
    </row>
    <row r="62" spans="1:7" outlineLevel="1" x14ac:dyDescent="0.2">
      <c r="A62" s="29"/>
      <c r="B62" s="29"/>
      <c r="C62" s="30"/>
      <c r="D62" s="31"/>
      <c r="E62" s="32" t="s">
        <v>298</v>
      </c>
      <c r="F62" s="30">
        <f>SUBTOTAL(9,F58:F61)</f>
        <v>649.05910499999993</v>
      </c>
      <c r="G62" s="29"/>
    </row>
    <row r="63" spans="1:7" x14ac:dyDescent="0.2">
      <c r="A63" s="29"/>
      <c r="B63" s="29"/>
      <c r="C63" s="30"/>
      <c r="D63" s="31"/>
      <c r="E63" s="32" t="s">
        <v>299</v>
      </c>
      <c r="F63" s="30">
        <f>SUBTOTAL(9,F2:F61)</f>
        <v>5325.3465004999989</v>
      </c>
      <c r="G63" s="29"/>
    </row>
    <row r="64" spans="1:7" x14ac:dyDescent="0.2">
      <c r="A64">
        <f>COUNTA(A2:A61)</f>
        <v>51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2"/>
  <sheetViews>
    <sheetView workbookViewId="0">
      <selection activeCell="A2" sqref="A2"/>
    </sheetView>
  </sheetViews>
  <sheetFormatPr defaultRowHeight="12.75" x14ac:dyDescent="0.2"/>
  <cols>
    <col min="2" max="2" width="17.7109375" bestFit="1" customWidth="1"/>
    <col min="3" max="3" width="13.28515625" bestFit="1" customWidth="1"/>
  </cols>
  <sheetData>
    <row r="1" spans="1:3" x14ac:dyDescent="0.2">
      <c r="A1" t="s">
        <v>21</v>
      </c>
      <c r="B1" t="s">
        <v>22</v>
      </c>
      <c r="C1" t="s">
        <v>0</v>
      </c>
    </row>
    <row r="2" spans="1:3" x14ac:dyDescent="0.2">
      <c r="A2" s="1" t="s">
        <v>1</v>
      </c>
      <c r="B2" t="s">
        <v>2</v>
      </c>
      <c r="C2" s="3">
        <v>0.3</v>
      </c>
    </row>
    <row r="3" spans="1:3" x14ac:dyDescent="0.2">
      <c r="A3" s="1" t="s">
        <v>3</v>
      </c>
      <c r="B3" t="s">
        <v>4</v>
      </c>
      <c r="C3" s="3">
        <v>0.3</v>
      </c>
    </row>
    <row r="4" spans="1:3" x14ac:dyDescent="0.2">
      <c r="A4" s="1" t="s">
        <v>5</v>
      </c>
      <c r="B4" t="s">
        <v>6</v>
      </c>
      <c r="C4" s="3">
        <v>0.3</v>
      </c>
    </row>
    <row r="5" spans="1:3" x14ac:dyDescent="0.2">
      <c r="A5" s="1" t="s">
        <v>7</v>
      </c>
      <c r="B5" t="s">
        <v>8</v>
      </c>
      <c r="C5" s="3">
        <v>0.4</v>
      </c>
    </row>
    <row r="6" spans="1:3" x14ac:dyDescent="0.2">
      <c r="A6" s="1" t="s">
        <v>9</v>
      </c>
      <c r="B6" t="s">
        <v>10</v>
      </c>
      <c r="C6" s="3">
        <v>0.3</v>
      </c>
    </row>
    <row r="7" spans="1:3" x14ac:dyDescent="0.2">
      <c r="A7" s="2" t="s">
        <v>11</v>
      </c>
      <c r="B7" t="s">
        <v>12</v>
      </c>
      <c r="C7" s="3">
        <v>0.4</v>
      </c>
    </row>
    <row r="8" spans="1:3" x14ac:dyDescent="0.2">
      <c r="A8" s="1" t="s">
        <v>13</v>
      </c>
      <c r="B8" t="s">
        <v>14</v>
      </c>
      <c r="C8" s="3">
        <v>0.2</v>
      </c>
    </row>
    <row r="9" spans="1:3" x14ac:dyDescent="0.2">
      <c r="A9" s="1" t="s">
        <v>15</v>
      </c>
      <c r="B9" t="s">
        <v>16</v>
      </c>
      <c r="C9" s="3">
        <v>0.4</v>
      </c>
    </row>
    <row r="10" spans="1:3" x14ac:dyDescent="0.2">
      <c r="A10" s="1" t="s">
        <v>17</v>
      </c>
      <c r="B10" t="s">
        <v>18</v>
      </c>
      <c r="C10" s="3">
        <v>0.25</v>
      </c>
    </row>
    <row r="11" spans="1:3" x14ac:dyDescent="0.2">
      <c r="A11" s="1" t="s">
        <v>19</v>
      </c>
      <c r="B11" t="s">
        <v>20</v>
      </c>
      <c r="C11" s="3">
        <v>0.3</v>
      </c>
    </row>
    <row r="12" spans="1:3" x14ac:dyDescent="0.2">
      <c r="C12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30" x14ac:dyDescent="0.4"/>
  <cols>
    <col min="1" max="1" width="122.28515625" style="6" bestFit="1" customWidth="1"/>
  </cols>
  <sheetData>
    <row r="1" spans="1:2" x14ac:dyDescent="0.4">
      <c r="A1" s="6" t="s">
        <v>23</v>
      </c>
      <c r="B1" s="5"/>
    </row>
    <row r="2" spans="1:2" x14ac:dyDescent="0.4">
      <c r="A2" s="6" t="s">
        <v>24</v>
      </c>
      <c r="B2" s="5"/>
    </row>
    <row r="3" spans="1:2" x14ac:dyDescent="0.4">
      <c r="A3" s="6" t="s">
        <v>25</v>
      </c>
      <c r="B3" s="5"/>
    </row>
    <row r="4" spans="1:2" x14ac:dyDescent="0.4">
      <c r="A4" s="6" t="s">
        <v>26</v>
      </c>
      <c r="B4" s="5"/>
    </row>
    <row r="5" spans="1:2" x14ac:dyDescent="0.4">
      <c r="A5" s="6" t="s">
        <v>61</v>
      </c>
      <c r="B5" s="5"/>
    </row>
    <row r="6" spans="1:2" x14ac:dyDescent="0.4">
      <c r="A6" s="6" t="s">
        <v>27</v>
      </c>
      <c r="B6" s="5"/>
    </row>
    <row r="7" spans="1:2" x14ac:dyDescent="0.4">
      <c r="A7" s="6" t="s">
        <v>28</v>
      </c>
      <c r="B7" s="5"/>
    </row>
    <row r="8" spans="1:2" x14ac:dyDescent="0.4">
      <c r="A8" s="6" t="s">
        <v>29</v>
      </c>
      <c r="B8" s="5"/>
    </row>
    <row r="9" spans="1:2" x14ac:dyDescent="0.4">
      <c r="A9" s="6" t="s">
        <v>30</v>
      </c>
      <c r="B9" s="5"/>
    </row>
    <row r="10" spans="1:2" x14ac:dyDescent="0.4">
      <c r="A10" s="6" t="s">
        <v>62</v>
      </c>
      <c r="B10" s="5"/>
    </row>
    <row r="11" spans="1:2" x14ac:dyDescent="0.4">
      <c r="A11" s="6" t="s">
        <v>31</v>
      </c>
      <c r="B11" s="5"/>
    </row>
    <row r="12" spans="1:2" x14ac:dyDescent="0.4">
      <c r="A12" s="6" t="s">
        <v>32</v>
      </c>
      <c r="B12" s="5"/>
    </row>
    <row r="13" spans="1:2" x14ac:dyDescent="0.4">
      <c r="A13" s="6" t="s">
        <v>33</v>
      </c>
      <c r="B13" s="5"/>
    </row>
    <row r="14" spans="1:2" x14ac:dyDescent="0.4">
      <c r="A14" s="6" t="s">
        <v>60</v>
      </c>
      <c r="B14" s="5"/>
    </row>
    <row r="15" spans="1:2" x14ac:dyDescent="0.4">
      <c r="A15" s="6" t="s">
        <v>34</v>
      </c>
      <c r="B15" s="5"/>
    </row>
    <row r="16" spans="1:2" x14ac:dyDescent="0.4">
      <c r="A16" s="6" t="s">
        <v>35</v>
      </c>
      <c r="B16" s="5"/>
    </row>
    <row r="17" spans="1:2" x14ac:dyDescent="0.4">
      <c r="A17" s="6" t="s">
        <v>63</v>
      </c>
      <c r="B17" s="5"/>
    </row>
    <row r="18" spans="1:2" x14ac:dyDescent="0.4">
      <c r="A18" s="6" t="s">
        <v>36</v>
      </c>
      <c r="B18" s="5"/>
    </row>
    <row r="19" spans="1:2" x14ac:dyDescent="0.4">
      <c r="A19" s="6" t="s">
        <v>37</v>
      </c>
      <c r="B19" s="5"/>
    </row>
    <row r="20" spans="1:2" x14ac:dyDescent="0.4">
      <c r="A20" s="6" t="s">
        <v>64</v>
      </c>
      <c r="B20" s="5"/>
    </row>
    <row r="21" spans="1:2" x14ac:dyDescent="0.4">
      <c r="A21" s="6" t="s">
        <v>65</v>
      </c>
      <c r="B21" s="5"/>
    </row>
    <row r="22" spans="1:2" x14ac:dyDescent="0.4">
      <c r="A22" s="6" t="s">
        <v>38</v>
      </c>
      <c r="B22" s="5"/>
    </row>
    <row r="23" spans="1:2" x14ac:dyDescent="0.4">
      <c r="A23" s="6" t="s">
        <v>66</v>
      </c>
      <c r="B23" s="5"/>
    </row>
    <row r="24" spans="1:2" x14ac:dyDescent="0.4">
      <c r="A24" s="6" t="s">
        <v>67</v>
      </c>
      <c r="B24" s="5"/>
    </row>
    <row r="25" spans="1:2" x14ac:dyDescent="0.4">
      <c r="A25" s="6" t="s">
        <v>39</v>
      </c>
    </row>
    <row r="26" spans="1:2" x14ac:dyDescent="0.4">
      <c r="A26" s="6" t="s">
        <v>40</v>
      </c>
    </row>
    <row r="27" spans="1:2" x14ac:dyDescent="0.4">
      <c r="A27" s="6" t="s">
        <v>41</v>
      </c>
    </row>
    <row r="28" spans="1:2" x14ac:dyDescent="0.4">
      <c r="A28" s="6" t="s">
        <v>42</v>
      </c>
    </row>
    <row r="29" spans="1:2" x14ac:dyDescent="0.4">
      <c r="A29" s="6" t="s">
        <v>43</v>
      </c>
    </row>
    <row r="30" spans="1:2" x14ac:dyDescent="0.4">
      <c r="A30" s="6" t="s">
        <v>68</v>
      </c>
    </row>
    <row r="31" spans="1:2" x14ac:dyDescent="0.4">
      <c r="A31" s="6" t="s">
        <v>44</v>
      </c>
    </row>
    <row r="32" spans="1:2" x14ac:dyDescent="0.4">
      <c r="A32" s="6" t="s">
        <v>45</v>
      </c>
    </row>
    <row r="33" spans="1:1" x14ac:dyDescent="0.4">
      <c r="A33" s="6" t="s">
        <v>46</v>
      </c>
    </row>
    <row r="34" spans="1:1" x14ac:dyDescent="0.4">
      <c r="A34" s="6" t="s">
        <v>47</v>
      </c>
    </row>
    <row r="35" spans="1:1" x14ac:dyDescent="0.4">
      <c r="A35" s="6" t="s">
        <v>69</v>
      </c>
    </row>
    <row r="36" spans="1:1" x14ac:dyDescent="0.4">
      <c r="A36" s="6" t="s">
        <v>48</v>
      </c>
    </row>
    <row r="37" spans="1:1" x14ac:dyDescent="0.4">
      <c r="A37" s="6" t="s">
        <v>49</v>
      </c>
    </row>
    <row r="38" spans="1:1" x14ac:dyDescent="0.4">
      <c r="A38" s="6" t="s">
        <v>50</v>
      </c>
    </row>
    <row r="39" spans="1:1" x14ac:dyDescent="0.4">
      <c r="A39" s="6" t="s">
        <v>51</v>
      </c>
    </row>
    <row r="40" spans="1:1" x14ac:dyDescent="0.4">
      <c r="A40" s="6" t="s">
        <v>70</v>
      </c>
    </row>
    <row r="41" spans="1:1" x14ac:dyDescent="0.4">
      <c r="A41" s="6" t="s">
        <v>52</v>
      </c>
    </row>
    <row r="42" spans="1:1" x14ac:dyDescent="0.4">
      <c r="A42" s="6" t="s">
        <v>53</v>
      </c>
    </row>
    <row r="43" spans="1:1" x14ac:dyDescent="0.4">
      <c r="A43" s="6" t="s">
        <v>54</v>
      </c>
    </row>
    <row r="44" spans="1:1" x14ac:dyDescent="0.4">
      <c r="A44" s="6" t="s">
        <v>71</v>
      </c>
    </row>
    <row r="45" spans="1:1" x14ac:dyDescent="0.4">
      <c r="A45" s="6" t="s">
        <v>72</v>
      </c>
    </row>
    <row r="46" spans="1:1" x14ac:dyDescent="0.4">
      <c r="A46" s="6" t="s">
        <v>55</v>
      </c>
    </row>
    <row r="47" spans="1:1" x14ac:dyDescent="0.4">
      <c r="A47" s="6" t="s">
        <v>73</v>
      </c>
    </row>
    <row r="48" spans="1:1" x14ac:dyDescent="0.4">
      <c r="A48" s="6" t="s">
        <v>74</v>
      </c>
    </row>
    <row r="49" spans="1:1" x14ac:dyDescent="0.4">
      <c r="A49" s="6" t="s">
        <v>56</v>
      </c>
    </row>
    <row r="50" spans="1:1" x14ac:dyDescent="0.4">
      <c r="A50" s="6" t="s">
        <v>57</v>
      </c>
    </row>
    <row r="51" spans="1:1" x14ac:dyDescent="0.4">
      <c r="A51" s="6" t="s">
        <v>58</v>
      </c>
    </row>
    <row r="52" spans="1:1" x14ac:dyDescent="0.4">
      <c r="A52" s="6" t="s">
        <v>59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/>
  </sheetViews>
  <sheetFormatPr defaultRowHeight="12.75" x14ac:dyDescent="0.2"/>
  <cols>
    <col min="1" max="1" width="51" bestFit="1" customWidth="1"/>
  </cols>
  <sheetData>
    <row r="1" spans="1:1" x14ac:dyDescent="0.2">
      <c r="A1" t="str">
        <f>EmployeeSalaryChartString</f>
        <v>EmployeeSalaryChartString</v>
      </c>
    </row>
    <row r="2" spans="1:1" x14ac:dyDescent="0.2">
      <c r="A2" t="str">
        <f>SUBSTITUTE(TRIM(REPLACE(EmployeeSalaryChartString, MIN(FIND({1,2,3,4,5,6,7,8,9,0},EmployeeSalaryChartString&amp;"1234567890")),0," ")), "*", "")</f>
        <v>Jill Psarros 62.34695-2804-55560000000-1232</v>
      </c>
    </row>
    <row r="3" spans="1:1" x14ac:dyDescent="0.2">
      <c r="A3" t="str">
        <f>SUBSTITUTE(TRIM(REPLACE(EmployeeSalaryChartString, MIN(FIND({1,2,3,4,5,6,7,8,9,0},EmployeeSalaryChartString&amp;"1234567890")),0," ")), "*", "")</f>
        <v>Myron Adams 47.3695-2806-51780000000-1237</v>
      </c>
    </row>
    <row r="4" spans="1:1" x14ac:dyDescent="0.2">
      <c r="A4" t="str">
        <f>SUBSTITUTE(TRIM(REPLACE(EmployeeSalaryChartString, MIN(FIND({1,2,3,4,5,6,7,8,9,0},EmployeeSalaryChartString&amp;"1234567890")),0," ")), "*", "")</f>
        <v>Gabriela Moss 669.11695-5000-53420000000-1232</v>
      </c>
    </row>
    <row r="5" spans="1:1" x14ac:dyDescent="0.2">
      <c r="A5" t="str">
        <f>SUBSTITUTE(TRIM(REPLACE(EmployeeSalaryChartString, MIN(FIND({1,2,3,4,5,6,7,8,9,0},EmployeeSalaryChartString&amp;"1234567890")),0," ")), "*", "")</f>
        <v>Connie Ariel 1025.11695-2004-51490000000-1231</v>
      </c>
    </row>
    <row r="6" spans="1:1" x14ac:dyDescent="0.2">
      <c r="A6" t="str">
        <f>SUBSTITUTE(TRIM(REPLACE(EmployeeSalaryChartString, MIN(FIND({1,2,3,4,5,6,7,8,9,0},EmployeeSalaryChartString&amp;"1234567890")),0," ")), "*", "")</f>
        <v>Kelly Murphy 1040.58695-2200-50630000000-1235</v>
      </c>
    </row>
    <row r="7" spans="1:1" x14ac:dyDescent="0.2">
      <c r="A7" t="str">
        <f>SUBSTITUTE(TRIM(REPLACE(EmployeeSalaryChartString, MIN(FIND({1,2,3,4,5,6,7,8,9,0},EmployeeSalaryChartString&amp;"1234567890")),0," ")), "*", "")</f>
        <v>Linda Brenton 121.69695-2804-55560000000-1234</v>
      </c>
    </row>
    <row r="8" spans="1:1" x14ac:dyDescent="0.2">
      <c r="A8" t="str">
        <f>SUBSTITUTE(TRIM(REPLACE(EmployeeSalaryChartString, MIN(FIND({1,2,3,4,5,6,7,8,9,0},EmployeeSalaryChartString&amp;"1234567890")),0," ")), "*", "")</f>
        <v>Michele Knight 225.86695-2804-55560000000-1232</v>
      </c>
    </row>
    <row r="9" spans="1:1" x14ac:dyDescent="0.2">
      <c r="A9" t="str">
        <f>SUBSTITUTE(TRIM(REPLACE(EmployeeSalaryChartString, MIN(FIND({1,2,3,4,5,6,7,8,9,0},EmployeeSalaryChartString&amp;"1234567890")),0," ")), "*", "")</f>
        <v>Janelle Bayer 133.76695-2404-53610000000-1231</v>
      </c>
    </row>
    <row r="10" spans="1:1" x14ac:dyDescent="0.2">
      <c r="A10" t="str">
        <f>SUBSTITUTE(TRIM(REPLACE(EmployeeSalaryChartString, MIN(FIND({1,2,3,4,5,6,7,8,9,0},EmployeeSalaryChartString&amp;"1234567890")),0," ")), "*", "")</f>
        <v>Aaron Ponson 1120.11695-2806-51780000000-1231</v>
      </c>
    </row>
    <row r="11" spans="1:1" x14ac:dyDescent="0.2">
      <c r="A11" t="str">
        <f>SUBSTITUTE(TRIM(REPLACE(EmployeeSalaryChartString, MIN(FIND({1,2,3,4,5,6,7,8,9,0},EmployeeSalaryChartString&amp;"1234567890")),0," ")), "*", "")</f>
        <v>Amber Earle 167.42695-5000-53420000000-1231</v>
      </c>
    </row>
    <row r="12" spans="1:1" x14ac:dyDescent="0.2">
      <c r="A12" t="str">
        <f>SUBSTITUTE(TRIM(REPLACE(EmployeeSalaryChartString, MIN(FIND({1,2,3,4,5,6,7,8,9,0},EmployeeSalaryChartString&amp;"1234567890")),0," ")), "*", "")</f>
        <v>Annette Johnson 151.01695-2002-52790000000-1232</v>
      </c>
    </row>
    <row r="13" spans="1:1" x14ac:dyDescent="0.2">
      <c r="A13" t="str">
        <f>SUBSTITUTE(TRIM(REPLACE(EmployeeSalaryChartString, MIN(FIND({1,2,3,4,5,6,7,8,9,0},EmployeeSalaryChartString&amp;"1234567890")),0," ")), "*", "")</f>
        <v>Ashley Redmond 469.11695-2806-51780000000-1233</v>
      </c>
    </row>
    <row r="14" spans="1:1" x14ac:dyDescent="0.2">
      <c r="A14" t="str">
        <f>SUBSTITUTE(TRIM(REPLACE(EmployeeSalaryChartString, MIN(FIND({1,2,3,4,5,6,7,8,9,0},EmployeeSalaryChartString&amp;"1234567890")),0," ")), "*", "")</f>
        <v>Bernadine Sandhu 142.01695-2806-51780000000-1234</v>
      </c>
    </row>
    <row r="15" spans="1:1" x14ac:dyDescent="0.2">
      <c r="A15" t="str">
        <f>SUBSTITUTE(TRIM(REPLACE(EmployeeSalaryChartString, MIN(FIND({1,2,3,4,5,6,7,8,9,0},EmployeeSalaryChartString&amp;"1234567890")),0," ")), "*", "")</f>
        <v>Christine Aliesmaeli 63.36695-2806-51780000000-1238</v>
      </c>
    </row>
    <row r="16" spans="1:1" x14ac:dyDescent="0.2">
      <c r="A16" t="str">
        <f>SUBSTITUTE(TRIM(REPLACE(EmployeeSalaryChartString, MIN(FIND({1,2,3,4,5,6,7,8,9,0},EmployeeSalaryChartString&amp;"1234567890")),0," ")), "*", "")</f>
        <v>Dana Beatie 694.45695-2004-51490000000-1232</v>
      </c>
    </row>
    <row r="17" spans="1:1" x14ac:dyDescent="0.2">
      <c r="A17" t="str">
        <f>SUBSTITUTE(TRIM(REPLACE(EmployeeSalaryChartString, MIN(FIND({1,2,3,4,5,6,7,8,9,0},EmployeeSalaryChartString&amp;"1234567890")),0," ")), "*", "")</f>
        <v>Daniel Beaver 1242.41695-3301-59560000000-1231</v>
      </c>
    </row>
    <row r="18" spans="1:1" x14ac:dyDescent="0.2">
      <c r="A18" t="str">
        <f>SUBSTITUTE(TRIM(REPLACE(EmployeeSalaryChartString, MIN(FIND({1,2,3,4,5,6,7,8,9,0},EmployeeSalaryChartString&amp;"1234567890")),0," ")), "*", "")</f>
        <v>Dee Byrd 71.72695-3301-59560000000-1232</v>
      </c>
    </row>
    <row r="19" spans="1:1" x14ac:dyDescent="0.2">
      <c r="A19" t="str">
        <f>SUBSTITUTE(TRIM(REPLACE(EmployeeSalaryChartString, MIN(FIND({1,2,3,4,5,6,7,8,9,0},EmployeeSalaryChartString&amp;"1234567890")),0," ")), "*", "")</f>
        <v>Donna Carli 669.2695-3301-59560000000-1233</v>
      </c>
    </row>
    <row r="20" spans="1:1" x14ac:dyDescent="0.2">
      <c r="A20" t="str">
        <f>SUBSTITUTE(TRIM(REPLACE(EmployeeSalaryChartString, MIN(FIND({1,2,3,4,5,6,7,8,9,0},EmployeeSalaryChartString&amp;"1234567890")),0," ")), "*", "")</f>
        <v>Elvira Caro 180.11695-3301-59560000000-1234</v>
      </c>
    </row>
    <row r="21" spans="1:1" x14ac:dyDescent="0.2">
      <c r="A21" t="str">
        <f>SUBSTITUTE(TRIM(REPLACE(EmployeeSalaryChartString, MIN(FIND({1,2,3,4,5,6,7,8,9,0},EmployeeSalaryChartString&amp;"1234567890")),0," ")), "*", "")</f>
        <v>Francine Forbes 200.11695-5000-53420000000-1231</v>
      </c>
    </row>
    <row r="22" spans="1:1" x14ac:dyDescent="0.2">
      <c r="A22" t="str">
        <f>SUBSTITUTE(TRIM(REPLACE(EmployeeSalaryChartString, MIN(FIND({1,2,3,4,5,6,7,8,9,0},EmployeeSalaryChartString&amp;"1234567890")),0," ")), "*", "")</f>
        <v>Grace Quintana 76.31695-2806-51780000000-1232</v>
      </c>
    </row>
    <row r="23" spans="1:1" x14ac:dyDescent="0.2">
      <c r="A23" t="str">
        <f>SUBSTITUTE(TRIM(REPLACE(EmployeeSalaryChartString, MIN(FIND({1,2,3,4,5,6,7,8,9,0},EmployeeSalaryChartString&amp;"1234567890")),0," ")), "*", "")</f>
        <v>Hazel Litmer 576.11695-2002-52790000000-1233</v>
      </c>
    </row>
    <row r="24" spans="1:1" x14ac:dyDescent="0.2">
      <c r="A24" t="str">
        <f>SUBSTITUTE(TRIM(REPLACE(EmployeeSalaryChartString, MIN(FIND({1,2,3,4,5,6,7,8,9,0},EmployeeSalaryChartString&amp;"1234567890")),0," ")), "*", "")</f>
        <v>Helen Kenniger 288.11695-2301-52790000000-1231</v>
      </c>
    </row>
    <row r="25" spans="1:1" x14ac:dyDescent="0.2">
      <c r="A25" t="str">
        <f>SUBSTITUTE(TRIM(REPLACE(EmployeeSalaryChartString, MIN(FIND({1,2,3,4,5,6,7,8,9,0},EmployeeSalaryChartString&amp;"1234567890")),0," ")), "*", "")</f>
        <v>Hilde Spencer 8.88695-2806-51780000000-1236</v>
      </c>
    </row>
    <row r="26" spans="1:1" x14ac:dyDescent="0.2">
      <c r="A26" t="str">
        <f>SUBSTITUTE(TRIM(REPLACE(EmployeeSalaryChartString, MIN(FIND({1,2,3,4,5,6,7,8,9,0},EmployeeSalaryChartString&amp;"1234567890")),0," ")), "*", "")</f>
        <v>Jennifer MacInnis 354.28695-2695-59330000000-1231</v>
      </c>
    </row>
    <row r="27" spans="1:1" x14ac:dyDescent="0.2">
      <c r="A27" t="str">
        <f>SUBSTITUTE(TRIM(REPLACE(EmployeeSalaryChartString, MIN(FIND({1,2,3,4,5,6,7,8,9,0},EmployeeSalaryChartString&amp;"1234567890")),0," ")), "*", "")</f>
        <v>Jennifer Mottlova 55.8695-2695-59330000000-1232</v>
      </c>
    </row>
    <row r="28" spans="1:1" x14ac:dyDescent="0.2">
      <c r="A28" t="str">
        <f>SUBSTITUTE(TRIM(REPLACE(EmployeeSalaryChartString, MIN(FIND({1,2,3,4,5,6,7,8,9,0},EmployeeSalaryChartString&amp;"1234567890")),0," ")), "*", "")</f>
        <v>Jessica Nielson 70.95695-2804-55560000000-1231</v>
      </c>
    </row>
    <row r="29" spans="1:1" x14ac:dyDescent="0.2">
      <c r="A29" t="str">
        <f>SUBSTITUTE(TRIM(REPLACE(EmployeeSalaryChartString, MIN(FIND({1,2,3,4,5,6,7,8,9,0},EmployeeSalaryChartString&amp;"1234567890")),0," ")), "*", "")</f>
        <v>John Lawrence 156.41695-2804-55560000000-1233</v>
      </c>
    </row>
    <row r="30" spans="1:1" x14ac:dyDescent="0.2">
      <c r="A30" t="str">
        <f>SUBSTITUTE(TRIM(REPLACE(EmployeeSalaryChartString, MIN(FIND({1,2,3,4,5,6,7,8,9,0},EmployeeSalaryChartString&amp;"1234567890")),0," ")), "*", "")</f>
        <v>Joleen Rojo 1567.11695-2200-50630000000-1231</v>
      </c>
    </row>
    <row r="31" spans="1:1" x14ac:dyDescent="0.2">
      <c r="A31" t="str">
        <f>SUBSTITUTE(TRIM(REPLACE(EmployeeSalaryChartString, MIN(FIND({1,2,3,4,5,6,7,8,9,0},EmployeeSalaryChartString&amp;"1234567890")),0," ")), "*", "")</f>
        <v>Josene Rollings 35.55695-2200-50630000000-1232</v>
      </c>
    </row>
    <row r="32" spans="1:1" x14ac:dyDescent="0.2">
      <c r="A32" t="str">
        <f>SUBSTITUTE(TRIM(REPLACE(EmployeeSalaryChartString, MIN(FIND({1,2,3,4,5,6,7,8,9,0},EmployeeSalaryChartString&amp;"1234567890")),0," ")), "*", "")</f>
        <v>Karen Sutter 67.95695-2200-50630000000-1233</v>
      </c>
    </row>
    <row r="33" spans="1:1" x14ac:dyDescent="0.2">
      <c r="A33" t="str">
        <f>SUBSTITUTE(TRIM(REPLACE(EmployeeSalaryChartString, MIN(FIND({1,2,3,4,5,6,7,8,9,0},EmployeeSalaryChartString&amp;"1234567890")),0," ")), "*", "")</f>
        <v>Katherine VanDann 301.5695-2200-50630000000-1234</v>
      </c>
    </row>
    <row r="34" spans="1:1" x14ac:dyDescent="0.2">
      <c r="A34" t="str">
        <f>SUBSTITUTE(TRIM(REPLACE(EmployeeSalaryChartString, MIN(FIND({1,2,3,4,5,6,7,8,9,0},EmployeeSalaryChartString&amp;"1234567890")),0," ")), "*", "")</f>
        <v>Kimberly Riggs 173.6695-2200-50630000000-1236</v>
      </c>
    </row>
    <row r="35" spans="1:1" x14ac:dyDescent="0.2">
      <c r="A35" t="str">
        <f>SUBSTITUTE(TRIM(REPLACE(EmployeeSalaryChartString, MIN(FIND({1,2,3,4,5,6,7,8,9,0},EmployeeSalaryChartString&amp;"1234567890")),0," ")), "*", "")</f>
        <v>Kingsley Ackermann 1410.11695-2804-55560000000-1231</v>
      </c>
    </row>
    <row r="36" spans="1:1" x14ac:dyDescent="0.2">
      <c r="A36" t="str">
        <f>SUBSTITUTE(TRIM(REPLACE(EmployeeSalaryChartString, MIN(FIND({1,2,3,4,5,6,7,8,9,0},EmployeeSalaryChartString&amp;"1234567890")),0," ")), "*", "")</f>
        <v>Krista Austin 241.2695-2804-55560000000-1232</v>
      </c>
    </row>
    <row r="37" spans="1:1" x14ac:dyDescent="0.2">
      <c r="A37" t="str">
        <f>SUBSTITUTE(TRIM(REPLACE(EmployeeSalaryChartString, MIN(FIND({1,2,3,4,5,6,7,8,9,0},EmployeeSalaryChartString&amp;"1234567890")),0," ")), "*", "")</f>
        <v>Laura Baldry 146.2695-2804-55560000000-1233</v>
      </c>
    </row>
    <row r="38" spans="1:1" x14ac:dyDescent="0.2">
      <c r="A38" t="str">
        <f>SUBSTITUTE(TRIM(REPLACE(EmployeeSalaryChartString, MIN(FIND({1,2,3,4,5,6,7,8,9,0},EmployeeSalaryChartString&amp;"1234567890")),0," ")), "*", "")</f>
        <v>Luciana Essenfeld 301.14695-2804-55560000000-1236</v>
      </c>
    </row>
    <row r="39" spans="1:1" x14ac:dyDescent="0.2">
      <c r="A39" t="str">
        <f>SUBSTITUTE(TRIM(REPLACE(EmployeeSalaryChartString, MIN(FIND({1,2,3,4,5,6,7,8,9,0},EmployeeSalaryChartString&amp;"1234567890")),0," ")), "*", "")</f>
        <v>Mable Kinnan 35.8695-2002-52790000000-1231</v>
      </c>
    </row>
    <row r="40" spans="1:1" x14ac:dyDescent="0.2">
      <c r="A40" t="str">
        <f>SUBSTITUTE(TRIM(REPLACE(EmployeeSalaryChartString, MIN(FIND({1,2,3,4,5,6,7,8,9,0},EmployeeSalaryChartString&amp;"1234567890")),0," ")), "*", "")</f>
        <v>Mahdokht Gaines 75.11695-2804-55560000000-1237</v>
      </c>
    </row>
    <row r="41" spans="1:1" x14ac:dyDescent="0.2">
      <c r="A41" t="str">
        <f>SUBSTITUTE(TRIM(REPLACE(EmployeeSalaryChartString, MIN(FIND({1,2,3,4,5,6,7,8,9,0},EmployeeSalaryChartString&amp;"1234567890")),0," ")), "*", "")</f>
        <v>Mai Drinkhouse 347.22695-2804-55560000000-1235</v>
      </c>
    </row>
    <row r="42" spans="1:1" x14ac:dyDescent="0.2">
      <c r="A42" t="str">
        <f>SUBSTITUTE(TRIM(REPLACE(EmployeeSalaryChartString, MIN(FIND({1,2,3,4,5,6,7,8,9,0},EmployeeSalaryChartString&amp;"1234567890")),0," ")), "*", "")</f>
        <v>Maria Garcia 93.6695-2804-55560000000-1238</v>
      </c>
    </row>
    <row r="43" spans="1:1" x14ac:dyDescent="0.2">
      <c r="A43" t="str">
        <f>SUBSTITUTE(TRIM(REPLACE(EmployeeSalaryChartString, MIN(FIND({1,2,3,4,5,6,7,8,9,0},EmployeeSalaryChartString&amp;"1234567890")),0," ")), "*", "")</f>
        <v>Maria Goldberg 1704.55695-2119-57680000000-1231</v>
      </c>
    </row>
    <row r="44" spans="1:1" x14ac:dyDescent="0.2">
      <c r="A44" t="str">
        <f>SUBSTITUTE(TRIM(REPLACE(EmployeeSalaryChartString, MIN(FIND({1,2,3,4,5,6,7,8,9,0},EmployeeSalaryChartString&amp;"1234567890")),0," ")), "*", "")</f>
        <v>Marissa Graber 6.113695-2119-57680000000-1232</v>
      </c>
    </row>
    <row r="45" spans="1:1" x14ac:dyDescent="0.2">
      <c r="A45" t="str">
        <f>SUBSTITUTE(TRIM(REPLACE(EmployeeSalaryChartString, MIN(FIND({1,2,3,4,5,6,7,8,9,0},EmployeeSalaryChartString&amp;"1234567890")),0," ")), "*", "")</f>
        <v>Mary Holmquist 255.11695-2119-57680000000-1233</v>
      </c>
    </row>
    <row r="46" spans="1:1" x14ac:dyDescent="0.2">
      <c r="A46" t="str">
        <f>SUBSTITUTE(TRIM(REPLACE(EmployeeSalaryChartString, MIN(FIND({1,2,3,4,5,6,7,8,9,0},EmployeeSalaryChartString&amp;"1234567890")),0," ")), "*", "")</f>
        <v>Maryam Huff 20.76695-2119-57680000000-1234</v>
      </c>
    </row>
    <row r="47" spans="1:1" x14ac:dyDescent="0.2">
      <c r="A47" t="str">
        <f>SUBSTITUTE(TRIM(REPLACE(EmployeeSalaryChartString, MIN(FIND({1,2,3,4,5,6,7,8,9,0},EmployeeSalaryChartString&amp;"1234567890")),0," ")), "*", "")</f>
        <v>Melissa Juris 172.11695-2119-57680000000-1236</v>
      </c>
    </row>
    <row r="48" spans="1:1" x14ac:dyDescent="0.2">
      <c r="A48" t="str">
        <f>SUBSTITUTE(TRIM(REPLACE(EmployeeSalaryChartString, MIN(FIND({1,2,3,4,5,6,7,8,9,0},EmployeeSalaryChartString&amp;"1234567890")),0," ")), "*", "")</f>
        <v>Melody Keys 176.11695-2804-55560000000-1231</v>
      </c>
    </row>
    <row r="49" spans="1:1" x14ac:dyDescent="0.2">
      <c r="A49" t="str">
        <f>SUBSTITUTE(TRIM(REPLACE(EmployeeSalaryChartString, MIN(FIND({1,2,3,4,5,6,7,8,9,0},EmployeeSalaryChartString&amp;"1234567890")),0," ")), "*", "")</f>
        <v>Miriam Laughlin 41.64695-2804-55560000000-1233</v>
      </c>
    </row>
    <row r="50" spans="1:1" x14ac:dyDescent="0.2">
      <c r="A50" t="str">
        <f>SUBSTITUTE(TRIM(REPLACE(EmployeeSalaryChartString, MIN(FIND({1,2,3,4,5,6,7,8,9,0},EmployeeSalaryChartString&amp;"1234567890")),0," ")), "*", "")</f>
        <v>Paul Iyere 59.25695-2119-57680000000-1235</v>
      </c>
    </row>
    <row r="51" spans="1:1" x14ac:dyDescent="0.2">
      <c r="A51" t="str">
        <f>SUBSTITUTE(TRIM(REPLACE(EmployeeSalaryChartString, MIN(FIND({1,2,3,4,5,6,7,8,9,0},EmployeeSalaryChartString&amp;"1234567890")),0," ")), "*", "")</f>
        <v>Paul Roberts 446.13695-2200-50630000000-1237</v>
      </c>
    </row>
    <row r="52" spans="1:1" x14ac:dyDescent="0.2">
      <c r="A52" t="str">
        <f>SUBSTITUTE(TRIM(REPLACE(EmployeeSalaryChartString, MIN(FIND({1,2,3,4,5,6,7,8,9,0},EmployeeSalaryChartString&amp;"1234567890")),0," ")), "*", "")</f>
        <v>Robert Santos 79.47695-2806-51780000000-1235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2.75" x14ac:dyDescent="0.2"/>
  <cols>
    <col min="1" max="1" width="50.42578125" bestFit="1" customWidth="1"/>
    <col min="2" max="2" width="9.140625" customWidth="1"/>
    <col min="3" max="3" width="12.140625" customWidth="1"/>
    <col min="4" max="4" width="12.28515625" customWidth="1"/>
    <col min="5" max="5" width="32" bestFit="1" customWidth="1"/>
  </cols>
  <sheetData>
    <row r="1" spans="1:5" x14ac:dyDescent="0.2">
      <c r="A1" t="s">
        <v>23</v>
      </c>
      <c r="C1" t="s">
        <v>88</v>
      </c>
      <c r="D1" t="s">
        <v>89</v>
      </c>
      <c r="E1" t="s">
        <v>90</v>
      </c>
    </row>
    <row r="2" spans="1:5" x14ac:dyDescent="0.2">
      <c r="A2" t="s">
        <v>91</v>
      </c>
      <c r="C2" t="str">
        <f>TRIM(MID(A$35, FIND(" ", A$35), (FIND(" ", A$35, FIND(" ", A$35) +1))-FIND(" ", A$35)))</f>
        <v>Ackermann</v>
      </c>
      <c r="D2" t="str">
        <f>TRIM(LEFT(A$35,FIND(" ",A$35)))</f>
        <v>Kingsley</v>
      </c>
      <c r="E2" t="str">
        <f>RIGHT(A$35,LEN(A$35)-MIN(FIND({1,2,3,4,5,6,7,8,9,0},A$35&amp;"1234567890"))+1)</f>
        <v>1410.11695-2804-55560000000-1231</v>
      </c>
    </row>
    <row r="3" spans="1:5" x14ac:dyDescent="0.2">
      <c r="A3" t="s">
        <v>81</v>
      </c>
      <c r="C3" t="str">
        <f>TRIM(MID(A$3, FIND(" ", A$3), (FIND(" ", A$3, FIND(" ", A$3) +1))-FIND(" ", A$3)))</f>
        <v>Adams</v>
      </c>
      <c r="D3" t="str">
        <f>TRIM(LEFT(A$3,FIND(" ",A$3)))</f>
        <v>Myron</v>
      </c>
      <c r="E3" t="str">
        <f>RIGHT(A$3,LEN(A$3)-MIN(FIND({1,2,3,4,5,6,7,8,9,0},A$3&amp;"1234567890"))+1)</f>
        <v>47.3695-2806-51780000000-1237</v>
      </c>
    </row>
    <row r="4" spans="1:5" x14ac:dyDescent="0.2">
      <c r="A4" t="s">
        <v>92</v>
      </c>
      <c r="C4" t="str">
        <f>TRIM(MID(A$15, FIND(" ", A$15), (FIND(" ", A$15, FIND(" ", A$15) +1))-FIND(" ", A$15)))</f>
        <v>Aliesmaeli</v>
      </c>
      <c r="D4" t="str">
        <f>TRIM(LEFT(A$15,FIND(" ",A$15)))</f>
        <v>Christine</v>
      </c>
      <c r="E4" t="str">
        <f>RIGHT(A$15,LEN(A$15)-MIN(FIND({1,2,3,4,5,6,7,8,9,0},A$15&amp;"1234567890"))+1)</f>
        <v>63.36695-2806-51780000000-1238</v>
      </c>
    </row>
    <row r="5" spans="1:5" x14ac:dyDescent="0.2">
      <c r="A5" t="s">
        <v>93</v>
      </c>
      <c r="C5" t="str">
        <f>TRIM(MID(A$5, FIND(" ", A$5), (FIND(" ", A$5, FIND(" ", A$5) +1))-FIND(" ", A$5)))</f>
        <v>Ariel</v>
      </c>
      <c r="D5" t="str">
        <f>TRIM(LEFT(A$5,FIND(" ",A$5)))</f>
        <v>Connie</v>
      </c>
      <c r="E5" t="str">
        <f>RIGHT(A$5,LEN(A$5)-MIN(FIND({1,2,3,4,5,6,7,8,9,0},A$5&amp;"1234567890"))+1)</f>
        <v>1025.11695-2004-51490000000-1231</v>
      </c>
    </row>
    <row r="6" spans="1:5" x14ac:dyDescent="0.2">
      <c r="A6" t="s">
        <v>94</v>
      </c>
      <c r="C6" t="str">
        <f>TRIM(MID(A$36, FIND(" ", A$36), (FIND(" ", A$36, FIND(" ", A$36) +1))-FIND(" ", A$36)))</f>
        <v>Austin</v>
      </c>
      <c r="D6" t="str">
        <f>TRIM(LEFT(A$36,FIND(" ",A$36)))</f>
        <v>Krista</v>
      </c>
      <c r="E6" t="str">
        <f>RIGHT(A$36,LEN(A$36)-MIN(FIND({1,2,3,4,5,6,7,8,9,0},A$36&amp;"1234567890"))+1)</f>
        <v>241.2695-2804-55560000000-1232</v>
      </c>
    </row>
    <row r="7" spans="1:5" x14ac:dyDescent="0.2">
      <c r="A7" t="s">
        <v>95</v>
      </c>
      <c r="C7" t="str">
        <f>TRIM(MID(A$37, FIND(" ", A$37), (FIND(" ", A$37, FIND(" ", A$37) +1))-FIND(" ", A$37)))</f>
        <v>Baldry</v>
      </c>
      <c r="D7" t="str">
        <f>TRIM(LEFT(A$37,FIND(" ",A$37)))</f>
        <v>Laura</v>
      </c>
      <c r="E7" t="str">
        <f>RIGHT(A$37,LEN(A$37)-MIN(FIND({1,2,3,4,5,6,7,8,9,0},A$37&amp;"1234567890"))+1)</f>
        <v>146.2695-2804-55560000000-1233</v>
      </c>
    </row>
    <row r="8" spans="1:5" x14ac:dyDescent="0.2">
      <c r="A8" t="s">
        <v>96</v>
      </c>
      <c r="C8" t="str">
        <f>TRIM(MID(A$9, FIND(" ", A$9), (FIND(" ", A$9, FIND(" ", A$9) +1))-FIND(" ", A$9)))</f>
        <v>Bayer</v>
      </c>
      <c r="D8" t="str">
        <f>TRIM(LEFT(A$9,FIND(" ",A$9)))</f>
        <v>Janelle</v>
      </c>
      <c r="E8" t="str">
        <f>RIGHT(A$9,LEN(A$9)-MIN(FIND({1,2,3,4,5,6,7,8,9,0},A$9&amp;"1234567890"))+1)</f>
        <v>133.76695-2404-53610000000-1231</v>
      </c>
    </row>
    <row r="9" spans="1:5" x14ac:dyDescent="0.2">
      <c r="A9" t="s">
        <v>97</v>
      </c>
      <c r="C9" t="str">
        <f>TRIM(MID(A$16, FIND(" ", A$16), (FIND(" ", A$16, FIND(" ", A$16) +1))-FIND(" ", A$16)))</f>
        <v>Beatie</v>
      </c>
      <c r="D9" t="str">
        <f>TRIM(LEFT(A$16,FIND(" ",A$16)))</f>
        <v>Dana</v>
      </c>
      <c r="E9" t="str">
        <f>RIGHT(A$16,LEN(A$16)-MIN(FIND({1,2,3,4,5,6,7,8,9,0},A$16&amp;"1234567890"))+1)</f>
        <v>694.45695-2004-51490000000-1232</v>
      </c>
    </row>
    <row r="10" spans="1:5" x14ac:dyDescent="0.2">
      <c r="A10" t="s">
        <v>82</v>
      </c>
      <c r="C10" t="str">
        <f>TRIM(MID(A$17, FIND(" ", A$17), (FIND(" ", A$17, FIND(" ", A$17) +1))-FIND(" ", A$17)))</f>
        <v>Beaver</v>
      </c>
      <c r="D10" t="str">
        <f>TRIM(LEFT(A$17,FIND(" ",A$17)))</f>
        <v>Daniel</v>
      </c>
      <c r="E10" t="str">
        <f>RIGHT(A$17,LEN(A$17)-MIN(FIND({1,2,3,4,5,6,7,8,9,0},A$17&amp;"1234567890"))+1)</f>
        <v>1242.41695-3301-59560000000-1231</v>
      </c>
    </row>
    <row r="11" spans="1:5" x14ac:dyDescent="0.2">
      <c r="A11" t="s">
        <v>98</v>
      </c>
      <c r="C11" t="str">
        <f>TRIM(MID(A$7, FIND(" ", A$7), (FIND(" ", A$7, FIND(" ", A$7) +1))-FIND(" ", A$7)))</f>
        <v>Brenton</v>
      </c>
      <c r="D11" t="str">
        <f>TRIM(LEFT(A$7,FIND(" ",A$7)))</f>
        <v>Linda</v>
      </c>
      <c r="E11" t="str">
        <f>RIGHT(A$7,LEN(A$7)-MIN(FIND({1,2,3,4,5,6,7,8,9,0},A$7&amp;"1234567890"))+1)</f>
        <v>121.69695-2804-55560000000-1234</v>
      </c>
    </row>
    <row r="12" spans="1:5" x14ac:dyDescent="0.2">
      <c r="A12" t="s">
        <v>99</v>
      </c>
      <c r="C12" t="str">
        <f>TRIM(MID(A$18, FIND(" ", A$18), (FIND(" ", A$18, FIND(" ", A$18) +1))-FIND(" ", A$18)))</f>
        <v>Byrd</v>
      </c>
      <c r="D12" t="str">
        <f>TRIM(LEFT(A$18,FIND(" ",A$18)))</f>
        <v>Dee</v>
      </c>
      <c r="E12" t="str">
        <f>RIGHT(A$18,LEN(A$18)-MIN(FIND({1,2,3,4,5,6,7,8,9,0},A$18&amp;"1234567890"))+1)</f>
        <v>71.72695-3301-59560000000-1232</v>
      </c>
    </row>
    <row r="13" spans="1:5" x14ac:dyDescent="0.2">
      <c r="A13" t="s">
        <v>100</v>
      </c>
      <c r="C13" t="str">
        <f>TRIM(MID(A$19, FIND(" ", A$19), (FIND(" ", A$19, FIND(" ", A$19) +1))-FIND(" ", A$19)))</f>
        <v>Carli</v>
      </c>
      <c r="D13" t="str">
        <f>TRIM(LEFT(A$19,FIND(" ",A$19)))</f>
        <v>Donna</v>
      </c>
      <c r="E13" t="str">
        <f>RIGHT(A$19,LEN(A$19)-MIN(FIND({1,2,3,4,5,6,7,8,9,0},A$19&amp;"1234567890"))+1)</f>
        <v>669.2695-3301-59560000000-1233</v>
      </c>
    </row>
    <row r="14" spans="1:5" x14ac:dyDescent="0.2">
      <c r="A14" t="s">
        <v>101</v>
      </c>
      <c r="C14" t="str">
        <f>TRIM(MID(A$20, FIND(" ", A$20), (FIND(" ", A$20, FIND(" ", A$20) +1))-FIND(" ", A$20)))</f>
        <v>Caro</v>
      </c>
      <c r="D14" t="str">
        <f>TRIM(LEFT(A$20,FIND(" ",A$20)))</f>
        <v>Elvira</v>
      </c>
      <c r="E14" t="str">
        <f>RIGHT(A$20,LEN(A$20)-MIN(FIND({1,2,3,4,5,6,7,8,9,0},A$20&amp;"1234567890"))+1)</f>
        <v>180.11695-3301-59560000000-1234</v>
      </c>
    </row>
    <row r="15" spans="1:5" x14ac:dyDescent="0.2">
      <c r="A15" t="s">
        <v>102</v>
      </c>
      <c r="C15" t="str">
        <f>TRIM(MID(A$41, FIND(" ", A$41), (FIND(" ", A$41, FIND(" ", A$41) +1))-FIND(" ", A$41)))</f>
        <v>Drinkhouse</v>
      </c>
      <c r="D15" t="str">
        <f>TRIM(LEFT(A$41,FIND(" ",A$41)))</f>
        <v>Mai</v>
      </c>
      <c r="E15" t="str">
        <f>RIGHT(A$41,LEN(A$41)-MIN(FIND({1,2,3,4,5,6,7,8,9,0},A$41&amp;"1234567890"))+1)</f>
        <v>347.22695-2804-55560000000-1235</v>
      </c>
    </row>
    <row r="16" spans="1:5" x14ac:dyDescent="0.2">
      <c r="A16" t="s">
        <v>103</v>
      </c>
      <c r="C16" t="str">
        <f>TRIM(MID(A$11, FIND(" ", A$11), (FIND(" ", A$11, FIND(" ", A$11) +1))-FIND(" ", A$11)))</f>
        <v>Earle</v>
      </c>
      <c r="D16" t="str">
        <f>TRIM(LEFT(A$11,FIND(" ",A$11)))</f>
        <v>Amber</v>
      </c>
      <c r="E16" t="str">
        <f>RIGHT(A$11,LEN(A$11)-MIN(FIND({1,2,3,4,5,6,7,8,9,0},A$11&amp;"1234567890"))+1)</f>
        <v>167.42695-5000-53420000000-1231</v>
      </c>
    </row>
    <row r="17" spans="1:5" x14ac:dyDescent="0.2">
      <c r="A17" t="s">
        <v>83</v>
      </c>
      <c r="C17" t="str">
        <f>TRIM(MID(A$38, FIND(" ", A$38), (FIND(" ", A$38, FIND(" ", A$38) +1))-FIND(" ", A$38)))</f>
        <v>Essenfeld</v>
      </c>
      <c r="D17" t="str">
        <f>TRIM(LEFT(A$38,FIND(" ",A$38)))</f>
        <v>Luciana</v>
      </c>
      <c r="E17" t="str">
        <f>RIGHT(A$38,LEN(A$38)-MIN(FIND({1,2,3,4,5,6,7,8,9,0},A$38&amp;"1234567890"))+1)</f>
        <v>301.14695-2804-55560000000-1236</v>
      </c>
    </row>
    <row r="18" spans="1:5" x14ac:dyDescent="0.2">
      <c r="A18" t="s">
        <v>104</v>
      </c>
      <c r="C18" t="str">
        <f>TRIM(MID(A$21, FIND(" ", A$21), (FIND(" ", A$21, FIND(" ", A$21) +1))-FIND(" ", A$21)))</f>
        <v>Forbes</v>
      </c>
      <c r="D18" t="str">
        <f>TRIM(LEFT(A$21,FIND(" ",A$21)))</f>
        <v>Francine</v>
      </c>
      <c r="E18" t="str">
        <f>RIGHT(A$21,LEN(A$21)-MIN(FIND({1,2,3,4,5,6,7,8,9,0},A$21&amp;"1234567890"))+1)</f>
        <v>200.11695-5000-53420000000-1231</v>
      </c>
    </row>
    <row r="19" spans="1:5" x14ac:dyDescent="0.2">
      <c r="A19" t="s">
        <v>105</v>
      </c>
      <c r="C19" t="str">
        <f>TRIM(MID(A$40, FIND(" ", A$40), (FIND(" ", A$40, FIND(" ", A$40) +1))-FIND(" ", A$40)))</f>
        <v>Gaines</v>
      </c>
      <c r="D19" t="str">
        <f>TRIM(LEFT(A$40,FIND(" ",A$40)))</f>
        <v>Mahdokht</v>
      </c>
      <c r="E19" t="str">
        <f>RIGHT(A$40,LEN(A$40)-MIN(FIND({1,2,3,4,5,6,7,8,9,0},A$40&amp;"1234567890"))+1)</f>
        <v>75.11695-2804-55560000000-1237</v>
      </c>
    </row>
    <row r="20" spans="1:5" x14ac:dyDescent="0.2">
      <c r="A20" t="s">
        <v>106</v>
      </c>
      <c r="C20" t="str">
        <f>TRIM(MID(A$42, FIND(" ", A$42), (FIND(" ", A$42, FIND(" ", A$42) +1))-FIND(" ", A$42)))</f>
        <v>Garcia</v>
      </c>
      <c r="D20" t="str">
        <f>TRIM(LEFT(A$42,FIND(" ",A$42)))</f>
        <v>Maria</v>
      </c>
      <c r="E20" t="str">
        <f>RIGHT(A$42,LEN(A$42)-MIN(FIND({1,2,3,4,5,6,7,8,9,0},A$42&amp;"1234567890"))+1)</f>
        <v>93.6695-2804-55560000000-1238</v>
      </c>
    </row>
    <row r="21" spans="1:5" x14ac:dyDescent="0.2">
      <c r="A21" t="s">
        <v>107</v>
      </c>
      <c r="C21" t="str">
        <f>TRIM(MID(A$43, FIND(" ", A$43), (FIND(" ", A$43, FIND(" ", A$43) +1))-FIND(" ", A$43)))</f>
        <v>Goldberg</v>
      </c>
      <c r="D21" t="str">
        <f>TRIM(LEFT(A$43,FIND(" ",A$43)))</f>
        <v>Maria</v>
      </c>
      <c r="E21" t="str">
        <f>RIGHT(A$43,LEN(A$43)-MIN(FIND({1,2,3,4,5,6,7,8,9,0},A$43&amp;"1234567890"))+1)</f>
        <v>1704.55695-2119-57680000000-1231</v>
      </c>
    </row>
    <row r="22" spans="1:5" x14ac:dyDescent="0.2">
      <c r="A22" t="s">
        <v>108</v>
      </c>
      <c r="C22" t="str">
        <f>TRIM(MID(A$44, FIND(" ", A$44), (FIND(" ", A$44, FIND(" ", A$44) +1))-FIND(" ", A$44)))</f>
        <v>Graber</v>
      </c>
      <c r="D22" t="str">
        <f>TRIM(LEFT(A$44,FIND(" ",A$44)))</f>
        <v>Marissa</v>
      </c>
      <c r="E22" t="str">
        <f>RIGHT(A$44,LEN(A$44)-MIN(FIND({1,2,3,4,5,6,7,8,9,0},A$44&amp;"1234567890"))+1)</f>
        <v>6.113695-2119-57680000000-1232</v>
      </c>
    </row>
    <row r="23" spans="1:5" x14ac:dyDescent="0.2">
      <c r="A23" t="s">
        <v>84</v>
      </c>
      <c r="C23" t="str">
        <f>TRIM(MID(A$45, FIND(" ", A$45), (FIND(" ", A$45, FIND(" ", A$45) +1))-FIND(" ", A$45)))</f>
        <v>Holmquist</v>
      </c>
      <c r="D23" t="str">
        <f>TRIM(LEFT(A$45,FIND(" ",A$45)))</f>
        <v>Mary</v>
      </c>
      <c r="E23" t="str">
        <f>RIGHT(A$45,LEN(A$45)-MIN(FIND({1,2,3,4,5,6,7,8,9,0},A$45&amp;"1234567890"))+1)</f>
        <v>255.11695-2119-57680000000-1233</v>
      </c>
    </row>
    <row r="24" spans="1:5" x14ac:dyDescent="0.2">
      <c r="A24" t="s">
        <v>109</v>
      </c>
      <c r="C24" t="str">
        <f>TRIM(MID(A$46, FIND(" ", A$46), (FIND(" ", A$46, FIND(" ", A$46) +1))-FIND(" ", A$46)))</f>
        <v>Huff</v>
      </c>
      <c r="D24" t="str">
        <f>TRIM(LEFT(A$46,FIND(" ",A$46)))</f>
        <v>Maryam</v>
      </c>
      <c r="E24" t="str">
        <f>RIGHT(A$46,LEN(A$46)-MIN(FIND({1,2,3,4,5,6,7,8,9,0},A$46&amp;"1234567890"))+1)</f>
        <v>20.76695-2119-57680000000-1234</v>
      </c>
    </row>
    <row r="25" spans="1:5" x14ac:dyDescent="0.2">
      <c r="A25" t="s">
        <v>110</v>
      </c>
      <c r="C25" t="str">
        <f>TRIM(MID(A$50, FIND(" ", A$50), (FIND(" ", A$50, FIND(" ", A$50) +1))-FIND(" ", A$50)))</f>
        <v>Iyere</v>
      </c>
      <c r="D25" t="str">
        <f>TRIM(LEFT(A$50,FIND(" ",A$50)))</f>
        <v>Paul</v>
      </c>
      <c r="E25" t="str">
        <f>RIGHT(A$50,LEN(A$50)-MIN(FIND({1,2,3,4,5,6,7,8,9,0},A$50&amp;"1234567890"))+1)</f>
        <v>59.25695-2119-57680000000-1235</v>
      </c>
    </row>
    <row r="26" spans="1:5" x14ac:dyDescent="0.2">
      <c r="A26" t="s">
        <v>111</v>
      </c>
      <c r="C26" t="str">
        <f>TRIM(MID(A$12, FIND(" ", A$12), (FIND(" ", A$12, FIND(" ", A$12) +1))-FIND(" ", A$12)))</f>
        <v>Johnson</v>
      </c>
      <c r="D26" t="str">
        <f>TRIM(LEFT(A$12,FIND(" ",A$12)))</f>
        <v>Annette</v>
      </c>
      <c r="E26" t="str">
        <f>RIGHT(A$12,LEN(A$12)-MIN(FIND({1,2,3,4,5,6,7,8,9,0},A$12&amp;"1234567890"))+1)</f>
        <v>151.01695-2002-52790000000-1232</v>
      </c>
    </row>
    <row r="27" spans="1:5" x14ac:dyDescent="0.2">
      <c r="A27" t="s">
        <v>112</v>
      </c>
      <c r="C27" t="str">
        <f>TRIM(MID(A$47, FIND(" ", A$47), (FIND(" ", A$47, FIND(" ", A$47) +1))-FIND(" ", A$47)))</f>
        <v>Juris</v>
      </c>
      <c r="D27" t="str">
        <f>TRIM(LEFT(A$47,FIND(" ",A$47)))</f>
        <v>Melissa</v>
      </c>
      <c r="E27" t="str">
        <f>RIGHT(A$47,LEN(A$47)-MIN(FIND({1,2,3,4,5,6,7,8,9,0},A$47&amp;"1234567890"))+1)</f>
        <v>172.11695-2119-57680000000-1236</v>
      </c>
    </row>
    <row r="28" spans="1:5" x14ac:dyDescent="0.2">
      <c r="A28" t="s">
        <v>113</v>
      </c>
      <c r="C28" t="str">
        <f>TRIM(MID(A$24, FIND(" ", A$24), (FIND(" ", A$24, FIND(" ", A$24) +1))-FIND(" ", A$24)))</f>
        <v>Kenniger</v>
      </c>
      <c r="D28" t="str">
        <f>TRIM(LEFT(A$24,FIND(" ",A$24)))</f>
        <v>Helen</v>
      </c>
      <c r="E28" t="str">
        <f>RIGHT(A$24,LEN(A$24)-MIN(FIND({1,2,3,4,5,6,7,8,9,0},A$24&amp;"1234567890"))+1)</f>
        <v>288.11695-2301-52790000000-1231</v>
      </c>
    </row>
    <row r="29" spans="1:5" x14ac:dyDescent="0.2">
      <c r="A29" t="s">
        <v>85</v>
      </c>
      <c r="C29" t="str">
        <f>TRIM(MID(A$48, FIND(" ", A$48), (FIND(" ", A$48, FIND(" ", A$48) +1))-FIND(" ", A$48)))</f>
        <v>Keys</v>
      </c>
      <c r="D29" t="str">
        <f>TRIM(LEFT(A$48,FIND(" ",A$48)))</f>
        <v>Melody</v>
      </c>
      <c r="E29" t="str">
        <f>RIGHT(A$48,LEN(A$48)-MIN(FIND({1,2,3,4,5,6,7,8,9,0},A$48&amp;"1234567890"))+1)</f>
        <v>176.11695-2804-55560000000-1231</v>
      </c>
    </row>
    <row r="30" spans="1:5" x14ac:dyDescent="0.2">
      <c r="A30" t="s">
        <v>114</v>
      </c>
      <c r="C30" t="str">
        <f>TRIM(MID(A$39, FIND(" ", A$39), (FIND(" ", A$39, FIND(" ", A$39) +1))-FIND(" ", A$39)))</f>
        <v>Kinnan</v>
      </c>
      <c r="D30" t="str">
        <f>TRIM(LEFT(A$39,FIND(" ",A$39)))</f>
        <v>Mable</v>
      </c>
      <c r="E30" t="str">
        <f>RIGHT(A$39,LEN(A$39)-MIN(FIND({1,2,3,4,5,6,7,8,9,0},A$39&amp;"1234567890"))+1)</f>
        <v>35.8695-2002-52790000000-1231</v>
      </c>
    </row>
    <row r="31" spans="1:5" x14ac:dyDescent="0.2">
      <c r="A31" t="s">
        <v>115</v>
      </c>
      <c r="C31" t="str">
        <f>TRIM(MID(A$8, FIND(" ", A$8), (FIND(" ", A$8, FIND(" ", A$8) +1))-FIND(" ", A$8)))</f>
        <v>Knight</v>
      </c>
      <c r="D31" t="str">
        <f>TRIM(LEFT(A$8,FIND(" ",A$8)))</f>
        <v>Michele</v>
      </c>
      <c r="E31" t="str">
        <f>RIGHT(A$8,LEN(A$8)-MIN(FIND({1,2,3,4,5,6,7,8,9,0},A$8&amp;"1234567890"))+1)</f>
        <v>225.86695-2804-55560000000-1232</v>
      </c>
    </row>
    <row r="32" spans="1:5" x14ac:dyDescent="0.2">
      <c r="A32" t="s">
        <v>116</v>
      </c>
      <c r="C32" t="str">
        <f>TRIM(MID(A$49, FIND(" ", A$49), (FIND(" ", A$49, FIND(" ", A$49) +1))-FIND(" ", A$49)))</f>
        <v>Laughlin</v>
      </c>
      <c r="D32" t="str">
        <f>TRIM(LEFT(A$49,FIND(" ",A$49)))</f>
        <v>Miriam</v>
      </c>
      <c r="E32" t="str">
        <f>RIGHT(A$49,LEN(A$49)-MIN(FIND({1,2,3,4,5,6,7,8,9,0},A$49&amp;"1234567890"))+1)</f>
        <v>41.64695-2804-55560000000-1233</v>
      </c>
    </row>
    <row r="33" spans="1:5" x14ac:dyDescent="0.2">
      <c r="A33" t="s">
        <v>117</v>
      </c>
      <c r="C33" t="str">
        <f>TRIM(MID(A$29, FIND(" ", A$29), (FIND(" ", A$29, FIND(" ", A$29) +1))-FIND(" ", A$29)))</f>
        <v>Lawrence</v>
      </c>
      <c r="D33" t="str">
        <f>TRIM(LEFT(A$29,FIND(" ",A$29)))</f>
        <v>John</v>
      </c>
      <c r="E33" t="str">
        <f>RIGHT(A$29,LEN(A$29)-MIN(FIND({1,2,3,4,5,6,7,8,9,0},A$29&amp;"1234567890"))+1)</f>
        <v>156.41695-2804-55560000000-1233</v>
      </c>
    </row>
    <row r="34" spans="1:5" x14ac:dyDescent="0.2">
      <c r="A34" t="s">
        <v>118</v>
      </c>
      <c r="C34" t="str">
        <f>TRIM(MID(A$23, FIND(" ", A$23), (FIND(" ", A$23, FIND(" ", A$23) +1))-FIND(" ", A$23)))</f>
        <v>Litmer</v>
      </c>
      <c r="D34" t="str">
        <f>TRIM(LEFT(A$23,FIND(" ",A$23)))</f>
        <v>Hazel</v>
      </c>
      <c r="E34" t="str">
        <f>RIGHT(A$23,LEN(A$23)-MIN(FIND({1,2,3,4,5,6,7,8,9,0},A$23&amp;"1234567890"))+1)</f>
        <v>576.11695-2002-52790000000-1233</v>
      </c>
    </row>
    <row r="35" spans="1:5" x14ac:dyDescent="0.2">
      <c r="A35" t="s">
        <v>86</v>
      </c>
      <c r="C35" t="str">
        <f>TRIM(MID(A$26, FIND(" ", A$26), (FIND(" ", A$26, FIND(" ", A$26) +1))-FIND(" ", A$26)))</f>
        <v>MacInnis</v>
      </c>
      <c r="D35" t="str">
        <f>TRIM(LEFT(A$26,FIND(" ",A$26)))</f>
        <v>Jennifer</v>
      </c>
      <c r="E35" t="str">
        <f>RIGHT(A$26,LEN(A$26)-MIN(FIND({1,2,3,4,5,6,7,8,9,0},A$26&amp;"1234567890"))+1)</f>
        <v>354.28695-2695-59330000000-1231</v>
      </c>
    </row>
    <row r="36" spans="1:5" x14ac:dyDescent="0.2">
      <c r="A36" t="s">
        <v>119</v>
      </c>
      <c r="C36" t="str">
        <f>TRIM(MID(A$4, FIND(" ", A$4), (FIND(" ", A$4, FIND(" ", A$4) +1))-FIND(" ", A$4)))</f>
        <v>Moss</v>
      </c>
      <c r="D36" t="str">
        <f>TRIM(LEFT(A$4,FIND(" ",A$4)))</f>
        <v>Gabriela</v>
      </c>
      <c r="E36" t="str">
        <f>RIGHT(A$4,LEN(A$4)-MIN(FIND({1,2,3,4,5,6,7,8,9,0},A$4&amp;"1234567890"))+1)</f>
        <v>669.11695-5000-53420000000-1232</v>
      </c>
    </row>
    <row r="37" spans="1:5" x14ac:dyDescent="0.2">
      <c r="A37" t="s">
        <v>120</v>
      </c>
      <c r="C37" t="str">
        <f>TRIM(MID(A$27, FIND(" ", A$27), (FIND(" ", A$27, FIND(" ", A$27) +1))-FIND(" ", A$27)))</f>
        <v>Mottlova</v>
      </c>
      <c r="D37" t="str">
        <f>TRIM(LEFT(A$27,FIND(" ",A$27)))</f>
        <v>Jennifer</v>
      </c>
      <c r="E37" t="str">
        <f>RIGHT(A$27,LEN(A$27)-MIN(FIND({1,2,3,4,5,6,7,8,9,0},A$27&amp;"1234567890"))+1)</f>
        <v>55.8695-2695-59330000000-1232</v>
      </c>
    </row>
    <row r="38" spans="1:5" x14ac:dyDescent="0.2">
      <c r="A38" t="s">
        <v>121</v>
      </c>
      <c r="C38" t="str">
        <f>TRIM(MID(A$6, FIND(" ", A$6), (FIND(" ", A$6, FIND(" ", A$6) +1))-FIND(" ", A$6)))</f>
        <v>Murphy</v>
      </c>
      <c r="D38" t="str">
        <f>TRIM(LEFT(A$6,FIND(" ",A$6)))</f>
        <v>Kelly</v>
      </c>
      <c r="E38" t="str">
        <f>RIGHT(A$6,LEN(A$6)-MIN(FIND({1,2,3,4,5,6,7,8,9,0},A$6&amp;"1234567890"))+1)</f>
        <v>1040.58695-2200-50630000000-1235</v>
      </c>
    </row>
    <row r="39" spans="1:5" x14ac:dyDescent="0.2">
      <c r="A39" t="s">
        <v>122</v>
      </c>
      <c r="C39" t="str">
        <f>TRIM(MID(A$28, FIND(" ", A$28), (FIND(" ", A$28, FIND(" ", A$28) +1))-FIND(" ", A$28)))</f>
        <v>Nielson</v>
      </c>
      <c r="D39" t="str">
        <f>TRIM(LEFT(A$28,FIND(" ",A$28)))</f>
        <v>Jessica</v>
      </c>
      <c r="E39" t="str">
        <f>RIGHT(A$28,LEN(A$28)-MIN(FIND({1,2,3,4,5,6,7,8,9,0},A$28&amp;"1234567890"))+1)</f>
        <v>70.95695-2804-55560000000-1231</v>
      </c>
    </row>
    <row r="40" spans="1:5" x14ac:dyDescent="0.2">
      <c r="A40" t="s">
        <v>123</v>
      </c>
      <c r="C40" t="str">
        <f>TRIM(MID(A$10, FIND(" ", A$10), (FIND(" ", A$10, FIND(" ", A$10) +1))-FIND(" ", A$10)))</f>
        <v>Ponson</v>
      </c>
      <c r="D40" t="str">
        <f>TRIM(LEFT(A$10,FIND(" ",A$10)))</f>
        <v>Aaron</v>
      </c>
      <c r="E40" t="str">
        <f>RIGHT(A$10,LEN(A$10)-MIN(FIND({1,2,3,4,5,6,7,8,9,0},A$10&amp;"1234567890"))+1)</f>
        <v>1120.11695-2806-51780000000-1231</v>
      </c>
    </row>
    <row r="41" spans="1:5" x14ac:dyDescent="0.2">
      <c r="A41" t="s">
        <v>124</v>
      </c>
      <c r="C41" t="str">
        <f>TRIM(MID(A$2, FIND(" ", A$2), (FIND(" ", A$2, FIND(" ", A$2) +1))-FIND(" ", A$2)))</f>
        <v>Psarros</v>
      </c>
      <c r="D41" t="str">
        <f>TRIM(LEFT(A$2,FIND(" ",A$2)))</f>
        <v>Jill</v>
      </c>
      <c r="E41" t="str">
        <f>RIGHT(A$2,LEN(A$2)-MIN(FIND({1,2,3,4,5,6,7,8,9,0},A$2&amp;"1234567890"))+1)</f>
        <v>62.34695-2804-55560000000-1232</v>
      </c>
    </row>
    <row r="42" spans="1:5" x14ac:dyDescent="0.2">
      <c r="A42" t="s">
        <v>125</v>
      </c>
      <c r="C42" t="str">
        <f>TRIM(MID(A$22, FIND(" ", A$22), (FIND(" ", A$22, FIND(" ", A$22) +1))-FIND(" ", A$22)))</f>
        <v>Quintana</v>
      </c>
      <c r="D42" t="str">
        <f>TRIM(LEFT(A$22,FIND(" ",A$22)))</f>
        <v>Grace</v>
      </c>
      <c r="E42" t="str">
        <f>RIGHT(A$22,LEN(A$22)-MIN(FIND({1,2,3,4,5,6,7,8,9,0},A$22&amp;"1234567890"))+1)</f>
        <v>76.31695-2806-51780000000-1232</v>
      </c>
    </row>
    <row r="43" spans="1:5" x14ac:dyDescent="0.2">
      <c r="A43" t="s">
        <v>126</v>
      </c>
      <c r="C43" t="str">
        <f>TRIM(MID(A$13, FIND(" ", A$13), (FIND(" ", A$13, FIND(" ", A$13) +1))-FIND(" ", A$13)))</f>
        <v>Redmond</v>
      </c>
      <c r="D43" t="str">
        <f>TRIM(LEFT(A$13,FIND(" ",A$13)))</f>
        <v>Ashley</v>
      </c>
      <c r="E43" t="str">
        <f>RIGHT(A$13,LEN(A$13)-MIN(FIND({1,2,3,4,5,6,7,8,9,0},A$13&amp;"1234567890"))+1)</f>
        <v>469.11695-2806-51780000000-1233</v>
      </c>
    </row>
    <row r="44" spans="1:5" x14ac:dyDescent="0.2">
      <c r="A44" t="s">
        <v>127</v>
      </c>
      <c r="C44" t="str">
        <f>TRIM(MID(A$34, FIND(" ", A$34), (FIND(" ", A$34, FIND(" ", A$34) +1))-FIND(" ", A$34)))</f>
        <v>Riggs</v>
      </c>
      <c r="D44" t="str">
        <f>TRIM(LEFT(A$34,FIND(" ",A$34)))</f>
        <v>Kimberly</v>
      </c>
      <c r="E44" t="str">
        <f>RIGHT(A$34,LEN(A$34)-MIN(FIND({1,2,3,4,5,6,7,8,9,0},A$34&amp;"1234567890"))+1)</f>
        <v>173.6695-2200-50630000000-1236</v>
      </c>
    </row>
    <row r="45" spans="1:5" x14ac:dyDescent="0.2">
      <c r="A45" t="s">
        <v>128</v>
      </c>
      <c r="C45" t="str">
        <f>TRIM(MID(A$51, FIND(" ", A$51), (FIND(" ", A$51, FIND(" ", A$51) +1))-FIND(" ", A$51)))</f>
        <v>Roberts</v>
      </c>
      <c r="D45" t="str">
        <f>TRIM(LEFT(A$51,FIND(" ",A$51)))</f>
        <v>Paul</v>
      </c>
      <c r="E45" t="str">
        <f>RIGHT(A$51,LEN(A$51)-MIN(FIND({1,2,3,4,5,6,7,8,9,0},A$51&amp;"1234567890"))+1)</f>
        <v>446.13695-2200-50630000000-1237</v>
      </c>
    </row>
    <row r="46" spans="1:5" x14ac:dyDescent="0.2">
      <c r="A46" t="s">
        <v>87</v>
      </c>
      <c r="C46" t="str">
        <f>TRIM(MID(A$30, FIND(" ", A$30), (FIND(" ", A$30, FIND(" ", A$30) +1))-FIND(" ", A$30)))</f>
        <v>Rojo</v>
      </c>
      <c r="D46" t="str">
        <f>TRIM(LEFT(A$30,FIND(" ",A$30)))</f>
        <v>Joleen</v>
      </c>
      <c r="E46" t="str">
        <f>RIGHT(A$30,LEN(A$30)-MIN(FIND({1,2,3,4,5,6,7,8,9,0},A$30&amp;"1234567890"))+1)</f>
        <v>1567.11695-2200-50630000000-1231</v>
      </c>
    </row>
    <row r="47" spans="1:5" x14ac:dyDescent="0.2">
      <c r="A47" t="s">
        <v>129</v>
      </c>
      <c r="C47" t="str">
        <f>TRIM(MID(A$31, FIND(" ", A$31), (FIND(" ", A$31, FIND(" ", A$31) +1))-FIND(" ", A$31)))</f>
        <v>Rollings</v>
      </c>
      <c r="D47" t="str">
        <f>TRIM(LEFT(A$31,FIND(" ",A$31)))</f>
        <v>Josene</v>
      </c>
      <c r="E47" t="str">
        <f>RIGHT(A$31,LEN(A$31)-MIN(FIND({1,2,3,4,5,6,7,8,9,0},A$31&amp;"1234567890"))+1)</f>
        <v>35.55695-2200-50630000000-1232</v>
      </c>
    </row>
    <row r="48" spans="1:5" x14ac:dyDescent="0.2">
      <c r="A48" t="s">
        <v>130</v>
      </c>
      <c r="C48" t="str">
        <f>TRIM(MID(A$14, FIND(" ", A$14), (FIND(" ", A$14, FIND(" ", A$14) +1))-FIND(" ", A$14)))</f>
        <v>Sandhu</v>
      </c>
      <c r="D48" t="str">
        <f>TRIM(LEFT(A$14,FIND(" ",A$14)))</f>
        <v>Bernadine</v>
      </c>
      <c r="E48" t="str">
        <f>RIGHT(A$14,LEN(A$14)-MIN(FIND({1,2,3,4,5,6,7,8,9,0},A$14&amp;"1234567890"))+1)</f>
        <v>142.01695-2806-51780000000-1234</v>
      </c>
    </row>
    <row r="49" spans="1:5" x14ac:dyDescent="0.2">
      <c r="A49" t="s">
        <v>131</v>
      </c>
      <c r="C49" t="str">
        <f>TRIM(MID(A$52, FIND(" ", A$52), (FIND(" ", A$52, FIND(" ", A$52) +1))-FIND(" ", A$52)))</f>
        <v>Santos</v>
      </c>
      <c r="D49" t="str">
        <f>TRIM(LEFT(A$52,FIND(" ",A$52)))</f>
        <v>Robert</v>
      </c>
      <c r="E49" t="str">
        <f>RIGHT(A$52,LEN(A$52)-MIN(FIND({1,2,3,4,5,6,7,8,9,0},A$52&amp;"1234567890"))+1)</f>
        <v>79.47695-2806-51780000000-1235</v>
      </c>
    </row>
    <row r="50" spans="1:5" x14ac:dyDescent="0.2">
      <c r="A50" t="s">
        <v>132</v>
      </c>
      <c r="C50" t="str">
        <f>TRIM(MID(A$25, FIND(" ", A$25), (FIND(" ", A$25, FIND(" ", A$25) +1))-FIND(" ", A$25)))</f>
        <v>Spencer</v>
      </c>
      <c r="D50" t="str">
        <f>TRIM(LEFT(A$25,FIND(" ",A$25)))</f>
        <v>Hilde</v>
      </c>
      <c r="E50" t="str">
        <f>RIGHT(A$25,LEN(A$25)-MIN(FIND({1,2,3,4,5,6,7,8,9,0},A$25&amp;"1234567890"))+1)</f>
        <v>8.88695-2806-51780000000-1236</v>
      </c>
    </row>
    <row r="51" spans="1:5" x14ac:dyDescent="0.2">
      <c r="A51" t="s">
        <v>133</v>
      </c>
      <c r="C51" t="str">
        <f>TRIM(MID(A$32, FIND(" ", A$32), (FIND(" ", A$32, FIND(" ", A$32) +1))-FIND(" ", A$32)))</f>
        <v>Sutter</v>
      </c>
      <c r="D51" t="str">
        <f>TRIM(LEFT(A$32,FIND(" ",A$32)))</f>
        <v>Karen</v>
      </c>
      <c r="E51" t="str">
        <f>RIGHT(A$32,LEN(A$32)-MIN(FIND({1,2,3,4,5,6,7,8,9,0},A$32&amp;"1234567890"))+1)</f>
        <v>67.95695-2200-50630000000-1233</v>
      </c>
    </row>
    <row r="52" spans="1:5" x14ac:dyDescent="0.2">
      <c r="A52" t="s">
        <v>134</v>
      </c>
      <c r="C52" t="str">
        <f>TRIM(MID(A$33, FIND(" ", A$33), (FIND(" ", A$33, FIND(" ", A$33) +1))-FIND(" ", A$33)))</f>
        <v>VanDann</v>
      </c>
      <c r="D52" t="str">
        <f>TRIM(LEFT(A$33,FIND(" ",A$33)))</f>
        <v>Katherine</v>
      </c>
      <c r="E52" t="str">
        <f>RIGHT(A$33,LEN(A$33)-MIN(FIND({1,2,3,4,5,6,7,8,9,0},A$33&amp;"1234567890"))+1)</f>
        <v>301.5695-2200-50630000000-1234</v>
      </c>
    </row>
    <row r="53" spans="1:5" x14ac:dyDescent="0.2">
      <c r="C53">
        <f>SUBTOTAL(103,Table15[LastName])</f>
        <v>51</v>
      </c>
    </row>
  </sheetData>
  <pageMargins left="0.7" right="0.7" top="0.75" bottom="0.75" header="0.3" footer="0.3"/>
  <ignoredErrors>
    <ignoredError sqref="C2:E52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/>
  </sheetViews>
  <sheetFormatPr defaultRowHeight="12.75" x14ac:dyDescent="0.2"/>
  <cols>
    <col min="1" max="1" width="12.140625" customWidth="1"/>
    <col min="2" max="3" width="12.28515625" customWidth="1"/>
    <col min="4" max="4" width="32" bestFit="1" customWidth="1"/>
  </cols>
  <sheetData>
    <row r="1" spans="1:4" x14ac:dyDescent="0.2">
      <c r="A1" s="9" t="s">
        <v>88</v>
      </c>
      <c r="B1" s="9" t="s">
        <v>89</v>
      </c>
      <c r="C1" s="9" t="s">
        <v>285</v>
      </c>
      <c r="D1" s="9" t="s">
        <v>90</v>
      </c>
    </row>
    <row r="2" spans="1:4" x14ac:dyDescent="0.2">
      <c r="A2" s="9" t="s">
        <v>233</v>
      </c>
      <c r="B2" s="9" t="s">
        <v>234</v>
      </c>
      <c r="C2" s="10" t="str">
        <f>DOLLAR(LEFT(OverheadCalculation[[#This Row],[GrantData]], FIND("-",OverheadCalculation[[#This Row],[GrantData]])- 1), 2)</f>
        <v>$1,410.12</v>
      </c>
      <c r="D2" s="9" t="s">
        <v>235</v>
      </c>
    </row>
    <row r="3" spans="1:4" x14ac:dyDescent="0.2">
      <c r="A3" s="9" t="s">
        <v>138</v>
      </c>
      <c r="B3" s="9" t="s">
        <v>139</v>
      </c>
      <c r="C3" s="10" t="str">
        <f>DOLLAR(LEFT(OverheadCalculation[[#This Row],[GrantData]], FIND("-",OverheadCalculation[[#This Row],[GrantData]])- 1), 2)</f>
        <v>$47.37</v>
      </c>
      <c r="D3" s="9" t="s">
        <v>140</v>
      </c>
    </row>
    <row r="4" spans="1:4" x14ac:dyDescent="0.2">
      <c r="A4" s="9" t="s">
        <v>174</v>
      </c>
      <c r="B4" s="9" t="s">
        <v>175</v>
      </c>
      <c r="C4" s="10" t="str">
        <f>DOLLAR(LEFT(OverheadCalculation[[#This Row],[GrantData]], FIND("-",OverheadCalculation[[#This Row],[GrantData]])- 1), 2)</f>
        <v>$63.37</v>
      </c>
      <c r="D4" s="9" t="s">
        <v>176</v>
      </c>
    </row>
    <row r="5" spans="1:4" x14ac:dyDescent="0.2">
      <c r="A5" s="9" t="s">
        <v>144</v>
      </c>
      <c r="B5" s="9" t="s">
        <v>145</v>
      </c>
      <c r="C5" s="10" t="str">
        <f>DOLLAR(LEFT(OverheadCalculation[[#This Row],[GrantData]], FIND("-",OverheadCalculation[[#This Row],[GrantData]])- 1), 2)</f>
        <v>$1,025.12</v>
      </c>
      <c r="D5" s="9" t="s">
        <v>146</v>
      </c>
    </row>
    <row r="6" spans="1:4" x14ac:dyDescent="0.2">
      <c r="A6" s="9" t="s">
        <v>236</v>
      </c>
      <c r="B6" s="9" t="s">
        <v>237</v>
      </c>
      <c r="C6" s="10" t="str">
        <f>DOLLAR(LEFT(OverheadCalculation[[#This Row],[GrantData]], FIND("-",OverheadCalculation[[#This Row],[GrantData]])- 1), 2)</f>
        <v>$241.27</v>
      </c>
      <c r="D6" s="9" t="s">
        <v>238</v>
      </c>
    </row>
    <row r="7" spans="1:4" x14ac:dyDescent="0.2">
      <c r="A7" s="9" t="s">
        <v>239</v>
      </c>
      <c r="B7" s="9" t="s">
        <v>240</v>
      </c>
      <c r="C7" s="10" t="str">
        <f>DOLLAR(LEFT(OverheadCalculation[[#This Row],[GrantData]], FIND("-",OverheadCalculation[[#This Row],[GrantData]])- 1), 2)</f>
        <v>$146.27</v>
      </c>
      <c r="D7" s="9" t="s">
        <v>241</v>
      </c>
    </row>
    <row r="8" spans="1:4" x14ac:dyDescent="0.2">
      <c r="A8" s="9" t="s">
        <v>156</v>
      </c>
      <c r="B8" s="9" t="s">
        <v>157</v>
      </c>
      <c r="C8" s="10" t="str">
        <f>DOLLAR(LEFT(OverheadCalculation[[#This Row],[GrantData]], FIND("-",OverheadCalculation[[#This Row],[GrantData]])- 1), 2)</f>
        <v>$133.77</v>
      </c>
      <c r="D8" s="9" t="s">
        <v>158</v>
      </c>
    </row>
    <row r="9" spans="1:4" x14ac:dyDescent="0.2">
      <c r="A9" s="9" t="s">
        <v>177</v>
      </c>
      <c r="B9" s="9" t="s">
        <v>178</v>
      </c>
      <c r="C9" s="10" t="str">
        <f>DOLLAR(LEFT(OverheadCalculation[[#This Row],[GrantData]], FIND("-",OverheadCalculation[[#This Row],[GrantData]])- 1), 2)</f>
        <v>$694.46</v>
      </c>
      <c r="D9" s="9" t="s">
        <v>179</v>
      </c>
    </row>
    <row r="10" spans="1:4" x14ac:dyDescent="0.2">
      <c r="A10" s="9" t="s">
        <v>180</v>
      </c>
      <c r="B10" s="9" t="s">
        <v>181</v>
      </c>
      <c r="C10" s="10" t="str">
        <f>DOLLAR(LEFT(OverheadCalculation[[#This Row],[GrantData]], FIND("-",OverheadCalculation[[#This Row],[GrantData]])- 1), 2)</f>
        <v>$1,242.42</v>
      </c>
      <c r="D10" s="9" t="s">
        <v>182</v>
      </c>
    </row>
    <row r="11" spans="1:4" x14ac:dyDescent="0.2">
      <c r="A11" s="9" t="s">
        <v>150</v>
      </c>
      <c r="B11" s="9" t="s">
        <v>151</v>
      </c>
      <c r="C11" s="10" t="str">
        <f>DOLLAR(LEFT(OverheadCalculation[[#This Row],[GrantData]], FIND("-",OverheadCalculation[[#This Row],[GrantData]])- 1), 2)</f>
        <v>$121.70</v>
      </c>
      <c r="D11" s="9" t="s">
        <v>152</v>
      </c>
    </row>
    <row r="12" spans="1:4" x14ac:dyDescent="0.2">
      <c r="A12" s="9" t="s">
        <v>183</v>
      </c>
      <c r="B12" s="9" t="s">
        <v>184</v>
      </c>
      <c r="C12" s="10" t="str">
        <f>DOLLAR(LEFT(OverheadCalculation[[#This Row],[GrantData]], FIND("-",OverheadCalculation[[#This Row],[GrantData]])- 1), 2)</f>
        <v>$71.73</v>
      </c>
      <c r="D12" s="9" t="s">
        <v>185</v>
      </c>
    </row>
    <row r="13" spans="1:4" x14ac:dyDescent="0.2">
      <c r="A13" s="9" t="s">
        <v>186</v>
      </c>
      <c r="B13" s="9" t="s">
        <v>187</v>
      </c>
      <c r="C13" s="10" t="str">
        <f>DOLLAR(LEFT(OverheadCalculation[[#This Row],[GrantData]], FIND("-",OverheadCalculation[[#This Row],[GrantData]])- 1), 2)</f>
        <v>$669.27</v>
      </c>
      <c r="D13" s="9" t="s">
        <v>188</v>
      </c>
    </row>
    <row r="14" spans="1:4" x14ac:dyDescent="0.2">
      <c r="A14" s="9" t="s">
        <v>189</v>
      </c>
      <c r="B14" s="9" t="s">
        <v>190</v>
      </c>
      <c r="C14" s="10" t="str">
        <f>DOLLAR(LEFT(OverheadCalculation[[#This Row],[GrantData]], FIND("-",OverheadCalculation[[#This Row],[GrantData]])- 1), 2)</f>
        <v>$180.12</v>
      </c>
      <c r="D14" s="9" t="s">
        <v>191</v>
      </c>
    </row>
    <row r="15" spans="1:4" x14ac:dyDescent="0.2">
      <c r="A15" s="9" t="s">
        <v>251</v>
      </c>
      <c r="B15" s="9" t="s">
        <v>252</v>
      </c>
      <c r="C15" s="10" t="str">
        <f>DOLLAR(LEFT(OverheadCalculation[[#This Row],[GrantData]], FIND("-",OverheadCalculation[[#This Row],[GrantData]])- 1), 2)</f>
        <v>$347.23</v>
      </c>
      <c r="D15" s="9" t="s">
        <v>253</v>
      </c>
    </row>
    <row r="16" spans="1:4" x14ac:dyDescent="0.2">
      <c r="A16" s="9" t="s">
        <v>162</v>
      </c>
      <c r="B16" s="9" t="s">
        <v>163</v>
      </c>
      <c r="C16" s="10" t="str">
        <f>DOLLAR(LEFT(OverheadCalculation[[#This Row],[GrantData]], FIND("-",OverheadCalculation[[#This Row],[GrantData]])- 1), 2)</f>
        <v>$167.43</v>
      </c>
      <c r="D16" s="9" t="s">
        <v>164</v>
      </c>
    </row>
    <row r="17" spans="1:4" x14ac:dyDescent="0.2">
      <c r="A17" s="9" t="s">
        <v>242</v>
      </c>
      <c r="B17" s="9" t="s">
        <v>243</v>
      </c>
      <c r="C17" s="10" t="str">
        <f>DOLLAR(LEFT(OverheadCalculation[[#This Row],[GrantData]], FIND("-",OverheadCalculation[[#This Row],[GrantData]])- 1), 2)</f>
        <v>$301.15</v>
      </c>
      <c r="D17" s="9" t="s">
        <v>244</v>
      </c>
    </row>
    <row r="18" spans="1:4" x14ac:dyDescent="0.2">
      <c r="A18" s="9" t="s">
        <v>192</v>
      </c>
      <c r="B18" s="9" t="s">
        <v>193</v>
      </c>
      <c r="C18" s="10" t="str">
        <f>DOLLAR(LEFT(OverheadCalculation[[#This Row],[GrantData]], FIND("-",OverheadCalculation[[#This Row],[GrantData]])- 1), 2)</f>
        <v>$200.12</v>
      </c>
      <c r="D18" s="9" t="s">
        <v>194</v>
      </c>
    </row>
    <row r="19" spans="1:4" x14ac:dyDescent="0.2">
      <c r="A19" s="9" t="s">
        <v>248</v>
      </c>
      <c r="B19" s="9" t="s">
        <v>249</v>
      </c>
      <c r="C19" s="10" t="str">
        <f>DOLLAR(LEFT(OverheadCalculation[[#This Row],[GrantData]], FIND("-",OverheadCalculation[[#This Row],[GrantData]])- 1), 2)</f>
        <v>$75.12</v>
      </c>
      <c r="D19" s="9" t="s">
        <v>250</v>
      </c>
    </row>
    <row r="20" spans="1:4" x14ac:dyDescent="0.2">
      <c r="A20" s="9" t="s">
        <v>254</v>
      </c>
      <c r="B20" s="9" t="s">
        <v>255</v>
      </c>
      <c r="C20" s="10" t="str">
        <f>DOLLAR(LEFT(OverheadCalculation[[#This Row],[GrantData]], FIND("-",OverheadCalculation[[#This Row],[GrantData]])- 1), 2)</f>
        <v>$93.67</v>
      </c>
      <c r="D20" s="9" t="s">
        <v>256</v>
      </c>
    </row>
    <row r="21" spans="1:4" x14ac:dyDescent="0.2">
      <c r="A21" s="9" t="s">
        <v>257</v>
      </c>
      <c r="B21" s="9" t="s">
        <v>255</v>
      </c>
      <c r="C21" s="10" t="str">
        <f>DOLLAR(LEFT(OverheadCalculation[[#This Row],[GrantData]], FIND("-",OverheadCalculation[[#This Row],[GrantData]])- 1), 2)</f>
        <v>$1,704.56</v>
      </c>
      <c r="D21" s="9" t="s">
        <v>258</v>
      </c>
    </row>
    <row r="22" spans="1:4" x14ac:dyDescent="0.2">
      <c r="A22" s="9" t="s">
        <v>259</v>
      </c>
      <c r="B22" s="9" t="s">
        <v>260</v>
      </c>
      <c r="C22" s="10" t="str">
        <f>DOLLAR(LEFT(OverheadCalculation[[#This Row],[GrantData]], FIND("-",OverheadCalculation[[#This Row],[GrantData]])- 1), 2)</f>
        <v>$6.11</v>
      </c>
      <c r="D22" s="9" t="s">
        <v>261</v>
      </c>
    </row>
    <row r="23" spans="1:4" x14ac:dyDescent="0.2">
      <c r="A23" s="9" t="s">
        <v>262</v>
      </c>
      <c r="B23" s="9" t="s">
        <v>263</v>
      </c>
      <c r="C23" s="10" t="str">
        <f>DOLLAR(LEFT(OverheadCalculation[[#This Row],[GrantData]], FIND("-",OverheadCalculation[[#This Row],[GrantData]])- 1), 2)</f>
        <v>$255.12</v>
      </c>
      <c r="D23" s="9" t="s">
        <v>264</v>
      </c>
    </row>
    <row r="24" spans="1:4" x14ac:dyDescent="0.2">
      <c r="A24" s="9" t="s">
        <v>265</v>
      </c>
      <c r="B24" s="9" t="s">
        <v>266</v>
      </c>
      <c r="C24" s="10" t="str">
        <f>DOLLAR(LEFT(OverheadCalculation[[#This Row],[GrantData]], FIND("-",OverheadCalculation[[#This Row],[GrantData]])- 1), 2)</f>
        <v>$20.77</v>
      </c>
      <c r="D24" s="9" t="s">
        <v>267</v>
      </c>
    </row>
    <row r="25" spans="1:4" x14ac:dyDescent="0.2">
      <c r="A25" s="9" t="s">
        <v>277</v>
      </c>
      <c r="B25" s="9" t="s">
        <v>278</v>
      </c>
      <c r="C25" s="10" t="str">
        <f>DOLLAR(LEFT(OverheadCalculation[[#This Row],[GrantData]], FIND("-",OverheadCalculation[[#This Row],[GrantData]])- 1), 2)</f>
        <v>$59.26</v>
      </c>
      <c r="D25" s="9" t="s">
        <v>279</v>
      </c>
    </row>
    <row r="26" spans="1:4" x14ac:dyDescent="0.2">
      <c r="A26" s="9" t="s">
        <v>165</v>
      </c>
      <c r="B26" s="9" t="s">
        <v>166</v>
      </c>
      <c r="C26" s="10" t="str">
        <f>DOLLAR(LEFT(OverheadCalculation[[#This Row],[GrantData]], FIND("-",OverheadCalculation[[#This Row],[GrantData]])- 1), 2)</f>
        <v>$151.02</v>
      </c>
      <c r="D26" s="9" t="s">
        <v>167</v>
      </c>
    </row>
    <row r="27" spans="1:4" x14ac:dyDescent="0.2">
      <c r="A27" s="9" t="s">
        <v>268</v>
      </c>
      <c r="B27" s="9" t="s">
        <v>269</v>
      </c>
      <c r="C27" s="10" t="str">
        <f>DOLLAR(LEFT(OverheadCalculation[[#This Row],[GrantData]], FIND("-",OverheadCalculation[[#This Row],[GrantData]])- 1), 2)</f>
        <v>$172.12</v>
      </c>
      <c r="D27" s="9" t="s">
        <v>270</v>
      </c>
    </row>
    <row r="28" spans="1:4" x14ac:dyDescent="0.2">
      <c r="A28" s="9" t="s">
        <v>201</v>
      </c>
      <c r="B28" s="9" t="s">
        <v>202</v>
      </c>
      <c r="C28" s="10" t="str">
        <f>DOLLAR(LEFT(OverheadCalculation[[#This Row],[GrantData]], FIND("-",OverheadCalculation[[#This Row],[GrantData]])- 1), 2)</f>
        <v>$288.12</v>
      </c>
      <c r="D28" s="9" t="s">
        <v>203</v>
      </c>
    </row>
    <row r="29" spans="1:4" x14ac:dyDescent="0.2">
      <c r="A29" s="9" t="s">
        <v>271</v>
      </c>
      <c r="B29" s="9" t="s">
        <v>272</v>
      </c>
      <c r="C29" s="10" t="str">
        <f>DOLLAR(LEFT(OverheadCalculation[[#This Row],[GrantData]], FIND("-",OverheadCalculation[[#This Row],[GrantData]])- 1), 2)</f>
        <v>$176.12</v>
      </c>
      <c r="D29" s="9" t="s">
        <v>273</v>
      </c>
    </row>
    <row r="30" spans="1:4" x14ac:dyDescent="0.2">
      <c r="A30" s="9" t="s">
        <v>245</v>
      </c>
      <c r="B30" s="9" t="s">
        <v>246</v>
      </c>
      <c r="C30" s="10" t="str">
        <f>DOLLAR(LEFT(OverheadCalculation[[#This Row],[GrantData]], FIND("-",OverheadCalculation[[#This Row],[GrantData]])- 1), 2)</f>
        <v>$35.87</v>
      </c>
      <c r="D30" s="9" t="s">
        <v>247</v>
      </c>
    </row>
    <row r="31" spans="1:4" x14ac:dyDescent="0.2">
      <c r="A31" s="9" t="s">
        <v>153</v>
      </c>
      <c r="B31" s="9" t="s">
        <v>154</v>
      </c>
      <c r="C31" s="10" t="str">
        <f>DOLLAR(LEFT(OverheadCalculation[[#This Row],[GrantData]], FIND("-",OverheadCalculation[[#This Row],[GrantData]])- 1), 2)</f>
        <v>$225.87</v>
      </c>
      <c r="D31" s="9" t="s">
        <v>155</v>
      </c>
    </row>
    <row r="32" spans="1:4" x14ac:dyDescent="0.2">
      <c r="A32" s="9" t="s">
        <v>274</v>
      </c>
      <c r="B32" s="9" t="s">
        <v>275</v>
      </c>
      <c r="C32" s="10" t="str">
        <f>DOLLAR(LEFT(OverheadCalculation[[#This Row],[GrantData]], FIND("-",OverheadCalculation[[#This Row],[GrantData]])- 1), 2)</f>
        <v>$41.65</v>
      </c>
      <c r="D32" s="9" t="s">
        <v>276</v>
      </c>
    </row>
    <row r="33" spans="1:4" x14ac:dyDescent="0.2">
      <c r="A33" s="9" t="s">
        <v>215</v>
      </c>
      <c r="B33" s="9" t="s">
        <v>216</v>
      </c>
      <c r="C33" s="10" t="str">
        <f>DOLLAR(LEFT(OverheadCalculation[[#This Row],[GrantData]], FIND("-",OverheadCalculation[[#This Row],[GrantData]])- 1), 2)</f>
        <v>$156.42</v>
      </c>
      <c r="D33" s="9" t="s">
        <v>217</v>
      </c>
    </row>
    <row r="34" spans="1:4" x14ac:dyDescent="0.2">
      <c r="A34" s="9" t="s">
        <v>198</v>
      </c>
      <c r="B34" s="9" t="s">
        <v>199</v>
      </c>
      <c r="C34" s="10" t="str">
        <f>DOLLAR(LEFT(OverheadCalculation[[#This Row],[GrantData]], FIND("-",OverheadCalculation[[#This Row],[GrantData]])- 1), 2)</f>
        <v>$576.12</v>
      </c>
      <c r="D34" s="9" t="s">
        <v>200</v>
      </c>
    </row>
    <row r="35" spans="1:4" x14ac:dyDescent="0.2">
      <c r="A35" s="9" t="s">
        <v>207</v>
      </c>
      <c r="B35" s="9" t="s">
        <v>208</v>
      </c>
      <c r="C35" s="10" t="str">
        <f>DOLLAR(LEFT(OverheadCalculation[[#This Row],[GrantData]], FIND("-",OverheadCalculation[[#This Row],[GrantData]])- 1), 2)</f>
        <v>$354.29</v>
      </c>
      <c r="D35" s="9" t="s">
        <v>209</v>
      </c>
    </row>
    <row r="36" spans="1:4" x14ac:dyDescent="0.2">
      <c r="A36" s="9" t="s">
        <v>141</v>
      </c>
      <c r="B36" s="9" t="s">
        <v>142</v>
      </c>
      <c r="C36" s="10" t="str">
        <f>DOLLAR(LEFT(OverheadCalculation[[#This Row],[GrantData]], FIND("-",OverheadCalculation[[#This Row],[GrantData]])- 1), 2)</f>
        <v>$669.12</v>
      </c>
      <c r="D36" s="9" t="s">
        <v>143</v>
      </c>
    </row>
    <row r="37" spans="1:4" x14ac:dyDescent="0.2">
      <c r="A37" s="9" t="s">
        <v>210</v>
      </c>
      <c r="B37" s="9" t="s">
        <v>208</v>
      </c>
      <c r="C37" s="10" t="str">
        <f>DOLLAR(LEFT(OverheadCalculation[[#This Row],[GrantData]], FIND("-",OverheadCalculation[[#This Row],[GrantData]])- 1), 2)</f>
        <v>$55.87</v>
      </c>
      <c r="D37" s="9" t="s">
        <v>211</v>
      </c>
    </row>
    <row r="38" spans="1:4" x14ac:dyDescent="0.2">
      <c r="A38" s="9" t="s">
        <v>147</v>
      </c>
      <c r="B38" s="9" t="s">
        <v>148</v>
      </c>
      <c r="C38" s="10" t="str">
        <f>DOLLAR(LEFT(OverheadCalculation[[#This Row],[GrantData]], FIND("-",OverheadCalculation[[#This Row],[GrantData]])- 1), 2)</f>
        <v>$1,040.59</v>
      </c>
      <c r="D38" s="9" t="s">
        <v>149</v>
      </c>
    </row>
    <row r="39" spans="1:4" x14ac:dyDescent="0.2">
      <c r="A39" s="9" t="s">
        <v>212</v>
      </c>
      <c r="B39" s="9" t="s">
        <v>213</v>
      </c>
      <c r="C39" s="10" t="str">
        <f>DOLLAR(LEFT(OverheadCalculation[[#This Row],[GrantData]], FIND("-",OverheadCalculation[[#This Row],[GrantData]])- 1), 2)</f>
        <v>$70.96</v>
      </c>
      <c r="D39" s="9" t="s">
        <v>214</v>
      </c>
    </row>
    <row r="40" spans="1:4" x14ac:dyDescent="0.2">
      <c r="A40" s="9" t="s">
        <v>159</v>
      </c>
      <c r="B40" s="9" t="s">
        <v>160</v>
      </c>
      <c r="C40" s="10" t="str">
        <f>DOLLAR(LEFT(OverheadCalculation[[#This Row],[GrantData]], FIND("-",OverheadCalculation[[#This Row],[GrantData]])- 1), 2)</f>
        <v>$1,120.12</v>
      </c>
      <c r="D40" s="9" t="s">
        <v>161</v>
      </c>
    </row>
    <row r="41" spans="1:4" x14ac:dyDescent="0.2">
      <c r="A41" s="9" t="s">
        <v>135</v>
      </c>
      <c r="B41" s="9" t="s">
        <v>136</v>
      </c>
      <c r="C41" s="10" t="str">
        <f>DOLLAR(LEFT(OverheadCalculation[[#This Row],[GrantData]], FIND("-",OverheadCalculation[[#This Row],[GrantData]])- 1), 2)</f>
        <v>$62.35</v>
      </c>
      <c r="D41" s="9" t="s">
        <v>137</v>
      </c>
    </row>
    <row r="42" spans="1:4" x14ac:dyDescent="0.2">
      <c r="A42" s="9" t="s">
        <v>195</v>
      </c>
      <c r="B42" s="9" t="s">
        <v>196</v>
      </c>
      <c r="C42" s="10" t="str">
        <f>DOLLAR(LEFT(OverheadCalculation[[#This Row],[GrantData]], FIND("-",OverheadCalculation[[#This Row],[GrantData]])- 1), 2)</f>
        <v>$76.32</v>
      </c>
      <c r="D42" s="9" t="s">
        <v>197</v>
      </c>
    </row>
    <row r="43" spans="1:4" x14ac:dyDescent="0.2">
      <c r="A43" s="9" t="s">
        <v>168</v>
      </c>
      <c r="B43" s="9" t="s">
        <v>169</v>
      </c>
      <c r="C43" s="10" t="str">
        <f>DOLLAR(LEFT(OverheadCalculation[[#This Row],[GrantData]], FIND("-",OverheadCalculation[[#This Row],[GrantData]])- 1), 2)</f>
        <v>$469.12</v>
      </c>
      <c r="D43" s="9" t="s">
        <v>170</v>
      </c>
    </row>
    <row r="44" spans="1:4" x14ac:dyDescent="0.2">
      <c r="A44" s="9" t="s">
        <v>230</v>
      </c>
      <c r="B44" s="9" t="s">
        <v>231</v>
      </c>
      <c r="C44" s="10" t="str">
        <f>DOLLAR(LEFT(OverheadCalculation[[#This Row],[GrantData]], FIND("-",OverheadCalculation[[#This Row],[GrantData]])- 1), 2)</f>
        <v>$173.67</v>
      </c>
      <c r="D44" s="9" t="s">
        <v>232</v>
      </c>
    </row>
    <row r="45" spans="1:4" x14ac:dyDescent="0.2">
      <c r="A45" s="9" t="s">
        <v>280</v>
      </c>
      <c r="B45" s="9" t="s">
        <v>278</v>
      </c>
      <c r="C45" s="10" t="str">
        <f>DOLLAR(LEFT(OverheadCalculation[[#This Row],[GrantData]], FIND("-",OverheadCalculation[[#This Row],[GrantData]])- 1), 2)</f>
        <v>$446.14</v>
      </c>
      <c r="D45" s="9" t="s">
        <v>281</v>
      </c>
    </row>
    <row r="46" spans="1:4" x14ac:dyDescent="0.2">
      <c r="A46" s="9" t="s">
        <v>218</v>
      </c>
      <c r="B46" s="9" t="s">
        <v>219</v>
      </c>
      <c r="C46" s="10" t="str">
        <f>DOLLAR(LEFT(OverheadCalculation[[#This Row],[GrantData]], FIND("-",OverheadCalculation[[#This Row],[GrantData]])- 1), 2)</f>
        <v>$1,567.12</v>
      </c>
      <c r="D46" s="9" t="s">
        <v>220</v>
      </c>
    </row>
    <row r="47" spans="1:4" x14ac:dyDescent="0.2">
      <c r="A47" s="9" t="s">
        <v>221</v>
      </c>
      <c r="B47" s="9" t="s">
        <v>222</v>
      </c>
      <c r="C47" s="10" t="str">
        <f>DOLLAR(LEFT(OverheadCalculation[[#This Row],[GrantData]], FIND("-",OverheadCalculation[[#This Row],[GrantData]])- 1), 2)</f>
        <v>$35.56</v>
      </c>
      <c r="D47" s="9" t="s">
        <v>223</v>
      </c>
    </row>
    <row r="48" spans="1:4" x14ac:dyDescent="0.2">
      <c r="A48" s="9" t="s">
        <v>171</v>
      </c>
      <c r="B48" s="9" t="s">
        <v>172</v>
      </c>
      <c r="C48" s="10" t="str">
        <f>DOLLAR(LEFT(OverheadCalculation[[#This Row],[GrantData]], FIND("-",OverheadCalculation[[#This Row],[GrantData]])- 1), 2)</f>
        <v>$142.02</v>
      </c>
      <c r="D48" s="9" t="s">
        <v>173</v>
      </c>
    </row>
    <row r="49" spans="1:4" x14ac:dyDescent="0.2">
      <c r="A49" s="9" t="s">
        <v>282</v>
      </c>
      <c r="B49" s="9" t="s">
        <v>283</v>
      </c>
      <c r="C49" s="10" t="str">
        <f>DOLLAR(LEFT(OverheadCalculation[[#This Row],[GrantData]], FIND("-",OverheadCalculation[[#This Row],[GrantData]])- 1), 2)</f>
        <v>$79.48</v>
      </c>
      <c r="D49" s="9" t="s">
        <v>284</v>
      </c>
    </row>
    <row r="50" spans="1:4" x14ac:dyDescent="0.2">
      <c r="A50" s="9" t="s">
        <v>204</v>
      </c>
      <c r="B50" s="9" t="s">
        <v>205</v>
      </c>
      <c r="C50" s="10" t="str">
        <f>DOLLAR(LEFT(OverheadCalculation[[#This Row],[GrantData]], FIND("-",OverheadCalculation[[#This Row],[GrantData]])- 1), 2)</f>
        <v>$8.89</v>
      </c>
      <c r="D50" s="9" t="s">
        <v>206</v>
      </c>
    </row>
    <row r="51" spans="1:4" x14ac:dyDescent="0.2">
      <c r="A51" s="9" t="s">
        <v>224</v>
      </c>
      <c r="B51" s="9" t="s">
        <v>225</v>
      </c>
      <c r="C51" s="10" t="str">
        <f>DOLLAR(LEFT(OverheadCalculation[[#This Row],[GrantData]], FIND("-",OverheadCalculation[[#This Row],[GrantData]])- 1), 2)</f>
        <v>$67.96</v>
      </c>
      <c r="D51" s="9" t="s">
        <v>226</v>
      </c>
    </row>
    <row r="52" spans="1:4" x14ac:dyDescent="0.2">
      <c r="A52" s="9" t="s">
        <v>227</v>
      </c>
      <c r="B52" s="9" t="s">
        <v>228</v>
      </c>
      <c r="C52" s="10" t="str">
        <f>DOLLAR(LEFT(OverheadCalculation[[#This Row],[GrantData]], FIND("-",OverheadCalculation[[#This Row],[GrantData]])- 1), 2)</f>
        <v>$301.57</v>
      </c>
      <c r="D52" s="9" t="s">
        <v>229</v>
      </c>
    </row>
    <row r="53" spans="1:4" x14ac:dyDescent="0.2">
      <c r="A53">
        <f>SUBTOTAL(103,OverheadCalculation[LastName])</f>
        <v>51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2.75" x14ac:dyDescent="0.2"/>
  <cols>
    <col min="1" max="1" width="10.42578125" bestFit="1" customWidth="1"/>
    <col min="2" max="2" width="10.140625" bestFit="1" customWidth="1"/>
    <col min="3" max="3" width="9.140625" bestFit="1" customWidth="1"/>
    <col min="4" max="4" width="11.42578125" bestFit="1" customWidth="1"/>
    <col min="5" max="5" width="32" bestFit="1" customWidth="1"/>
  </cols>
  <sheetData>
    <row r="1" spans="1:5" x14ac:dyDescent="0.2">
      <c r="A1" s="9" t="s">
        <v>88</v>
      </c>
      <c r="B1" s="9" t="s">
        <v>89</v>
      </c>
      <c r="C1" s="9" t="s">
        <v>285</v>
      </c>
      <c r="D1" s="9" t="s">
        <v>286</v>
      </c>
      <c r="E1" s="9" t="s">
        <v>90</v>
      </c>
    </row>
    <row r="2" spans="1:5" x14ac:dyDescent="0.2">
      <c r="A2" s="9" t="s">
        <v>233</v>
      </c>
      <c r="B2" s="9" t="s">
        <v>234</v>
      </c>
      <c r="C2" s="10" t="str">
        <f>DOLLAR(LEFT(OverheadCalculation14[[#This Row],[GrantData]], FIND("-",OverheadCalculation14[[#This Row],[GrantData]])- 1), 2)</f>
        <v>$1,410.12</v>
      </c>
      <c r="D2" s="10" t="str">
        <f>MID(OverheadCalculation14[[#This Row],[GrantData]], FIND("-",OverheadCalculation14[[#This Row],[GrantData]], FIND("-",OverheadCalculation14[[#This Row],[GrantData]])+1)+1, 4)</f>
        <v>5556</v>
      </c>
      <c r="E2" s="9" t="s">
        <v>235</v>
      </c>
    </row>
    <row r="3" spans="1:5" x14ac:dyDescent="0.2">
      <c r="A3" s="9" t="s">
        <v>138</v>
      </c>
      <c r="B3" s="9" t="s">
        <v>139</v>
      </c>
      <c r="C3" s="10" t="str">
        <f>DOLLAR(LEFT(OverheadCalculation14[[#This Row],[GrantData]], FIND("-",OverheadCalculation14[[#This Row],[GrantData]])- 1), 2)</f>
        <v>$47.37</v>
      </c>
      <c r="D3" s="10" t="str">
        <f>MID(OverheadCalculation14[[#This Row],[GrantData]], FIND("-",OverheadCalculation14[[#This Row],[GrantData]], FIND("-",OverheadCalculation14[[#This Row],[GrantData]])+1)+1, 4)</f>
        <v>5178</v>
      </c>
      <c r="E3" s="9" t="s">
        <v>140</v>
      </c>
    </row>
    <row r="4" spans="1:5" x14ac:dyDescent="0.2">
      <c r="A4" s="9" t="s">
        <v>174</v>
      </c>
      <c r="B4" s="9" t="s">
        <v>175</v>
      </c>
      <c r="C4" s="10" t="str">
        <f>DOLLAR(LEFT(OverheadCalculation14[[#This Row],[GrantData]], FIND("-",OverheadCalculation14[[#This Row],[GrantData]])- 1), 2)</f>
        <v>$63.37</v>
      </c>
      <c r="D4" s="10" t="str">
        <f>MID(OverheadCalculation14[[#This Row],[GrantData]], FIND("-",OverheadCalculation14[[#This Row],[GrantData]], FIND("-",OverheadCalculation14[[#This Row],[GrantData]])+1)+1, 4)</f>
        <v>5178</v>
      </c>
      <c r="E4" s="9" t="s">
        <v>176</v>
      </c>
    </row>
    <row r="5" spans="1:5" x14ac:dyDescent="0.2">
      <c r="A5" s="9" t="s">
        <v>144</v>
      </c>
      <c r="B5" s="9" t="s">
        <v>145</v>
      </c>
      <c r="C5" s="10" t="str">
        <f>DOLLAR(LEFT(OverheadCalculation14[[#This Row],[GrantData]], FIND("-",OverheadCalculation14[[#This Row],[GrantData]])- 1), 2)</f>
        <v>$1,025.12</v>
      </c>
      <c r="D5" s="10" t="str">
        <f>MID(OverheadCalculation14[[#This Row],[GrantData]], FIND("-",OverheadCalculation14[[#This Row],[GrantData]], FIND("-",OverheadCalculation14[[#This Row],[GrantData]])+1)+1, 4)</f>
        <v>5149</v>
      </c>
      <c r="E5" s="9" t="s">
        <v>146</v>
      </c>
    </row>
    <row r="6" spans="1:5" x14ac:dyDescent="0.2">
      <c r="A6" s="9" t="s">
        <v>236</v>
      </c>
      <c r="B6" s="9" t="s">
        <v>237</v>
      </c>
      <c r="C6" s="10" t="str">
        <f>DOLLAR(LEFT(OverheadCalculation14[[#This Row],[GrantData]], FIND("-",OverheadCalculation14[[#This Row],[GrantData]])- 1), 2)</f>
        <v>$241.27</v>
      </c>
      <c r="D6" s="10" t="str">
        <f>MID(OverheadCalculation14[[#This Row],[GrantData]], FIND("-",OverheadCalculation14[[#This Row],[GrantData]], FIND("-",OverheadCalculation14[[#This Row],[GrantData]])+1)+1, 4)</f>
        <v>5556</v>
      </c>
      <c r="E6" s="9" t="s">
        <v>238</v>
      </c>
    </row>
    <row r="7" spans="1:5" x14ac:dyDescent="0.2">
      <c r="A7" s="9" t="s">
        <v>239</v>
      </c>
      <c r="B7" s="9" t="s">
        <v>240</v>
      </c>
      <c r="C7" s="10" t="str">
        <f>DOLLAR(LEFT(OverheadCalculation14[[#This Row],[GrantData]], FIND("-",OverheadCalculation14[[#This Row],[GrantData]])- 1), 2)</f>
        <v>$146.27</v>
      </c>
      <c r="D7" s="10" t="str">
        <f>MID(OverheadCalculation14[[#This Row],[GrantData]], FIND("-",OverheadCalculation14[[#This Row],[GrantData]], FIND("-",OverheadCalculation14[[#This Row],[GrantData]])+1)+1, 4)</f>
        <v>5556</v>
      </c>
      <c r="E7" s="9" t="s">
        <v>241</v>
      </c>
    </row>
    <row r="8" spans="1:5" x14ac:dyDescent="0.2">
      <c r="A8" s="9" t="s">
        <v>156</v>
      </c>
      <c r="B8" s="9" t="s">
        <v>157</v>
      </c>
      <c r="C8" s="10" t="str">
        <f>DOLLAR(LEFT(OverheadCalculation14[[#This Row],[GrantData]], FIND("-",OverheadCalculation14[[#This Row],[GrantData]])- 1), 2)</f>
        <v>$133.77</v>
      </c>
      <c r="D8" s="10" t="str">
        <f>MID(OverheadCalculation14[[#This Row],[GrantData]], FIND("-",OverheadCalculation14[[#This Row],[GrantData]], FIND("-",OverheadCalculation14[[#This Row],[GrantData]])+1)+1, 4)</f>
        <v>5361</v>
      </c>
      <c r="E8" s="9" t="s">
        <v>158</v>
      </c>
    </row>
    <row r="9" spans="1:5" x14ac:dyDescent="0.2">
      <c r="A9" s="9" t="s">
        <v>177</v>
      </c>
      <c r="B9" s="9" t="s">
        <v>178</v>
      </c>
      <c r="C9" s="10" t="str">
        <f>DOLLAR(LEFT(OverheadCalculation14[[#This Row],[GrantData]], FIND("-",OverheadCalculation14[[#This Row],[GrantData]])- 1), 2)</f>
        <v>$694.46</v>
      </c>
      <c r="D9" s="10" t="str">
        <f>MID(OverheadCalculation14[[#This Row],[GrantData]], FIND("-",OverheadCalculation14[[#This Row],[GrantData]], FIND("-",OverheadCalculation14[[#This Row],[GrantData]])+1)+1, 4)</f>
        <v>5149</v>
      </c>
      <c r="E9" s="9" t="s">
        <v>179</v>
      </c>
    </row>
    <row r="10" spans="1:5" x14ac:dyDescent="0.2">
      <c r="A10" s="9" t="s">
        <v>180</v>
      </c>
      <c r="B10" s="9" t="s">
        <v>181</v>
      </c>
      <c r="C10" s="10" t="str">
        <f>DOLLAR(LEFT(OverheadCalculation14[[#This Row],[GrantData]], FIND("-",OverheadCalculation14[[#This Row],[GrantData]])- 1), 2)</f>
        <v>$1,242.42</v>
      </c>
      <c r="D10" s="10" t="str">
        <f>MID(OverheadCalculation14[[#This Row],[GrantData]], FIND("-",OverheadCalculation14[[#This Row],[GrantData]], FIND("-",OverheadCalculation14[[#This Row],[GrantData]])+1)+1, 4)</f>
        <v>5956</v>
      </c>
      <c r="E10" s="9" t="s">
        <v>182</v>
      </c>
    </row>
    <row r="11" spans="1:5" x14ac:dyDescent="0.2">
      <c r="A11" s="9" t="s">
        <v>150</v>
      </c>
      <c r="B11" s="9" t="s">
        <v>151</v>
      </c>
      <c r="C11" s="10" t="str">
        <f>DOLLAR(LEFT(OverheadCalculation14[[#This Row],[GrantData]], FIND("-",OverheadCalculation14[[#This Row],[GrantData]])- 1), 2)</f>
        <v>$121.70</v>
      </c>
      <c r="D11" s="10" t="str">
        <f>MID(OverheadCalculation14[[#This Row],[GrantData]], FIND("-",OverheadCalculation14[[#This Row],[GrantData]], FIND("-",OverheadCalculation14[[#This Row],[GrantData]])+1)+1, 4)</f>
        <v>5556</v>
      </c>
      <c r="E11" s="9" t="s">
        <v>152</v>
      </c>
    </row>
    <row r="12" spans="1:5" x14ac:dyDescent="0.2">
      <c r="A12" s="9" t="s">
        <v>183</v>
      </c>
      <c r="B12" s="9" t="s">
        <v>184</v>
      </c>
      <c r="C12" s="10" t="str">
        <f>DOLLAR(LEFT(OverheadCalculation14[[#This Row],[GrantData]], FIND("-",OverheadCalculation14[[#This Row],[GrantData]])- 1), 2)</f>
        <v>$71.73</v>
      </c>
      <c r="D12" s="10" t="str">
        <f>MID(OverheadCalculation14[[#This Row],[GrantData]], FIND("-",OverheadCalculation14[[#This Row],[GrantData]], FIND("-",OverheadCalculation14[[#This Row],[GrantData]])+1)+1, 4)</f>
        <v>5956</v>
      </c>
      <c r="E12" s="9" t="s">
        <v>185</v>
      </c>
    </row>
    <row r="13" spans="1:5" x14ac:dyDescent="0.2">
      <c r="A13" s="9" t="s">
        <v>186</v>
      </c>
      <c r="B13" s="9" t="s">
        <v>187</v>
      </c>
      <c r="C13" s="10" t="str">
        <f>DOLLAR(LEFT(OverheadCalculation14[[#This Row],[GrantData]], FIND("-",OverheadCalculation14[[#This Row],[GrantData]])- 1), 2)</f>
        <v>$669.27</v>
      </c>
      <c r="D13" s="10" t="str">
        <f>MID(OverheadCalculation14[[#This Row],[GrantData]], FIND("-",OverheadCalculation14[[#This Row],[GrantData]], FIND("-",OverheadCalculation14[[#This Row],[GrantData]])+1)+1, 4)</f>
        <v>5956</v>
      </c>
      <c r="E13" s="9" t="s">
        <v>188</v>
      </c>
    </row>
    <row r="14" spans="1:5" x14ac:dyDescent="0.2">
      <c r="A14" s="9" t="s">
        <v>189</v>
      </c>
      <c r="B14" s="9" t="s">
        <v>190</v>
      </c>
      <c r="C14" s="10" t="str">
        <f>DOLLAR(LEFT(OverheadCalculation14[[#This Row],[GrantData]], FIND("-",OverheadCalculation14[[#This Row],[GrantData]])- 1), 2)</f>
        <v>$180.12</v>
      </c>
      <c r="D14" s="10" t="str">
        <f>MID(OverheadCalculation14[[#This Row],[GrantData]], FIND("-",OverheadCalculation14[[#This Row],[GrantData]], FIND("-",OverheadCalculation14[[#This Row],[GrantData]])+1)+1, 4)</f>
        <v>5956</v>
      </c>
      <c r="E14" s="9" t="s">
        <v>191</v>
      </c>
    </row>
    <row r="15" spans="1:5" x14ac:dyDescent="0.2">
      <c r="A15" s="9" t="s">
        <v>251</v>
      </c>
      <c r="B15" s="9" t="s">
        <v>252</v>
      </c>
      <c r="C15" s="10" t="str">
        <f>DOLLAR(LEFT(OverheadCalculation14[[#This Row],[GrantData]], FIND("-",OverheadCalculation14[[#This Row],[GrantData]])- 1), 2)</f>
        <v>$347.23</v>
      </c>
      <c r="D15" s="10" t="str">
        <f>MID(OverheadCalculation14[[#This Row],[GrantData]], FIND("-",OverheadCalculation14[[#This Row],[GrantData]], FIND("-",OverheadCalculation14[[#This Row],[GrantData]])+1)+1, 4)</f>
        <v>5556</v>
      </c>
      <c r="E15" s="9" t="s">
        <v>253</v>
      </c>
    </row>
    <row r="16" spans="1:5" x14ac:dyDescent="0.2">
      <c r="A16" s="9" t="s">
        <v>162</v>
      </c>
      <c r="B16" s="9" t="s">
        <v>163</v>
      </c>
      <c r="C16" s="10" t="str">
        <f>DOLLAR(LEFT(OverheadCalculation14[[#This Row],[GrantData]], FIND("-",OverheadCalculation14[[#This Row],[GrantData]])- 1), 2)</f>
        <v>$167.43</v>
      </c>
      <c r="D16" s="10" t="str">
        <f>MID(OverheadCalculation14[[#This Row],[GrantData]], FIND("-",OverheadCalculation14[[#This Row],[GrantData]], FIND("-",OverheadCalculation14[[#This Row],[GrantData]])+1)+1, 4)</f>
        <v>5342</v>
      </c>
      <c r="E16" s="9" t="s">
        <v>164</v>
      </c>
    </row>
    <row r="17" spans="1:5" x14ac:dyDescent="0.2">
      <c r="A17" s="9" t="s">
        <v>242</v>
      </c>
      <c r="B17" s="9" t="s">
        <v>243</v>
      </c>
      <c r="C17" s="10" t="str">
        <f>DOLLAR(LEFT(OverheadCalculation14[[#This Row],[GrantData]], FIND("-",OverheadCalculation14[[#This Row],[GrantData]])- 1), 2)</f>
        <v>$301.15</v>
      </c>
      <c r="D17" s="10" t="str">
        <f>MID(OverheadCalculation14[[#This Row],[GrantData]], FIND("-",OverheadCalculation14[[#This Row],[GrantData]], FIND("-",OverheadCalculation14[[#This Row],[GrantData]])+1)+1, 4)</f>
        <v>5556</v>
      </c>
      <c r="E17" s="9" t="s">
        <v>244</v>
      </c>
    </row>
    <row r="18" spans="1:5" x14ac:dyDescent="0.2">
      <c r="A18" s="9" t="s">
        <v>192</v>
      </c>
      <c r="B18" s="9" t="s">
        <v>193</v>
      </c>
      <c r="C18" s="10" t="str">
        <f>DOLLAR(LEFT(OverheadCalculation14[[#This Row],[GrantData]], FIND("-",OverheadCalculation14[[#This Row],[GrantData]])- 1), 2)</f>
        <v>$200.12</v>
      </c>
      <c r="D18" s="10" t="str">
        <f>MID(OverheadCalculation14[[#This Row],[GrantData]], FIND("-",OverheadCalculation14[[#This Row],[GrantData]], FIND("-",OverheadCalculation14[[#This Row],[GrantData]])+1)+1, 4)</f>
        <v>5342</v>
      </c>
      <c r="E18" s="9" t="s">
        <v>194</v>
      </c>
    </row>
    <row r="19" spans="1:5" x14ac:dyDescent="0.2">
      <c r="A19" s="9" t="s">
        <v>248</v>
      </c>
      <c r="B19" s="9" t="s">
        <v>249</v>
      </c>
      <c r="C19" s="10" t="str">
        <f>DOLLAR(LEFT(OverheadCalculation14[[#This Row],[GrantData]], FIND("-",OverheadCalculation14[[#This Row],[GrantData]])- 1), 2)</f>
        <v>$75.12</v>
      </c>
      <c r="D19" s="10" t="str">
        <f>MID(OverheadCalculation14[[#This Row],[GrantData]], FIND("-",OverheadCalculation14[[#This Row],[GrantData]], FIND("-",OverheadCalculation14[[#This Row],[GrantData]])+1)+1, 4)</f>
        <v>5556</v>
      </c>
      <c r="E19" s="9" t="s">
        <v>250</v>
      </c>
    </row>
    <row r="20" spans="1:5" x14ac:dyDescent="0.2">
      <c r="A20" s="9" t="s">
        <v>254</v>
      </c>
      <c r="B20" s="9" t="s">
        <v>255</v>
      </c>
      <c r="C20" s="10" t="str">
        <f>DOLLAR(LEFT(OverheadCalculation14[[#This Row],[GrantData]], FIND("-",OverheadCalculation14[[#This Row],[GrantData]])- 1), 2)</f>
        <v>$93.67</v>
      </c>
      <c r="D20" s="10" t="str">
        <f>MID(OverheadCalculation14[[#This Row],[GrantData]], FIND("-",OverheadCalculation14[[#This Row],[GrantData]], FIND("-",OverheadCalculation14[[#This Row],[GrantData]])+1)+1, 4)</f>
        <v>5556</v>
      </c>
      <c r="E20" s="9" t="s">
        <v>256</v>
      </c>
    </row>
    <row r="21" spans="1:5" x14ac:dyDescent="0.2">
      <c r="A21" s="9" t="s">
        <v>257</v>
      </c>
      <c r="B21" s="9" t="s">
        <v>255</v>
      </c>
      <c r="C21" s="10" t="str">
        <f>DOLLAR(LEFT(OverheadCalculation14[[#This Row],[GrantData]], FIND("-",OverheadCalculation14[[#This Row],[GrantData]])- 1), 2)</f>
        <v>$1,704.56</v>
      </c>
      <c r="D21" s="10" t="str">
        <f>MID(OverheadCalculation14[[#This Row],[GrantData]], FIND("-",OverheadCalculation14[[#This Row],[GrantData]], FIND("-",OverheadCalculation14[[#This Row],[GrantData]])+1)+1, 4)</f>
        <v>5768</v>
      </c>
      <c r="E21" s="9" t="s">
        <v>258</v>
      </c>
    </row>
    <row r="22" spans="1:5" x14ac:dyDescent="0.2">
      <c r="A22" s="9" t="s">
        <v>259</v>
      </c>
      <c r="B22" s="9" t="s">
        <v>260</v>
      </c>
      <c r="C22" s="10" t="str">
        <f>DOLLAR(LEFT(OverheadCalculation14[[#This Row],[GrantData]], FIND("-",OverheadCalculation14[[#This Row],[GrantData]])- 1), 2)</f>
        <v>$6.11</v>
      </c>
      <c r="D22" s="10" t="str">
        <f>MID(OverheadCalculation14[[#This Row],[GrantData]], FIND("-",OverheadCalculation14[[#This Row],[GrantData]], FIND("-",OverheadCalculation14[[#This Row],[GrantData]])+1)+1, 4)</f>
        <v>5768</v>
      </c>
      <c r="E22" s="9" t="s">
        <v>261</v>
      </c>
    </row>
    <row r="23" spans="1:5" x14ac:dyDescent="0.2">
      <c r="A23" s="9" t="s">
        <v>262</v>
      </c>
      <c r="B23" s="9" t="s">
        <v>263</v>
      </c>
      <c r="C23" s="10" t="str">
        <f>DOLLAR(LEFT(OverheadCalculation14[[#This Row],[GrantData]], FIND("-",OverheadCalculation14[[#This Row],[GrantData]])- 1), 2)</f>
        <v>$255.12</v>
      </c>
      <c r="D23" s="10" t="str">
        <f>MID(OverheadCalculation14[[#This Row],[GrantData]], FIND("-",OverheadCalculation14[[#This Row],[GrantData]], FIND("-",OverheadCalculation14[[#This Row],[GrantData]])+1)+1, 4)</f>
        <v>5768</v>
      </c>
      <c r="E23" s="9" t="s">
        <v>264</v>
      </c>
    </row>
    <row r="24" spans="1:5" x14ac:dyDescent="0.2">
      <c r="A24" s="9" t="s">
        <v>265</v>
      </c>
      <c r="B24" s="9" t="s">
        <v>266</v>
      </c>
      <c r="C24" s="10" t="str">
        <f>DOLLAR(LEFT(OverheadCalculation14[[#This Row],[GrantData]], FIND("-",OverheadCalculation14[[#This Row],[GrantData]])- 1), 2)</f>
        <v>$20.77</v>
      </c>
      <c r="D24" s="10" t="str">
        <f>MID(OverheadCalculation14[[#This Row],[GrantData]], FIND("-",OverheadCalculation14[[#This Row],[GrantData]], FIND("-",OverheadCalculation14[[#This Row],[GrantData]])+1)+1, 4)</f>
        <v>5768</v>
      </c>
      <c r="E24" s="9" t="s">
        <v>267</v>
      </c>
    </row>
    <row r="25" spans="1:5" x14ac:dyDescent="0.2">
      <c r="A25" s="9" t="s">
        <v>277</v>
      </c>
      <c r="B25" s="9" t="s">
        <v>278</v>
      </c>
      <c r="C25" s="10" t="str">
        <f>DOLLAR(LEFT(OverheadCalculation14[[#This Row],[GrantData]], FIND("-",OverheadCalculation14[[#This Row],[GrantData]])- 1), 2)</f>
        <v>$59.26</v>
      </c>
      <c r="D25" s="10" t="str">
        <f>MID(OverheadCalculation14[[#This Row],[GrantData]], FIND("-",OverheadCalculation14[[#This Row],[GrantData]], FIND("-",OverheadCalculation14[[#This Row],[GrantData]])+1)+1, 4)</f>
        <v>5768</v>
      </c>
      <c r="E25" s="9" t="s">
        <v>279</v>
      </c>
    </row>
    <row r="26" spans="1:5" x14ac:dyDescent="0.2">
      <c r="A26" s="9" t="s">
        <v>165</v>
      </c>
      <c r="B26" s="9" t="s">
        <v>166</v>
      </c>
      <c r="C26" s="10" t="str">
        <f>DOLLAR(LEFT(OverheadCalculation14[[#This Row],[GrantData]], FIND("-",OverheadCalculation14[[#This Row],[GrantData]])- 1), 2)</f>
        <v>$151.02</v>
      </c>
      <c r="D26" s="10" t="str">
        <f>MID(OverheadCalculation14[[#This Row],[GrantData]], FIND("-",OverheadCalculation14[[#This Row],[GrantData]], FIND("-",OverheadCalculation14[[#This Row],[GrantData]])+1)+1, 4)</f>
        <v>5279</v>
      </c>
      <c r="E26" s="9" t="s">
        <v>167</v>
      </c>
    </row>
    <row r="27" spans="1:5" x14ac:dyDescent="0.2">
      <c r="A27" s="9" t="s">
        <v>268</v>
      </c>
      <c r="B27" s="9" t="s">
        <v>269</v>
      </c>
      <c r="C27" s="10" t="str">
        <f>DOLLAR(LEFT(OverheadCalculation14[[#This Row],[GrantData]], FIND("-",OverheadCalculation14[[#This Row],[GrantData]])- 1), 2)</f>
        <v>$172.12</v>
      </c>
      <c r="D27" s="10" t="str">
        <f>MID(OverheadCalculation14[[#This Row],[GrantData]], FIND("-",OverheadCalculation14[[#This Row],[GrantData]], FIND("-",OverheadCalculation14[[#This Row],[GrantData]])+1)+1, 4)</f>
        <v>5768</v>
      </c>
      <c r="E27" s="9" t="s">
        <v>270</v>
      </c>
    </row>
    <row r="28" spans="1:5" x14ac:dyDescent="0.2">
      <c r="A28" s="9" t="s">
        <v>201</v>
      </c>
      <c r="B28" s="9" t="s">
        <v>202</v>
      </c>
      <c r="C28" s="10" t="str">
        <f>DOLLAR(LEFT(OverheadCalculation14[[#This Row],[GrantData]], FIND("-",OverheadCalculation14[[#This Row],[GrantData]])- 1), 2)</f>
        <v>$288.12</v>
      </c>
      <c r="D28" s="10" t="str">
        <f>MID(OverheadCalculation14[[#This Row],[GrantData]], FIND("-",OverheadCalculation14[[#This Row],[GrantData]], FIND("-",OverheadCalculation14[[#This Row],[GrantData]])+1)+1, 4)</f>
        <v>5279</v>
      </c>
      <c r="E28" s="9" t="s">
        <v>203</v>
      </c>
    </row>
    <row r="29" spans="1:5" x14ac:dyDescent="0.2">
      <c r="A29" s="9" t="s">
        <v>271</v>
      </c>
      <c r="B29" s="9" t="s">
        <v>272</v>
      </c>
      <c r="C29" s="10" t="str">
        <f>DOLLAR(LEFT(OverheadCalculation14[[#This Row],[GrantData]], FIND("-",OverheadCalculation14[[#This Row],[GrantData]])- 1), 2)</f>
        <v>$176.12</v>
      </c>
      <c r="D29" s="10" t="str">
        <f>MID(OverheadCalculation14[[#This Row],[GrantData]], FIND("-",OverheadCalculation14[[#This Row],[GrantData]], FIND("-",OverheadCalculation14[[#This Row],[GrantData]])+1)+1, 4)</f>
        <v>5556</v>
      </c>
      <c r="E29" s="9" t="s">
        <v>273</v>
      </c>
    </row>
    <row r="30" spans="1:5" x14ac:dyDescent="0.2">
      <c r="A30" s="9" t="s">
        <v>245</v>
      </c>
      <c r="B30" s="9" t="s">
        <v>246</v>
      </c>
      <c r="C30" s="10" t="str">
        <f>DOLLAR(LEFT(OverheadCalculation14[[#This Row],[GrantData]], FIND("-",OverheadCalculation14[[#This Row],[GrantData]])- 1), 2)</f>
        <v>$35.87</v>
      </c>
      <c r="D30" s="10" t="str">
        <f>MID(OverheadCalculation14[[#This Row],[GrantData]], FIND("-",OverheadCalculation14[[#This Row],[GrantData]], FIND("-",OverheadCalculation14[[#This Row],[GrantData]])+1)+1, 4)</f>
        <v>5279</v>
      </c>
      <c r="E30" s="9" t="s">
        <v>247</v>
      </c>
    </row>
    <row r="31" spans="1:5" x14ac:dyDescent="0.2">
      <c r="A31" s="9" t="s">
        <v>153</v>
      </c>
      <c r="B31" s="9" t="s">
        <v>154</v>
      </c>
      <c r="C31" s="10" t="str">
        <f>DOLLAR(LEFT(OverheadCalculation14[[#This Row],[GrantData]], FIND("-",OverheadCalculation14[[#This Row],[GrantData]])- 1), 2)</f>
        <v>$225.87</v>
      </c>
      <c r="D31" s="10" t="str">
        <f>MID(OverheadCalculation14[[#This Row],[GrantData]], FIND("-",OverheadCalculation14[[#This Row],[GrantData]], FIND("-",OverheadCalculation14[[#This Row],[GrantData]])+1)+1, 4)</f>
        <v>5556</v>
      </c>
      <c r="E31" s="9" t="s">
        <v>155</v>
      </c>
    </row>
    <row r="32" spans="1:5" x14ac:dyDescent="0.2">
      <c r="A32" s="9" t="s">
        <v>274</v>
      </c>
      <c r="B32" s="9" t="s">
        <v>275</v>
      </c>
      <c r="C32" s="10" t="str">
        <f>DOLLAR(LEFT(OverheadCalculation14[[#This Row],[GrantData]], FIND("-",OverheadCalculation14[[#This Row],[GrantData]])- 1), 2)</f>
        <v>$41.65</v>
      </c>
      <c r="D32" s="10" t="str">
        <f>MID(OverheadCalculation14[[#This Row],[GrantData]], FIND("-",OverheadCalculation14[[#This Row],[GrantData]], FIND("-",OverheadCalculation14[[#This Row],[GrantData]])+1)+1, 4)</f>
        <v>5556</v>
      </c>
      <c r="E32" s="9" t="s">
        <v>276</v>
      </c>
    </row>
    <row r="33" spans="1:5" x14ac:dyDescent="0.2">
      <c r="A33" s="9" t="s">
        <v>215</v>
      </c>
      <c r="B33" s="9" t="s">
        <v>216</v>
      </c>
      <c r="C33" s="10" t="str">
        <f>DOLLAR(LEFT(OverheadCalculation14[[#This Row],[GrantData]], FIND("-",OverheadCalculation14[[#This Row],[GrantData]])- 1), 2)</f>
        <v>$156.42</v>
      </c>
      <c r="D33" s="10" t="str">
        <f>MID(OverheadCalculation14[[#This Row],[GrantData]], FIND("-",OverheadCalculation14[[#This Row],[GrantData]], FIND("-",OverheadCalculation14[[#This Row],[GrantData]])+1)+1, 4)</f>
        <v>5556</v>
      </c>
      <c r="E33" s="9" t="s">
        <v>217</v>
      </c>
    </row>
    <row r="34" spans="1:5" x14ac:dyDescent="0.2">
      <c r="A34" s="9" t="s">
        <v>198</v>
      </c>
      <c r="B34" s="9" t="s">
        <v>199</v>
      </c>
      <c r="C34" s="10" t="str">
        <f>DOLLAR(LEFT(OverheadCalculation14[[#This Row],[GrantData]], FIND("-",OverheadCalculation14[[#This Row],[GrantData]])- 1), 2)</f>
        <v>$576.12</v>
      </c>
      <c r="D34" s="10" t="str">
        <f>MID(OverheadCalculation14[[#This Row],[GrantData]], FIND("-",OverheadCalculation14[[#This Row],[GrantData]], FIND("-",OverheadCalculation14[[#This Row],[GrantData]])+1)+1, 4)</f>
        <v>5279</v>
      </c>
      <c r="E34" s="9" t="s">
        <v>200</v>
      </c>
    </row>
    <row r="35" spans="1:5" x14ac:dyDescent="0.2">
      <c r="A35" s="9" t="s">
        <v>207</v>
      </c>
      <c r="B35" s="9" t="s">
        <v>208</v>
      </c>
      <c r="C35" s="10" t="str">
        <f>DOLLAR(LEFT(OverheadCalculation14[[#This Row],[GrantData]], FIND("-",OverheadCalculation14[[#This Row],[GrantData]])- 1), 2)</f>
        <v>$354.29</v>
      </c>
      <c r="D35" s="10" t="str">
        <f>MID(OverheadCalculation14[[#This Row],[GrantData]], FIND("-",OverheadCalculation14[[#This Row],[GrantData]], FIND("-",OverheadCalculation14[[#This Row],[GrantData]])+1)+1, 4)</f>
        <v>5933</v>
      </c>
      <c r="E35" s="9" t="s">
        <v>209</v>
      </c>
    </row>
    <row r="36" spans="1:5" x14ac:dyDescent="0.2">
      <c r="A36" s="9" t="s">
        <v>141</v>
      </c>
      <c r="B36" s="9" t="s">
        <v>142</v>
      </c>
      <c r="C36" s="10" t="str">
        <f>DOLLAR(LEFT(OverheadCalculation14[[#This Row],[GrantData]], FIND("-",OverheadCalculation14[[#This Row],[GrantData]])- 1), 2)</f>
        <v>$669.12</v>
      </c>
      <c r="D36" s="10" t="str">
        <f>MID(OverheadCalculation14[[#This Row],[GrantData]], FIND("-",OverheadCalculation14[[#This Row],[GrantData]], FIND("-",OverheadCalculation14[[#This Row],[GrantData]])+1)+1, 4)</f>
        <v>5342</v>
      </c>
      <c r="E36" s="9" t="s">
        <v>143</v>
      </c>
    </row>
    <row r="37" spans="1:5" x14ac:dyDescent="0.2">
      <c r="A37" s="9" t="s">
        <v>210</v>
      </c>
      <c r="B37" s="9" t="s">
        <v>208</v>
      </c>
      <c r="C37" s="10" t="str">
        <f>DOLLAR(LEFT(OverheadCalculation14[[#This Row],[GrantData]], FIND("-",OverheadCalculation14[[#This Row],[GrantData]])- 1), 2)</f>
        <v>$55.87</v>
      </c>
      <c r="D37" s="10" t="str">
        <f>MID(OverheadCalculation14[[#This Row],[GrantData]], FIND("-",OverheadCalculation14[[#This Row],[GrantData]], FIND("-",OverheadCalculation14[[#This Row],[GrantData]])+1)+1, 4)</f>
        <v>5933</v>
      </c>
      <c r="E37" s="9" t="s">
        <v>211</v>
      </c>
    </row>
    <row r="38" spans="1:5" x14ac:dyDescent="0.2">
      <c r="A38" s="9" t="s">
        <v>147</v>
      </c>
      <c r="B38" s="9" t="s">
        <v>148</v>
      </c>
      <c r="C38" s="10" t="str">
        <f>DOLLAR(LEFT(OverheadCalculation14[[#This Row],[GrantData]], FIND("-",OverheadCalculation14[[#This Row],[GrantData]])- 1), 2)</f>
        <v>$1,040.59</v>
      </c>
      <c r="D38" s="10" t="str">
        <f>MID(OverheadCalculation14[[#This Row],[GrantData]], FIND("-",OverheadCalculation14[[#This Row],[GrantData]], FIND("-",OverheadCalculation14[[#This Row],[GrantData]])+1)+1, 4)</f>
        <v>5063</v>
      </c>
      <c r="E38" s="9" t="s">
        <v>149</v>
      </c>
    </row>
    <row r="39" spans="1:5" x14ac:dyDescent="0.2">
      <c r="A39" s="9" t="s">
        <v>212</v>
      </c>
      <c r="B39" s="9" t="s">
        <v>213</v>
      </c>
      <c r="C39" s="10" t="str">
        <f>DOLLAR(LEFT(OverheadCalculation14[[#This Row],[GrantData]], FIND("-",OverheadCalculation14[[#This Row],[GrantData]])- 1), 2)</f>
        <v>$70.96</v>
      </c>
      <c r="D39" s="10" t="str">
        <f>MID(OverheadCalculation14[[#This Row],[GrantData]], FIND("-",OverheadCalculation14[[#This Row],[GrantData]], FIND("-",OverheadCalculation14[[#This Row],[GrantData]])+1)+1, 4)</f>
        <v>5556</v>
      </c>
      <c r="E39" s="9" t="s">
        <v>214</v>
      </c>
    </row>
    <row r="40" spans="1:5" x14ac:dyDescent="0.2">
      <c r="A40" s="9" t="s">
        <v>159</v>
      </c>
      <c r="B40" s="9" t="s">
        <v>160</v>
      </c>
      <c r="C40" s="10" t="str">
        <f>DOLLAR(LEFT(OverheadCalculation14[[#This Row],[GrantData]], FIND("-",OverheadCalculation14[[#This Row],[GrantData]])- 1), 2)</f>
        <v>$1,120.12</v>
      </c>
      <c r="D40" s="10" t="str">
        <f>MID(OverheadCalculation14[[#This Row],[GrantData]], FIND("-",OverheadCalculation14[[#This Row],[GrantData]], FIND("-",OverheadCalculation14[[#This Row],[GrantData]])+1)+1, 4)</f>
        <v>5178</v>
      </c>
      <c r="E40" s="9" t="s">
        <v>161</v>
      </c>
    </row>
    <row r="41" spans="1:5" x14ac:dyDescent="0.2">
      <c r="A41" s="9" t="s">
        <v>135</v>
      </c>
      <c r="B41" s="9" t="s">
        <v>136</v>
      </c>
      <c r="C41" s="10" t="str">
        <f>DOLLAR(LEFT(OverheadCalculation14[[#This Row],[GrantData]], FIND("-",OverheadCalculation14[[#This Row],[GrantData]])- 1), 2)</f>
        <v>$62.35</v>
      </c>
      <c r="D41" s="10" t="str">
        <f>MID(OverheadCalculation14[[#This Row],[GrantData]], FIND("-",OverheadCalculation14[[#This Row],[GrantData]], FIND("-",OverheadCalculation14[[#This Row],[GrantData]])+1)+1, 4)</f>
        <v>5556</v>
      </c>
      <c r="E41" s="9" t="s">
        <v>137</v>
      </c>
    </row>
    <row r="42" spans="1:5" x14ac:dyDescent="0.2">
      <c r="A42" s="9" t="s">
        <v>195</v>
      </c>
      <c r="B42" s="9" t="s">
        <v>196</v>
      </c>
      <c r="C42" s="10" t="str">
        <f>DOLLAR(LEFT(OverheadCalculation14[[#This Row],[GrantData]], FIND("-",OverheadCalculation14[[#This Row],[GrantData]])- 1), 2)</f>
        <v>$76.32</v>
      </c>
      <c r="D42" s="10" t="str">
        <f>MID(OverheadCalculation14[[#This Row],[GrantData]], FIND("-",OverheadCalculation14[[#This Row],[GrantData]], FIND("-",OverheadCalculation14[[#This Row],[GrantData]])+1)+1, 4)</f>
        <v>5178</v>
      </c>
      <c r="E42" s="9" t="s">
        <v>197</v>
      </c>
    </row>
    <row r="43" spans="1:5" x14ac:dyDescent="0.2">
      <c r="A43" s="9" t="s">
        <v>168</v>
      </c>
      <c r="B43" s="9" t="s">
        <v>169</v>
      </c>
      <c r="C43" s="10" t="str">
        <f>DOLLAR(LEFT(OverheadCalculation14[[#This Row],[GrantData]], FIND("-",OverheadCalculation14[[#This Row],[GrantData]])- 1), 2)</f>
        <v>$469.12</v>
      </c>
      <c r="D43" s="10" t="str">
        <f>MID(OverheadCalculation14[[#This Row],[GrantData]], FIND("-",OverheadCalculation14[[#This Row],[GrantData]], FIND("-",OverheadCalculation14[[#This Row],[GrantData]])+1)+1, 4)</f>
        <v>5178</v>
      </c>
      <c r="E43" s="9" t="s">
        <v>170</v>
      </c>
    </row>
    <row r="44" spans="1:5" x14ac:dyDescent="0.2">
      <c r="A44" s="9" t="s">
        <v>230</v>
      </c>
      <c r="B44" s="9" t="s">
        <v>231</v>
      </c>
      <c r="C44" s="10" t="str">
        <f>DOLLAR(LEFT(OverheadCalculation14[[#This Row],[GrantData]], FIND("-",OverheadCalculation14[[#This Row],[GrantData]])- 1), 2)</f>
        <v>$173.67</v>
      </c>
      <c r="D44" s="10" t="str">
        <f>MID(OverheadCalculation14[[#This Row],[GrantData]], FIND("-",OverheadCalculation14[[#This Row],[GrantData]], FIND("-",OverheadCalculation14[[#This Row],[GrantData]])+1)+1, 4)</f>
        <v>5063</v>
      </c>
      <c r="E44" s="9" t="s">
        <v>232</v>
      </c>
    </row>
    <row r="45" spans="1:5" x14ac:dyDescent="0.2">
      <c r="A45" s="9" t="s">
        <v>280</v>
      </c>
      <c r="B45" s="9" t="s">
        <v>278</v>
      </c>
      <c r="C45" s="10" t="str">
        <f>DOLLAR(LEFT(OverheadCalculation14[[#This Row],[GrantData]], FIND("-",OverheadCalculation14[[#This Row],[GrantData]])- 1), 2)</f>
        <v>$446.14</v>
      </c>
      <c r="D45" s="10" t="str">
        <f>MID(OverheadCalculation14[[#This Row],[GrantData]], FIND("-",OverheadCalculation14[[#This Row],[GrantData]], FIND("-",OverheadCalculation14[[#This Row],[GrantData]])+1)+1, 4)</f>
        <v>5063</v>
      </c>
      <c r="E45" s="9" t="s">
        <v>281</v>
      </c>
    </row>
    <row r="46" spans="1:5" x14ac:dyDescent="0.2">
      <c r="A46" s="9" t="s">
        <v>218</v>
      </c>
      <c r="B46" s="9" t="s">
        <v>219</v>
      </c>
      <c r="C46" s="10" t="str">
        <f>DOLLAR(LEFT(OverheadCalculation14[[#This Row],[GrantData]], FIND("-",OverheadCalculation14[[#This Row],[GrantData]])- 1), 2)</f>
        <v>$1,567.12</v>
      </c>
      <c r="D46" s="10" t="str">
        <f>MID(OverheadCalculation14[[#This Row],[GrantData]], FIND("-",OverheadCalculation14[[#This Row],[GrantData]], FIND("-",OverheadCalculation14[[#This Row],[GrantData]])+1)+1, 4)</f>
        <v>5063</v>
      </c>
      <c r="E46" s="9" t="s">
        <v>220</v>
      </c>
    </row>
    <row r="47" spans="1:5" x14ac:dyDescent="0.2">
      <c r="A47" s="9" t="s">
        <v>221</v>
      </c>
      <c r="B47" s="9" t="s">
        <v>222</v>
      </c>
      <c r="C47" s="10" t="str">
        <f>DOLLAR(LEFT(OverheadCalculation14[[#This Row],[GrantData]], FIND("-",OverheadCalculation14[[#This Row],[GrantData]])- 1), 2)</f>
        <v>$35.56</v>
      </c>
      <c r="D47" s="10" t="str">
        <f>MID(OverheadCalculation14[[#This Row],[GrantData]], FIND("-",OverheadCalculation14[[#This Row],[GrantData]], FIND("-",OverheadCalculation14[[#This Row],[GrantData]])+1)+1, 4)</f>
        <v>5063</v>
      </c>
      <c r="E47" s="9" t="s">
        <v>223</v>
      </c>
    </row>
    <row r="48" spans="1:5" x14ac:dyDescent="0.2">
      <c r="A48" s="9" t="s">
        <v>171</v>
      </c>
      <c r="B48" s="9" t="s">
        <v>172</v>
      </c>
      <c r="C48" s="10" t="str">
        <f>DOLLAR(LEFT(OverheadCalculation14[[#This Row],[GrantData]], FIND("-",OverheadCalculation14[[#This Row],[GrantData]])- 1), 2)</f>
        <v>$142.02</v>
      </c>
      <c r="D48" s="10" t="str">
        <f>MID(OverheadCalculation14[[#This Row],[GrantData]], FIND("-",OverheadCalculation14[[#This Row],[GrantData]], FIND("-",OverheadCalculation14[[#This Row],[GrantData]])+1)+1, 4)</f>
        <v>5178</v>
      </c>
      <c r="E48" s="9" t="s">
        <v>173</v>
      </c>
    </row>
    <row r="49" spans="1:5" x14ac:dyDescent="0.2">
      <c r="A49" s="9" t="s">
        <v>282</v>
      </c>
      <c r="B49" s="9" t="s">
        <v>283</v>
      </c>
      <c r="C49" s="10" t="str">
        <f>DOLLAR(LEFT(OverheadCalculation14[[#This Row],[GrantData]], FIND("-",OverheadCalculation14[[#This Row],[GrantData]])- 1), 2)</f>
        <v>$79.48</v>
      </c>
      <c r="D49" s="10" t="str">
        <f>MID(OverheadCalculation14[[#This Row],[GrantData]], FIND("-",OverheadCalculation14[[#This Row],[GrantData]], FIND("-",OverheadCalculation14[[#This Row],[GrantData]])+1)+1, 4)</f>
        <v>5178</v>
      </c>
      <c r="E49" s="9" t="s">
        <v>284</v>
      </c>
    </row>
    <row r="50" spans="1:5" x14ac:dyDescent="0.2">
      <c r="A50" s="9" t="s">
        <v>204</v>
      </c>
      <c r="B50" s="9" t="s">
        <v>205</v>
      </c>
      <c r="C50" s="10" t="str">
        <f>DOLLAR(LEFT(OverheadCalculation14[[#This Row],[GrantData]], FIND("-",OverheadCalculation14[[#This Row],[GrantData]])- 1), 2)</f>
        <v>$8.89</v>
      </c>
      <c r="D50" s="10" t="str">
        <f>MID(OverheadCalculation14[[#This Row],[GrantData]], FIND("-",OverheadCalculation14[[#This Row],[GrantData]], FIND("-",OverheadCalculation14[[#This Row],[GrantData]])+1)+1, 4)</f>
        <v>5178</v>
      </c>
      <c r="E50" s="9" t="s">
        <v>206</v>
      </c>
    </row>
    <row r="51" spans="1:5" x14ac:dyDescent="0.2">
      <c r="A51" s="9" t="s">
        <v>224</v>
      </c>
      <c r="B51" s="9" t="s">
        <v>225</v>
      </c>
      <c r="C51" s="10" t="str">
        <f>DOLLAR(LEFT(OverheadCalculation14[[#This Row],[GrantData]], FIND("-",OverheadCalculation14[[#This Row],[GrantData]])- 1), 2)</f>
        <v>$67.96</v>
      </c>
      <c r="D51" s="10" t="str">
        <f>MID(OverheadCalculation14[[#This Row],[GrantData]], FIND("-",OverheadCalculation14[[#This Row],[GrantData]], FIND("-",OverheadCalculation14[[#This Row],[GrantData]])+1)+1, 4)</f>
        <v>5063</v>
      </c>
      <c r="E51" s="9" t="s">
        <v>226</v>
      </c>
    </row>
    <row r="52" spans="1:5" x14ac:dyDescent="0.2">
      <c r="A52" s="9" t="s">
        <v>227</v>
      </c>
      <c r="B52" s="9" t="s">
        <v>228</v>
      </c>
      <c r="C52" s="10" t="str">
        <f>DOLLAR(LEFT(OverheadCalculation14[[#This Row],[GrantData]], FIND("-",OverheadCalculation14[[#This Row],[GrantData]])- 1), 2)</f>
        <v>$301.57</v>
      </c>
      <c r="D52" s="10" t="str">
        <f>MID(OverheadCalculation14[[#This Row],[GrantData]], FIND("-",OverheadCalculation14[[#This Row],[GrantData]], FIND("-",OverheadCalculation14[[#This Row],[GrantData]])+1)+1, 4)</f>
        <v>5063</v>
      </c>
      <c r="E52" s="9" t="s">
        <v>229</v>
      </c>
    </row>
    <row r="53" spans="1:5" x14ac:dyDescent="0.2">
      <c r="A53">
        <f>SUBTOTAL(103,OverheadCalculation14[LastName])</f>
        <v>51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RowHeight="12.75" x14ac:dyDescent="0.2"/>
  <cols>
    <col min="1" max="1" width="10.42578125" bestFit="1" customWidth="1"/>
    <col min="2" max="2" width="10.140625" bestFit="1" customWidth="1"/>
    <col min="3" max="4" width="9.140625" bestFit="1" customWidth="1"/>
    <col min="5" max="5" width="17.7109375" bestFit="1" customWidth="1"/>
    <col min="6" max="6" width="32" bestFit="1" customWidth="1"/>
  </cols>
  <sheetData>
    <row r="1" spans="1:6" x14ac:dyDescent="0.2">
      <c r="A1" s="9" t="s">
        <v>88</v>
      </c>
      <c r="B1" s="9" t="s">
        <v>89</v>
      </c>
      <c r="C1" s="9" t="s">
        <v>285</v>
      </c>
      <c r="D1" s="9" t="s">
        <v>286</v>
      </c>
      <c r="E1" s="11" t="s">
        <v>287</v>
      </c>
      <c r="F1" s="9" t="s">
        <v>90</v>
      </c>
    </row>
    <row r="2" spans="1:6" x14ac:dyDescent="0.2">
      <c r="A2" s="9" t="s">
        <v>233</v>
      </c>
      <c r="B2" s="9" t="s">
        <v>234</v>
      </c>
      <c r="C2" s="10" t="str">
        <f>DOLLAR(LEFT(OverheadCalculation143[[#This Row],[GrantData]], FIND("-",OverheadCalculation143[[#This Row],[GrantData]])- 1), 2)</f>
        <v>$1,410.12</v>
      </c>
      <c r="D2" s="10" t="str">
        <f>MID(OverheadCalculation143[[#This Row],[GrantData]], FIND("-",OverheadCalculation143[[#This Row],[GrantData]], FIND("-",OverheadCalculation143[[#This Row],[GrantData]])+1)+1, 4)</f>
        <v>5556</v>
      </c>
      <c r="E2" s="10" t="str">
        <f>VLOOKUP(OverheadCalculation143[[#This Row],[GrantNbr]],GrantInfo, 2)</f>
        <v>Volunteer Programs</v>
      </c>
      <c r="F2" s="9" t="s">
        <v>235</v>
      </c>
    </row>
    <row r="3" spans="1:6" x14ac:dyDescent="0.2">
      <c r="A3" s="9" t="s">
        <v>138</v>
      </c>
      <c r="B3" s="9" t="s">
        <v>139</v>
      </c>
      <c r="C3" s="10" t="str">
        <f>DOLLAR(LEFT(OverheadCalculation143[[#This Row],[GrantData]], FIND("-",OverheadCalculation143[[#This Row],[GrantData]])- 1), 2)</f>
        <v>$47.37</v>
      </c>
      <c r="D3" s="10" t="str">
        <f>MID(OverheadCalculation143[[#This Row],[GrantData]], FIND("-",OverheadCalculation143[[#This Row],[GrantData]], FIND("-",OverheadCalculation143[[#This Row],[GrantData]])+1)+1, 4)</f>
        <v>5178</v>
      </c>
      <c r="E3" s="10" t="str">
        <f>VLOOKUP(OverheadCalculation143[[#This Row],[GrantNbr]],GrantInfo, 2)</f>
        <v>Robotics</v>
      </c>
      <c r="F3" s="9" t="s">
        <v>140</v>
      </c>
    </row>
    <row r="4" spans="1:6" x14ac:dyDescent="0.2">
      <c r="A4" s="9" t="s">
        <v>174</v>
      </c>
      <c r="B4" s="9" t="s">
        <v>175</v>
      </c>
      <c r="C4" s="10" t="str">
        <f>DOLLAR(LEFT(OverheadCalculation143[[#This Row],[GrantData]], FIND("-",OverheadCalculation143[[#This Row],[GrantData]])- 1), 2)</f>
        <v>$63.37</v>
      </c>
      <c r="D4" s="10" t="str">
        <f>MID(OverheadCalculation143[[#This Row],[GrantData]], FIND("-",OverheadCalculation143[[#This Row],[GrantData]], FIND("-",OverheadCalculation143[[#This Row],[GrantData]])+1)+1, 4)</f>
        <v>5178</v>
      </c>
      <c r="E4" s="10" t="str">
        <f>VLOOKUP(OverheadCalculation143[[#This Row],[GrantNbr]],GrantInfo, 2)</f>
        <v>Robotics</v>
      </c>
      <c r="F4" s="9" t="s">
        <v>176</v>
      </c>
    </row>
    <row r="5" spans="1:6" x14ac:dyDescent="0.2">
      <c r="A5" s="9" t="s">
        <v>144</v>
      </c>
      <c r="B5" s="9" t="s">
        <v>145</v>
      </c>
      <c r="C5" s="10" t="str">
        <f>DOLLAR(LEFT(OverheadCalculation143[[#This Row],[GrantData]], FIND("-",OverheadCalculation143[[#This Row],[GrantData]])- 1), 2)</f>
        <v>$1,025.12</v>
      </c>
      <c r="D5" s="10" t="str">
        <f>MID(OverheadCalculation143[[#This Row],[GrantData]], FIND("-",OverheadCalculation143[[#This Row],[GrantData]], FIND("-",OverheadCalculation143[[#This Row],[GrantData]])+1)+1, 4)</f>
        <v>5149</v>
      </c>
      <c r="E5" s="10" t="str">
        <f>VLOOKUP(OverheadCalculation143[[#This Row],[GrantNbr]],GrantInfo, 2)</f>
        <v>BioFuel</v>
      </c>
      <c r="F5" s="9" t="s">
        <v>146</v>
      </c>
    </row>
    <row r="6" spans="1:6" x14ac:dyDescent="0.2">
      <c r="A6" s="9" t="s">
        <v>236</v>
      </c>
      <c r="B6" s="9" t="s">
        <v>237</v>
      </c>
      <c r="C6" s="10" t="str">
        <f>DOLLAR(LEFT(OverheadCalculation143[[#This Row],[GrantData]], FIND("-",OverheadCalculation143[[#This Row],[GrantData]])- 1), 2)</f>
        <v>$241.27</v>
      </c>
      <c r="D6" s="10" t="str">
        <f>MID(OverheadCalculation143[[#This Row],[GrantData]], FIND("-",OverheadCalculation143[[#This Row],[GrantData]], FIND("-",OverheadCalculation143[[#This Row],[GrantData]])+1)+1, 4)</f>
        <v>5556</v>
      </c>
      <c r="E6" s="10" t="str">
        <f>VLOOKUP(OverheadCalculation143[[#This Row],[GrantNbr]],GrantInfo, 2)</f>
        <v>Volunteer Programs</v>
      </c>
      <c r="F6" s="9" t="s">
        <v>238</v>
      </c>
    </row>
    <row r="7" spans="1:6" x14ac:dyDescent="0.2">
      <c r="A7" s="9" t="s">
        <v>239</v>
      </c>
      <c r="B7" s="9" t="s">
        <v>240</v>
      </c>
      <c r="C7" s="10" t="str">
        <f>DOLLAR(LEFT(OverheadCalculation143[[#This Row],[GrantData]], FIND("-",OverheadCalculation143[[#This Row],[GrantData]])- 1), 2)</f>
        <v>$146.27</v>
      </c>
      <c r="D7" s="10" t="str">
        <f>MID(OverheadCalculation143[[#This Row],[GrantData]], FIND("-",OverheadCalculation143[[#This Row],[GrantData]], FIND("-",OverheadCalculation143[[#This Row],[GrantData]])+1)+1, 4)</f>
        <v>5556</v>
      </c>
      <c r="E7" s="10" t="str">
        <f>VLOOKUP(OverheadCalculation143[[#This Row],[GrantNbr]],GrantInfo, 2)</f>
        <v>Volunteer Programs</v>
      </c>
      <c r="F7" s="9" t="s">
        <v>241</v>
      </c>
    </row>
    <row r="8" spans="1:6" x14ac:dyDescent="0.2">
      <c r="A8" s="9" t="s">
        <v>156</v>
      </c>
      <c r="B8" s="9" t="s">
        <v>157</v>
      </c>
      <c r="C8" s="10" t="str">
        <f>DOLLAR(LEFT(OverheadCalculation143[[#This Row],[GrantData]], FIND("-",OverheadCalculation143[[#This Row],[GrantData]])- 1), 2)</f>
        <v>$133.77</v>
      </c>
      <c r="D8" s="10" t="str">
        <f>MID(OverheadCalculation143[[#This Row],[GrantData]], FIND("-",OverheadCalculation143[[#This Row],[GrantData]], FIND("-",OverheadCalculation143[[#This Row],[GrantData]])+1)+1, 4)</f>
        <v>5361</v>
      </c>
      <c r="E8" s="10" t="str">
        <f>VLOOKUP(OverheadCalculation143[[#This Row],[GrantNbr]],GrantInfo, 2)</f>
        <v>Math Instruction</v>
      </c>
      <c r="F8" s="9" t="s">
        <v>158</v>
      </c>
    </row>
    <row r="9" spans="1:6" x14ac:dyDescent="0.2">
      <c r="A9" s="9" t="s">
        <v>177</v>
      </c>
      <c r="B9" s="9" t="s">
        <v>178</v>
      </c>
      <c r="C9" s="10" t="str">
        <f>DOLLAR(LEFT(OverheadCalculation143[[#This Row],[GrantData]], FIND("-",OverheadCalculation143[[#This Row],[GrantData]])- 1), 2)</f>
        <v>$694.46</v>
      </c>
      <c r="D9" s="10" t="str">
        <f>MID(OverheadCalculation143[[#This Row],[GrantData]], FIND("-",OverheadCalculation143[[#This Row],[GrantData]], FIND("-",OverheadCalculation143[[#This Row],[GrantData]])+1)+1, 4)</f>
        <v>5149</v>
      </c>
      <c r="E9" s="10" t="str">
        <f>VLOOKUP(OverheadCalculation143[[#This Row],[GrantNbr]],GrantInfo, 2)</f>
        <v>BioFuel</v>
      </c>
      <c r="F9" s="9" t="s">
        <v>179</v>
      </c>
    </row>
    <row r="10" spans="1:6" x14ac:dyDescent="0.2">
      <c r="A10" s="9" t="s">
        <v>180</v>
      </c>
      <c r="B10" s="9" t="s">
        <v>181</v>
      </c>
      <c r="C10" s="10" t="str">
        <f>DOLLAR(LEFT(OverheadCalculation143[[#This Row],[GrantData]], FIND("-",OverheadCalculation143[[#This Row],[GrantData]])- 1), 2)</f>
        <v>$1,242.42</v>
      </c>
      <c r="D10" s="10" t="str">
        <f>MID(OverheadCalculation143[[#This Row],[GrantData]], FIND("-",OverheadCalculation143[[#This Row],[GrantData]], FIND("-",OverheadCalculation143[[#This Row],[GrantData]])+1)+1, 4)</f>
        <v>5956</v>
      </c>
      <c r="E10" s="10" t="str">
        <f>VLOOKUP(OverheadCalculation143[[#This Row],[GrantNbr]],GrantInfo, 2)</f>
        <v>Building Levees</v>
      </c>
      <c r="F10" s="9" t="s">
        <v>182</v>
      </c>
    </row>
    <row r="11" spans="1:6" x14ac:dyDescent="0.2">
      <c r="A11" s="9" t="s">
        <v>150</v>
      </c>
      <c r="B11" s="9" t="s">
        <v>151</v>
      </c>
      <c r="C11" s="10" t="str">
        <f>DOLLAR(LEFT(OverheadCalculation143[[#This Row],[GrantData]], FIND("-",OverheadCalculation143[[#This Row],[GrantData]])- 1), 2)</f>
        <v>$121.70</v>
      </c>
      <c r="D11" s="10" t="str">
        <f>MID(OverheadCalculation143[[#This Row],[GrantData]], FIND("-",OverheadCalculation143[[#This Row],[GrantData]], FIND("-",OverheadCalculation143[[#This Row],[GrantData]])+1)+1, 4)</f>
        <v>5556</v>
      </c>
      <c r="E11" s="10" t="str">
        <f>VLOOKUP(OverheadCalculation143[[#This Row],[GrantNbr]],GrantInfo, 2)</f>
        <v>Volunteer Programs</v>
      </c>
      <c r="F11" s="9" t="s">
        <v>152</v>
      </c>
    </row>
    <row r="12" spans="1:6" x14ac:dyDescent="0.2">
      <c r="A12" s="9" t="s">
        <v>183</v>
      </c>
      <c r="B12" s="9" t="s">
        <v>184</v>
      </c>
      <c r="C12" s="10" t="str">
        <f>DOLLAR(LEFT(OverheadCalculation143[[#This Row],[GrantData]], FIND("-",OverheadCalculation143[[#This Row],[GrantData]])- 1), 2)</f>
        <v>$71.73</v>
      </c>
      <c r="D12" s="10" t="str">
        <f>MID(OverheadCalculation143[[#This Row],[GrantData]], FIND("-",OverheadCalculation143[[#This Row],[GrantData]], FIND("-",OverheadCalculation143[[#This Row],[GrantData]])+1)+1, 4)</f>
        <v>5956</v>
      </c>
      <c r="E12" s="10" t="str">
        <f>VLOOKUP(OverheadCalculation143[[#This Row],[GrantNbr]],GrantInfo, 2)</f>
        <v>Building Levees</v>
      </c>
      <c r="F12" s="9" t="s">
        <v>185</v>
      </c>
    </row>
    <row r="13" spans="1:6" x14ac:dyDescent="0.2">
      <c r="A13" s="9" t="s">
        <v>186</v>
      </c>
      <c r="B13" s="9" t="s">
        <v>187</v>
      </c>
      <c r="C13" s="10" t="str">
        <f>DOLLAR(LEFT(OverheadCalculation143[[#This Row],[GrantData]], FIND("-",OverheadCalculation143[[#This Row],[GrantData]])- 1), 2)</f>
        <v>$669.27</v>
      </c>
      <c r="D13" s="10" t="str">
        <f>MID(OverheadCalculation143[[#This Row],[GrantData]], FIND("-",OverheadCalculation143[[#This Row],[GrantData]], FIND("-",OverheadCalculation143[[#This Row],[GrantData]])+1)+1, 4)</f>
        <v>5956</v>
      </c>
      <c r="E13" s="10" t="str">
        <f>VLOOKUP(OverheadCalculation143[[#This Row],[GrantNbr]],GrantInfo, 2)</f>
        <v>Building Levees</v>
      </c>
      <c r="F13" s="9" t="s">
        <v>188</v>
      </c>
    </row>
    <row r="14" spans="1:6" x14ac:dyDescent="0.2">
      <c r="A14" s="9" t="s">
        <v>189</v>
      </c>
      <c r="B14" s="9" t="s">
        <v>190</v>
      </c>
      <c r="C14" s="10" t="str">
        <f>DOLLAR(LEFT(OverheadCalculation143[[#This Row],[GrantData]], FIND("-",OverheadCalculation143[[#This Row],[GrantData]])- 1), 2)</f>
        <v>$180.12</v>
      </c>
      <c r="D14" s="10" t="str">
        <f>MID(OverheadCalculation143[[#This Row],[GrantData]], FIND("-",OverheadCalculation143[[#This Row],[GrantData]], FIND("-",OverheadCalculation143[[#This Row],[GrantData]])+1)+1, 4)</f>
        <v>5956</v>
      </c>
      <c r="E14" s="10" t="str">
        <f>VLOOKUP(OverheadCalculation143[[#This Row],[GrantNbr]],GrantInfo, 2)</f>
        <v>Building Levees</v>
      </c>
      <c r="F14" s="9" t="s">
        <v>191</v>
      </c>
    </row>
    <row r="15" spans="1:6" x14ac:dyDescent="0.2">
      <c r="A15" s="9" t="s">
        <v>251</v>
      </c>
      <c r="B15" s="9" t="s">
        <v>252</v>
      </c>
      <c r="C15" s="10" t="str">
        <f>DOLLAR(LEFT(OverheadCalculation143[[#This Row],[GrantData]], FIND("-",OverheadCalculation143[[#This Row],[GrantData]])- 1), 2)</f>
        <v>$347.23</v>
      </c>
      <c r="D15" s="10" t="str">
        <f>MID(OverheadCalculation143[[#This Row],[GrantData]], FIND("-",OverheadCalculation143[[#This Row],[GrantData]], FIND("-",OverheadCalculation143[[#This Row],[GrantData]])+1)+1, 4)</f>
        <v>5556</v>
      </c>
      <c r="E15" s="10" t="str">
        <f>VLOOKUP(OverheadCalculation143[[#This Row],[GrantNbr]],GrantInfo, 2)</f>
        <v>Volunteer Programs</v>
      </c>
      <c r="F15" s="9" t="s">
        <v>253</v>
      </c>
    </row>
    <row r="16" spans="1:6" x14ac:dyDescent="0.2">
      <c r="A16" s="9" t="s">
        <v>162</v>
      </c>
      <c r="B16" s="9" t="s">
        <v>163</v>
      </c>
      <c r="C16" s="10" t="str">
        <f>DOLLAR(LEFT(OverheadCalculation143[[#This Row],[GrantData]], FIND("-",OverheadCalculation143[[#This Row],[GrantData]])- 1), 2)</f>
        <v>$167.43</v>
      </c>
      <c r="D16" s="10" t="str">
        <f>MID(OverheadCalculation143[[#This Row],[GrantData]], FIND("-",OverheadCalculation143[[#This Row],[GrantData]], FIND("-",OverheadCalculation143[[#This Row],[GrantData]])+1)+1, 4)</f>
        <v>5342</v>
      </c>
      <c r="E16" s="10" t="str">
        <f>VLOOKUP(OverheadCalculation143[[#This Row],[GrantNbr]],GrantInfo, 2)</f>
        <v>Stop Smoking</v>
      </c>
      <c r="F16" s="9" t="s">
        <v>164</v>
      </c>
    </row>
    <row r="17" spans="1:6" x14ac:dyDescent="0.2">
      <c r="A17" s="9" t="s">
        <v>242</v>
      </c>
      <c r="B17" s="9" t="s">
        <v>243</v>
      </c>
      <c r="C17" s="10" t="str">
        <f>DOLLAR(LEFT(OverheadCalculation143[[#This Row],[GrantData]], FIND("-",OverheadCalculation143[[#This Row],[GrantData]])- 1), 2)</f>
        <v>$301.15</v>
      </c>
      <c r="D17" s="10" t="str">
        <f>MID(OverheadCalculation143[[#This Row],[GrantData]], FIND("-",OverheadCalculation143[[#This Row],[GrantData]], FIND("-",OverheadCalculation143[[#This Row],[GrantData]])+1)+1, 4)</f>
        <v>5556</v>
      </c>
      <c r="E17" s="10" t="str">
        <f>VLOOKUP(OverheadCalculation143[[#This Row],[GrantNbr]],GrantInfo, 2)</f>
        <v>Volunteer Programs</v>
      </c>
      <c r="F17" s="9" t="s">
        <v>244</v>
      </c>
    </row>
    <row r="18" spans="1:6" x14ac:dyDescent="0.2">
      <c r="A18" s="9" t="s">
        <v>192</v>
      </c>
      <c r="B18" s="9" t="s">
        <v>193</v>
      </c>
      <c r="C18" s="10" t="str">
        <f>DOLLAR(LEFT(OverheadCalculation143[[#This Row],[GrantData]], FIND("-",OverheadCalculation143[[#This Row],[GrantData]])- 1), 2)</f>
        <v>$200.12</v>
      </c>
      <c r="D18" s="10" t="str">
        <f>MID(OverheadCalculation143[[#This Row],[GrantData]], FIND("-",OverheadCalculation143[[#This Row],[GrantData]], FIND("-",OverheadCalculation143[[#This Row],[GrantData]])+1)+1, 4)</f>
        <v>5342</v>
      </c>
      <c r="E18" s="10" t="str">
        <f>VLOOKUP(OverheadCalculation143[[#This Row],[GrantNbr]],GrantInfo, 2)</f>
        <v>Stop Smoking</v>
      </c>
      <c r="F18" s="9" t="s">
        <v>194</v>
      </c>
    </row>
    <row r="19" spans="1:6" x14ac:dyDescent="0.2">
      <c r="A19" s="9" t="s">
        <v>248</v>
      </c>
      <c r="B19" s="9" t="s">
        <v>249</v>
      </c>
      <c r="C19" s="10" t="str">
        <f>DOLLAR(LEFT(OverheadCalculation143[[#This Row],[GrantData]], FIND("-",OverheadCalculation143[[#This Row],[GrantData]])- 1), 2)</f>
        <v>$75.12</v>
      </c>
      <c r="D19" s="10" t="str">
        <f>MID(OverheadCalculation143[[#This Row],[GrantData]], FIND("-",OverheadCalculation143[[#This Row],[GrantData]], FIND("-",OverheadCalculation143[[#This Row],[GrantData]])+1)+1, 4)</f>
        <v>5556</v>
      </c>
      <c r="E19" s="10" t="str">
        <f>VLOOKUP(OverheadCalculation143[[#This Row],[GrantNbr]],GrantInfo, 2)</f>
        <v>Volunteer Programs</v>
      </c>
      <c r="F19" s="9" t="s">
        <v>250</v>
      </c>
    </row>
    <row r="20" spans="1:6" x14ac:dyDescent="0.2">
      <c r="A20" s="9" t="s">
        <v>254</v>
      </c>
      <c r="B20" s="9" t="s">
        <v>255</v>
      </c>
      <c r="C20" s="10" t="str">
        <f>DOLLAR(LEFT(OverheadCalculation143[[#This Row],[GrantData]], FIND("-",OverheadCalculation143[[#This Row],[GrantData]])- 1), 2)</f>
        <v>$93.67</v>
      </c>
      <c r="D20" s="10" t="str">
        <f>MID(OverheadCalculation143[[#This Row],[GrantData]], FIND("-",OverheadCalculation143[[#This Row],[GrantData]], FIND("-",OverheadCalculation143[[#This Row],[GrantData]])+1)+1, 4)</f>
        <v>5556</v>
      </c>
      <c r="E20" s="10" t="str">
        <f>VLOOKUP(OverheadCalculation143[[#This Row],[GrantNbr]],GrantInfo, 2)</f>
        <v>Volunteer Programs</v>
      </c>
      <c r="F20" s="9" t="s">
        <v>256</v>
      </c>
    </row>
    <row r="21" spans="1:6" x14ac:dyDescent="0.2">
      <c r="A21" s="9" t="s">
        <v>257</v>
      </c>
      <c r="B21" s="9" t="s">
        <v>255</v>
      </c>
      <c r="C21" s="10" t="str">
        <f>DOLLAR(LEFT(OverheadCalculation143[[#This Row],[GrantData]], FIND("-",OverheadCalculation143[[#This Row],[GrantData]])- 1), 2)</f>
        <v>$1,704.56</v>
      </c>
      <c r="D21" s="10" t="str">
        <f>MID(OverheadCalculation143[[#This Row],[GrantData]], FIND("-",OverheadCalculation143[[#This Row],[GrantData]], FIND("-",OverheadCalculation143[[#This Row],[GrantData]])+1)+1, 4)</f>
        <v>5768</v>
      </c>
      <c r="E21" s="10" t="str">
        <f>VLOOKUP(OverheadCalculation143[[#This Row],[GrantNbr]],GrantInfo, 2)</f>
        <v>Graphic Images</v>
      </c>
      <c r="F21" s="9" t="s">
        <v>258</v>
      </c>
    </row>
    <row r="22" spans="1:6" x14ac:dyDescent="0.2">
      <c r="A22" s="9" t="s">
        <v>259</v>
      </c>
      <c r="B22" s="9" t="s">
        <v>260</v>
      </c>
      <c r="C22" s="10" t="str">
        <f>DOLLAR(LEFT(OverheadCalculation143[[#This Row],[GrantData]], FIND("-",OverheadCalculation143[[#This Row],[GrantData]])- 1), 2)</f>
        <v>$6.11</v>
      </c>
      <c r="D22" s="10" t="str">
        <f>MID(OverheadCalculation143[[#This Row],[GrantData]], FIND("-",OverheadCalculation143[[#This Row],[GrantData]], FIND("-",OverheadCalculation143[[#This Row],[GrantData]])+1)+1, 4)</f>
        <v>5768</v>
      </c>
      <c r="E22" s="10" t="str">
        <f>VLOOKUP(OverheadCalculation143[[#This Row],[GrantNbr]],GrantInfo, 2)</f>
        <v>Graphic Images</v>
      </c>
      <c r="F22" s="9" t="s">
        <v>261</v>
      </c>
    </row>
    <row r="23" spans="1:6" x14ac:dyDescent="0.2">
      <c r="A23" s="9" t="s">
        <v>262</v>
      </c>
      <c r="B23" s="9" t="s">
        <v>263</v>
      </c>
      <c r="C23" s="10" t="str">
        <f>DOLLAR(LEFT(OverheadCalculation143[[#This Row],[GrantData]], FIND("-",OverheadCalculation143[[#This Row],[GrantData]])- 1), 2)</f>
        <v>$255.12</v>
      </c>
      <c r="D23" s="10" t="str">
        <f>MID(OverheadCalculation143[[#This Row],[GrantData]], FIND("-",OverheadCalculation143[[#This Row],[GrantData]], FIND("-",OverheadCalculation143[[#This Row],[GrantData]])+1)+1, 4)</f>
        <v>5768</v>
      </c>
      <c r="E23" s="10" t="str">
        <f>VLOOKUP(OverheadCalculation143[[#This Row],[GrantNbr]],GrantInfo, 2)</f>
        <v>Graphic Images</v>
      </c>
      <c r="F23" s="9" t="s">
        <v>264</v>
      </c>
    </row>
    <row r="24" spans="1:6" x14ac:dyDescent="0.2">
      <c r="A24" s="9" t="s">
        <v>265</v>
      </c>
      <c r="B24" s="9" t="s">
        <v>266</v>
      </c>
      <c r="C24" s="10" t="str">
        <f>DOLLAR(LEFT(OverheadCalculation143[[#This Row],[GrantData]], FIND("-",OverheadCalculation143[[#This Row],[GrantData]])- 1), 2)</f>
        <v>$20.77</v>
      </c>
      <c r="D24" s="10" t="str">
        <f>MID(OverheadCalculation143[[#This Row],[GrantData]], FIND("-",OverheadCalculation143[[#This Row],[GrantData]], FIND("-",OverheadCalculation143[[#This Row],[GrantData]])+1)+1, 4)</f>
        <v>5768</v>
      </c>
      <c r="E24" s="10" t="str">
        <f>VLOOKUP(OverheadCalculation143[[#This Row],[GrantNbr]],GrantInfo, 2)</f>
        <v>Graphic Images</v>
      </c>
      <c r="F24" s="9" t="s">
        <v>267</v>
      </c>
    </row>
    <row r="25" spans="1:6" x14ac:dyDescent="0.2">
      <c r="A25" s="9" t="s">
        <v>277</v>
      </c>
      <c r="B25" s="9" t="s">
        <v>278</v>
      </c>
      <c r="C25" s="10" t="str">
        <f>DOLLAR(LEFT(OverheadCalculation143[[#This Row],[GrantData]], FIND("-",OverheadCalculation143[[#This Row],[GrantData]])- 1), 2)</f>
        <v>$59.26</v>
      </c>
      <c r="D25" s="10" t="str">
        <f>MID(OverheadCalculation143[[#This Row],[GrantData]], FIND("-",OverheadCalculation143[[#This Row],[GrantData]], FIND("-",OverheadCalculation143[[#This Row],[GrantData]])+1)+1, 4)</f>
        <v>5768</v>
      </c>
      <c r="E25" s="10" t="str">
        <f>VLOOKUP(OverheadCalculation143[[#This Row],[GrantNbr]],GrantInfo, 2)</f>
        <v>Graphic Images</v>
      </c>
      <c r="F25" s="9" t="s">
        <v>279</v>
      </c>
    </row>
    <row r="26" spans="1:6" x14ac:dyDescent="0.2">
      <c r="A26" s="9" t="s">
        <v>165</v>
      </c>
      <c r="B26" s="9" t="s">
        <v>166</v>
      </c>
      <c r="C26" s="10" t="str">
        <f>DOLLAR(LEFT(OverheadCalculation143[[#This Row],[GrantData]], FIND("-",OverheadCalculation143[[#This Row],[GrantData]])- 1), 2)</f>
        <v>$151.02</v>
      </c>
      <c r="D26" s="10" t="str">
        <f>MID(OverheadCalculation143[[#This Row],[GrantData]], FIND("-",OverheadCalculation143[[#This Row],[GrantData]], FIND("-",OverheadCalculation143[[#This Row],[GrantData]])+1)+1, 4)</f>
        <v>5279</v>
      </c>
      <c r="E26" s="10" t="str">
        <f>VLOOKUP(OverheadCalculation143[[#This Row],[GrantNbr]],GrantInfo, 2)</f>
        <v>Applied Materials</v>
      </c>
      <c r="F26" s="9" t="s">
        <v>167</v>
      </c>
    </row>
    <row r="27" spans="1:6" x14ac:dyDescent="0.2">
      <c r="A27" s="9" t="s">
        <v>268</v>
      </c>
      <c r="B27" s="9" t="s">
        <v>269</v>
      </c>
      <c r="C27" s="10" t="str">
        <f>DOLLAR(LEFT(OverheadCalculation143[[#This Row],[GrantData]], FIND("-",OverheadCalculation143[[#This Row],[GrantData]])- 1), 2)</f>
        <v>$172.12</v>
      </c>
      <c r="D27" s="10" t="str">
        <f>MID(OverheadCalculation143[[#This Row],[GrantData]], FIND("-",OverheadCalculation143[[#This Row],[GrantData]], FIND("-",OverheadCalculation143[[#This Row],[GrantData]])+1)+1, 4)</f>
        <v>5768</v>
      </c>
      <c r="E27" s="10" t="str">
        <f>VLOOKUP(OverheadCalculation143[[#This Row],[GrantNbr]],GrantInfo, 2)</f>
        <v>Graphic Images</v>
      </c>
      <c r="F27" s="9" t="s">
        <v>270</v>
      </c>
    </row>
    <row r="28" spans="1:6" x14ac:dyDescent="0.2">
      <c r="A28" s="9" t="s">
        <v>201</v>
      </c>
      <c r="B28" s="9" t="s">
        <v>202</v>
      </c>
      <c r="C28" s="10" t="str">
        <f>DOLLAR(LEFT(OverheadCalculation143[[#This Row],[GrantData]], FIND("-",OverheadCalculation143[[#This Row],[GrantData]])- 1), 2)</f>
        <v>$288.12</v>
      </c>
      <c r="D28" s="10" t="str">
        <f>MID(OverheadCalculation143[[#This Row],[GrantData]], FIND("-",OverheadCalculation143[[#This Row],[GrantData]], FIND("-",OverheadCalculation143[[#This Row],[GrantData]])+1)+1, 4)</f>
        <v>5279</v>
      </c>
      <c r="E28" s="10" t="str">
        <f>VLOOKUP(OverheadCalculation143[[#This Row],[GrantNbr]],GrantInfo, 2)</f>
        <v>Applied Materials</v>
      </c>
      <c r="F28" s="9" t="s">
        <v>203</v>
      </c>
    </row>
    <row r="29" spans="1:6" x14ac:dyDescent="0.2">
      <c r="A29" s="9" t="s">
        <v>271</v>
      </c>
      <c r="B29" s="9" t="s">
        <v>272</v>
      </c>
      <c r="C29" s="10" t="str">
        <f>DOLLAR(LEFT(OverheadCalculation143[[#This Row],[GrantData]], FIND("-",OverheadCalculation143[[#This Row],[GrantData]])- 1), 2)</f>
        <v>$176.12</v>
      </c>
      <c r="D29" s="10" t="str">
        <f>MID(OverheadCalculation143[[#This Row],[GrantData]], FIND("-",OverheadCalculation143[[#This Row],[GrantData]], FIND("-",OverheadCalculation143[[#This Row],[GrantData]])+1)+1, 4)</f>
        <v>5556</v>
      </c>
      <c r="E29" s="10" t="str">
        <f>VLOOKUP(OverheadCalculation143[[#This Row],[GrantNbr]],GrantInfo, 2)</f>
        <v>Volunteer Programs</v>
      </c>
      <c r="F29" s="9" t="s">
        <v>273</v>
      </c>
    </row>
    <row r="30" spans="1:6" x14ac:dyDescent="0.2">
      <c r="A30" s="9" t="s">
        <v>245</v>
      </c>
      <c r="B30" s="9" t="s">
        <v>246</v>
      </c>
      <c r="C30" s="10" t="str">
        <f>DOLLAR(LEFT(OverheadCalculation143[[#This Row],[GrantData]], FIND("-",OverheadCalculation143[[#This Row],[GrantData]])- 1), 2)</f>
        <v>$35.87</v>
      </c>
      <c r="D30" s="10" t="str">
        <f>MID(OverheadCalculation143[[#This Row],[GrantData]], FIND("-",OverheadCalculation143[[#This Row],[GrantData]], FIND("-",OverheadCalculation143[[#This Row],[GrantData]])+1)+1, 4)</f>
        <v>5279</v>
      </c>
      <c r="E30" s="10" t="str">
        <f>VLOOKUP(OverheadCalculation143[[#This Row],[GrantNbr]],GrantInfo, 2)</f>
        <v>Applied Materials</v>
      </c>
      <c r="F30" s="9" t="s">
        <v>247</v>
      </c>
    </row>
    <row r="31" spans="1:6" x14ac:dyDescent="0.2">
      <c r="A31" s="9" t="s">
        <v>153</v>
      </c>
      <c r="B31" s="9" t="s">
        <v>154</v>
      </c>
      <c r="C31" s="10" t="str">
        <f>DOLLAR(LEFT(OverheadCalculation143[[#This Row],[GrantData]], FIND("-",OverheadCalculation143[[#This Row],[GrantData]])- 1), 2)</f>
        <v>$225.87</v>
      </c>
      <c r="D31" s="10" t="str">
        <f>MID(OverheadCalculation143[[#This Row],[GrantData]], FIND("-",OverheadCalculation143[[#This Row],[GrantData]], FIND("-",OverheadCalculation143[[#This Row],[GrantData]])+1)+1, 4)</f>
        <v>5556</v>
      </c>
      <c r="E31" s="10" t="str">
        <f>VLOOKUP(OverheadCalculation143[[#This Row],[GrantNbr]],GrantInfo, 2)</f>
        <v>Volunteer Programs</v>
      </c>
      <c r="F31" s="9" t="s">
        <v>155</v>
      </c>
    </row>
    <row r="32" spans="1:6" x14ac:dyDescent="0.2">
      <c r="A32" s="9" t="s">
        <v>274</v>
      </c>
      <c r="B32" s="9" t="s">
        <v>275</v>
      </c>
      <c r="C32" s="10" t="str">
        <f>DOLLAR(LEFT(OverheadCalculation143[[#This Row],[GrantData]], FIND("-",OverheadCalculation143[[#This Row],[GrantData]])- 1), 2)</f>
        <v>$41.65</v>
      </c>
      <c r="D32" s="10" t="str">
        <f>MID(OverheadCalculation143[[#This Row],[GrantData]], FIND("-",OverheadCalculation143[[#This Row],[GrantData]], FIND("-",OverheadCalculation143[[#This Row],[GrantData]])+1)+1, 4)</f>
        <v>5556</v>
      </c>
      <c r="E32" s="10" t="str">
        <f>VLOOKUP(OverheadCalculation143[[#This Row],[GrantNbr]],GrantInfo, 2)</f>
        <v>Volunteer Programs</v>
      </c>
      <c r="F32" s="9" t="s">
        <v>276</v>
      </c>
    </row>
    <row r="33" spans="1:6" x14ac:dyDescent="0.2">
      <c r="A33" s="9" t="s">
        <v>215</v>
      </c>
      <c r="B33" s="9" t="s">
        <v>216</v>
      </c>
      <c r="C33" s="10" t="str">
        <f>DOLLAR(LEFT(OverheadCalculation143[[#This Row],[GrantData]], FIND("-",OverheadCalculation143[[#This Row],[GrantData]])- 1), 2)</f>
        <v>$156.42</v>
      </c>
      <c r="D33" s="10" t="str">
        <f>MID(OverheadCalculation143[[#This Row],[GrantData]], FIND("-",OverheadCalculation143[[#This Row],[GrantData]], FIND("-",OverheadCalculation143[[#This Row],[GrantData]])+1)+1, 4)</f>
        <v>5556</v>
      </c>
      <c r="E33" s="10" t="str">
        <f>VLOOKUP(OverheadCalculation143[[#This Row],[GrantNbr]],GrantInfo, 2)</f>
        <v>Volunteer Programs</v>
      </c>
      <c r="F33" s="9" t="s">
        <v>217</v>
      </c>
    </row>
    <row r="34" spans="1:6" x14ac:dyDescent="0.2">
      <c r="A34" s="9" t="s">
        <v>198</v>
      </c>
      <c r="B34" s="9" t="s">
        <v>199</v>
      </c>
      <c r="C34" s="10" t="str">
        <f>DOLLAR(LEFT(OverheadCalculation143[[#This Row],[GrantData]], FIND("-",OverheadCalculation143[[#This Row],[GrantData]])- 1), 2)</f>
        <v>$576.12</v>
      </c>
      <c r="D34" s="10" t="str">
        <f>MID(OverheadCalculation143[[#This Row],[GrantData]], FIND("-",OverheadCalculation143[[#This Row],[GrantData]], FIND("-",OverheadCalculation143[[#This Row],[GrantData]])+1)+1, 4)</f>
        <v>5279</v>
      </c>
      <c r="E34" s="10" t="str">
        <f>VLOOKUP(OverheadCalculation143[[#This Row],[GrantNbr]],GrantInfo, 2)</f>
        <v>Applied Materials</v>
      </c>
      <c r="F34" s="9" t="s">
        <v>200</v>
      </c>
    </row>
    <row r="35" spans="1:6" x14ac:dyDescent="0.2">
      <c r="A35" s="9" t="s">
        <v>207</v>
      </c>
      <c r="B35" s="9" t="s">
        <v>208</v>
      </c>
      <c r="C35" s="10" t="str">
        <f>DOLLAR(LEFT(OverheadCalculation143[[#This Row],[GrantData]], FIND("-",OverheadCalculation143[[#This Row],[GrantData]])- 1), 2)</f>
        <v>$354.29</v>
      </c>
      <c r="D35" s="10" t="str">
        <f>MID(OverheadCalculation143[[#This Row],[GrantData]], FIND("-",OverheadCalculation143[[#This Row],[GrantData]], FIND("-",OverheadCalculation143[[#This Row],[GrantData]])+1)+1, 4)</f>
        <v>5933</v>
      </c>
      <c r="E35" s="10" t="str">
        <f>VLOOKUP(OverheadCalculation143[[#This Row],[GrantNbr]],GrantInfo, 2)</f>
        <v>State History</v>
      </c>
      <c r="F35" s="9" t="s">
        <v>209</v>
      </c>
    </row>
    <row r="36" spans="1:6" x14ac:dyDescent="0.2">
      <c r="A36" s="9" t="s">
        <v>141</v>
      </c>
      <c r="B36" s="9" t="s">
        <v>142</v>
      </c>
      <c r="C36" s="10" t="str">
        <f>DOLLAR(LEFT(OverheadCalculation143[[#This Row],[GrantData]], FIND("-",OverheadCalculation143[[#This Row],[GrantData]])- 1), 2)</f>
        <v>$669.12</v>
      </c>
      <c r="D36" s="10" t="str">
        <f>MID(OverheadCalculation143[[#This Row],[GrantData]], FIND("-",OverheadCalculation143[[#This Row],[GrantData]], FIND("-",OverheadCalculation143[[#This Row],[GrantData]])+1)+1, 4)</f>
        <v>5342</v>
      </c>
      <c r="E36" s="10" t="str">
        <f>VLOOKUP(OverheadCalculation143[[#This Row],[GrantNbr]],GrantInfo, 2)</f>
        <v>Stop Smoking</v>
      </c>
      <c r="F36" s="9" t="s">
        <v>143</v>
      </c>
    </row>
    <row r="37" spans="1:6" x14ac:dyDescent="0.2">
      <c r="A37" s="9" t="s">
        <v>210</v>
      </c>
      <c r="B37" s="9" t="s">
        <v>208</v>
      </c>
      <c r="C37" s="10" t="str">
        <f>DOLLAR(LEFT(OverheadCalculation143[[#This Row],[GrantData]], FIND("-",OverheadCalculation143[[#This Row],[GrantData]])- 1), 2)</f>
        <v>$55.87</v>
      </c>
      <c r="D37" s="10" t="str">
        <f>MID(OverheadCalculation143[[#This Row],[GrantData]], FIND("-",OverheadCalculation143[[#This Row],[GrantData]], FIND("-",OverheadCalculation143[[#This Row],[GrantData]])+1)+1, 4)</f>
        <v>5933</v>
      </c>
      <c r="E37" s="10" t="str">
        <f>VLOOKUP(OverheadCalculation143[[#This Row],[GrantNbr]],GrantInfo, 2)</f>
        <v>State History</v>
      </c>
      <c r="F37" s="9" t="s">
        <v>211</v>
      </c>
    </row>
    <row r="38" spans="1:6" x14ac:dyDescent="0.2">
      <c r="A38" s="9" t="s">
        <v>147</v>
      </c>
      <c r="B38" s="9" t="s">
        <v>148</v>
      </c>
      <c r="C38" s="10" t="str">
        <f>DOLLAR(LEFT(OverheadCalculation143[[#This Row],[GrantData]], FIND("-",OverheadCalculation143[[#This Row],[GrantData]])- 1), 2)</f>
        <v>$1,040.59</v>
      </c>
      <c r="D38" s="10" t="str">
        <f>MID(OverheadCalculation143[[#This Row],[GrantData]], FIND("-",OverheadCalculation143[[#This Row],[GrantData]], FIND("-",OverheadCalculation143[[#This Row],[GrantData]])+1)+1, 4)</f>
        <v>5063</v>
      </c>
      <c r="E38" s="10" t="str">
        <f>VLOOKUP(OverheadCalculation143[[#This Row],[GrantNbr]],GrantInfo, 2)</f>
        <v>Chemistry</v>
      </c>
      <c r="F38" s="9" t="s">
        <v>149</v>
      </c>
    </row>
    <row r="39" spans="1:6" x14ac:dyDescent="0.2">
      <c r="A39" s="9" t="s">
        <v>212</v>
      </c>
      <c r="B39" s="9" t="s">
        <v>213</v>
      </c>
      <c r="C39" s="10" t="str">
        <f>DOLLAR(LEFT(OverheadCalculation143[[#This Row],[GrantData]], FIND("-",OverheadCalculation143[[#This Row],[GrantData]])- 1), 2)</f>
        <v>$70.96</v>
      </c>
      <c r="D39" s="10" t="str">
        <f>MID(OverheadCalculation143[[#This Row],[GrantData]], FIND("-",OverheadCalculation143[[#This Row],[GrantData]], FIND("-",OverheadCalculation143[[#This Row],[GrantData]])+1)+1, 4)</f>
        <v>5556</v>
      </c>
      <c r="E39" s="10" t="str">
        <f>VLOOKUP(OverheadCalculation143[[#This Row],[GrantNbr]],GrantInfo, 2)</f>
        <v>Volunteer Programs</v>
      </c>
      <c r="F39" s="9" t="s">
        <v>214</v>
      </c>
    </row>
    <row r="40" spans="1:6" x14ac:dyDescent="0.2">
      <c r="A40" s="9" t="s">
        <v>159</v>
      </c>
      <c r="B40" s="9" t="s">
        <v>160</v>
      </c>
      <c r="C40" s="10" t="str">
        <f>DOLLAR(LEFT(OverheadCalculation143[[#This Row],[GrantData]], FIND("-",OverheadCalculation143[[#This Row],[GrantData]])- 1), 2)</f>
        <v>$1,120.12</v>
      </c>
      <c r="D40" s="10" t="str">
        <f>MID(OverheadCalculation143[[#This Row],[GrantData]], FIND("-",OverheadCalculation143[[#This Row],[GrantData]], FIND("-",OverheadCalculation143[[#This Row],[GrantData]])+1)+1, 4)</f>
        <v>5178</v>
      </c>
      <c r="E40" s="10" t="str">
        <f>VLOOKUP(OverheadCalculation143[[#This Row],[GrantNbr]],GrantInfo, 2)</f>
        <v>Robotics</v>
      </c>
      <c r="F40" s="9" t="s">
        <v>161</v>
      </c>
    </row>
    <row r="41" spans="1:6" x14ac:dyDescent="0.2">
      <c r="A41" s="9" t="s">
        <v>135</v>
      </c>
      <c r="B41" s="9" t="s">
        <v>136</v>
      </c>
      <c r="C41" s="10" t="str">
        <f>DOLLAR(LEFT(OverheadCalculation143[[#This Row],[GrantData]], FIND("-",OverheadCalculation143[[#This Row],[GrantData]])- 1), 2)</f>
        <v>$62.35</v>
      </c>
      <c r="D41" s="10" t="str">
        <f>MID(OverheadCalculation143[[#This Row],[GrantData]], FIND("-",OverheadCalculation143[[#This Row],[GrantData]], FIND("-",OverheadCalculation143[[#This Row],[GrantData]])+1)+1, 4)</f>
        <v>5556</v>
      </c>
      <c r="E41" s="10" t="str">
        <f>VLOOKUP(OverheadCalculation143[[#This Row],[GrantNbr]],GrantInfo, 2)</f>
        <v>Volunteer Programs</v>
      </c>
      <c r="F41" s="9" t="s">
        <v>137</v>
      </c>
    </row>
    <row r="42" spans="1:6" x14ac:dyDescent="0.2">
      <c r="A42" s="9" t="s">
        <v>195</v>
      </c>
      <c r="B42" s="9" t="s">
        <v>196</v>
      </c>
      <c r="C42" s="10" t="str">
        <f>DOLLAR(LEFT(OverheadCalculation143[[#This Row],[GrantData]], FIND("-",OverheadCalculation143[[#This Row],[GrantData]])- 1), 2)</f>
        <v>$76.32</v>
      </c>
      <c r="D42" s="10" t="str">
        <f>MID(OverheadCalculation143[[#This Row],[GrantData]], FIND("-",OverheadCalculation143[[#This Row],[GrantData]], FIND("-",OverheadCalculation143[[#This Row],[GrantData]])+1)+1, 4)</f>
        <v>5178</v>
      </c>
      <c r="E42" s="10" t="str">
        <f>VLOOKUP(OverheadCalculation143[[#This Row],[GrantNbr]],GrantInfo, 2)</f>
        <v>Robotics</v>
      </c>
      <c r="F42" s="9" t="s">
        <v>197</v>
      </c>
    </row>
    <row r="43" spans="1:6" x14ac:dyDescent="0.2">
      <c r="A43" s="9" t="s">
        <v>168</v>
      </c>
      <c r="B43" s="9" t="s">
        <v>169</v>
      </c>
      <c r="C43" s="10" t="str">
        <f>DOLLAR(LEFT(OverheadCalculation143[[#This Row],[GrantData]], FIND("-",OverheadCalculation143[[#This Row],[GrantData]])- 1), 2)</f>
        <v>$469.12</v>
      </c>
      <c r="D43" s="10" t="str">
        <f>MID(OverheadCalculation143[[#This Row],[GrantData]], FIND("-",OverheadCalculation143[[#This Row],[GrantData]], FIND("-",OverheadCalculation143[[#This Row],[GrantData]])+1)+1, 4)</f>
        <v>5178</v>
      </c>
      <c r="E43" s="10" t="str">
        <f>VLOOKUP(OverheadCalculation143[[#This Row],[GrantNbr]],GrantInfo, 2)</f>
        <v>Robotics</v>
      </c>
      <c r="F43" s="9" t="s">
        <v>170</v>
      </c>
    </row>
    <row r="44" spans="1:6" x14ac:dyDescent="0.2">
      <c r="A44" s="9" t="s">
        <v>230</v>
      </c>
      <c r="B44" s="9" t="s">
        <v>231</v>
      </c>
      <c r="C44" s="10" t="str">
        <f>DOLLAR(LEFT(OverheadCalculation143[[#This Row],[GrantData]], FIND("-",OverheadCalculation143[[#This Row],[GrantData]])- 1), 2)</f>
        <v>$173.67</v>
      </c>
      <c r="D44" s="10" t="str">
        <f>MID(OverheadCalculation143[[#This Row],[GrantData]], FIND("-",OverheadCalculation143[[#This Row],[GrantData]], FIND("-",OverheadCalculation143[[#This Row],[GrantData]])+1)+1, 4)</f>
        <v>5063</v>
      </c>
      <c r="E44" s="10" t="str">
        <f>VLOOKUP(OverheadCalculation143[[#This Row],[GrantNbr]],GrantInfo, 2)</f>
        <v>Chemistry</v>
      </c>
      <c r="F44" s="9" t="s">
        <v>232</v>
      </c>
    </row>
    <row r="45" spans="1:6" x14ac:dyDescent="0.2">
      <c r="A45" s="9" t="s">
        <v>280</v>
      </c>
      <c r="B45" s="9" t="s">
        <v>278</v>
      </c>
      <c r="C45" s="10" t="str">
        <f>DOLLAR(LEFT(OverheadCalculation143[[#This Row],[GrantData]], FIND("-",OverheadCalculation143[[#This Row],[GrantData]])- 1), 2)</f>
        <v>$446.14</v>
      </c>
      <c r="D45" s="10" t="str">
        <f>MID(OverheadCalculation143[[#This Row],[GrantData]], FIND("-",OverheadCalculation143[[#This Row],[GrantData]], FIND("-",OverheadCalculation143[[#This Row],[GrantData]])+1)+1, 4)</f>
        <v>5063</v>
      </c>
      <c r="E45" s="10" t="str">
        <f>VLOOKUP(OverheadCalculation143[[#This Row],[GrantNbr]],GrantInfo, 2)</f>
        <v>Chemistry</v>
      </c>
      <c r="F45" s="9" t="s">
        <v>281</v>
      </c>
    </row>
    <row r="46" spans="1:6" x14ac:dyDescent="0.2">
      <c r="A46" s="9" t="s">
        <v>218</v>
      </c>
      <c r="B46" s="9" t="s">
        <v>219</v>
      </c>
      <c r="C46" s="10" t="str">
        <f>DOLLAR(LEFT(OverheadCalculation143[[#This Row],[GrantData]], FIND("-",OverheadCalculation143[[#This Row],[GrantData]])- 1), 2)</f>
        <v>$1,567.12</v>
      </c>
      <c r="D46" s="10" t="str">
        <f>MID(OverheadCalculation143[[#This Row],[GrantData]], FIND("-",OverheadCalculation143[[#This Row],[GrantData]], FIND("-",OverheadCalculation143[[#This Row],[GrantData]])+1)+1, 4)</f>
        <v>5063</v>
      </c>
      <c r="E46" s="10" t="str">
        <f>VLOOKUP(OverheadCalculation143[[#This Row],[GrantNbr]],GrantInfo, 2)</f>
        <v>Chemistry</v>
      </c>
      <c r="F46" s="9" t="s">
        <v>220</v>
      </c>
    </row>
    <row r="47" spans="1:6" x14ac:dyDescent="0.2">
      <c r="A47" s="9" t="s">
        <v>221</v>
      </c>
      <c r="B47" s="9" t="s">
        <v>222</v>
      </c>
      <c r="C47" s="10" t="str">
        <f>DOLLAR(LEFT(OverheadCalculation143[[#This Row],[GrantData]], FIND("-",OverheadCalculation143[[#This Row],[GrantData]])- 1), 2)</f>
        <v>$35.56</v>
      </c>
      <c r="D47" s="10" t="str">
        <f>MID(OverheadCalculation143[[#This Row],[GrantData]], FIND("-",OverheadCalculation143[[#This Row],[GrantData]], FIND("-",OverheadCalculation143[[#This Row],[GrantData]])+1)+1, 4)</f>
        <v>5063</v>
      </c>
      <c r="E47" s="10" t="str">
        <f>VLOOKUP(OverheadCalculation143[[#This Row],[GrantNbr]],GrantInfo, 2)</f>
        <v>Chemistry</v>
      </c>
      <c r="F47" s="9" t="s">
        <v>223</v>
      </c>
    </row>
    <row r="48" spans="1:6" x14ac:dyDescent="0.2">
      <c r="A48" s="9" t="s">
        <v>171</v>
      </c>
      <c r="B48" s="9" t="s">
        <v>172</v>
      </c>
      <c r="C48" s="10" t="str">
        <f>DOLLAR(LEFT(OverheadCalculation143[[#This Row],[GrantData]], FIND("-",OverheadCalculation143[[#This Row],[GrantData]])- 1), 2)</f>
        <v>$142.02</v>
      </c>
      <c r="D48" s="10" t="str">
        <f>MID(OverheadCalculation143[[#This Row],[GrantData]], FIND("-",OverheadCalculation143[[#This Row],[GrantData]], FIND("-",OverheadCalculation143[[#This Row],[GrantData]])+1)+1, 4)</f>
        <v>5178</v>
      </c>
      <c r="E48" s="10" t="str">
        <f>VLOOKUP(OverheadCalculation143[[#This Row],[GrantNbr]],GrantInfo, 2)</f>
        <v>Robotics</v>
      </c>
      <c r="F48" s="9" t="s">
        <v>173</v>
      </c>
    </row>
    <row r="49" spans="1:6" x14ac:dyDescent="0.2">
      <c r="A49" s="9" t="s">
        <v>282</v>
      </c>
      <c r="B49" s="9" t="s">
        <v>283</v>
      </c>
      <c r="C49" s="10" t="str">
        <f>DOLLAR(LEFT(OverheadCalculation143[[#This Row],[GrantData]], FIND("-",OverheadCalculation143[[#This Row],[GrantData]])- 1), 2)</f>
        <v>$79.48</v>
      </c>
      <c r="D49" s="10" t="str">
        <f>MID(OverheadCalculation143[[#This Row],[GrantData]], FIND("-",OverheadCalculation143[[#This Row],[GrantData]], FIND("-",OverheadCalculation143[[#This Row],[GrantData]])+1)+1, 4)</f>
        <v>5178</v>
      </c>
      <c r="E49" s="10" t="str">
        <f>VLOOKUP(OverheadCalculation143[[#This Row],[GrantNbr]],GrantInfo, 2)</f>
        <v>Robotics</v>
      </c>
      <c r="F49" s="9" t="s">
        <v>284</v>
      </c>
    </row>
    <row r="50" spans="1:6" x14ac:dyDescent="0.2">
      <c r="A50" s="9" t="s">
        <v>204</v>
      </c>
      <c r="B50" s="9" t="s">
        <v>205</v>
      </c>
      <c r="C50" s="10" t="str">
        <f>DOLLAR(LEFT(OverheadCalculation143[[#This Row],[GrantData]], FIND("-",OverheadCalculation143[[#This Row],[GrantData]])- 1), 2)</f>
        <v>$8.89</v>
      </c>
      <c r="D50" s="10" t="str">
        <f>MID(OverheadCalculation143[[#This Row],[GrantData]], FIND("-",OverheadCalculation143[[#This Row],[GrantData]], FIND("-",OverheadCalculation143[[#This Row],[GrantData]])+1)+1, 4)</f>
        <v>5178</v>
      </c>
      <c r="E50" s="10" t="str">
        <f>VLOOKUP(OverheadCalculation143[[#This Row],[GrantNbr]],GrantInfo, 2)</f>
        <v>Robotics</v>
      </c>
      <c r="F50" s="9" t="s">
        <v>206</v>
      </c>
    </row>
    <row r="51" spans="1:6" x14ac:dyDescent="0.2">
      <c r="A51" s="9" t="s">
        <v>224</v>
      </c>
      <c r="B51" s="9" t="s">
        <v>225</v>
      </c>
      <c r="C51" s="10" t="str">
        <f>DOLLAR(LEFT(OverheadCalculation143[[#This Row],[GrantData]], FIND("-",OverheadCalculation143[[#This Row],[GrantData]])- 1), 2)</f>
        <v>$67.96</v>
      </c>
      <c r="D51" s="10" t="str">
        <f>MID(OverheadCalculation143[[#This Row],[GrantData]], FIND("-",OverheadCalculation143[[#This Row],[GrantData]], FIND("-",OverheadCalculation143[[#This Row],[GrantData]])+1)+1, 4)</f>
        <v>5063</v>
      </c>
      <c r="E51" s="10" t="str">
        <f>VLOOKUP(OverheadCalculation143[[#This Row],[GrantNbr]],GrantInfo, 2)</f>
        <v>Chemistry</v>
      </c>
      <c r="F51" s="9" t="s">
        <v>226</v>
      </c>
    </row>
    <row r="52" spans="1:6" x14ac:dyDescent="0.2">
      <c r="A52" s="9" t="s">
        <v>227</v>
      </c>
      <c r="B52" s="9" t="s">
        <v>228</v>
      </c>
      <c r="C52" s="10" t="str">
        <f>DOLLAR(LEFT(OverheadCalculation143[[#This Row],[GrantData]], FIND("-",OverheadCalculation143[[#This Row],[GrantData]])- 1), 2)</f>
        <v>$301.57</v>
      </c>
      <c r="D52" s="10" t="str">
        <f>MID(OverheadCalculation143[[#This Row],[GrantData]], FIND("-",OverheadCalculation143[[#This Row],[GrantData]], FIND("-",OverheadCalculation143[[#This Row],[GrantData]])+1)+1, 4)</f>
        <v>5063</v>
      </c>
      <c r="E52" s="10" t="str">
        <f>VLOOKUP(OverheadCalculation143[[#This Row],[GrantNbr]],GrantInfo, 2)</f>
        <v>Chemistry</v>
      </c>
      <c r="F52" s="9" t="s">
        <v>229</v>
      </c>
    </row>
    <row r="53" spans="1:6" x14ac:dyDescent="0.2">
      <c r="A53">
        <f>SUBTOTAL(103,OverheadCalculation143[LastName])</f>
        <v>51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2.75" x14ac:dyDescent="0.2"/>
  <cols>
    <col min="1" max="1" width="10.42578125" bestFit="1" customWidth="1"/>
    <col min="2" max="2" width="10.140625" bestFit="1" customWidth="1"/>
    <col min="3" max="4" width="9.140625" bestFit="1" customWidth="1"/>
    <col min="5" max="5" width="17.7109375" bestFit="1" customWidth="1"/>
    <col min="6" max="6" width="12.140625" bestFit="1" customWidth="1"/>
    <col min="7" max="7" width="32" bestFit="1" customWidth="1"/>
  </cols>
  <sheetData>
    <row r="1" spans="1:7" x14ac:dyDescent="0.2">
      <c r="A1" s="9" t="s">
        <v>88</v>
      </c>
      <c r="B1" s="9" t="s">
        <v>89</v>
      </c>
      <c r="C1" s="9" t="s">
        <v>285</v>
      </c>
      <c r="D1" s="9" t="s">
        <v>286</v>
      </c>
      <c r="E1" s="11" t="s">
        <v>287</v>
      </c>
      <c r="F1" s="11" t="s">
        <v>288</v>
      </c>
      <c r="G1" s="9" t="s">
        <v>90</v>
      </c>
    </row>
    <row r="2" spans="1:7" x14ac:dyDescent="0.2">
      <c r="A2" s="9" t="s">
        <v>233</v>
      </c>
      <c r="B2" s="9" t="s">
        <v>234</v>
      </c>
      <c r="C2" s="10" t="str">
        <f>DOLLAR(LEFT(OverheadCalculation1434[[#This Row],[GrantData]], FIND("-",OverheadCalculation1434[[#This Row],[GrantData]])- 1), 2)</f>
        <v>$1,410.12</v>
      </c>
      <c r="D2" s="10" t="str">
        <f>MID(OverheadCalculation1434[[#This Row],[GrantData]], FIND("-",OverheadCalculation1434[[#This Row],[GrantData]], FIND("-",OverheadCalculation1434[[#This Row],[GrantData]])+1)+1, 4)</f>
        <v>5556</v>
      </c>
      <c r="E2" s="10" t="str">
        <f>VLOOKUP(OverheadCalculation1434[[#This Row],[GrantNbr]],GrantInfo, 2)</f>
        <v>Volunteer Programs</v>
      </c>
      <c r="F2" s="10">
        <f>VLOOKUP(OverheadCalculation1434[[#This Row],[GrantNbr]],GrantInfo,3)*OverheadCalculation1434[[#This Row],[Salary]]</f>
        <v>282.024</v>
      </c>
      <c r="G2" s="9" t="s">
        <v>235</v>
      </c>
    </row>
    <row r="3" spans="1:7" x14ac:dyDescent="0.2">
      <c r="A3" s="9" t="s">
        <v>138</v>
      </c>
      <c r="B3" s="9" t="s">
        <v>139</v>
      </c>
      <c r="C3" s="10" t="str">
        <f>DOLLAR(LEFT(OverheadCalculation1434[[#This Row],[GrantData]], FIND("-",OverheadCalculation1434[[#This Row],[GrantData]])- 1), 2)</f>
        <v>$47.37</v>
      </c>
      <c r="D3" s="10" t="str">
        <f>MID(OverheadCalculation1434[[#This Row],[GrantData]], FIND("-",OverheadCalculation1434[[#This Row],[GrantData]], FIND("-",OverheadCalculation1434[[#This Row],[GrantData]])+1)+1, 4)</f>
        <v>5178</v>
      </c>
      <c r="E3" s="10" t="str">
        <f>VLOOKUP(OverheadCalculation1434[[#This Row],[GrantNbr]],GrantInfo, 2)</f>
        <v>Robotics</v>
      </c>
      <c r="F3" s="10">
        <f>VLOOKUP(OverheadCalculation1434[[#This Row],[GrantNbr]],GrantInfo,3)*OverheadCalculation1434[[#This Row],[Salary]]</f>
        <v>14.210999999999999</v>
      </c>
      <c r="G3" s="9" t="s">
        <v>140</v>
      </c>
    </row>
    <row r="4" spans="1:7" x14ac:dyDescent="0.2">
      <c r="A4" s="9" t="s">
        <v>174</v>
      </c>
      <c r="B4" s="9" t="s">
        <v>175</v>
      </c>
      <c r="C4" s="10" t="str">
        <f>DOLLAR(LEFT(OverheadCalculation1434[[#This Row],[GrantData]], FIND("-",OverheadCalculation1434[[#This Row],[GrantData]])- 1), 2)</f>
        <v>$63.37</v>
      </c>
      <c r="D4" s="10" t="str">
        <f>MID(OverheadCalculation1434[[#This Row],[GrantData]], FIND("-",OverheadCalculation1434[[#This Row],[GrantData]], FIND("-",OverheadCalculation1434[[#This Row],[GrantData]])+1)+1, 4)</f>
        <v>5178</v>
      </c>
      <c r="E4" s="10" t="str">
        <f>VLOOKUP(OverheadCalculation1434[[#This Row],[GrantNbr]],GrantInfo, 2)</f>
        <v>Robotics</v>
      </c>
      <c r="F4" s="10">
        <f>VLOOKUP(OverheadCalculation1434[[#This Row],[GrantNbr]],GrantInfo,3)*OverheadCalculation1434[[#This Row],[Salary]]</f>
        <v>19.010999999999999</v>
      </c>
      <c r="G4" s="9" t="s">
        <v>176</v>
      </c>
    </row>
    <row r="5" spans="1:7" x14ac:dyDescent="0.2">
      <c r="A5" s="9" t="s">
        <v>144</v>
      </c>
      <c r="B5" s="9" t="s">
        <v>145</v>
      </c>
      <c r="C5" s="10" t="str">
        <f>DOLLAR(LEFT(OverheadCalculation1434[[#This Row],[GrantData]], FIND("-",OverheadCalculation1434[[#This Row],[GrantData]])- 1), 2)</f>
        <v>$1,025.12</v>
      </c>
      <c r="D5" s="10" t="str">
        <f>MID(OverheadCalculation1434[[#This Row],[GrantData]], FIND("-",OverheadCalculation1434[[#This Row],[GrantData]], FIND("-",OverheadCalculation1434[[#This Row],[GrantData]])+1)+1, 4)</f>
        <v>5149</v>
      </c>
      <c r="E5" s="10" t="str">
        <f>VLOOKUP(OverheadCalculation1434[[#This Row],[GrantNbr]],GrantInfo, 2)</f>
        <v>BioFuel</v>
      </c>
      <c r="F5" s="10">
        <f>VLOOKUP(OverheadCalculation1434[[#This Row],[GrantNbr]],GrantInfo,3)*OverheadCalculation1434[[#This Row],[Salary]]</f>
        <v>307.53599999999994</v>
      </c>
      <c r="G5" s="9" t="s">
        <v>146</v>
      </c>
    </row>
    <row r="6" spans="1:7" x14ac:dyDescent="0.2">
      <c r="A6" s="9" t="s">
        <v>236</v>
      </c>
      <c r="B6" s="9" t="s">
        <v>237</v>
      </c>
      <c r="C6" s="10" t="str">
        <f>DOLLAR(LEFT(OverheadCalculation1434[[#This Row],[GrantData]], FIND("-",OverheadCalculation1434[[#This Row],[GrantData]])- 1), 2)</f>
        <v>$241.27</v>
      </c>
      <c r="D6" s="10" t="str">
        <f>MID(OverheadCalculation1434[[#This Row],[GrantData]], FIND("-",OverheadCalculation1434[[#This Row],[GrantData]], FIND("-",OverheadCalculation1434[[#This Row],[GrantData]])+1)+1, 4)</f>
        <v>5556</v>
      </c>
      <c r="E6" s="10" t="str">
        <f>VLOOKUP(OverheadCalculation1434[[#This Row],[GrantNbr]],GrantInfo, 2)</f>
        <v>Volunteer Programs</v>
      </c>
      <c r="F6" s="10">
        <f>VLOOKUP(OverheadCalculation1434[[#This Row],[GrantNbr]],GrantInfo,3)*OverheadCalculation1434[[#This Row],[Salary]]</f>
        <v>48.254000000000005</v>
      </c>
      <c r="G6" s="9" t="s">
        <v>238</v>
      </c>
    </row>
    <row r="7" spans="1:7" x14ac:dyDescent="0.2">
      <c r="A7" s="9" t="s">
        <v>239</v>
      </c>
      <c r="B7" s="9" t="s">
        <v>240</v>
      </c>
      <c r="C7" s="10" t="str">
        <f>DOLLAR(LEFT(OverheadCalculation1434[[#This Row],[GrantData]], FIND("-",OverheadCalculation1434[[#This Row],[GrantData]])- 1), 2)</f>
        <v>$146.27</v>
      </c>
      <c r="D7" s="10" t="str">
        <f>MID(OverheadCalculation1434[[#This Row],[GrantData]], FIND("-",OverheadCalculation1434[[#This Row],[GrantData]], FIND("-",OverheadCalculation1434[[#This Row],[GrantData]])+1)+1, 4)</f>
        <v>5556</v>
      </c>
      <c r="E7" s="10" t="str">
        <f>VLOOKUP(OverheadCalculation1434[[#This Row],[GrantNbr]],GrantInfo, 2)</f>
        <v>Volunteer Programs</v>
      </c>
      <c r="F7" s="10">
        <f>VLOOKUP(OverheadCalculation1434[[#This Row],[GrantNbr]],GrantInfo,3)*OverheadCalculation1434[[#This Row],[Salary]]</f>
        <v>29.254000000000005</v>
      </c>
      <c r="G7" s="9" t="s">
        <v>241</v>
      </c>
    </row>
    <row r="8" spans="1:7" x14ac:dyDescent="0.2">
      <c r="A8" s="9" t="s">
        <v>156</v>
      </c>
      <c r="B8" s="9" t="s">
        <v>157</v>
      </c>
      <c r="C8" s="10" t="str">
        <f>DOLLAR(LEFT(OverheadCalculation1434[[#This Row],[GrantData]], FIND("-",OverheadCalculation1434[[#This Row],[GrantData]])- 1), 2)</f>
        <v>$133.77</v>
      </c>
      <c r="D8" s="10" t="str">
        <f>MID(OverheadCalculation1434[[#This Row],[GrantData]], FIND("-",OverheadCalculation1434[[#This Row],[GrantData]], FIND("-",OverheadCalculation1434[[#This Row],[GrantData]])+1)+1, 4)</f>
        <v>5361</v>
      </c>
      <c r="E8" s="10" t="str">
        <f>VLOOKUP(OverheadCalculation1434[[#This Row],[GrantNbr]],GrantInfo, 2)</f>
        <v>Math Instruction</v>
      </c>
      <c r="F8" s="10">
        <f>VLOOKUP(OverheadCalculation1434[[#This Row],[GrantNbr]],GrantInfo,3)*OverheadCalculation1434[[#This Row],[Salary]]</f>
        <v>53.50800000000001</v>
      </c>
      <c r="G8" s="9" t="s">
        <v>158</v>
      </c>
    </row>
    <row r="9" spans="1:7" x14ac:dyDescent="0.2">
      <c r="A9" s="9" t="s">
        <v>177</v>
      </c>
      <c r="B9" s="9" t="s">
        <v>178</v>
      </c>
      <c r="C9" s="10" t="str">
        <f>DOLLAR(LEFT(OverheadCalculation1434[[#This Row],[GrantData]], FIND("-",OverheadCalculation1434[[#This Row],[GrantData]])- 1), 2)</f>
        <v>$694.46</v>
      </c>
      <c r="D9" s="10" t="str">
        <f>MID(OverheadCalculation1434[[#This Row],[GrantData]], FIND("-",OverheadCalculation1434[[#This Row],[GrantData]], FIND("-",OverheadCalculation1434[[#This Row],[GrantData]])+1)+1, 4)</f>
        <v>5149</v>
      </c>
      <c r="E9" s="10" t="str">
        <f>VLOOKUP(OverheadCalculation1434[[#This Row],[GrantNbr]],GrantInfo, 2)</f>
        <v>BioFuel</v>
      </c>
      <c r="F9" s="10">
        <f>VLOOKUP(OverheadCalculation1434[[#This Row],[GrantNbr]],GrantInfo,3)*OverheadCalculation1434[[#This Row],[Salary]]</f>
        <v>208.33799999999999</v>
      </c>
      <c r="G9" s="9" t="s">
        <v>179</v>
      </c>
    </row>
    <row r="10" spans="1:7" x14ac:dyDescent="0.2">
      <c r="A10" s="9" t="s">
        <v>180</v>
      </c>
      <c r="B10" s="9" t="s">
        <v>181</v>
      </c>
      <c r="C10" s="10" t="str">
        <f>DOLLAR(LEFT(OverheadCalculation1434[[#This Row],[GrantData]], FIND("-",OverheadCalculation1434[[#This Row],[GrantData]])- 1), 2)</f>
        <v>$1,242.42</v>
      </c>
      <c r="D10" s="10" t="str">
        <f>MID(OverheadCalculation1434[[#This Row],[GrantData]], FIND("-",OverheadCalculation1434[[#This Row],[GrantData]], FIND("-",OverheadCalculation1434[[#This Row],[GrantData]])+1)+1, 4)</f>
        <v>5956</v>
      </c>
      <c r="E10" s="10" t="str">
        <f>VLOOKUP(OverheadCalculation1434[[#This Row],[GrantNbr]],GrantInfo, 2)</f>
        <v>Building Levees</v>
      </c>
      <c r="F10" s="10">
        <f>VLOOKUP(OverheadCalculation1434[[#This Row],[GrantNbr]],GrantInfo,3)*OverheadCalculation1434[[#This Row],[Salary]]</f>
        <v>372.726</v>
      </c>
      <c r="G10" s="9" t="s">
        <v>182</v>
      </c>
    </row>
    <row r="11" spans="1:7" x14ac:dyDescent="0.2">
      <c r="A11" s="9" t="s">
        <v>150</v>
      </c>
      <c r="B11" s="9" t="s">
        <v>151</v>
      </c>
      <c r="C11" s="10" t="str">
        <f>DOLLAR(LEFT(OverheadCalculation1434[[#This Row],[GrantData]], FIND("-",OverheadCalculation1434[[#This Row],[GrantData]])- 1), 2)</f>
        <v>$121.70</v>
      </c>
      <c r="D11" s="10" t="str">
        <f>MID(OverheadCalculation1434[[#This Row],[GrantData]], FIND("-",OverheadCalculation1434[[#This Row],[GrantData]], FIND("-",OverheadCalculation1434[[#This Row],[GrantData]])+1)+1, 4)</f>
        <v>5556</v>
      </c>
      <c r="E11" s="10" t="str">
        <f>VLOOKUP(OverheadCalculation1434[[#This Row],[GrantNbr]],GrantInfo, 2)</f>
        <v>Volunteer Programs</v>
      </c>
      <c r="F11" s="10">
        <f>VLOOKUP(OverheadCalculation1434[[#This Row],[GrantNbr]],GrantInfo,3)*OverheadCalculation1434[[#This Row],[Salary]]</f>
        <v>24.340000000000003</v>
      </c>
      <c r="G11" s="9" t="s">
        <v>152</v>
      </c>
    </row>
    <row r="12" spans="1:7" x14ac:dyDescent="0.2">
      <c r="A12" s="9" t="s">
        <v>183</v>
      </c>
      <c r="B12" s="9" t="s">
        <v>184</v>
      </c>
      <c r="C12" s="10" t="str">
        <f>DOLLAR(LEFT(OverheadCalculation1434[[#This Row],[GrantData]], FIND("-",OverheadCalculation1434[[#This Row],[GrantData]])- 1), 2)</f>
        <v>$71.73</v>
      </c>
      <c r="D12" s="10" t="str">
        <f>MID(OverheadCalculation1434[[#This Row],[GrantData]], FIND("-",OverheadCalculation1434[[#This Row],[GrantData]], FIND("-",OverheadCalculation1434[[#This Row],[GrantData]])+1)+1, 4)</f>
        <v>5956</v>
      </c>
      <c r="E12" s="10" t="str">
        <f>VLOOKUP(OverheadCalculation1434[[#This Row],[GrantNbr]],GrantInfo, 2)</f>
        <v>Building Levees</v>
      </c>
      <c r="F12" s="10">
        <f>VLOOKUP(OverheadCalculation1434[[#This Row],[GrantNbr]],GrantInfo,3)*OverheadCalculation1434[[#This Row],[Salary]]</f>
        <v>21.519000000000002</v>
      </c>
      <c r="G12" s="9" t="s">
        <v>185</v>
      </c>
    </row>
    <row r="13" spans="1:7" x14ac:dyDescent="0.2">
      <c r="A13" s="9" t="s">
        <v>186</v>
      </c>
      <c r="B13" s="9" t="s">
        <v>187</v>
      </c>
      <c r="C13" s="10" t="str">
        <f>DOLLAR(LEFT(OverheadCalculation1434[[#This Row],[GrantData]], FIND("-",OverheadCalculation1434[[#This Row],[GrantData]])- 1), 2)</f>
        <v>$669.27</v>
      </c>
      <c r="D13" s="10" t="str">
        <f>MID(OverheadCalculation1434[[#This Row],[GrantData]], FIND("-",OverheadCalculation1434[[#This Row],[GrantData]], FIND("-",OverheadCalculation1434[[#This Row],[GrantData]])+1)+1, 4)</f>
        <v>5956</v>
      </c>
      <c r="E13" s="10" t="str">
        <f>VLOOKUP(OverheadCalculation1434[[#This Row],[GrantNbr]],GrantInfo, 2)</f>
        <v>Building Levees</v>
      </c>
      <c r="F13" s="10">
        <f>VLOOKUP(OverheadCalculation1434[[#This Row],[GrantNbr]],GrantInfo,3)*OverheadCalculation1434[[#This Row],[Salary]]</f>
        <v>200.78099999999998</v>
      </c>
      <c r="G13" s="9" t="s">
        <v>188</v>
      </c>
    </row>
    <row r="14" spans="1:7" x14ac:dyDescent="0.2">
      <c r="A14" s="9" t="s">
        <v>189</v>
      </c>
      <c r="B14" s="9" t="s">
        <v>190</v>
      </c>
      <c r="C14" s="10" t="str">
        <f>DOLLAR(LEFT(OverheadCalculation1434[[#This Row],[GrantData]], FIND("-",OverheadCalculation1434[[#This Row],[GrantData]])- 1), 2)</f>
        <v>$180.12</v>
      </c>
      <c r="D14" s="10" t="str">
        <f>MID(OverheadCalculation1434[[#This Row],[GrantData]], FIND("-",OverheadCalculation1434[[#This Row],[GrantData]], FIND("-",OverheadCalculation1434[[#This Row],[GrantData]])+1)+1, 4)</f>
        <v>5956</v>
      </c>
      <c r="E14" s="10" t="str">
        <f>VLOOKUP(OverheadCalculation1434[[#This Row],[GrantNbr]],GrantInfo, 2)</f>
        <v>Building Levees</v>
      </c>
      <c r="F14" s="10">
        <f>VLOOKUP(OverheadCalculation1434[[#This Row],[GrantNbr]],GrantInfo,3)*OverheadCalculation1434[[#This Row],[Salary]]</f>
        <v>54.036000000000001</v>
      </c>
      <c r="G14" s="9" t="s">
        <v>191</v>
      </c>
    </row>
    <row r="15" spans="1:7" x14ac:dyDescent="0.2">
      <c r="A15" s="9" t="s">
        <v>251</v>
      </c>
      <c r="B15" s="9" t="s">
        <v>252</v>
      </c>
      <c r="C15" s="10" t="str">
        <f>DOLLAR(LEFT(OverheadCalculation1434[[#This Row],[GrantData]], FIND("-",OverheadCalculation1434[[#This Row],[GrantData]])- 1), 2)</f>
        <v>$347.23</v>
      </c>
      <c r="D15" s="10" t="str">
        <f>MID(OverheadCalculation1434[[#This Row],[GrantData]], FIND("-",OverheadCalculation1434[[#This Row],[GrantData]], FIND("-",OverheadCalculation1434[[#This Row],[GrantData]])+1)+1, 4)</f>
        <v>5556</v>
      </c>
      <c r="E15" s="10" t="str">
        <f>VLOOKUP(OverheadCalculation1434[[#This Row],[GrantNbr]],GrantInfo, 2)</f>
        <v>Volunteer Programs</v>
      </c>
      <c r="F15" s="10">
        <f>VLOOKUP(OverheadCalculation1434[[#This Row],[GrantNbr]],GrantInfo,3)*OverheadCalculation1434[[#This Row],[Salary]]</f>
        <v>69.446000000000012</v>
      </c>
      <c r="G15" s="9" t="s">
        <v>253</v>
      </c>
    </row>
    <row r="16" spans="1:7" x14ac:dyDescent="0.2">
      <c r="A16" s="9" t="s">
        <v>162</v>
      </c>
      <c r="B16" s="9" t="s">
        <v>163</v>
      </c>
      <c r="C16" s="10" t="str">
        <f>DOLLAR(LEFT(OverheadCalculation1434[[#This Row],[GrantData]], FIND("-",OverheadCalculation1434[[#This Row],[GrantData]])- 1), 2)</f>
        <v>$167.43</v>
      </c>
      <c r="D16" s="10" t="str">
        <f>MID(OverheadCalculation1434[[#This Row],[GrantData]], FIND("-",OverheadCalculation1434[[#This Row],[GrantData]], FIND("-",OverheadCalculation1434[[#This Row],[GrantData]])+1)+1, 4)</f>
        <v>5342</v>
      </c>
      <c r="E16" s="10" t="str">
        <f>VLOOKUP(OverheadCalculation1434[[#This Row],[GrantNbr]],GrantInfo, 2)</f>
        <v>Stop Smoking</v>
      </c>
      <c r="F16" s="10">
        <f>VLOOKUP(OverheadCalculation1434[[#This Row],[GrantNbr]],GrantInfo,3)*OverheadCalculation1434[[#This Row],[Salary]]</f>
        <v>50.228999999999999</v>
      </c>
      <c r="G16" s="9" t="s">
        <v>164</v>
      </c>
    </row>
    <row r="17" spans="1:7" x14ac:dyDescent="0.2">
      <c r="A17" s="9" t="s">
        <v>242</v>
      </c>
      <c r="B17" s="9" t="s">
        <v>243</v>
      </c>
      <c r="C17" s="10" t="str">
        <f>DOLLAR(LEFT(OverheadCalculation1434[[#This Row],[GrantData]], FIND("-",OverheadCalculation1434[[#This Row],[GrantData]])- 1), 2)</f>
        <v>$301.15</v>
      </c>
      <c r="D17" s="10" t="str">
        <f>MID(OverheadCalculation1434[[#This Row],[GrantData]], FIND("-",OverheadCalculation1434[[#This Row],[GrantData]], FIND("-",OverheadCalculation1434[[#This Row],[GrantData]])+1)+1, 4)</f>
        <v>5556</v>
      </c>
      <c r="E17" s="10" t="str">
        <f>VLOOKUP(OverheadCalculation1434[[#This Row],[GrantNbr]],GrantInfo, 2)</f>
        <v>Volunteer Programs</v>
      </c>
      <c r="F17" s="10">
        <f>VLOOKUP(OverheadCalculation1434[[#This Row],[GrantNbr]],GrantInfo,3)*OverheadCalculation1434[[#This Row],[Salary]]</f>
        <v>60.23</v>
      </c>
      <c r="G17" s="9" t="s">
        <v>244</v>
      </c>
    </row>
    <row r="18" spans="1:7" x14ac:dyDescent="0.2">
      <c r="A18" s="9" t="s">
        <v>192</v>
      </c>
      <c r="B18" s="9" t="s">
        <v>193</v>
      </c>
      <c r="C18" s="10" t="str">
        <f>DOLLAR(LEFT(OverheadCalculation1434[[#This Row],[GrantData]], FIND("-",OverheadCalculation1434[[#This Row],[GrantData]])- 1), 2)</f>
        <v>$200.12</v>
      </c>
      <c r="D18" s="10" t="str">
        <f>MID(OverheadCalculation1434[[#This Row],[GrantData]], FIND("-",OverheadCalculation1434[[#This Row],[GrantData]], FIND("-",OverheadCalculation1434[[#This Row],[GrantData]])+1)+1, 4)</f>
        <v>5342</v>
      </c>
      <c r="E18" s="10" t="str">
        <f>VLOOKUP(OverheadCalculation1434[[#This Row],[GrantNbr]],GrantInfo, 2)</f>
        <v>Stop Smoking</v>
      </c>
      <c r="F18" s="10">
        <f>VLOOKUP(OverheadCalculation1434[[#This Row],[GrantNbr]],GrantInfo,3)*OverheadCalculation1434[[#This Row],[Salary]]</f>
        <v>60.036000000000001</v>
      </c>
      <c r="G18" s="9" t="s">
        <v>194</v>
      </c>
    </row>
    <row r="19" spans="1:7" x14ac:dyDescent="0.2">
      <c r="A19" s="9" t="s">
        <v>248</v>
      </c>
      <c r="B19" s="9" t="s">
        <v>249</v>
      </c>
      <c r="C19" s="10" t="str">
        <f>DOLLAR(LEFT(OverheadCalculation1434[[#This Row],[GrantData]], FIND("-",OverheadCalculation1434[[#This Row],[GrantData]])- 1), 2)</f>
        <v>$75.12</v>
      </c>
      <c r="D19" s="10" t="str">
        <f>MID(OverheadCalculation1434[[#This Row],[GrantData]], FIND("-",OverheadCalculation1434[[#This Row],[GrantData]], FIND("-",OverheadCalculation1434[[#This Row],[GrantData]])+1)+1, 4)</f>
        <v>5556</v>
      </c>
      <c r="E19" s="10" t="str">
        <f>VLOOKUP(OverheadCalculation1434[[#This Row],[GrantNbr]],GrantInfo, 2)</f>
        <v>Volunteer Programs</v>
      </c>
      <c r="F19" s="10">
        <f>VLOOKUP(OverheadCalculation1434[[#This Row],[GrantNbr]],GrantInfo,3)*OverheadCalculation1434[[#This Row],[Salary]]</f>
        <v>15.024000000000001</v>
      </c>
      <c r="G19" s="9" t="s">
        <v>250</v>
      </c>
    </row>
    <row r="20" spans="1:7" x14ac:dyDescent="0.2">
      <c r="A20" s="9" t="s">
        <v>254</v>
      </c>
      <c r="B20" s="9" t="s">
        <v>255</v>
      </c>
      <c r="C20" s="10" t="str">
        <f>DOLLAR(LEFT(OverheadCalculation1434[[#This Row],[GrantData]], FIND("-",OverheadCalculation1434[[#This Row],[GrantData]])- 1), 2)</f>
        <v>$93.67</v>
      </c>
      <c r="D20" s="10" t="str">
        <f>MID(OverheadCalculation1434[[#This Row],[GrantData]], FIND("-",OverheadCalculation1434[[#This Row],[GrantData]], FIND("-",OverheadCalculation1434[[#This Row],[GrantData]])+1)+1, 4)</f>
        <v>5556</v>
      </c>
      <c r="E20" s="10" t="str">
        <f>VLOOKUP(OverheadCalculation1434[[#This Row],[GrantNbr]],GrantInfo, 2)</f>
        <v>Volunteer Programs</v>
      </c>
      <c r="F20" s="10">
        <f>VLOOKUP(OverheadCalculation1434[[#This Row],[GrantNbr]],GrantInfo,3)*OverheadCalculation1434[[#This Row],[Salary]]</f>
        <v>18.734000000000002</v>
      </c>
      <c r="G20" s="9" t="s">
        <v>256</v>
      </c>
    </row>
    <row r="21" spans="1:7" x14ac:dyDescent="0.2">
      <c r="A21" s="9" t="s">
        <v>257</v>
      </c>
      <c r="B21" s="9" t="s">
        <v>255</v>
      </c>
      <c r="C21" s="10" t="str">
        <f>DOLLAR(LEFT(OverheadCalculation1434[[#This Row],[GrantData]], FIND("-",OverheadCalculation1434[[#This Row],[GrantData]])- 1), 2)</f>
        <v>$1,704.56</v>
      </c>
      <c r="D21" s="10" t="str">
        <f>MID(OverheadCalculation1434[[#This Row],[GrantData]], FIND("-",OverheadCalculation1434[[#This Row],[GrantData]], FIND("-",OverheadCalculation1434[[#This Row],[GrantData]])+1)+1, 4)</f>
        <v>5768</v>
      </c>
      <c r="E21" s="10" t="str">
        <f>VLOOKUP(OverheadCalculation1434[[#This Row],[GrantNbr]],GrantInfo, 2)</f>
        <v>Graphic Images</v>
      </c>
      <c r="F21" s="10">
        <f>VLOOKUP(OverheadCalculation1434[[#This Row],[GrantNbr]],GrantInfo,3)*OverheadCalculation1434[[#This Row],[Salary]]</f>
        <v>681.82400000000007</v>
      </c>
      <c r="G21" s="9" t="s">
        <v>258</v>
      </c>
    </row>
    <row r="22" spans="1:7" x14ac:dyDescent="0.2">
      <c r="A22" s="9" t="s">
        <v>259</v>
      </c>
      <c r="B22" s="9" t="s">
        <v>260</v>
      </c>
      <c r="C22" s="10" t="str">
        <f>DOLLAR(LEFT(OverheadCalculation1434[[#This Row],[GrantData]], FIND("-",OverheadCalculation1434[[#This Row],[GrantData]])- 1), 2)</f>
        <v>$6.11</v>
      </c>
      <c r="D22" s="10" t="str">
        <f>MID(OverheadCalculation1434[[#This Row],[GrantData]], FIND("-",OverheadCalculation1434[[#This Row],[GrantData]], FIND("-",OverheadCalculation1434[[#This Row],[GrantData]])+1)+1, 4)</f>
        <v>5768</v>
      </c>
      <c r="E22" s="10" t="str">
        <f>VLOOKUP(OverheadCalculation1434[[#This Row],[GrantNbr]],GrantInfo, 2)</f>
        <v>Graphic Images</v>
      </c>
      <c r="F22" s="10">
        <f>VLOOKUP(OverheadCalculation1434[[#This Row],[GrantNbr]],GrantInfo,3)*OverheadCalculation1434[[#This Row],[Salary]]</f>
        <v>2.4440000000000004</v>
      </c>
      <c r="G22" s="9" t="s">
        <v>261</v>
      </c>
    </row>
    <row r="23" spans="1:7" x14ac:dyDescent="0.2">
      <c r="A23" s="9" t="s">
        <v>262</v>
      </c>
      <c r="B23" s="9" t="s">
        <v>263</v>
      </c>
      <c r="C23" s="10" t="str">
        <f>DOLLAR(LEFT(OverheadCalculation1434[[#This Row],[GrantData]], FIND("-",OverheadCalculation1434[[#This Row],[GrantData]])- 1), 2)</f>
        <v>$255.12</v>
      </c>
      <c r="D23" s="10" t="str">
        <f>MID(OverheadCalculation1434[[#This Row],[GrantData]], FIND("-",OverheadCalculation1434[[#This Row],[GrantData]], FIND("-",OverheadCalculation1434[[#This Row],[GrantData]])+1)+1, 4)</f>
        <v>5768</v>
      </c>
      <c r="E23" s="10" t="str">
        <f>VLOOKUP(OverheadCalculation1434[[#This Row],[GrantNbr]],GrantInfo, 2)</f>
        <v>Graphic Images</v>
      </c>
      <c r="F23" s="10">
        <f>VLOOKUP(OverheadCalculation1434[[#This Row],[GrantNbr]],GrantInfo,3)*OverheadCalculation1434[[#This Row],[Salary]]</f>
        <v>102.048</v>
      </c>
      <c r="G23" s="9" t="s">
        <v>264</v>
      </c>
    </row>
    <row r="24" spans="1:7" x14ac:dyDescent="0.2">
      <c r="A24" s="9" t="s">
        <v>265</v>
      </c>
      <c r="B24" s="9" t="s">
        <v>266</v>
      </c>
      <c r="C24" s="10" t="str">
        <f>DOLLAR(LEFT(OverheadCalculation1434[[#This Row],[GrantData]], FIND("-",OverheadCalculation1434[[#This Row],[GrantData]])- 1), 2)</f>
        <v>$20.77</v>
      </c>
      <c r="D24" s="10" t="str">
        <f>MID(OverheadCalculation1434[[#This Row],[GrantData]], FIND("-",OverheadCalculation1434[[#This Row],[GrantData]], FIND("-",OverheadCalculation1434[[#This Row],[GrantData]])+1)+1, 4)</f>
        <v>5768</v>
      </c>
      <c r="E24" s="10" t="str">
        <f>VLOOKUP(OverheadCalculation1434[[#This Row],[GrantNbr]],GrantInfo, 2)</f>
        <v>Graphic Images</v>
      </c>
      <c r="F24" s="10">
        <f>VLOOKUP(OverheadCalculation1434[[#This Row],[GrantNbr]],GrantInfo,3)*OverheadCalculation1434[[#This Row],[Salary]]</f>
        <v>8.3079999999999998</v>
      </c>
      <c r="G24" s="9" t="s">
        <v>267</v>
      </c>
    </row>
    <row r="25" spans="1:7" x14ac:dyDescent="0.2">
      <c r="A25" s="9" t="s">
        <v>277</v>
      </c>
      <c r="B25" s="9" t="s">
        <v>278</v>
      </c>
      <c r="C25" s="10" t="str">
        <f>DOLLAR(LEFT(OverheadCalculation1434[[#This Row],[GrantData]], FIND("-",OverheadCalculation1434[[#This Row],[GrantData]])- 1), 2)</f>
        <v>$59.26</v>
      </c>
      <c r="D25" s="10" t="str">
        <f>MID(OverheadCalculation1434[[#This Row],[GrantData]], FIND("-",OverheadCalculation1434[[#This Row],[GrantData]], FIND("-",OverheadCalculation1434[[#This Row],[GrantData]])+1)+1, 4)</f>
        <v>5768</v>
      </c>
      <c r="E25" s="10" t="str">
        <f>VLOOKUP(OverheadCalculation1434[[#This Row],[GrantNbr]],GrantInfo, 2)</f>
        <v>Graphic Images</v>
      </c>
      <c r="F25" s="10">
        <f>VLOOKUP(OverheadCalculation1434[[#This Row],[GrantNbr]],GrantInfo,3)*OverheadCalculation1434[[#This Row],[Salary]]</f>
        <v>23.704000000000001</v>
      </c>
      <c r="G25" s="9" t="s">
        <v>279</v>
      </c>
    </row>
    <row r="26" spans="1:7" x14ac:dyDescent="0.2">
      <c r="A26" s="9" t="s">
        <v>165</v>
      </c>
      <c r="B26" s="9" t="s">
        <v>166</v>
      </c>
      <c r="C26" s="10" t="str">
        <f>DOLLAR(LEFT(OverheadCalculation1434[[#This Row],[GrantData]], FIND("-",OverheadCalculation1434[[#This Row],[GrantData]])- 1), 2)</f>
        <v>$151.02</v>
      </c>
      <c r="D26" s="10" t="str">
        <f>MID(OverheadCalculation1434[[#This Row],[GrantData]], FIND("-",OverheadCalculation1434[[#This Row],[GrantData]], FIND("-",OverheadCalculation1434[[#This Row],[GrantData]])+1)+1, 4)</f>
        <v>5279</v>
      </c>
      <c r="E26" s="10" t="str">
        <f>VLOOKUP(OverheadCalculation1434[[#This Row],[GrantNbr]],GrantInfo, 2)</f>
        <v>Applied Materials</v>
      </c>
      <c r="F26" s="10">
        <f>VLOOKUP(OverheadCalculation1434[[#This Row],[GrantNbr]],GrantInfo,3)*OverheadCalculation1434[[#This Row],[Salary]]</f>
        <v>60.408000000000008</v>
      </c>
      <c r="G26" s="9" t="s">
        <v>167</v>
      </c>
    </row>
    <row r="27" spans="1:7" x14ac:dyDescent="0.2">
      <c r="A27" s="9" t="s">
        <v>268</v>
      </c>
      <c r="B27" s="9" t="s">
        <v>269</v>
      </c>
      <c r="C27" s="10" t="str">
        <f>DOLLAR(LEFT(OverheadCalculation1434[[#This Row],[GrantData]], FIND("-",OverheadCalculation1434[[#This Row],[GrantData]])- 1), 2)</f>
        <v>$172.12</v>
      </c>
      <c r="D27" s="10" t="str">
        <f>MID(OverheadCalculation1434[[#This Row],[GrantData]], FIND("-",OverheadCalculation1434[[#This Row],[GrantData]], FIND("-",OverheadCalculation1434[[#This Row],[GrantData]])+1)+1, 4)</f>
        <v>5768</v>
      </c>
      <c r="E27" s="10" t="str">
        <f>VLOOKUP(OverheadCalculation1434[[#This Row],[GrantNbr]],GrantInfo, 2)</f>
        <v>Graphic Images</v>
      </c>
      <c r="F27" s="10">
        <f>VLOOKUP(OverheadCalculation1434[[#This Row],[GrantNbr]],GrantInfo,3)*OverheadCalculation1434[[#This Row],[Salary]]</f>
        <v>68.847999999999999</v>
      </c>
      <c r="G27" s="9" t="s">
        <v>270</v>
      </c>
    </row>
    <row r="28" spans="1:7" x14ac:dyDescent="0.2">
      <c r="A28" s="9" t="s">
        <v>201</v>
      </c>
      <c r="B28" s="9" t="s">
        <v>202</v>
      </c>
      <c r="C28" s="10" t="str">
        <f>DOLLAR(LEFT(OverheadCalculation1434[[#This Row],[GrantData]], FIND("-",OverheadCalculation1434[[#This Row],[GrantData]])- 1), 2)</f>
        <v>$288.12</v>
      </c>
      <c r="D28" s="10" t="str">
        <f>MID(OverheadCalculation1434[[#This Row],[GrantData]], FIND("-",OverheadCalculation1434[[#This Row],[GrantData]], FIND("-",OverheadCalculation1434[[#This Row],[GrantData]])+1)+1, 4)</f>
        <v>5279</v>
      </c>
      <c r="E28" s="10" t="str">
        <f>VLOOKUP(OverheadCalculation1434[[#This Row],[GrantNbr]],GrantInfo, 2)</f>
        <v>Applied Materials</v>
      </c>
      <c r="F28" s="10">
        <f>VLOOKUP(OverheadCalculation1434[[#This Row],[GrantNbr]],GrantInfo,3)*OverheadCalculation1434[[#This Row],[Salary]]</f>
        <v>115.248</v>
      </c>
      <c r="G28" s="9" t="s">
        <v>203</v>
      </c>
    </row>
    <row r="29" spans="1:7" x14ac:dyDescent="0.2">
      <c r="A29" s="9" t="s">
        <v>271</v>
      </c>
      <c r="B29" s="9" t="s">
        <v>272</v>
      </c>
      <c r="C29" s="10" t="str">
        <f>DOLLAR(LEFT(OverheadCalculation1434[[#This Row],[GrantData]], FIND("-",OverheadCalculation1434[[#This Row],[GrantData]])- 1), 2)</f>
        <v>$176.12</v>
      </c>
      <c r="D29" s="10" t="str">
        <f>MID(OverheadCalculation1434[[#This Row],[GrantData]], FIND("-",OverheadCalculation1434[[#This Row],[GrantData]], FIND("-",OverheadCalculation1434[[#This Row],[GrantData]])+1)+1, 4)</f>
        <v>5556</v>
      </c>
      <c r="E29" s="10" t="str">
        <f>VLOOKUP(OverheadCalculation1434[[#This Row],[GrantNbr]],GrantInfo, 2)</f>
        <v>Volunteer Programs</v>
      </c>
      <c r="F29" s="10">
        <f>VLOOKUP(OverheadCalculation1434[[#This Row],[GrantNbr]],GrantInfo,3)*OverheadCalculation1434[[#This Row],[Salary]]</f>
        <v>35.224000000000004</v>
      </c>
      <c r="G29" s="9" t="s">
        <v>273</v>
      </c>
    </row>
    <row r="30" spans="1:7" x14ac:dyDescent="0.2">
      <c r="A30" s="9" t="s">
        <v>245</v>
      </c>
      <c r="B30" s="9" t="s">
        <v>246</v>
      </c>
      <c r="C30" s="10" t="str">
        <f>DOLLAR(LEFT(OverheadCalculation1434[[#This Row],[GrantData]], FIND("-",OverheadCalculation1434[[#This Row],[GrantData]])- 1), 2)</f>
        <v>$35.87</v>
      </c>
      <c r="D30" s="10" t="str">
        <f>MID(OverheadCalculation1434[[#This Row],[GrantData]], FIND("-",OverheadCalculation1434[[#This Row],[GrantData]], FIND("-",OverheadCalculation1434[[#This Row],[GrantData]])+1)+1, 4)</f>
        <v>5279</v>
      </c>
      <c r="E30" s="10" t="str">
        <f>VLOOKUP(OverheadCalculation1434[[#This Row],[GrantNbr]],GrantInfo, 2)</f>
        <v>Applied Materials</v>
      </c>
      <c r="F30" s="10">
        <f>VLOOKUP(OverheadCalculation1434[[#This Row],[GrantNbr]],GrantInfo,3)*OverheadCalculation1434[[#This Row],[Salary]]</f>
        <v>14.347999999999999</v>
      </c>
      <c r="G30" s="9" t="s">
        <v>247</v>
      </c>
    </row>
    <row r="31" spans="1:7" x14ac:dyDescent="0.2">
      <c r="A31" s="9" t="s">
        <v>153</v>
      </c>
      <c r="B31" s="9" t="s">
        <v>154</v>
      </c>
      <c r="C31" s="10" t="str">
        <f>DOLLAR(LEFT(OverheadCalculation1434[[#This Row],[GrantData]], FIND("-",OverheadCalculation1434[[#This Row],[GrantData]])- 1), 2)</f>
        <v>$225.87</v>
      </c>
      <c r="D31" s="10" t="str">
        <f>MID(OverheadCalculation1434[[#This Row],[GrantData]], FIND("-",OverheadCalculation1434[[#This Row],[GrantData]], FIND("-",OverheadCalculation1434[[#This Row],[GrantData]])+1)+1, 4)</f>
        <v>5556</v>
      </c>
      <c r="E31" s="10" t="str">
        <f>VLOOKUP(OverheadCalculation1434[[#This Row],[GrantNbr]],GrantInfo, 2)</f>
        <v>Volunteer Programs</v>
      </c>
      <c r="F31" s="10">
        <f>VLOOKUP(OverheadCalculation1434[[#This Row],[GrantNbr]],GrantInfo,3)*OverheadCalculation1434[[#This Row],[Salary]]</f>
        <v>45.174000000000007</v>
      </c>
      <c r="G31" s="9" t="s">
        <v>155</v>
      </c>
    </row>
    <row r="32" spans="1:7" x14ac:dyDescent="0.2">
      <c r="A32" s="9" t="s">
        <v>274</v>
      </c>
      <c r="B32" s="9" t="s">
        <v>275</v>
      </c>
      <c r="C32" s="10" t="str">
        <f>DOLLAR(LEFT(OverheadCalculation1434[[#This Row],[GrantData]], FIND("-",OverheadCalculation1434[[#This Row],[GrantData]])- 1), 2)</f>
        <v>$41.65</v>
      </c>
      <c r="D32" s="10" t="str">
        <f>MID(OverheadCalculation1434[[#This Row],[GrantData]], FIND("-",OverheadCalculation1434[[#This Row],[GrantData]], FIND("-",OverheadCalculation1434[[#This Row],[GrantData]])+1)+1, 4)</f>
        <v>5556</v>
      </c>
      <c r="E32" s="10" t="str">
        <f>VLOOKUP(OverheadCalculation1434[[#This Row],[GrantNbr]],GrantInfo, 2)</f>
        <v>Volunteer Programs</v>
      </c>
      <c r="F32" s="10">
        <f>VLOOKUP(OverheadCalculation1434[[#This Row],[GrantNbr]],GrantInfo,3)*OverheadCalculation1434[[#This Row],[Salary]]</f>
        <v>8.33</v>
      </c>
      <c r="G32" s="9" t="s">
        <v>276</v>
      </c>
    </row>
    <row r="33" spans="1:7" x14ac:dyDescent="0.2">
      <c r="A33" s="9" t="s">
        <v>215</v>
      </c>
      <c r="B33" s="9" t="s">
        <v>216</v>
      </c>
      <c r="C33" s="10" t="str">
        <f>DOLLAR(LEFT(OverheadCalculation1434[[#This Row],[GrantData]], FIND("-",OverheadCalculation1434[[#This Row],[GrantData]])- 1), 2)</f>
        <v>$156.42</v>
      </c>
      <c r="D33" s="10" t="str">
        <f>MID(OverheadCalculation1434[[#This Row],[GrantData]], FIND("-",OverheadCalculation1434[[#This Row],[GrantData]], FIND("-",OverheadCalculation1434[[#This Row],[GrantData]])+1)+1, 4)</f>
        <v>5556</v>
      </c>
      <c r="E33" s="10" t="str">
        <f>VLOOKUP(OverheadCalculation1434[[#This Row],[GrantNbr]],GrantInfo, 2)</f>
        <v>Volunteer Programs</v>
      </c>
      <c r="F33" s="10">
        <f>VLOOKUP(OverheadCalculation1434[[#This Row],[GrantNbr]],GrantInfo,3)*OverheadCalculation1434[[#This Row],[Salary]]</f>
        <v>31.283999999999999</v>
      </c>
      <c r="G33" s="9" t="s">
        <v>217</v>
      </c>
    </row>
    <row r="34" spans="1:7" x14ac:dyDescent="0.2">
      <c r="A34" s="9" t="s">
        <v>198</v>
      </c>
      <c r="B34" s="9" t="s">
        <v>199</v>
      </c>
      <c r="C34" s="10" t="str">
        <f>DOLLAR(LEFT(OverheadCalculation1434[[#This Row],[GrantData]], FIND("-",OverheadCalculation1434[[#This Row],[GrantData]])- 1), 2)</f>
        <v>$576.12</v>
      </c>
      <c r="D34" s="10" t="str">
        <f>MID(OverheadCalculation1434[[#This Row],[GrantData]], FIND("-",OverheadCalculation1434[[#This Row],[GrantData]], FIND("-",OverheadCalculation1434[[#This Row],[GrantData]])+1)+1, 4)</f>
        <v>5279</v>
      </c>
      <c r="E34" s="10" t="str">
        <f>VLOOKUP(OverheadCalculation1434[[#This Row],[GrantNbr]],GrantInfo, 2)</f>
        <v>Applied Materials</v>
      </c>
      <c r="F34" s="10">
        <f>VLOOKUP(OverheadCalculation1434[[#This Row],[GrantNbr]],GrantInfo,3)*OverheadCalculation1434[[#This Row],[Salary]]</f>
        <v>230.44800000000001</v>
      </c>
      <c r="G34" s="9" t="s">
        <v>200</v>
      </c>
    </row>
    <row r="35" spans="1:7" x14ac:dyDescent="0.2">
      <c r="A35" s="9" t="s">
        <v>207</v>
      </c>
      <c r="B35" s="9" t="s">
        <v>208</v>
      </c>
      <c r="C35" s="10" t="str">
        <f>DOLLAR(LEFT(OverheadCalculation1434[[#This Row],[GrantData]], FIND("-",OverheadCalculation1434[[#This Row],[GrantData]])- 1), 2)</f>
        <v>$354.29</v>
      </c>
      <c r="D35" s="10" t="str">
        <f>MID(OverheadCalculation1434[[#This Row],[GrantData]], FIND("-",OverheadCalculation1434[[#This Row],[GrantData]], FIND("-",OverheadCalculation1434[[#This Row],[GrantData]])+1)+1, 4)</f>
        <v>5933</v>
      </c>
      <c r="E35" s="10" t="str">
        <f>VLOOKUP(OverheadCalculation1434[[#This Row],[GrantNbr]],GrantInfo, 2)</f>
        <v>State History</v>
      </c>
      <c r="F35" s="10">
        <f>VLOOKUP(OverheadCalculation1434[[#This Row],[GrantNbr]],GrantInfo,3)*OverheadCalculation1434[[#This Row],[Salary]]</f>
        <v>88.572500000000005</v>
      </c>
      <c r="G35" s="9" t="s">
        <v>209</v>
      </c>
    </row>
    <row r="36" spans="1:7" x14ac:dyDescent="0.2">
      <c r="A36" s="9" t="s">
        <v>141</v>
      </c>
      <c r="B36" s="9" t="s">
        <v>142</v>
      </c>
      <c r="C36" s="10" t="str">
        <f>DOLLAR(LEFT(OverheadCalculation1434[[#This Row],[GrantData]], FIND("-",OverheadCalculation1434[[#This Row],[GrantData]])- 1), 2)</f>
        <v>$669.12</v>
      </c>
      <c r="D36" s="10" t="str">
        <f>MID(OverheadCalculation1434[[#This Row],[GrantData]], FIND("-",OverheadCalculation1434[[#This Row],[GrantData]], FIND("-",OverheadCalculation1434[[#This Row],[GrantData]])+1)+1, 4)</f>
        <v>5342</v>
      </c>
      <c r="E36" s="10" t="str">
        <f>VLOOKUP(OverheadCalculation1434[[#This Row],[GrantNbr]],GrantInfo, 2)</f>
        <v>Stop Smoking</v>
      </c>
      <c r="F36" s="10">
        <f>VLOOKUP(OverheadCalculation1434[[#This Row],[GrantNbr]],GrantInfo,3)*OverheadCalculation1434[[#This Row],[Salary]]</f>
        <v>200.73599999999999</v>
      </c>
      <c r="G36" s="9" t="s">
        <v>143</v>
      </c>
    </row>
    <row r="37" spans="1:7" x14ac:dyDescent="0.2">
      <c r="A37" s="9" t="s">
        <v>210</v>
      </c>
      <c r="B37" s="9" t="s">
        <v>208</v>
      </c>
      <c r="C37" s="10" t="str">
        <f>DOLLAR(LEFT(OverheadCalculation1434[[#This Row],[GrantData]], FIND("-",OverheadCalculation1434[[#This Row],[GrantData]])- 1), 2)</f>
        <v>$55.87</v>
      </c>
      <c r="D37" s="10" t="str">
        <f>MID(OverheadCalculation1434[[#This Row],[GrantData]], FIND("-",OverheadCalculation1434[[#This Row],[GrantData]], FIND("-",OverheadCalculation1434[[#This Row],[GrantData]])+1)+1, 4)</f>
        <v>5933</v>
      </c>
      <c r="E37" s="10" t="str">
        <f>VLOOKUP(OverheadCalculation1434[[#This Row],[GrantNbr]],GrantInfo, 2)</f>
        <v>State History</v>
      </c>
      <c r="F37" s="10">
        <f>VLOOKUP(OverheadCalculation1434[[#This Row],[GrantNbr]],GrantInfo,3)*OverheadCalculation1434[[#This Row],[Salary]]</f>
        <v>13.967499999999999</v>
      </c>
      <c r="G37" s="9" t="s">
        <v>211</v>
      </c>
    </row>
    <row r="38" spans="1:7" x14ac:dyDescent="0.2">
      <c r="A38" s="9" t="s">
        <v>147</v>
      </c>
      <c r="B38" s="9" t="s">
        <v>148</v>
      </c>
      <c r="C38" s="10" t="str">
        <f>DOLLAR(LEFT(OverheadCalculation1434[[#This Row],[GrantData]], FIND("-",OverheadCalculation1434[[#This Row],[GrantData]])- 1), 2)</f>
        <v>$1,040.59</v>
      </c>
      <c r="D38" s="10" t="str">
        <f>MID(OverheadCalculation1434[[#This Row],[GrantData]], FIND("-",OverheadCalculation1434[[#This Row],[GrantData]], FIND("-",OverheadCalculation1434[[#This Row],[GrantData]])+1)+1, 4)</f>
        <v>5063</v>
      </c>
      <c r="E38" s="10" t="str">
        <f>VLOOKUP(OverheadCalculation1434[[#This Row],[GrantNbr]],GrantInfo, 2)</f>
        <v>Chemistry</v>
      </c>
      <c r="F38" s="10">
        <f>VLOOKUP(OverheadCalculation1434[[#This Row],[GrantNbr]],GrantInfo,3)*OverheadCalculation1434[[#This Row],[Salary]]</f>
        <v>312.17699999999996</v>
      </c>
      <c r="G38" s="9" t="s">
        <v>149</v>
      </c>
    </row>
    <row r="39" spans="1:7" x14ac:dyDescent="0.2">
      <c r="A39" s="9" t="s">
        <v>212</v>
      </c>
      <c r="B39" s="9" t="s">
        <v>213</v>
      </c>
      <c r="C39" s="10" t="str">
        <f>DOLLAR(LEFT(OverheadCalculation1434[[#This Row],[GrantData]], FIND("-",OverheadCalculation1434[[#This Row],[GrantData]])- 1), 2)</f>
        <v>$70.96</v>
      </c>
      <c r="D39" s="10" t="str">
        <f>MID(OverheadCalculation1434[[#This Row],[GrantData]], FIND("-",OverheadCalculation1434[[#This Row],[GrantData]], FIND("-",OverheadCalculation1434[[#This Row],[GrantData]])+1)+1, 4)</f>
        <v>5556</v>
      </c>
      <c r="E39" s="10" t="str">
        <f>VLOOKUP(OverheadCalculation1434[[#This Row],[GrantNbr]],GrantInfo, 2)</f>
        <v>Volunteer Programs</v>
      </c>
      <c r="F39" s="10">
        <f>VLOOKUP(OverheadCalculation1434[[#This Row],[GrantNbr]],GrantInfo,3)*OverheadCalculation1434[[#This Row],[Salary]]</f>
        <v>14.192</v>
      </c>
      <c r="G39" s="9" t="s">
        <v>214</v>
      </c>
    </row>
    <row r="40" spans="1:7" x14ac:dyDescent="0.2">
      <c r="A40" s="9" t="s">
        <v>159</v>
      </c>
      <c r="B40" s="9" t="s">
        <v>160</v>
      </c>
      <c r="C40" s="10" t="str">
        <f>DOLLAR(LEFT(OverheadCalculation1434[[#This Row],[GrantData]], FIND("-",OverheadCalculation1434[[#This Row],[GrantData]])- 1), 2)</f>
        <v>$1,120.12</v>
      </c>
      <c r="D40" s="10" t="str">
        <f>MID(OverheadCalculation1434[[#This Row],[GrantData]], FIND("-",OverheadCalculation1434[[#This Row],[GrantData]], FIND("-",OverheadCalculation1434[[#This Row],[GrantData]])+1)+1, 4)</f>
        <v>5178</v>
      </c>
      <c r="E40" s="10" t="str">
        <f>VLOOKUP(OverheadCalculation1434[[#This Row],[GrantNbr]],GrantInfo, 2)</f>
        <v>Robotics</v>
      </c>
      <c r="F40" s="10">
        <f>VLOOKUP(OverheadCalculation1434[[#This Row],[GrantNbr]],GrantInfo,3)*OverheadCalculation1434[[#This Row],[Salary]]</f>
        <v>336.03599999999994</v>
      </c>
      <c r="G40" s="9" t="s">
        <v>161</v>
      </c>
    </row>
    <row r="41" spans="1:7" x14ac:dyDescent="0.2">
      <c r="A41" s="9" t="s">
        <v>135</v>
      </c>
      <c r="B41" s="9" t="s">
        <v>136</v>
      </c>
      <c r="C41" s="10" t="str">
        <f>DOLLAR(LEFT(OverheadCalculation1434[[#This Row],[GrantData]], FIND("-",OverheadCalculation1434[[#This Row],[GrantData]])- 1), 2)</f>
        <v>$62.35</v>
      </c>
      <c r="D41" s="10" t="str">
        <f>MID(OverheadCalculation1434[[#This Row],[GrantData]], FIND("-",OverheadCalculation1434[[#This Row],[GrantData]], FIND("-",OverheadCalculation1434[[#This Row],[GrantData]])+1)+1, 4)</f>
        <v>5556</v>
      </c>
      <c r="E41" s="10" t="str">
        <f>VLOOKUP(OverheadCalculation1434[[#This Row],[GrantNbr]],GrantInfo, 2)</f>
        <v>Volunteer Programs</v>
      </c>
      <c r="F41" s="10">
        <f>VLOOKUP(OverheadCalculation1434[[#This Row],[GrantNbr]],GrantInfo,3)*OverheadCalculation1434[[#This Row],[Salary]]</f>
        <v>12.47</v>
      </c>
      <c r="G41" s="9" t="s">
        <v>137</v>
      </c>
    </row>
    <row r="42" spans="1:7" x14ac:dyDescent="0.2">
      <c r="A42" s="9" t="s">
        <v>195</v>
      </c>
      <c r="B42" s="9" t="s">
        <v>196</v>
      </c>
      <c r="C42" s="10" t="str">
        <f>DOLLAR(LEFT(OverheadCalculation1434[[#This Row],[GrantData]], FIND("-",OverheadCalculation1434[[#This Row],[GrantData]])- 1), 2)</f>
        <v>$76.32</v>
      </c>
      <c r="D42" s="10" t="str">
        <f>MID(OverheadCalculation1434[[#This Row],[GrantData]], FIND("-",OverheadCalculation1434[[#This Row],[GrantData]], FIND("-",OverheadCalculation1434[[#This Row],[GrantData]])+1)+1, 4)</f>
        <v>5178</v>
      </c>
      <c r="E42" s="10" t="str">
        <f>VLOOKUP(OverheadCalculation1434[[#This Row],[GrantNbr]],GrantInfo, 2)</f>
        <v>Robotics</v>
      </c>
      <c r="F42" s="10">
        <f>VLOOKUP(OverheadCalculation1434[[#This Row],[GrantNbr]],GrantInfo,3)*OverheadCalculation1434[[#This Row],[Salary]]</f>
        <v>22.895999999999997</v>
      </c>
      <c r="G42" s="9" t="s">
        <v>197</v>
      </c>
    </row>
    <row r="43" spans="1:7" x14ac:dyDescent="0.2">
      <c r="A43" s="9" t="s">
        <v>168</v>
      </c>
      <c r="B43" s="9" t="s">
        <v>169</v>
      </c>
      <c r="C43" s="10" t="str">
        <f>DOLLAR(LEFT(OverheadCalculation1434[[#This Row],[GrantData]], FIND("-",OverheadCalculation1434[[#This Row],[GrantData]])- 1), 2)</f>
        <v>$469.12</v>
      </c>
      <c r="D43" s="10" t="str">
        <f>MID(OverheadCalculation1434[[#This Row],[GrantData]], FIND("-",OverheadCalculation1434[[#This Row],[GrantData]], FIND("-",OverheadCalculation1434[[#This Row],[GrantData]])+1)+1, 4)</f>
        <v>5178</v>
      </c>
      <c r="E43" s="10" t="str">
        <f>VLOOKUP(OverheadCalculation1434[[#This Row],[GrantNbr]],GrantInfo, 2)</f>
        <v>Robotics</v>
      </c>
      <c r="F43" s="10">
        <f>VLOOKUP(OverheadCalculation1434[[#This Row],[GrantNbr]],GrantInfo,3)*OverheadCalculation1434[[#This Row],[Salary]]</f>
        <v>140.73599999999999</v>
      </c>
      <c r="G43" s="9" t="s">
        <v>170</v>
      </c>
    </row>
    <row r="44" spans="1:7" x14ac:dyDescent="0.2">
      <c r="A44" s="9" t="s">
        <v>230</v>
      </c>
      <c r="B44" s="9" t="s">
        <v>231</v>
      </c>
      <c r="C44" s="10" t="str">
        <f>DOLLAR(LEFT(OverheadCalculation1434[[#This Row],[GrantData]], FIND("-",OverheadCalculation1434[[#This Row],[GrantData]])- 1), 2)</f>
        <v>$173.67</v>
      </c>
      <c r="D44" s="10" t="str">
        <f>MID(OverheadCalculation1434[[#This Row],[GrantData]], FIND("-",OverheadCalculation1434[[#This Row],[GrantData]], FIND("-",OverheadCalculation1434[[#This Row],[GrantData]])+1)+1, 4)</f>
        <v>5063</v>
      </c>
      <c r="E44" s="10" t="str">
        <f>VLOOKUP(OverheadCalculation1434[[#This Row],[GrantNbr]],GrantInfo, 2)</f>
        <v>Chemistry</v>
      </c>
      <c r="F44" s="10">
        <f>VLOOKUP(OverheadCalculation1434[[#This Row],[GrantNbr]],GrantInfo,3)*OverheadCalculation1434[[#This Row],[Salary]]</f>
        <v>52.100999999999992</v>
      </c>
      <c r="G44" s="9" t="s">
        <v>232</v>
      </c>
    </row>
    <row r="45" spans="1:7" x14ac:dyDescent="0.2">
      <c r="A45" s="9" t="s">
        <v>280</v>
      </c>
      <c r="B45" s="9" t="s">
        <v>278</v>
      </c>
      <c r="C45" s="10" t="str">
        <f>DOLLAR(LEFT(OverheadCalculation1434[[#This Row],[GrantData]], FIND("-",OverheadCalculation1434[[#This Row],[GrantData]])- 1), 2)</f>
        <v>$446.14</v>
      </c>
      <c r="D45" s="10" t="str">
        <f>MID(OverheadCalculation1434[[#This Row],[GrantData]], FIND("-",OverheadCalculation1434[[#This Row],[GrantData]], FIND("-",OverheadCalculation1434[[#This Row],[GrantData]])+1)+1, 4)</f>
        <v>5063</v>
      </c>
      <c r="E45" s="10" t="str">
        <f>VLOOKUP(OverheadCalculation1434[[#This Row],[GrantNbr]],GrantInfo, 2)</f>
        <v>Chemistry</v>
      </c>
      <c r="F45" s="10">
        <f>VLOOKUP(OverheadCalculation1434[[#This Row],[GrantNbr]],GrantInfo,3)*OverheadCalculation1434[[#This Row],[Salary]]</f>
        <v>133.84199999999998</v>
      </c>
      <c r="G45" s="9" t="s">
        <v>281</v>
      </c>
    </row>
    <row r="46" spans="1:7" x14ac:dyDescent="0.2">
      <c r="A46" s="9" t="s">
        <v>218</v>
      </c>
      <c r="B46" s="9" t="s">
        <v>219</v>
      </c>
      <c r="C46" s="10" t="str">
        <f>DOLLAR(LEFT(OverheadCalculation1434[[#This Row],[GrantData]], FIND("-",OverheadCalculation1434[[#This Row],[GrantData]])- 1), 2)</f>
        <v>$1,567.12</v>
      </c>
      <c r="D46" s="10" t="str">
        <f>MID(OverheadCalculation1434[[#This Row],[GrantData]], FIND("-",OverheadCalculation1434[[#This Row],[GrantData]], FIND("-",OverheadCalculation1434[[#This Row],[GrantData]])+1)+1, 4)</f>
        <v>5063</v>
      </c>
      <c r="E46" s="10" t="str">
        <f>VLOOKUP(OverheadCalculation1434[[#This Row],[GrantNbr]],GrantInfo, 2)</f>
        <v>Chemistry</v>
      </c>
      <c r="F46" s="10">
        <f>VLOOKUP(OverheadCalculation1434[[#This Row],[GrantNbr]],GrantInfo,3)*OverheadCalculation1434[[#This Row],[Salary]]</f>
        <v>470.13599999999997</v>
      </c>
      <c r="G46" s="9" t="s">
        <v>220</v>
      </c>
    </row>
    <row r="47" spans="1:7" x14ac:dyDescent="0.2">
      <c r="A47" s="9" t="s">
        <v>221</v>
      </c>
      <c r="B47" s="9" t="s">
        <v>222</v>
      </c>
      <c r="C47" s="10" t="str">
        <f>DOLLAR(LEFT(OverheadCalculation1434[[#This Row],[GrantData]], FIND("-",OverheadCalculation1434[[#This Row],[GrantData]])- 1), 2)</f>
        <v>$35.56</v>
      </c>
      <c r="D47" s="10" t="str">
        <f>MID(OverheadCalculation1434[[#This Row],[GrantData]], FIND("-",OverheadCalculation1434[[#This Row],[GrantData]], FIND("-",OverheadCalculation1434[[#This Row],[GrantData]])+1)+1, 4)</f>
        <v>5063</v>
      </c>
      <c r="E47" s="10" t="str">
        <f>VLOOKUP(OverheadCalculation1434[[#This Row],[GrantNbr]],GrantInfo, 2)</f>
        <v>Chemistry</v>
      </c>
      <c r="F47" s="10">
        <f>VLOOKUP(OverheadCalculation1434[[#This Row],[GrantNbr]],GrantInfo,3)*OverheadCalculation1434[[#This Row],[Salary]]</f>
        <v>10.668000000000001</v>
      </c>
      <c r="G47" s="9" t="s">
        <v>223</v>
      </c>
    </row>
    <row r="48" spans="1:7" x14ac:dyDescent="0.2">
      <c r="A48" s="9" t="s">
        <v>171</v>
      </c>
      <c r="B48" s="9" t="s">
        <v>172</v>
      </c>
      <c r="C48" s="10" t="str">
        <f>DOLLAR(LEFT(OverheadCalculation1434[[#This Row],[GrantData]], FIND("-",OverheadCalculation1434[[#This Row],[GrantData]])- 1), 2)</f>
        <v>$142.02</v>
      </c>
      <c r="D48" s="10" t="str">
        <f>MID(OverheadCalculation1434[[#This Row],[GrantData]], FIND("-",OverheadCalculation1434[[#This Row],[GrantData]], FIND("-",OverheadCalculation1434[[#This Row],[GrantData]])+1)+1, 4)</f>
        <v>5178</v>
      </c>
      <c r="E48" s="10" t="str">
        <f>VLOOKUP(OverheadCalculation1434[[#This Row],[GrantNbr]],GrantInfo, 2)</f>
        <v>Robotics</v>
      </c>
      <c r="F48" s="10">
        <f>VLOOKUP(OverheadCalculation1434[[#This Row],[GrantNbr]],GrantInfo,3)*OverheadCalculation1434[[#This Row],[Salary]]</f>
        <v>42.606000000000002</v>
      </c>
      <c r="G48" s="9" t="s">
        <v>173</v>
      </c>
    </row>
    <row r="49" spans="1:7" x14ac:dyDescent="0.2">
      <c r="A49" s="9" t="s">
        <v>282</v>
      </c>
      <c r="B49" s="9" t="s">
        <v>283</v>
      </c>
      <c r="C49" s="10" t="str">
        <f>DOLLAR(LEFT(OverheadCalculation1434[[#This Row],[GrantData]], FIND("-",OverheadCalculation1434[[#This Row],[GrantData]])- 1), 2)</f>
        <v>$79.48</v>
      </c>
      <c r="D49" s="10" t="str">
        <f>MID(OverheadCalculation1434[[#This Row],[GrantData]], FIND("-",OverheadCalculation1434[[#This Row],[GrantData]], FIND("-",OverheadCalculation1434[[#This Row],[GrantData]])+1)+1, 4)</f>
        <v>5178</v>
      </c>
      <c r="E49" s="10" t="str">
        <f>VLOOKUP(OverheadCalculation1434[[#This Row],[GrantNbr]],GrantInfo, 2)</f>
        <v>Robotics</v>
      </c>
      <c r="F49" s="10">
        <f>VLOOKUP(OverheadCalculation1434[[#This Row],[GrantNbr]],GrantInfo,3)*OverheadCalculation1434[[#This Row],[Salary]]</f>
        <v>23.844000000000001</v>
      </c>
      <c r="G49" s="9" t="s">
        <v>284</v>
      </c>
    </row>
    <row r="50" spans="1:7" x14ac:dyDescent="0.2">
      <c r="A50" s="9" t="s">
        <v>204</v>
      </c>
      <c r="B50" s="9" t="s">
        <v>205</v>
      </c>
      <c r="C50" s="10" t="str">
        <f>DOLLAR(LEFT(OverheadCalculation1434[[#This Row],[GrantData]], FIND("-",OverheadCalculation1434[[#This Row],[GrantData]])- 1), 2)</f>
        <v>$8.89</v>
      </c>
      <c r="D50" s="10" t="str">
        <f>MID(OverheadCalculation1434[[#This Row],[GrantData]], FIND("-",OverheadCalculation1434[[#This Row],[GrantData]], FIND("-",OverheadCalculation1434[[#This Row],[GrantData]])+1)+1, 4)</f>
        <v>5178</v>
      </c>
      <c r="E50" s="10" t="str">
        <f>VLOOKUP(OverheadCalculation1434[[#This Row],[GrantNbr]],GrantInfo, 2)</f>
        <v>Robotics</v>
      </c>
      <c r="F50" s="10">
        <f>VLOOKUP(OverheadCalculation1434[[#This Row],[GrantNbr]],GrantInfo,3)*OverheadCalculation1434[[#This Row],[Salary]]</f>
        <v>2.6670000000000003</v>
      </c>
      <c r="G50" s="9" t="s">
        <v>206</v>
      </c>
    </row>
    <row r="51" spans="1:7" x14ac:dyDescent="0.2">
      <c r="A51" s="9" t="s">
        <v>224</v>
      </c>
      <c r="B51" s="9" t="s">
        <v>225</v>
      </c>
      <c r="C51" s="10" t="str">
        <f>DOLLAR(LEFT(OverheadCalculation1434[[#This Row],[GrantData]], FIND("-",OverheadCalculation1434[[#This Row],[GrantData]])- 1), 2)</f>
        <v>$67.96</v>
      </c>
      <c r="D51" s="10" t="str">
        <f>MID(OverheadCalculation1434[[#This Row],[GrantData]], FIND("-",OverheadCalculation1434[[#This Row],[GrantData]], FIND("-",OverheadCalculation1434[[#This Row],[GrantData]])+1)+1, 4)</f>
        <v>5063</v>
      </c>
      <c r="E51" s="10" t="str">
        <f>VLOOKUP(OverheadCalculation1434[[#This Row],[GrantNbr]],GrantInfo, 2)</f>
        <v>Chemistry</v>
      </c>
      <c r="F51" s="10">
        <f>VLOOKUP(OverheadCalculation1434[[#This Row],[GrantNbr]],GrantInfo,3)*OverheadCalculation1434[[#This Row],[Salary]]</f>
        <v>20.387999999999998</v>
      </c>
      <c r="G51" s="9" t="s">
        <v>226</v>
      </c>
    </row>
    <row r="52" spans="1:7" x14ac:dyDescent="0.2">
      <c r="A52" s="9" t="s">
        <v>227</v>
      </c>
      <c r="B52" s="9" t="s">
        <v>228</v>
      </c>
      <c r="C52" s="10" t="str">
        <f>DOLLAR(LEFT(OverheadCalculation1434[[#This Row],[GrantData]], FIND("-",OverheadCalculation1434[[#This Row],[GrantData]])- 1), 2)</f>
        <v>$301.57</v>
      </c>
      <c r="D52" s="10" t="str">
        <f>MID(OverheadCalculation1434[[#This Row],[GrantData]], FIND("-",OverheadCalculation1434[[#This Row],[GrantData]], FIND("-",OverheadCalculation1434[[#This Row],[GrantData]])+1)+1, 4)</f>
        <v>5063</v>
      </c>
      <c r="E52" s="10" t="str">
        <f>VLOOKUP(OverheadCalculation1434[[#This Row],[GrantNbr]],GrantInfo, 2)</f>
        <v>Chemistry</v>
      </c>
      <c r="F52" s="10">
        <f>VLOOKUP(OverheadCalculation1434[[#This Row],[GrantNbr]],GrantInfo,3)*OverheadCalculation1434[[#This Row],[Salary]]</f>
        <v>90.470999999999989</v>
      </c>
      <c r="G52" s="9" t="s">
        <v>229</v>
      </c>
    </row>
    <row r="53" spans="1:7" x14ac:dyDescent="0.2">
      <c r="A53">
        <f>SUBTOTAL(103,OverheadCalculation1434[LastName])</f>
        <v>51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2.75" x14ac:dyDescent="0.2"/>
  <cols>
    <col min="1" max="1" width="10.42578125" customWidth="1"/>
    <col min="2" max="2" width="10.140625" customWidth="1"/>
    <col min="3" max="3" width="10.28515625" bestFit="1" customWidth="1"/>
    <col min="4" max="4" width="9.140625" customWidth="1"/>
    <col min="5" max="5" width="17.7109375" bestFit="1" customWidth="1"/>
    <col min="6" max="6" width="9.85546875" customWidth="1"/>
    <col min="7" max="7" width="32" bestFit="1" customWidth="1"/>
  </cols>
  <sheetData>
    <row r="1" spans="1:7" ht="13.5" thickBot="1" x14ac:dyDescent="0.25">
      <c r="A1" s="12" t="s">
        <v>88</v>
      </c>
      <c r="B1" s="13" t="s">
        <v>89</v>
      </c>
      <c r="C1" s="13" t="s">
        <v>285</v>
      </c>
      <c r="D1" s="13" t="s">
        <v>286</v>
      </c>
      <c r="E1" s="14" t="s">
        <v>287</v>
      </c>
      <c r="F1" s="14" t="s">
        <v>288</v>
      </c>
      <c r="G1" s="13" t="s">
        <v>90</v>
      </c>
    </row>
    <row r="2" spans="1:7" ht="13.5" thickTop="1" x14ac:dyDescent="0.2">
      <c r="A2" s="15" t="s">
        <v>218</v>
      </c>
      <c r="B2" s="16" t="s">
        <v>219</v>
      </c>
      <c r="C2" s="17">
        <f>_xlfn.NUMBERVALUE(LEFT('Step g'!$G2, FIND("-",'Step g'!$G2)- 1))</f>
        <v>1567.1169500000001</v>
      </c>
      <c r="D2" s="18" t="str">
        <f>MID('Step g'!$G2, FIND("-",'Step g'!$G2, FIND("-",'Step g'!$G2)+1)+1, 4)</f>
        <v>5063</v>
      </c>
      <c r="E2" s="18" t="str">
        <f>VLOOKUP('Step g'!$D2,GrantInfo, 2)</f>
        <v>Chemistry</v>
      </c>
      <c r="F2" s="17">
        <f>VLOOKUP('Step g'!$D2,GrantInfo,3)*'Step g'!$C2</f>
        <v>470.135085</v>
      </c>
      <c r="G2" s="16" t="s">
        <v>220</v>
      </c>
    </row>
    <row r="3" spans="1:7" x14ac:dyDescent="0.2">
      <c r="A3" s="19" t="s">
        <v>147</v>
      </c>
      <c r="B3" s="20" t="s">
        <v>148</v>
      </c>
      <c r="C3" s="21">
        <f>_xlfn.NUMBERVALUE(LEFT('Step g'!$G3, FIND("-",'Step g'!$G3)- 1))</f>
        <v>1040.5869499999999</v>
      </c>
      <c r="D3" s="22" t="str">
        <f>MID('Step g'!$G3, FIND("-",'Step g'!$G3, FIND("-",'Step g'!$G3)+1)+1, 4)</f>
        <v>5063</v>
      </c>
      <c r="E3" s="22" t="str">
        <f>VLOOKUP('Step g'!$D3,GrantInfo, 2)</f>
        <v>Chemistry</v>
      </c>
      <c r="F3" s="21">
        <f>VLOOKUP('Step g'!$D3,GrantInfo,3)*'Step g'!$C3</f>
        <v>312.17608499999994</v>
      </c>
      <c r="G3" s="20" t="s">
        <v>149</v>
      </c>
    </row>
    <row r="4" spans="1:7" x14ac:dyDescent="0.2">
      <c r="A4" s="23" t="s">
        <v>280</v>
      </c>
      <c r="B4" s="24" t="s">
        <v>278</v>
      </c>
      <c r="C4" s="25">
        <f>_xlfn.NUMBERVALUE(LEFT('Step g'!$G4, FIND("-",'Step g'!$G4)- 1))</f>
        <v>446.13695000000001</v>
      </c>
      <c r="D4" s="26" t="str">
        <f>MID('Step g'!$G4, FIND("-",'Step g'!$G4, FIND("-",'Step g'!$G4)+1)+1, 4)</f>
        <v>5063</v>
      </c>
      <c r="E4" s="26" t="str">
        <f>VLOOKUP('Step g'!$D4,GrantInfo, 2)</f>
        <v>Chemistry</v>
      </c>
      <c r="F4" s="25">
        <f>VLOOKUP('Step g'!$D4,GrantInfo,3)*'Step g'!$C4</f>
        <v>133.84108499999999</v>
      </c>
      <c r="G4" s="24" t="s">
        <v>281</v>
      </c>
    </row>
    <row r="5" spans="1:7" x14ac:dyDescent="0.2">
      <c r="A5" s="19" t="s">
        <v>227</v>
      </c>
      <c r="B5" s="20" t="s">
        <v>228</v>
      </c>
      <c r="C5" s="21">
        <f>_xlfn.NUMBERVALUE(LEFT('Step g'!$G5, FIND("-",'Step g'!$G5)- 1))</f>
        <v>301.56950000000001</v>
      </c>
      <c r="D5" s="22" t="str">
        <f>MID('Step g'!$G5, FIND("-",'Step g'!$G5, FIND("-",'Step g'!$G5)+1)+1, 4)</f>
        <v>5063</v>
      </c>
      <c r="E5" s="22" t="str">
        <f>VLOOKUP('Step g'!$D5,GrantInfo, 2)</f>
        <v>Chemistry</v>
      </c>
      <c r="F5" s="21">
        <f>VLOOKUP('Step g'!$D5,GrantInfo,3)*'Step g'!$C5</f>
        <v>90.470849999999999</v>
      </c>
      <c r="G5" s="20" t="s">
        <v>229</v>
      </c>
    </row>
    <row r="6" spans="1:7" x14ac:dyDescent="0.2">
      <c r="A6" s="23" t="s">
        <v>230</v>
      </c>
      <c r="B6" s="24" t="s">
        <v>231</v>
      </c>
      <c r="C6" s="25">
        <f>_xlfn.NUMBERVALUE(LEFT('Step g'!$G6, FIND("-",'Step g'!$G6)- 1))</f>
        <v>173.6695</v>
      </c>
      <c r="D6" s="26" t="str">
        <f>MID('Step g'!$G6, FIND("-",'Step g'!$G6, FIND("-",'Step g'!$G6)+1)+1, 4)</f>
        <v>5063</v>
      </c>
      <c r="E6" s="26" t="str">
        <f>VLOOKUP('Step g'!$D6,GrantInfo, 2)</f>
        <v>Chemistry</v>
      </c>
      <c r="F6" s="25">
        <f>VLOOKUP('Step g'!$D6,GrantInfo,3)*'Step g'!$C6</f>
        <v>52.100850000000001</v>
      </c>
      <c r="G6" s="24" t="s">
        <v>232</v>
      </c>
    </row>
    <row r="7" spans="1:7" x14ac:dyDescent="0.2">
      <c r="A7" s="19" t="s">
        <v>224</v>
      </c>
      <c r="B7" s="20" t="s">
        <v>225</v>
      </c>
      <c r="C7" s="21">
        <f>_xlfn.NUMBERVALUE(LEFT('Step g'!$G7, FIND("-",'Step g'!$G7)- 1))</f>
        <v>67.956950000000006</v>
      </c>
      <c r="D7" s="22" t="str">
        <f>MID('Step g'!$G7, FIND("-",'Step g'!$G7, FIND("-",'Step g'!$G7)+1)+1, 4)</f>
        <v>5063</v>
      </c>
      <c r="E7" s="22" t="str">
        <f>VLOOKUP('Step g'!$D7,GrantInfo, 2)</f>
        <v>Chemistry</v>
      </c>
      <c r="F7" s="21">
        <f>VLOOKUP('Step g'!$D7,GrantInfo,3)*'Step g'!$C7</f>
        <v>20.387085000000003</v>
      </c>
      <c r="G7" s="20" t="s">
        <v>226</v>
      </c>
    </row>
    <row r="8" spans="1:7" x14ac:dyDescent="0.2">
      <c r="A8" s="23" t="s">
        <v>221</v>
      </c>
      <c r="B8" s="24" t="s">
        <v>222</v>
      </c>
      <c r="C8" s="25">
        <f>_xlfn.NUMBERVALUE(LEFT('Step g'!$G8, FIND("-",'Step g'!$G8)- 1))</f>
        <v>35.556950000000001</v>
      </c>
      <c r="D8" s="26" t="str">
        <f>MID('Step g'!$G8, FIND("-",'Step g'!$G8, FIND("-",'Step g'!$G8)+1)+1, 4)</f>
        <v>5063</v>
      </c>
      <c r="E8" s="26" t="str">
        <f>VLOOKUP('Step g'!$D8,GrantInfo, 2)</f>
        <v>Chemistry</v>
      </c>
      <c r="F8" s="25">
        <f>VLOOKUP('Step g'!$D8,GrantInfo,3)*'Step g'!$C8</f>
        <v>10.667085</v>
      </c>
      <c r="G8" s="24" t="s">
        <v>223</v>
      </c>
    </row>
    <row r="9" spans="1:7" x14ac:dyDescent="0.2">
      <c r="A9" s="19" t="s">
        <v>144</v>
      </c>
      <c r="B9" s="20" t="s">
        <v>145</v>
      </c>
      <c r="C9" s="21">
        <f>_xlfn.NUMBERVALUE(LEFT('Step g'!$G9, FIND("-",'Step g'!$G9)- 1))</f>
        <v>1025.1169500000001</v>
      </c>
      <c r="D9" s="22" t="str">
        <f>MID('Step g'!$G9, FIND("-",'Step g'!$G9, FIND("-",'Step g'!$G9)+1)+1, 4)</f>
        <v>5149</v>
      </c>
      <c r="E9" s="22" t="str">
        <f>VLOOKUP('Step g'!$D9,GrantInfo, 2)</f>
        <v>BioFuel</v>
      </c>
      <c r="F9" s="21">
        <f>VLOOKUP('Step g'!$D9,GrantInfo,3)*'Step g'!$C9</f>
        <v>307.53508500000004</v>
      </c>
      <c r="G9" s="20" t="s">
        <v>146</v>
      </c>
    </row>
    <row r="10" spans="1:7" x14ac:dyDescent="0.2">
      <c r="A10" s="23" t="s">
        <v>177</v>
      </c>
      <c r="B10" s="24" t="s">
        <v>178</v>
      </c>
      <c r="C10" s="25">
        <f>_xlfn.NUMBERVALUE(LEFT('Step g'!$G10, FIND("-",'Step g'!$G10)- 1))</f>
        <v>694.45695000000001</v>
      </c>
      <c r="D10" s="26" t="str">
        <f>MID('Step g'!$G10, FIND("-",'Step g'!$G10, FIND("-",'Step g'!$G10)+1)+1, 4)</f>
        <v>5149</v>
      </c>
      <c r="E10" s="26" t="str">
        <f>VLOOKUP('Step g'!$D10,GrantInfo, 2)</f>
        <v>BioFuel</v>
      </c>
      <c r="F10" s="25">
        <f>VLOOKUP('Step g'!$D10,GrantInfo,3)*'Step g'!$C10</f>
        <v>208.337085</v>
      </c>
      <c r="G10" s="24" t="s">
        <v>179</v>
      </c>
    </row>
    <row r="11" spans="1:7" x14ac:dyDescent="0.2">
      <c r="A11" s="19" t="s">
        <v>159</v>
      </c>
      <c r="B11" s="20" t="s">
        <v>160</v>
      </c>
      <c r="C11" s="21">
        <f>_xlfn.NUMBERVALUE(LEFT('Step g'!$G11, FIND("-",'Step g'!$G11)- 1))</f>
        <v>1120.1169500000001</v>
      </c>
      <c r="D11" s="22" t="str">
        <f>MID('Step g'!$G11, FIND("-",'Step g'!$G11, FIND("-",'Step g'!$G11)+1)+1, 4)</f>
        <v>5178</v>
      </c>
      <c r="E11" s="22" t="str">
        <f>VLOOKUP('Step g'!$D11,GrantInfo, 2)</f>
        <v>Robotics</v>
      </c>
      <c r="F11" s="21">
        <f>VLOOKUP('Step g'!$D11,GrantInfo,3)*'Step g'!$C11</f>
        <v>336.03508500000004</v>
      </c>
      <c r="G11" s="20" t="s">
        <v>161</v>
      </c>
    </row>
    <row r="12" spans="1:7" x14ac:dyDescent="0.2">
      <c r="A12" s="23" t="s">
        <v>168</v>
      </c>
      <c r="B12" s="24" t="s">
        <v>169</v>
      </c>
      <c r="C12" s="25">
        <f>_xlfn.NUMBERVALUE(LEFT('Step g'!$G12, FIND("-",'Step g'!$G12)- 1))</f>
        <v>469.11694999999997</v>
      </c>
      <c r="D12" s="26" t="str">
        <f>MID('Step g'!$G12, FIND("-",'Step g'!$G12, FIND("-",'Step g'!$G12)+1)+1, 4)</f>
        <v>5178</v>
      </c>
      <c r="E12" s="26" t="str">
        <f>VLOOKUP('Step g'!$D12,GrantInfo, 2)</f>
        <v>Robotics</v>
      </c>
      <c r="F12" s="25">
        <f>VLOOKUP('Step g'!$D12,GrantInfo,3)*'Step g'!$C12</f>
        <v>140.735085</v>
      </c>
      <c r="G12" s="24" t="s">
        <v>170</v>
      </c>
    </row>
    <row r="13" spans="1:7" x14ac:dyDescent="0.2">
      <c r="A13" s="19" t="s">
        <v>171</v>
      </c>
      <c r="B13" s="20" t="s">
        <v>172</v>
      </c>
      <c r="C13" s="21">
        <f>_xlfn.NUMBERVALUE(LEFT('Step g'!$G13, FIND("-",'Step g'!$G13)- 1))</f>
        <v>142.01695000000001</v>
      </c>
      <c r="D13" s="22" t="str">
        <f>MID('Step g'!$G13, FIND("-",'Step g'!$G13, FIND("-",'Step g'!$G13)+1)+1, 4)</f>
        <v>5178</v>
      </c>
      <c r="E13" s="22" t="str">
        <f>VLOOKUP('Step g'!$D13,GrantInfo, 2)</f>
        <v>Robotics</v>
      </c>
      <c r="F13" s="21">
        <f>VLOOKUP('Step g'!$D13,GrantInfo,3)*'Step g'!$C13</f>
        <v>42.605085000000003</v>
      </c>
      <c r="G13" s="20" t="s">
        <v>173</v>
      </c>
    </row>
    <row r="14" spans="1:7" x14ac:dyDescent="0.2">
      <c r="A14" s="23" t="s">
        <v>282</v>
      </c>
      <c r="B14" s="24" t="s">
        <v>283</v>
      </c>
      <c r="C14" s="25">
        <f>_xlfn.NUMBERVALUE(LEFT('Step g'!$G14, FIND("-",'Step g'!$G14)- 1))</f>
        <v>79.476950000000002</v>
      </c>
      <c r="D14" s="26" t="str">
        <f>MID('Step g'!$G14, FIND("-",'Step g'!$G14, FIND("-",'Step g'!$G14)+1)+1, 4)</f>
        <v>5178</v>
      </c>
      <c r="E14" s="26" t="str">
        <f>VLOOKUP('Step g'!$D14,GrantInfo, 2)</f>
        <v>Robotics</v>
      </c>
      <c r="F14" s="25">
        <f>VLOOKUP('Step g'!$D14,GrantInfo,3)*'Step g'!$C14</f>
        <v>23.843084999999999</v>
      </c>
      <c r="G14" s="24" t="s">
        <v>284</v>
      </c>
    </row>
    <row r="15" spans="1:7" x14ac:dyDescent="0.2">
      <c r="A15" s="19" t="s">
        <v>195</v>
      </c>
      <c r="B15" s="20" t="s">
        <v>196</v>
      </c>
      <c r="C15" s="21">
        <f>_xlfn.NUMBERVALUE(LEFT('Step g'!$G15, FIND("-",'Step g'!$G15)- 1))</f>
        <v>76.316950000000006</v>
      </c>
      <c r="D15" s="22" t="str">
        <f>MID('Step g'!$G15, FIND("-",'Step g'!$G15, FIND("-",'Step g'!$G15)+1)+1, 4)</f>
        <v>5178</v>
      </c>
      <c r="E15" s="22" t="str">
        <f>VLOOKUP('Step g'!$D15,GrantInfo, 2)</f>
        <v>Robotics</v>
      </c>
      <c r="F15" s="21">
        <f>VLOOKUP('Step g'!$D15,GrantInfo,3)*'Step g'!$C15</f>
        <v>22.895085000000002</v>
      </c>
      <c r="G15" s="20" t="s">
        <v>197</v>
      </c>
    </row>
    <row r="16" spans="1:7" x14ac:dyDescent="0.2">
      <c r="A16" s="23" t="s">
        <v>174</v>
      </c>
      <c r="B16" s="24" t="s">
        <v>175</v>
      </c>
      <c r="C16" s="25">
        <f>_xlfn.NUMBERVALUE(LEFT('Step g'!$G16, FIND("-",'Step g'!$G16)- 1))</f>
        <v>63.366950000000003</v>
      </c>
      <c r="D16" s="26" t="str">
        <f>MID('Step g'!$G16, FIND("-",'Step g'!$G16, FIND("-",'Step g'!$G16)+1)+1, 4)</f>
        <v>5178</v>
      </c>
      <c r="E16" s="26" t="str">
        <f>VLOOKUP('Step g'!$D16,GrantInfo, 2)</f>
        <v>Robotics</v>
      </c>
      <c r="F16" s="25">
        <f>VLOOKUP('Step g'!$D16,GrantInfo,3)*'Step g'!$C16</f>
        <v>19.010085</v>
      </c>
      <c r="G16" s="24" t="s">
        <v>176</v>
      </c>
    </row>
    <row r="17" spans="1:7" x14ac:dyDescent="0.2">
      <c r="A17" s="19" t="s">
        <v>138</v>
      </c>
      <c r="B17" s="20" t="s">
        <v>139</v>
      </c>
      <c r="C17" s="21">
        <f>_xlfn.NUMBERVALUE(LEFT('Step g'!$G17, FIND("-",'Step g'!$G17)- 1))</f>
        <v>47.369500000000002</v>
      </c>
      <c r="D17" s="22" t="str">
        <f>MID('Step g'!$G17, FIND("-",'Step g'!$G17, FIND("-",'Step g'!$G17)+1)+1, 4)</f>
        <v>5178</v>
      </c>
      <c r="E17" s="22" t="str">
        <f>VLOOKUP('Step g'!$D17,GrantInfo, 2)</f>
        <v>Robotics</v>
      </c>
      <c r="F17" s="21">
        <f>VLOOKUP('Step g'!$D17,GrantInfo,3)*'Step g'!$C17</f>
        <v>14.210850000000001</v>
      </c>
      <c r="G17" s="20" t="s">
        <v>140</v>
      </c>
    </row>
    <row r="18" spans="1:7" x14ac:dyDescent="0.2">
      <c r="A18" s="23" t="s">
        <v>204</v>
      </c>
      <c r="B18" s="24" t="s">
        <v>205</v>
      </c>
      <c r="C18" s="25">
        <f>_xlfn.NUMBERVALUE(LEFT('Step g'!$G18, FIND("-",'Step g'!$G18)- 1))</f>
        <v>8.8869500000000006</v>
      </c>
      <c r="D18" s="26" t="str">
        <f>MID('Step g'!$G18, FIND("-",'Step g'!$G18, FIND("-",'Step g'!$G18)+1)+1, 4)</f>
        <v>5178</v>
      </c>
      <c r="E18" s="26" t="str">
        <f>VLOOKUP('Step g'!$D18,GrantInfo, 2)</f>
        <v>Robotics</v>
      </c>
      <c r="F18" s="25">
        <f>VLOOKUP('Step g'!$D18,GrantInfo,3)*'Step g'!$C18</f>
        <v>2.6660850000000003</v>
      </c>
      <c r="G18" s="24" t="s">
        <v>206</v>
      </c>
    </row>
    <row r="19" spans="1:7" x14ac:dyDescent="0.2">
      <c r="A19" s="19" t="s">
        <v>198</v>
      </c>
      <c r="B19" s="20" t="s">
        <v>199</v>
      </c>
      <c r="C19" s="21">
        <f>_xlfn.NUMBERVALUE(LEFT('Step g'!$G19, FIND("-",'Step g'!$G19)- 1))</f>
        <v>576.11694999999997</v>
      </c>
      <c r="D19" s="22" t="str">
        <f>MID('Step g'!$G19, FIND("-",'Step g'!$G19, FIND("-",'Step g'!$G19)+1)+1, 4)</f>
        <v>5279</v>
      </c>
      <c r="E19" s="22" t="str">
        <f>VLOOKUP('Step g'!$D19,GrantInfo, 2)</f>
        <v>Applied Materials</v>
      </c>
      <c r="F19" s="21">
        <f>VLOOKUP('Step g'!$D19,GrantInfo,3)*'Step g'!$C19</f>
        <v>230.44677999999999</v>
      </c>
      <c r="G19" s="20" t="s">
        <v>200</v>
      </c>
    </row>
    <row r="20" spans="1:7" x14ac:dyDescent="0.2">
      <c r="A20" s="23" t="s">
        <v>201</v>
      </c>
      <c r="B20" s="24" t="s">
        <v>202</v>
      </c>
      <c r="C20" s="25">
        <f>_xlfn.NUMBERVALUE(LEFT('Step g'!$G20, FIND("-",'Step g'!$G20)- 1))</f>
        <v>288.11694999999997</v>
      </c>
      <c r="D20" s="26" t="str">
        <f>MID('Step g'!$G20, FIND("-",'Step g'!$G20, FIND("-",'Step g'!$G20)+1)+1, 4)</f>
        <v>5279</v>
      </c>
      <c r="E20" s="26" t="str">
        <f>VLOOKUP('Step g'!$D20,GrantInfo, 2)</f>
        <v>Applied Materials</v>
      </c>
      <c r="F20" s="25">
        <f>VLOOKUP('Step g'!$D20,GrantInfo,3)*'Step g'!$C20</f>
        <v>115.24678</v>
      </c>
      <c r="G20" s="24" t="s">
        <v>203</v>
      </c>
    </row>
    <row r="21" spans="1:7" x14ac:dyDescent="0.2">
      <c r="A21" s="19" t="s">
        <v>165</v>
      </c>
      <c r="B21" s="20" t="s">
        <v>166</v>
      </c>
      <c r="C21" s="21">
        <f>_xlfn.NUMBERVALUE(LEFT('Step g'!$G21, FIND("-",'Step g'!$G21)- 1))</f>
        <v>151.01695000000001</v>
      </c>
      <c r="D21" s="22" t="str">
        <f>MID('Step g'!$G21, FIND("-",'Step g'!$G21, FIND("-",'Step g'!$G21)+1)+1, 4)</f>
        <v>5279</v>
      </c>
      <c r="E21" s="22" t="str">
        <f>VLOOKUP('Step g'!$D21,GrantInfo, 2)</f>
        <v>Applied Materials</v>
      </c>
      <c r="F21" s="21">
        <f>VLOOKUP('Step g'!$D21,GrantInfo,3)*'Step g'!$C21</f>
        <v>60.406780000000005</v>
      </c>
      <c r="G21" s="20" t="s">
        <v>167</v>
      </c>
    </row>
    <row r="22" spans="1:7" x14ac:dyDescent="0.2">
      <c r="A22" s="23" t="s">
        <v>245</v>
      </c>
      <c r="B22" s="24" t="s">
        <v>246</v>
      </c>
      <c r="C22" s="25">
        <f>_xlfn.NUMBERVALUE(LEFT('Step g'!$G22, FIND("-",'Step g'!$G22)- 1))</f>
        <v>35.869500000000002</v>
      </c>
      <c r="D22" s="26" t="str">
        <f>MID('Step g'!$G22, FIND("-",'Step g'!$G22, FIND("-",'Step g'!$G22)+1)+1, 4)</f>
        <v>5279</v>
      </c>
      <c r="E22" s="26" t="str">
        <f>VLOOKUP('Step g'!$D22,GrantInfo, 2)</f>
        <v>Applied Materials</v>
      </c>
      <c r="F22" s="25">
        <f>VLOOKUP('Step g'!$D22,GrantInfo,3)*'Step g'!$C22</f>
        <v>14.347800000000001</v>
      </c>
      <c r="G22" s="24" t="s">
        <v>247</v>
      </c>
    </row>
    <row r="23" spans="1:7" x14ac:dyDescent="0.2">
      <c r="A23" s="19" t="s">
        <v>141</v>
      </c>
      <c r="B23" s="20" t="s">
        <v>142</v>
      </c>
      <c r="C23" s="21">
        <f>_xlfn.NUMBERVALUE(LEFT('Step g'!$G23, FIND("-",'Step g'!$G23)- 1))</f>
        <v>669.11694999999997</v>
      </c>
      <c r="D23" s="22" t="str">
        <f>MID('Step g'!$G23, FIND("-",'Step g'!$G23, FIND("-",'Step g'!$G23)+1)+1, 4)</f>
        <v>5342</v>
      </c>
      <c r="E23" s="22" t="str">
        <f>VLOOKUP('Step g'!$D23,GrantInfo, 2)</f>
        <v>Stop Smoking</v>
      </c>
      <c r="F23" s="21">
        <f>VLOOKUP('Step g'!$D23,GrantInfo,3)*'Step g'!$C23</f>
        <v>200.735085</v>
      </c>
      <c r="G23" s="20" t="s">
        <v>143</v>
      </c>
    </row>
    <row r="24" spans="1:7" x14ac:dyDescent="0.2">
      <c r="A24" s="23" t="s">
        <v>192</v>
      </c>
      <c r="B24" s="24" t="s">
        <v>193</v>
      </c>
      <c r="C24" s="25">
        <f>_xlfn.NUMBERVALUE(LEFT('Step g'!$G24, FIND("-",'Step g'!$G24)- 1))</f>
        <v>200.11695</v>
      </c>
      <c r="D24" s="26" t="str">
        <f>MID('Step g'!$G24, FIND("-",'Step g'!$G24, FIND("-",'Step g'!$G24)+1)+1, 4)</f>
        <v>5342</v>
      </c>
      <c r="E24" s="26" t="str">
        <f>VLOOKUP('Step g'!$D24,GrantInfo, 2)</f>
        <v>Stop Smoking</v>
      </c>
      <c r="F24" s="25">
        <f>VLOOKUP('Step g'!$D24,GrantInfo,3)*'Step g'!$C24</f>
        <v>60.035084999999995</v>
      </c>
      <c r="G24" s="24" t="s">
        <v>194</v>
      </c>
    </row>
    <row r="25" spans="1:7" x14ac:dyDescent="0.2">
      <c r="A25" s="19" t="s">
        <v>162</v>
      </c>
      <c r="B25" s="20" t="s">
        <v>163</v>
      </c>
      <c r="C25" s="21">
        <f>_xlfn.NUMBERVALUE(LEFT('Step g'!$G25, FIND("-",'Step g'!$G25)- 1))</f>
        <v>167.42695000000001</v>
      </c>
      <c r="D25" s="22" t="str">
        <f>MID('Step g'!$G25, FIND("-",'Step g'!$G25, FIND("-",'Step g'!$G25)+1)+1, 4)</f>
        <v>5342</v>
      </c>
      <c r="E25" s="22" t="str">
        <f>VLOOKUP('Step g'!$D25,GrantInfo, 2)</f>
        <v>Stop Smoking</v>
      </c>
      <c r="F25" s="21">
        <f>VLOOKUP('Step g'!$D25,GrantInfo,3)*'Step g'!$C25</f>
        <v>50.228085</v>
      </c>
      <c r="G25" s="20" t="s">
        <v>164</v>
      </c>
    </row>
    <row r="26" spans="1:7" x14ac:dyDescent="0.2">
      <c r="A26" s="23" t="s">
        <v>156</v>
      </c>
      <c r="B26" s="24" t="s">
        <v>157</v>
      </c>
      <c r="C26" s="25">
        <f>_xlfn.NUMBERVALUE(LEFT('Step g'!$G26, FIND("-",'Step g'!$G26)- 1))</f>
        <v>133.76695000000001</v>
      </c>
      <c r="D26" s="26" t="str">
        <f>MID('Step g'!$G26, FIND("-",'Step g'!$G26, FIND("-",'Step g'!$G26)+1)+1, 4)</f>
        <v>5361</v>
      </c>
      <c r="E26" s="26" t="str">
        <f>VLOOKUP('Step g'!$D26,GrantInfo, 2)</f>
        <v>Math Instruction</v>
      </c>
      <c r="F26" s="25">
        <f>VLOOKUP('Step g'!$D26,GrantInfo,3)*'Step g'!$C26</f>
        <v>53.506780000000006</v>
      </c>
      <c r="G26" s="24" t="s">
        <v>158</v>
      </c>
    </row>
    <row r="27" spans="1:7" x14ac:dyDescent="0.2">
      <c r="A27" s="19" t="s">
        <v>233</v>
      </c>
      <c r="B27" s="20" t="s">
        <v>234</v>
      </c>
      <c r="C27" s="21">
        <f>_xlfn.NUMBERVALUE(LEFT('Step g'!$G27, FIND("-",'Step g'!$G27)- 1))</f>
        <v>1410.1169500000001</v>
      </c>
      <c r="D27" s="22" t="str">
        <f>MID('Step g'!$G27, FIND("-",'Step g'!$G27, FIND("-",'Step g'!$G27)+1)+1, 4)</f>
        <v>5556</v>
      </c>
      <c r="E27" s="22" t="str">
        <f>VLOOKUP('Step g'!$D27,GrantInfo, 2)</f>
        <v>Volunteer Programs</v>
      </c>
      <c r="F27" s="21">
        <f>VLOOKUP('Step g'!$D27,GrantInfo,3)*'Step g'!$C27</f>
        <v>282.02339000000001</v>
      </c>
      <c r="G27" s="20" t="s">
        <v>235</v>
      </c>
    </row>
    <row r="28" spans="1:7" x14ac:dyDescent="0.2">
      <c r="A28" s="23" t="s">
        <v>251</v>
      </c>
      <c r="B28" s="24" t="s">
        <v>252</v>
      </c>
      <c r="C28" s="25">
        <f>_xlfn.NUMBERVALUE(LEFT('Step g'!$G28, FIND("-",'Step g'!$G28)- 1))</f>
        <v>347.22694999999999</v>
      </c>
      <c r="D28" s="26" t="str">
        <f>MID('Step g'!$G28, FIND("-",'Step g'!$G28, FIND("-",'Step g'!$G28)+1)+1, 4)</f>
        <v>5556</v>
      </c>
      <c r="E28" s="26" t="str">
        <f>VLOOKUP('Step g'!$D28,GrantInfo, 2)</f>
        <v>Volunteer Programs</v>
      </c>
      <c r="F28" s="25">
        <f>VLOOKUP('Step g'!$D28,GrantInfo,3)*'Step g'!$C28</f>
        <v>69.445390000000003</v>
      </c>
      <c r="G28" s="24" t="s">
        <v>253</v>
      </c>
    </row>
    <row r="29" spans="1:7" x14ac:dyDescent="0.2">
      <c r="A29" s="19" t="s">
        <v>242</v>
      </c>
      <c r="B29" s="20" t="s">
        <v>243</v>
      </c>
      <c r="C29" s="21">
        <f>_xlfn.NUMBERVALUE(LEFT('Step g'!$G29, FIND("-",'Step g'!$G29)- 1))</f>
        <v>301.14695</v>
      </c>
      <c r="D29" s="22" t="str">
        <f>MID('Step g'!$G29, FIND("-",'Step g'!$G29, FIND("-",'Step g'!$G29)+1)+1, 4)</f>
        <v>5556</v>
      </c>
      <c r="E29" s="22" t="str">
        <f>VLOOKUP('Step g'!$D29,GrantInfo, 2)</f>
        <v>Volunteer Programs</v>
      </c>
      <c r="F29" s="21">
        <f>VLOOKUP('Step g'!$D29,GrantInfo,3)*'Step g'!$C29</f>
        <v>60.229390000000002</v>
      </c>
      <c r="G29" s="20" t="s">
        <v>244</v>
      </c>
    </row>
    <row r="30" spans="1:7" x14ac:dyDescent="0.2">
      <c r="A30" s="23" t="s">
        <v>236</v>
      </c>
      <c r="B30" s="24" t="s">
        <v>237</v>
      </c>
      <c r="C30" s="25">
        <f>_xlfn.NUMBERVALUE(LEFT('Step g'!$G30, FIND("-",'Step g'!$G30)- 1))</f>
        <v>241.26949999999999</v>
      </c>
      <c r="D30" s="26" t="str">
        <f>MID('Step g'!$G30, FIND("-",'Step g'!$G30, FIND("-",'Step g'!$G30)+1)+1, 4)</f>
        <v>5556</v>
      </c>
      <c r="E30" s="26" t="str">
        <f>VLOOKUP('Step g'!$D30,GrantInfo, 2)</f>
        <v>Volunteer Programs</v>
      </c>
      <c r="F30" s="25">
        <f>VLOOKUP('Step g'!$D30,GrantInfo,3)*'Step g'!$C30</f>
        <v>48.253900000000002</v>
      </c>
      <c r="G30" s="24" t="s">
        <v>238</v>
      </c>
    </row>
    <row r="31" spans="1:7" x14ac:dyDescent="0.2">
      <c r="A31" s="19" t="s">
        <v>153</v>
      </c>
      <c r="B31" s="20" t="s">
        <v>154</v>
      </c>
      <c r="C31" s="21">
        <f>_xlfn.NUMBERVALUE(LEFT('Step g'!$G31, FIND("-",'Step g'!$G31)- 1))</f>
        <v>225.86695</v>
      </c>
      <c r="D31" s="22" t="str">
        <f>MID('Step g'!$G31, FIND("-",'Step g'!$G31, FIND("-",'Step g'!$G31)+1)+1, 4)</f>
        <v>5556</v>
      </c>
      <c r="E31" s="22" t="str">
        <f>VLOOKUP('Step g'!$D31,GrantInfo, 2)</f>
        <v>Volunteer Programs</v>
      </c>
      <c r="F31" s="21">
        <f>VLOOKUP('Step g'!$D31,GrantInfo,3)*'Step g'!$C31</f>
        <v>45.173390000000005</v>
      </c>
      <c r="G31" s="20" t="s">
        <v>155</v>
      </c>
    </row>
    <row r="32" spans="1:7" x14ac:dyDescent="0.2">
      <c r="A32" s="23" t="s">
        <v>271</v>
      </c>
      <c r="B32" s="24" t="s">
        <v>272</v>
      </c>
      <c r="C32" s="25">
        <f>_xlfn.NUMBERVALUE(LEFT('Step g'!$G32, FIND("-",'Step g'!$G32)- 1))</f>
        <v>176.11695</v>
      </c>
      <c r="D32" s="26" t="str">
        <f>MID('Step g'!$G32, FIND("-",'Step g'!$G32, FIND("-",'Step g'!$G32)+1)+1, 4)</f>
        <v>5556</v>
      </c>
      <c r="E32" s="26" t="str">
        <f>VLOOKUP('Step g'!$D32,GrantInfo, 2)</f>
        <v>Volunteer Programs</v>
      </c>
      <c r="F32" s="25">
        <f>VLOOKUP('Step g'!$D32,GrantInfo,3)*'Step g'!$C32</f>
        <v>35.223390000000002</v>
      </c>
      <c r="G32" s="24" t="s">
        <v>273</v>
      </c>
    </row>
    <row r="33" spans="1:7" x14ac:dyDescent="0.2">
      <c r="A33" s="19" t="s">
        <v>215</v>
      </c>
      <c r="B33" s="20" t="s">
        <v>216</v>
      </c>
      <c r="C33" s="21">
        <f>_xlfn.NUMBERVALUE(LEFT('Step g'!$G33, FIND("-",'Step g'!$G33)- 1))</f>
        <v>156.41695000000001</v>
      </c>
      <c r="D33" s="22" t="str">
        <f>MID('Step g'!$G33, FIND("-",'Step g'!$G33, FIND("-",'Step g'!$G33)+1)+1, 4)</f>
        <v>5556</v>
      </c>
      <c r="E33" s="22" t="str">
        <f>VLOOKUP('Step g'!$D33,GrantInfo, 2)</f>
        <v>Volunteer Programs</v>
      </c>
      <c r="F33" s="21">
        <f>VLOOKUP('Step g'!$D33,GrantInfo,3)*'Step g'!$C33</f>
        <v>31.283390000000004</v>
      </c>
      <c r="G33" s="20" t="s">
        <v>217</v>
      </c>
    </row>
    <row r="34" spans="1:7" x14ac:dyDescent="0.2">
      <c r="A34" s="23" t="s">
        <v>239</v>
      </c>
      <c r="B34" s="24" t="s">
        <v>240</v>
      </c>
      <c r="C34" s="25">
        <f>_xlfn.NUMBERVALUE(LEFT('Step g'!$G34, FIND("-",'Step g'!$G34)- 1))</f>
        <v>146.26949999999999</v>
      </c>
      <c r="D34" s="26" t="str">
        <f>MID('Step g'!$G34, FIND("-",'Step g'!$G34, FIND("-",'Step g'!$G34)+1)+1, 4)</f>
        <v>5556</v>
      </c>
      <c r="E34" s="26" t="str">
        <f>VLOOKUP('Step g'!$D34,GrantInfo, 2)</f>
        <v>Volunteer Programs</v>
      </c>
      <c r="F34" s="25">
        <f>VLOOKUP('Step g'!$D34,GrantInfo,3)*'Step g'!$C34</f>
        <v>29.253900000000002</v>
      </c>
      <c r="G34" s="24" t="s">
        <v>241</v>
      </c>
    </row>
    <row r="35" spans="1:7" x14ac:dyDescent="0.2">
      <c r="A35" s="19" t="s">
        <v>150</v>
      </c>
      <c r="B35" s="20" t="s">
        <v>151</v>
      </c>
      <c r="C35" s="21">
        <f>_xlfn.NUMBERVALUE(LEFT('Step g'!$G35, FIND("-",'Step g'!$G35)- 1))</f>
        <v>121.69695</v>
      </c>
      <c r="D35" s="22" t="str">
        <f>MID('Step g'!$G35, FIND("-",'Step g'!$G35, FIND("-",'Step g'!$G35)+1)+1, 4)</f>
        <v>5556</v>
      </c>
      <c r="E35" s="22" t="str">
        <f>VLOOKUP('Step g'!$D35,GrantInfo, 2)</f>
        <v>Volunteer Programs</v>
      </c>
      <c r="F35" s="21">
        <f>VLOOKUP('Step g'!$D35,GrantInfo,3)*'Step g'!$C35</f>
        <v>24.339390000000002</v>
      </c>
      <c r="G35" s="20" t="s">
        <v>152</v>
      </c>
    </row>
    <row r="36" spans="1:7" x14ac:dyDescent="0.2">
      <c r="A36" s="23" t="s">
        <v>254</v>
      </c>
      <c r="B36" s="24" t="s">
        <v>255</v>
      </c>
      <c r="C36" s="25">
        <f>_xlfn.NUMBERVALUE(LEFT('Step g'!$G36, FIND("-",'Step g'!$G36)- 1))</f>
        <v>93.669499999999999</v>
      </c>
      <c r="D36" s="26" t="str">
        <f>MID('Step g'!$G36, FIND("-",'Step g'!$G36, FIND("-",'Step g'!$G36)+1)+1, 4)</f>
        <v>5556</v>
      </c>
      <c r="E36" s="26" t="str">
        <f>VLOOKUP('Step g'!$D36,GrantInfo, 2)</f>
        <v>Volunteer Programs</v>
      </c>
      <c r="F36" s="25">
        <f>VLOOKUP('Step g'!$D36,GrantInfo,3)*'Step g'!$C36</f>
        <v>18.733900000000002</v>
      </c>
      <c r="G36" s="24" t="s">
        <v>256</v>
      </c>
    </row>
    <row r="37" spans="1:7" x14ac:dyDescent="0.2">
      <c r="A37" s="19" t="s">
        <v>248</v>
      </c>
      <c r="B37" s="20" t="s">
        <v>249</v>
      </c>
      <c r="C37" s="21">
        <f>_xlfn.NUMBERVALUE(LEFT('Step g'!$G37, FIND("-",'Step g'!$G37)- 1))</f>
        <v>75.116950000000003</v>
      </c>
      <c r="D37" s="22" t="str">
        <f>MID('Step g'!$G37, FIND("-",'Step g'!$G37, FIND("-",'Step g'!$G37)+1)+1, 4)</f>
        <v>5556</v>
      </c>
      <c r="E37" s="22" t="str">
        <f>VLOOKUP('Step g'!$D37,GrantInfo, 2)</f>
        <v>Volunteer Programs</v>
      </c>
      <c r="F37" s="21">
        <f>VLOOKUP('Step g'!$D37,GrantInfo,3)*'Step g'!$C37</f>
        <v>15.023390000000001</v>
      </c>
      <c r="G37" s="20" t="s">
        <v>250</v>
      </c>
    </row>
    <row r="38" spans="1:7" x14ac:dyDescent="0.2">
      <c r="A38" s="23" t="s">
        <v>212</v>
      </c>
      <c r="B38" s="24" t="s">
        <v>213</v>
      </c>
      <c r="C38" s="25">
        <f>_xlfn.NUMBERVALUE(LEFT('Step g'!$G38, FIND("-",'Step g'!$G38)- 1))</f>
        <v>70.956950000000006</v>
      </c>
      <c r="D38" s="26" t="str">
        <f>MID('Step g'!$G38, FIND("-",'Step g'!$G38, FIND("-",'Step g'!$G38)+1)+1, 4)</f>
        <v>5556</v>
      </c>
      <c r="E38" s="26" t="str">
        <f>VLOOKUP('Step g'!$D38,GrantInfo, 2)</f>
        <v>Volunteer Programs</v>
      </c>
      <c r="F38" s="25">
        <f>VLOOKUP('Step g'!$D38,GrantInfo,3)*'Step g'!$C38</f>
        <v>14.191390000000002</v>
      </c>
      <c r="G38" s="24" t="s">
        <v>214</v>
      </c>
    </row>
    <row r="39" spans="1:7" x14ac:dyDescent="0.2">
      <c r="A39" s="19" t="s">
        <v>135</v>
      </c>
      <c r="B39" s="20" t="s">
        <v>136</v>
      </c>
      <c r="C39" s="21">
        <f>_xlfn.NUMBERVALUE(LEFT('Step g'!$G39, FIND("-",'Step g'!$G39)- 1))</f>
        <v>62.34695</v>
      </c>
      <c r="D39" s="22" t="str">
        <f>MID('Step g'!$G39, FIND("-",'Step g'!$G39, FIND("-",'Step g'!$G39)+1)+1, 4)</f>
        <v>5556</v>
      </c>
      <c r="E39" s="22" t="str">
        <f>VLOOKUP('Step g'!$D39,GrantInfo, 2)</f>
        <v>Volunteer Programs</v>
      </c>
      <c r="F39" s="21">
        <f>VLOOKUP('Step g'!$D39,GrantInfo,3)*'Step g'!$C39</f>
        <v>12.469390000000001</v>
      </c>
      <c r="G39" s="20" t="s">
        <v>137</v>
      </c>
    </row>
    <row r="40" spans="1:7" x14ac:dyDescent="0.2">
      <c r="A40" s="23" t="s">
        <v>274</v>
      </c>
      <c r="B40" s="24" t="s">
        <v>275</v>
      </c>
      <c r="C40" s="25">
        <f>_xlfn.NUMBERVALUE(LEFT('Step g'!$G40, FIND("-",'Step g'!$G40)- 1))</f>
        <v>41.646949999999997</v>
      </c>
      <c r="D40" s="26" t="str">
        <f>MID('Step g'!$G40, FIND("-",'Step g'!$G40, FIND("-",'Step g'!$G40)+1)+1, 4)</f>
        <v>5556</v>
      </c>
      <c r="E40" s="26" t="str">
        <f>VLOOKUP('Step g'!$D40,GrantInfo, 2)</f>
        <v>Volunteer Programs</v>
      </c>
      <c r="F40" s="25">
        <f>VLOOKUP('Step g'!$D40,GrantInfo,3)*'Step g'!$C40</f>
        <v>8.3293900000000001</v>
      </c>
      <c r="G40" s="24" t="s">
        <v>276</v>
      </c>
    </row>
    <row r="41" spans="1:7" x14ac:dyDescent="0.2">
      <c r="A41" s="19" t="s">
        <v>257</v>
      </c>
      <c r="B41" s="20" t="s">
        <v>255</v>
      </c>
      <c r="C41" s="21">
        <f>_xlfn.NUMBERVALUE(LEFT('Step g'!$G41, FIND("-",'Step g'!$G41)- 1))</f>
        <v>1704.5569499999999</v>
      </c>
      <c r="D41" s="22" t="str">
        <f>MID('Step g'!$G41, FIND("-",'Step g'!$G41, FIND("-",'Step g'!$G41)+1)+1, 4)</f>
        <v>5768</v>
      </c>
      <c r="E41" s="22" t="str">
        <f>VLOOKUP('Step g'!$D41,GrantInfo, 2)</f>
        <v>Graphic Images</v>
      </c>
      <c r="F41" s="21">
        <f>VLOOKUP('Step g'!$D41,GrantInfo,3)*'Step g'!$C41</f>
        <v>681.82277999999997</v>
      </c>
      <c r="G41" s="20" t="s">
        <v>258</v>
      </c>
    </row>
    <row r="42" spans="1:7" x14ac:dyDescent="0.2">
      <c r="A42" s="23" t="s">
        <v>262</v>
      </c>
      <c r="B42" s="24" t="s">
        <v>263</v>
      </c>
      <c r="C42" s="25">
        <f>_xlfn.NUMBERVALUE(LEFT('Step g'!$G42, FIND("-",'Step g'!$G42)- 1))</f>
        <v>255.11695</v>
      </c>
      <c r="D42" s="26" t="str">
        <f>MID('Step g'!$G42, FIND("-",'Step g'!$G42, FIND("-",'Step g'!$G42)+1)+1, 4)</f>
        <v>5768</v>
      </c>
      <c r="E42" s="26" t="str">
        <f>VLOOKUP('Step g'!$D42,GrantInfo, 2)</f>
        <v>Graphic Images</v>
      </c>
      <c r="F42" s="25">
        <f>VLOOKUP('Step g'!$D42,GrantInfo,3)*'Step g'!$C42</f>
        <v>102.04678000000001</v>
      </c>
      <c r="G42" s="24" t="s">
        <v>264</v>
      </c>
    </row>
    <row r="43" spans="1:7" x14ac:dyDescent="0.2">
      <c r="A43" s="19" t="s">
        <v>268</v>
      </c>
      <c r="B43" s="20" t="s">
        <v>269</v>
      </c>
      <c r="C43" s="21">
        <f>_xlfn.NUMBERVALUE(LEFT('Step g'!$G43, FIND("-",'Step g'!$G43)- 1))</f>
        <v>172.11695</v>
      </c>
      <c r="D43" s="22" t="str">
        <f>MID('Step g'!$G43, FIND("-",'Step g'!$G43, FIND("-",'Step g'!$G43)+1)+1, 4)</f>
        <v>5768</v>
      </c>
      <c r="E43" s="22" t="str">
        <f>VLOOKUP('Step g'!$D43,GrantInfo, 2)</f>
        <v>Graphic Images</v>
      </c>
      <c r="F43" s="21">
        <f>VLOOKUP('Step g'!$D43,GrantInfo,3)*'Step g'!$C43</f>
        <v>68.84678000000001</v>
      </c>
      <c r="G43" s="20" t="s">
        <v>270</v>
      </c>
    </row>
    <row r="44" spans="1:7" x14ac:dyDescent="0.2">
      <c r="A44" s="23" t="s">
        <v>277</v>
      </c>
      <c r="B44" s="24" t="s">
        <v>278</v>
      </c>
      <c r="C44" s="25">
        <f>_xlfn.NUMBERVALUE(LEFT('Step g'!$G44, FIND("-",'Step g'!$G44)- 1))</f>
        <v>59.256950000000003</v>
      </c>
      <c r="D44" s="26" t="str">
        <f>MID('Step g'!$G44, FIND("-",'Step g'!$G44, FIND("-",'Step g'!$G44)+1)+1, 4)</f>
        <v>5768</v>
      </c>
      <c r="E44" s="26" t="str">
        <f>VLOOKUP('Step g'!$D44,GrantInfo, 2)</f>
        <v>Graphic Images</v>
      </c>
      <c r="F44" s="25">
        <f>VLOOKUP('Step g'!$D44,GrantInfo,3)*'Step g'!$C44</f>
        <v>23.702780000000004</v>
      </c>
      <c r="G44" s="24" t="s">
        <v>279</v>
      </c>
    </row>
    <row r="45" spans="1:7" x14ac:dyDescent="0.2">
      <c r="A45" s="19" t="s">
        <v>265</v>
      </c>
      <c r="B45" s="20" t="s">
        <v>266</v>
      </c>
      <c r="C45" s="21">
        <f>_xlfn.NUMBERVALUE(LEFT('Step g'!$G45, FIND("-",'Step g'!$G45)- 1))</f>
        <v>20.766950000000001</v>
      </c>
      <c r="D45" s="22" t="str">
        <f>MID('Step g'!$G45, FIND("-",'Step g'!$G45, FIND("-",'Step g'!$G45)+1)+1, 4)</f>
        <v>5768</v>
      </c>
      <c r="E45" s="22" t="str">
        <f>VLOOKUP('Step g'!$D45,GrantInfo, 2)</f>
        <v>Graphic Images</v>
      </c>
      <c r="F45" s="21">
        <f>VLOOKUP('Step g'!$D45,GrantInfo,3)*'Step g'!$C45</f>
        <v>8.3067800000000016</v>
      </c>
      <c r="G45" s="20" t="s">
        <v>267</v>
      </c>
    </row>
    <row r="46" spans="1:7" x14ac:dyDescent="0.2">
      <c r="A46" s="23" t="s">
        <v>259</v>
      </c>
      <c r="B46" s="24" t="s">
        <v>260</v>
      </c>
      <c r="C46" s="25">
        <f>_xlfn.NUMBERVALUE(LEFT('Step g'!$G46, FIND("-",'Step g'!$G46)- 1))</f>
        <v>6.1136949999999999</v>
      </c>
      <c r="D46" s="26" t="str">
        <f>MID('Step g'!$G46, FIND("-",'Step g'!$G46, FIND("-",'Step g'!$G46)+1)+1, 4)</f>
        <v>5768</v>
      </c>
      <c r="E46" s="26" t="str">
        <f>VLOOKUP('Step g'!$D46,GrantInfo, 2)</f>
        <v>Graphic Images</v>
      </c>
      <c r="F46" s="25">
        <f>VLOOKUP('Step g'!$D46,GrantInfo,3)*'Step g'!$C46</f>
        <v>2.445478</v>
      </c>
      <c r="G46" s="24" t="s">
        <v>261</v>
      </c>
    </row>
    <row r="47" spans="1:7" x14ac:dyDescent="0.2">
      <c r="A47" s="19" t="s">
        <v>207</v>
      </c>
      <c r="B47" s="20" t="s">
        <v>208</v>
      </c>
      <c r="C47" s="21">
        <f>_xlfn.NUMBERVALUE(LEFT('Step g'!$G47, FIND("-",'Step g'!$G47)- 1))</f>
        <v>354.28694999999999</v>
      </c>
      <c r="D47" s="22" t="str">
        <f>MID('Step g'!$G47, FIND("-",'Step g'!$G47, FIND("-",'Step g'!$G47)+1)+1, 4)</f>
        <v>5933</v>
      </c>
      <c r="E47" s="22" t="str">
        <f>VLOOKUP('Step g'!$D47,GrantInfo, 2)</f>
        <v>State History</v>
      </c>
      <c r="F47" s="21">
        <f>VLOOKUP('Step g'!$D47,GrantInfo,3)*'Step g'!$C47</f>
        <v>88.571737499999998</v>
      </c>
      <c r="G47" s="20" t="s">
        <v>209</v>
      </c>
    </row>
    <row r="48" spans="1:7" x14ac:dyDescent="0.2">
      <c r="A48" s="23" t="s">
        <v>210</v>
      </c>
      <c r="B48" s="24" t="s">
        <v>208</v>
      </c>
      <c r="C48" s="25">
        <f>_xlfn.NUMBERVALUE(LEFT('Step g'!$G48, FIND("-",'Step g'!$G48)- 1))</f>
        <v>55.869500000000002</v>
      </c>
      <c r="D48" s="26" t="str">
        <f>MID('Step g'!$G48, FIND("-",'Step g'!$G48, FIND("-",'Step g'!$G48)+1)+1, 4)</f>
        <v>5933</v>
      </c>
      <c r="E48" s="26" t="str">
        <f>VLOOKUP('Step g'!$D48,GrantInfo, 2)</f>
        <v>State History</v>
      </c>
      <c r="F48" s="25">
        <f>VLOOKUP('Step g'!$D48,GrantInfo,3)*'Step g'!$C48</f>
        <v>13.967375000000001</v>
      </c>
      <c r="G48" s="24" t="s">
        <v>211</v>
      </c>
    </row>
    <row r="49" spans="1:7" x14ac:dyDescent="0.2">
      <c r="A49" s="19" t="s">
        <v>180</v>
      </c>
      <c r="B49" s="20" t="s">
        <v>181</v>
      </c>
      <c r="C49" s="21">
        <f>_xlfn.NUMBERVALUE(LEFT('Step g'!$G49, FIND("-",'Step g'!$G49)- 1))</f>
        <v>1242.41695</v>
      </c>
      <c r="D49" s="22" t="str">
        <f>MID('Step g'!$G49, FIND("-",'Step g'!$G49, FIND("-",'Step g'!$G49)+1)+1, 4)</f>
        <v>5956</v>
      </c>
      <c r="E49" s="22" t="str">
        <f>VLOOKUP('Step g'!$D49,GrantInfo, 2)</f>
        <v>Building Levees</v>
      </c>
      <c r="F49" s="21">
        <f>VLOOKUP('Step g'!$D49,GrantInfo,3)*'Step g'!$C49</f>
        <v>372.72508499999998</v>
      </c>
      <c r="G49" s="20" t="s">
        <v>182</v>
      </c>
    </row>
    <row r="50" spans="1:7" x14ac:dyDescent="0.2">
      <c r="A50" s="23" t="s">
        <v>186</v>
      </c>
      <c r="B50" s="24" t="s">
        <v>187</v>
      </c>
      <c r="C50" s="25">
        <f>_xlfn.NUMBERVALUE(LEFT('Step g'!$G50, FIND("-",'Step g'!$G50)- 1))</f>
        <v>669.26949999999999</v>
      </c>
      <c r="D50" s="26" t="str">
        <f>MID('Step g'!$G50, FIND("-",'Step g'!$G50, FIND("-",'Step g'!$G50)+1)+1, 4)</f>
        <v>5956</v>
      </c>
      <c r="E50" s="26" t="str">
        <f>VLOOKUP('Step g'!$D50,GrantInfo, 2)</f>
        <v>Building Levees</v>
      </c>
      <c r="F50" s="25">
        <f>VLOOKUP('Step g'!$D50,GrantInfo,3)*'Step g'!$C50</f>
        <v>200.78084999999999</v>
      </c>
      <c r="G50" s="24" t="s">
        <v>188</v>
      </c>
    </row>
    <row r="51" spans="1:7" x14ac:dyDescent="0.2">
      <c r="A51" s="19" t="s">
        <v>189</v>
      </c>
      <c r="B51" s="20" t="s">
        <v>190</v>
      </c>
      <c r="C51" s="21">
        <f>_xlfn.NUMBERVALUE(LEFT('Step g'!$G51, FIND("-",'Step g'!$G51)- 1))</f>
        <v>180.11695</v>
      </c>
      <c r="D51" s="22" t="str">
        <f>MID('Step g'!$G51, FIND("-",'Step g'!$G51, FIND("-",'Step g'!$G51)+1)+1, 4)</f>
        <v>5956</v>
      </c>
      <c r="E51" s="22" t="str">
        <f>VLOOKUP('Step g'!$D51,GrantInfo, 2)</f>
        <v>Building Levees</v>
      </c>
      <c r="F51" s="21">
        <f>VLOOKUP('Step g'!$D51,GrantInfo,3)*'Step g'!$C51</f>
        <v>54.035085000000002</v>
      </c>
      <c r="G51" s="20" t="s">
        <v>191</v>
      </c>
    </row>
    <row r="52" spans="1:7" x14ac:dyDescent="0.2">
      <c r="A52" s="23" t="s">
        <v>183</v>
      </c>
      <c r="B52" s="24" t="s">
        <v>184</v>
      </c>
      <c r="C52" s="25">
        <f>_xlfn.NUMBERVALUE(LEFT('Step g'!$G52, FIND("-",'Step g'!$G52)- 1))</f>
        <v>71.726950000000002</v>
      </c>
      <c r="D52" s="26" t="str">
        <f>MID('Step g'!$G52, FIND("-",'Step g'!$G52, FIND("-",'Step g'!$G52)+1)+1, 4)</f>
        <v>5956</v>
      </c>
      <c r="E52" s="26" t="str">
        <f>VLOOKUP('Step g'!$D52,GrantInfo, 2)</f>
        <v>Building Levees</v>
      </c>
      <c r="F52" s="25">
        <f>VLOOKUP('Step g'!$D52,GrantInfo,3)*'Step g'!$C52</f>
        <v>21.518084999999999</v>
      </c>
      <c r="G52" s="24" t="s">
        <v>185</v>
      </c>
    </row>
    <row r="53" spans="1:7" x14ac:dyDescent="0.2">
      <c r="A53" s="12">
        <f>SUBTOTAL(103,'Step g'!$A$2:$A$52)</f>
        <v>51</v>
      </c>
      <c r="B53" s="13"/>
      <c r="C53" s="13"/>
      <c r="D53" s="13"/>
      <c r="E53" s="13"/>
      <c r="F53" s="13"/>
      <c r="G53" s="13"/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2007-04-10T17:08:20Z</outs:dateTime>
      <outs:isPinned>true</outs:isPinned>
    </outs:relatedDate>
    <outs:relatedDate>
      <outs:type>2</outs:type>
      <outs:displayName>Created</outs:displayName>
      <outs:dateTime>2007-02-16T19:22:44Z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794DB9B-E101-4BE9-9109-EA1DAB6BA5C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Documentation</vt:lpstr>
      <vt:lpstr>Period 10</vt:lpstr>
      <vt:lpstr>Step a</vt:lpstr>
      <vt:lpstr>Step b</vt:lpstr>
      <vt:lpstr>Step c</vt:lpstr>
      <vt:lpstr>Step d</vt:lpstr>
      <vt:lpstr>Step e</vt:lpstr>
      <vt:lpstr>Step f</vt:lpstr>
      <vt:lpstr>Step g</vt:lpstr>
      <vt:lpstr>Step h</vt:lpstr>
      <vt:lpstr>OverheadRates</vt:lpstr>
      <vt:lpstr>EmployeeSalaryChartString</vt:lpstr>
      <vt:lpstr>GrantInfo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Nick Petty</cp:lastModifiedBy>
  <dcterms:created xsi:type="dcterms:W3CDTF">2007-02-16T19:22:44Z</dcterms:created>
  <dcterms:modified xsi:type="dcterms:W3CDTF">2016-07-11T02:30:44Z</dcterms:modified>
</cp:coreProperties>
</file>