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Z:\Users\Nick\OneDrive\Documents\ISM6405_Business_Analytics\Midterm\"/>
    </mc:Choice>
  </mc:AlternateContent>
  <bookViews>
    <workbookView xWindow="0" yWindow="0" windowWidth="13230" windowHeight="7815" tabRatio="805"/>
  </bookViews>
  <sheets>
    <sheet name="Documentation" sheetId="7" r:id="rId1"/>
    <sheet name="QuarterlyData" sheetId="5" r:id="rId2"/>
    <sheet name="Conditional" sheetId="8" r:id="rId3"/>
    <sheet name="BillingSummary" sheetId="9" r:id="rId4"/>
    <sheet name="BillingRate" sheetId="6" r:id="rId5"/>
  </sheets>
  <definedNames>
    <definedName name="TypeRate">BillingRate!$C$2:$E$3</definedName>
    <definedName name="zdumpToExcelForText" localSheetId="2">#REF!</definedName>
    <definedName name="zdumpToExcelForText">#REF!</definedName>
  </definedNames>
  <calcPr calcId="171027"/>
  <webPublishing codePage="1252"/>
</workbook>
</file>

<file path=xl/calcChain.xml><?xml version="1.0" encoding="utf-8"?>
<calcChain xmlns="http://schemas.openxmlformats.org/spreadsheetml/2006/main">
  <c r="D8" i="9" l="1"/>
  <c r="D7" i="9"/>
  <c r="E9" i="9"/>
  <c r="E8" i="9"/>
  <c r="E7" i="9"/>
  <c r="E6" i="9"/>
  <c r="D6" i="9"/>
  <c r="C9" i="9"/>
  <c r="C8" i="9"/>
  <c r="C7" i="9"/>
  <c r="C6" i="9"/>
  <c r="F74" i="8"/>
  <c r="G73" i="8"/>
  <c r="H73" i="8" s="1"/>
  <c r="I72" i="8"/>
  <c r="G72" i="8"/>
  <c r="H72" i="8" s="1"/>
  <c r="J72" i="8" s="1"/>
  <c r="G71" i="8"/>
  <c r="H71" i="8" s="1"/>
  <c r="I70" i="8"/>
  <c r="G70" i="8"/>
  <c r="H70" i="8" s="1"/>
  <c r="G69" i="8"/>
  <c r="H69" i="8" s="1"/>
  <c r="G68" i="8"/>
  <c r="H68" i="8" s="1"/>
  <c r="I67" i="8"/>
  <c r="G67" i="8"/>
  <c r="H67" i="8" s="1"/>
  <c r="I66" i="8"/>
  <c r="G66" i="8"/>
  <c r="H66" i="8" s="1"/>
  <c r="I65" i="8"/>
  <c r="G65" i="8"/>
  <c r="H65" i="8" s="1"/>
  <c r="G64" i="8"/>
  <c r="H64" i="8" s="1"/>
  <c r="G63" i="8"/>
  <c r="H63" i="8" s="1"/>
  <c r="I62" i="8"/>
  <c r="G62" i="8"/>
  <c r="H62" i="8" s="1"/>
  <c r="G61" i="8"/>
  <c r="H61" i="8" s="1"/>
  <c r="I60" i="8"/>
  <c r="G60" i="8"/>
  <c r="H60" i="8" s="1"/>
  <c r="J60" i="8" s="1"/>
  <c r="I59" i="8"/>
  <c r="G59" i="8"/>
  <c r="H59" i="8" s="1"/>
  <c r="J59" i="8" s="1"/>
  <c r="G58" i="8"/>
  <c r="H58" i="8" s="1"/>
  <c r="G57" i="8"/>
  <c r="H57" i="8" s="1"/>
  <c r="I56" i="8"/>
  <c r="G56" i="8"/>
  <c r="H56" i="8" s="1"/>
  <c r="J56" i="8" s="1"/>
  <c r="G55" i="8"/>
  <c r="H55" i="8" s="1"/>
  <c r="I54" i="8"/>
  <c r="G54" i="8"/>
  <c r="H54" i="8" s="1"/>
  <c r="I53" i="8"/>
  <c r="G53" i="8"/>
  <c r="H53" i="8" s="1"/>
  <c r="I52" i="8"/>
  <c r="G52" i="8"/>
  <c r="H52" i="8" s="1"/>
  <c r="I51" i="8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I40" i="8"/>
  <c r="G40" i="8"/>
  <c r="H40" i="8" s="1"/>
  <c r="I39" i="8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H32" i="8"/>
  <c r="G32" i="8"/>
  <c r="H31" i="8"/>
  <c r="I31" i="8" s="1"/>
  <c r="G31" i="8"/>
  <c r="H30" i="8"/>
  <c r="I30" i="8" s="1"/>
  <c r="G30" i="8"/>
  <c r="I29" i="8"/>
  <c r="G29" i="8"/>
  <c r="H29" i="8" s="1"/>
  <c r="G28" i="8"/>
  <c r="H28" i="8" s="1"/>
  <c r="I28" i="8" s="1"/>
  <c r="G27" i="8"/>
  <c r="H27" i="8" s="1"/>
  <c r="I27" i="8" s="1"/>
  <c r="G26" i="8"/>
  <c r="H26" i="8" s="1"/>
  <c r="I26" i="8" s="1"/>
  <c r="G25" i="8"/>
  <c r="H25" i="8" s="1"/>
  <c r="I25" i="8" s="1"/>
  <c r="I24" i="8"/>
  <c r="H24" i="8"/>
  <c r="J24" i="8" s="1"/>
  <c r="G24" i="8"/>
  <c r="H23" i="8"/>
  <c r="I23" i="8" s="1"/>
  <c r="G23" i="8"/>
  <c r="I22" i="8"/>
  <c r="G22" i="8"/>
  <c r="H22" i="8" s="1"/>
  <c r="I21" i="8"/>
  <c r="H21" i="8"/>
  <c r="J21" i="8" s="1"/>
  <c r="G21" i="8"/>
  <c r="H20" i="8"/>
  <c r="I20" i="8" s="1"/>
  <c r="G20" i="8"/>
  <c r="H19" i="8"/>
  <c r="I19" i="8" s="1"/>
  <c r="G19" i="8"/>
  <c r="H18" i="8"/>
  <c r="I18" i="8" s="1"/>
  <c r="G18" i="8"/>
  <c r="I17" i="8"/>
  <c r="G17" i="8"/>
  <c r="H17" i="8" s="1"/>
  <c r="G16" i="8"/>
  <c r="H16" i="8" s="1"/>
  <c r="I16" i="8" s="1"/>
  <c r="I15" i="8"/>
  <c r="H15" i="8"/>
  <c r="J15" i="8" s="1"/>
  <c r="G15" i="8"/>
  <c r="H14" i="8"/>
  <c r="I14" i="8" s="1"/>
  <c r="G14" i="8"/>
  <c r="H13" i="8"/>
  <c r="I13" i="8" s="1"/>
  <c r="G13" i="8"/>
  <c r="H12" i="8"/>
  <c r="I12" i="8" s="1"/>
  <c r="G12" i="8"/>
  <c r="I11" i="8"/>
  <c r="G11" i="8"/>
  <c r="H11" i="8" s="1"/>
  <c r="G10" i="8"/>
  <c r="H10" i="8" s="1"/>
  <c r="I10" i="8" s="1"/>
  <c r="I9" i="8"/>
  <c r="H9" i="8"/>
  <c r="J9" i="8" s="1"/>
  <c r="G9" i="8"/>
  <c r="H8" i="8"/>
  <c r="I8" i="8" s="1"/>
  <c r="G8" i="8"/>
  <c r="H7" i="8"/>
  <c r="I7" i="8" s="1"/>
  <c r="G7" i="8"/>
  <c r="H6" i="8"/>
  <c r="I6" i="8" s="1"/>
  <c r="G6" i="8"/>
  <c r="I5" i="8"/>
  <c r="G5" i="8"/>
  <c r="H5" i="8" s="1"/>
  <c r="I4" i="8"/>
  <c r="H4" i="8"/>
  <c r="J4" i="8" s="1"/>
  <c r="G4" i="8"/>
  <c r="I3" i="8"/>
  <c r="G3" i="8"/>
  <c r="H3" i="8" s="1"/>
  <c r="G2" i="8"/>
  <c r="H2" i="8" s="1"/>
  <c r="I2" i="8" s="1"/>
  <c r="G74" i="5"/>
  <c r="F74" i="5"/>
  <c r="I3" i="5"/>
  <c r="I4" i="5"/>
  <c r="I5" i="5"/>
  <c r="I9" i="5"/>
  <c r="I11" i="5"/>
  <c r="I15" i="5"/>
  <c r="I17" i="5"/>
  <c r="I21" i="5"/>
  <c r="I22" i="5"/>
  <c r="I24" i="5"/>
  <c r="I29" i="5"/>
  <c r="I39" i="5"/>
  <c r="I40" i="5"/>
  <c r="I51" i="5"/>
  <c r="I52" i="5"/>
  <c r="I53" i="5"/>
  <c r="I54" i="5"/>
  <c r="I56" i="5"/>
  <c r="I59" i="5"/>
  <c r="I60" i="5"/>
  <c r="I62" i="5"/>
  <c r="I65" i="5"/>
  <c r="I66" i="5"/>
  <c r="I67" i="5"/>
  <c r="I70" i="5"/>
  <c r="I72" i="5"/>
  <c r="G2" i="5"/>
  <c r="H2" i="5" s="1"/>
  <c r="I2" i="5" s="1"/>
  <c r="G3" i="5"/>
  <c r="H3" i="5" s="1"/>
  <c r="J3" i="5" s="1"/>
  <c r="G4" i="5"/>
  <c r="H4" i="5" s="1"/>
  <c r="G5" i="5"/>
  <c r="H5" i="5" s="1"/>
  <c r="J5" i="5" s="1"/>
  <c r="G6" i="5"/>
  <c r="H6" i="5" s="1"/>
  <c r="I6" i="5" s="1"/>
  <c r="G7" i="5"/>
  <c r="H7" i="5" s="1"/>
  <c r="G8" i="5"/>
  <c r="H8" i="5" s="1"/>
  <c r="I8" i="5" s="1"/>
  <c r="G9" i="5"/>
  <c r="H9" i="5" s="1"/>
  <c r="J9" i="5" s="1"/>
  <c r="G10" i="5"/>
  <c r="H10" i="5" s="1"/>
  <c r="I10" i="5" s="1"/>
  <c r="G11" i="5"/>
  <c r="H11" i="5" s="1"/>
  <c r="J11" i="5" s="1"/>
  <c r="G12" i="5"/>
  <c r="H12" i="5" s="1"/>
  <c r="I12" i="5" s="1"/>
  <c r="G13" i="5"/>
  <c r="H13" i="5" s="1"/>
  <c r="I13" i="5" s="1"/>
  <c r="G14" i="5"/>
  <c r="H14" i="5" s="1"/>
  <c r="I14" i="5" s="1"/>
  <c r="G15" i="5"/>
  <c r="H15" i="5" s="1"/>
  <c r="J15" i="5" s="1"/>
  <c r="G16" i="5"/>
  <c r="H16" i="5" s="1"/>
  <c r="I16" i="5" s="1"/>
  <c r="G17" i="5"/>
  <c r="H17" i="5" s="1"/>
  <c r="J17" i="5" s="1"/>
  <c r="G18" i="5"/>
  <c r="H18" i="5" s="1"/>
  <c r="I18" i="5" s="1"/>
  <c r="G19" i="5"/>
  <c r="H19" i="5" s="1"/>
  <c r="I19" i="5" s="1"/>
  <c r="G20" i="5"/>
  <c r="H20" i="5" s="1"/>
  <c r="I20" i="5" s="1"/>
  <c r="G21" i="5"/>
  <c r="H21" i="5" s="1"/>
  <c r="J21" i="5" s="1"/>
  <c r="G22" i="5"/>
  <c r="H22" i="5" s="1"/>
  <c r="J22" i="5" s="1"/>
  <c r="G23" i="5"/>
  <c r="H23" i="5" s="1"/>
  <c r="I23" i="5" s="1"/>
  <c r="G24" i="5"/>
  <c r="H24" i="5" s="1"/>
  <c r="G25" i="5"/>
  <c r="H25" i="5" s="1"/>
  <c r="I25" i="5" s="1"/>
  <c r="G26" i="5"/>
  <c r="H26" i="5" s="1"/>
  <c r="I26" i="5" s="1"/>
  <c r="G27" i="5"/>
  <c r="H27" i="5" s="1"/>
  <c r="I27" i="5" s="1"/>
  <c r="G28" i="5"/>
  <c r="H28" i="5" s="1"/>
  <c r="I28" i="5" s="1"/>
  <c r="G29" i="5"/>
  <c r="H29" i="5" s="1"/>
  <c r="J29" i="5" s="1"/>
  <c r="G30" i="5"/>
  <c r="H30" i="5" s="1"/>
  <c r="I30" i="5" s="1"/>
  <c r="G31" i="5"/>
  <c r="H31" i="5" s="1"/>
  <c r="I31" i="5" s="1"/>
  <c r="G32" i="5"/>
  <c r="H32" i="5" s="1"/>
  <c r="I32" i="5" s="1"/>
  <c r="G33" i="5"/>
  <c r="H33" i="5" s="1"/>
  <c r="I33" i="5" s="1"/>
  <c r="G34" i="5"/>
  <c r="H34" i="5" s="1"/>
  <c r="I34" i="5" s="1"/>
  <c r="G35" i="5"/>
  <c r="H35" i="5" s="1"/>
  <c r="I35" i="5" s="1"/>
  <c r="G36" i="5"/>
  <c r="H36" i="5" s="1"/>
  <c r="I36" i="5" s="1"/>
  <c r="G37" i="5"/>
  <c r="H37" i="5" s="1"/>
  <c r="I37" i="5" s="1"/>
  <c r="G38" i="5"/>
  <c r="H38" i="5" s="1"/>
  <c r="I38" i="5" s="1"/>
  <c r="G39" i="5"/>
  <c r="H39" i="5" s="1"/>
  <c r="J39" i="5" s="1"/>
  <c r="G40" i="5"/>
  <c r="H40" i="5" s="1"/>
  <c r="J40" i="5" s="1"/>
  <c r="G41" i="5"/>
  <c r="H41" i="5" s="1"/>
  <c r="I41" i="5" s="1"/>
  <c r="G42" i="5"/>
  <c r="H42" i="5" s="1"/>
  <c r="I42" i="5" s="1"/>
  <c r="G43" i="5"/>
  <c r="H43" i="5" s="1"/>
  <c r="I43" i="5" s="1"/>
  <c r="G44" i="5"/>
  <c r="H44" i="5" s="1"/>
  <c r="I44" i="5" s="1"/>
  <c r="G45" i="5"/>
  <c r="H45" i="5" s="1"/>
  <c r="I45" i="5" s="1"/>
  <c r="G46" i="5"/>
  <c r="H46" i="5" s="1"/>
  <c r="I46" i="5" s="1"/>
  <c r="G47" i="5"/>
  <c r="H47" i="5" s="1"/>
  <c r="I47" i="5" s="1"/>
  <c r="G48" i="5"/>
  <c r="H48" i="5" s="1"/>
  <c r="I48" i="5" s="1"/>
  <c r="G49" i="5"/>
  <c r="H49" i="5" s="1"/>
  <c r="I49" i="5" s="1"/>
  <c r="G50" i="5"/>
  <c r="H50" i="5" s="1"/>
  <c r="I50" i="5" s="1"/>
  <c r="G51" i="5"/>
  <c r="H51" i="5" s="1"/>
  <c r="J51" i="5" s="1"/>
  <c r="G52" i="5"/>
  <c r="H52" i="5" s="1"/>
  <c r="J52" i="5" s="1"/>
  <c r="G53" i="5"/>
  <c r="H53" i="5" s="1"/>
  <c r="J53" i="5" s="1"/>
  <c r="G54" i="5"/>
  <c r="H54" i="5" s="1"/>
  <c r="J54" i="5" s="1"/>
  <c r="G55" i="5"/>
  <c r="H55" i="5" s="1"/>
  <c r="I55" i="5" s="1"/>
  <c r="G56" i="5"/>
  <c r="H56" i="5" s="1"/>
  <c r="G57" i="5"/>
  <c r="H57" i="5" s="1"/>
  <c r="I57" i="5" s="1"/>
  <c r="G58" i="5"/>
  <c r="H58" i="5" s="1"/>
  <c r="I58" i="5" s="1"/>
  <c r="G59" i="5"/>
  <c r="H59" i="5" s="1"/>
  <c r="J59" i="5" s="1"/>
  <c r="G60" i="5"/>
  <c r="H60" i="5" s="1"/>
  <c r="G61" i="5"/>
  <c r="H61" i="5" s="1"/>
  <c r="I61" i="5" s="1"/>
  <c r="G62" i="5"/>
  <c r="H62" i="5" s="1"/>
  <c r="J62" i="5" s="1"/>
  <c r="G63" i="5"/>
  <c r="H63" i="5" s="1"/>
  <c r="I63" i="5" s="1"/>
  <c r="G64" i="5"/>
  <c r="H64" i="5" s="1"/>
  <c r="I64" i="5" s="1"/>
  <c r="G65" i="5"/>
  <c r="H65" i="5" s="1"/>
  <c r="J65" i="5" s="1"/>
  <c r="G66" i="5"/>
  <c r="H66" i="5" s="1"/>
  <c r="J66" i="5" s="1"/>
  <c r="G67" i="5"/>
  <c r="H67" i="5" s="1"/>
  <c r="J67" i="5" s="1"/>
  <c r="G68" i="5"/>
  <c r="H68" i="5" s="1"/>
  <c r="I68" i="5" s="1"/>
  <c r="G69" i="5"/>
  <c r="H69" i="5" s="1"/>
  <c r="I69" i="5" s="1"/>
  <c r="G70" i="5"/>
  <c r="H70" i="5" s="1"/>
  <c r="J70" i="5" s="1"/>
  <c r="G71" i="5"/>
  <c r="H71" i="5" s="1"/>
  <c r="I71" i="5" s="1"/>
  <c r="G72" i="5"/>
  <c r="H72" i="5" s="1"/>
  <c r="G73" i="5"/>
  <c r="H73" i="5" s="1"/>
  <c r="I73" i="5" s="1"/>
  <c r="B5" i="7"/>
  <c r="D9" i="9" l="1"/>
  <c r="J72" i="5"/>
  <c r="J60" i="5"/>
  <c r="J56" i="5"/>
  <c r="J24" i="5"/>
  <c r="J4" i="5"/>
  <c r="J3" i="8"/>
  <c r="J5" i="8"/>
  <c r="J11" i="8"/>
  <c r="J17" i="8"/>
  <c r="J22" i="8"/>
  <c r="J29" i="8"/>
  <c r="J39" i="8"/>
  <c r="J40" i="8"/>
  <c r="J51" i="8"/>
  <c r="J52" i="8"/>
  <c r="J53" i="8"/>
  <c r="J54" i="8"/>
  <c r="J62" i="8"/>
  <c r="J65" i="8"/>
  <c r="J66" i="8"/>
  <c r="J67" i="8"/>
  <c r="J70" i="8"/>
  <c r="J2" i="8"/>
  <c r="J6" i="8"/>
  <c r="J7" i="8"/>
  <c r="J8" i="8"/>
  <c r="J10" i="8"/>
  <c r="J12" i="8"/>
  <c r="J13" i="8"/>
  <c r="J14" i="8"/>
  <c r="J16" i="8"/>
  <c r="J18" i="8"/>
  <c r="J19" i="8"/>
  <c r="J20" i="8"/>
  <c r="J23" i="8"/>
  <c r="J25" i="8"/>
  <c r="J26" i="8"/>
  <c r="J27" i="8"/>
  <c r="J28" i="8"/>
  <c r="J30" i="8"/>
  <c r="J31" i="8"/>
  <c r="G74" i="8"/>
  <c r="I32" i="8"/>
  <c r="I33" i="8"/>
  <c r="J33" i="8" s="1"/>
  <c r="I34" i="8"/>
  <c r="J34" i="8" s="1"/>
  <c r="I35" i="8"/>
  <c r="J35" i="8" s="1"/>
  <c r="I36" i="8"/>
  <c r="J36" i="8" s="1"/>
  <c r="I37" i="8"/>
  <c r="J37" i="8" s="1"/>
  <c r="I38" i="8"/>
  <c r="J38" i="8" s="1"/>
  <c r="I41" i="8"/>
  <c r="J41" i="8" s="1"/>
  <c r="I42" i="8"/>
  <c r="J42" i="8" s="1"/>
  <c r="I43" i="8"/>
  <c r="J43" i="8" s="1"/>
  <c r="I44" i="8"/>
  <c r="J44" i="8" s="1"/>
  <c r="I45" i="8"/>
  <c r="J45" i="8" s="1"/>
  <c r="I46" i="8"/>
  <c r="J46" i="8" s="1"/>
  <c r="I47" i="8"/>
  <c r="J47" i="8" s="1"/>
  <c r="I48" i="8"/>
  <c r="J48" i="8" s="1"/>
  <c r="I49" i="8"/>
  <c r="J49" i="8" s="1"/>
  <c r="I50" i="8"/>
  <c r="J50" i="8" s="1"/>
  <c r="I55" i="8"/>
  <c r="J55" i="8" s="1"/>
  <c r="I57" i="8"/>
  <c r="J57" i="8" s="1"/>
  <c r="I58" i="8"/>
  <c r="J58" i="8" s="1"/>
  <c r="I61" i="8"/>
  <c r="J61" i="8" s="1"/>
  <c r="I63" i="8"/>
  <c r="J63" i="8" s="1"/>
  <c r="I64" i="8"/>
  <c r="J64" i="8" s="1"/>
  <c r="I68" i="8"/>
  <c r="J68" i="8" s="1"/>
  <c r="I69" i="8"/>
  <c r="J69" i="8" s="1"/>
  <c r="I71" i="8"/>
  <c r="J71" i="8" s="1"/>
  <c r="I73" i="8"/>
  <c r="J73" i="8" s="1"/>
  <c r="I7" i="5"/>
  <c r="I74" i="5" s="1"/>
  <c r="J7" i="5"/>
  <c r="J73" i="5"/>
  <c r="J69" i="5"/>
  <c r="J61" i="5"/>
  <c r="J57" i="5"/>
  <c r="J49" i="5"/>
  <c r="J45" i="5"/>
  <c r="J41" i="5"/>
  <c r="J37" i="5"/>
  <c r="J33" i="5"/>
  <c r="J25" i="5"/>
  <c r="J13" i="5"/>
  <c r="J71" i="5"/>
  <c r="J63" i="5"/>
  <c r="J55" i="5"/>
  <c r="J47" i="5"/>
  <c r="J43" i="5"/>
  <c r="J35" i="5"/>
  <c r="J31" i="5"/>
  <c r="J27" i="5"/>
  <c r="J23" i="5"/>
  <c r="J19" i="5"/>
  <c r="J68" i="5"/>
  <c r="J64" i="5"/>
  <c r="J58" i="5"/>
  <c r="J50" i="5"/>
  <c r="J48" i="5"/>
  <c r="J46" i="5"/>
  <c r="J44" i="5"/>
  <c r="J42" i="5"/>
  <c r="J38" i="5"/>
  <c r="J36" i="5"/>
  <c r="J34" i="5"/>
  <c r="J32" i="5"/>
  <c r="J30" i="5"/>
  <c r="J28" i="5"/>
  <c r="J26" i="5"/>
  <c r="J20" i="5"/>
  <c r="J18" i="5"/>
  <c r="J16" i="5"/>
  <c r="J14" i="5"/>
  <c r="J12" i="5"/>
  <c r="J10" i="5"/>
  <c r="J8" i="5"/>
  <c r="J6" i="5"/>
  <c r="J2" i="5"/>
  <c r="I74" i="8" l="1"/>
  <c r="J74" i="5"/>
  <c r="J32" i="8"/>
  <c r="J74" i="8" s="1"/>
</calcChain>
</file>

<file path=xl/sharedStrings.xml><?xml version="1.0" encoding="utf-8"?>
<sst xmlns="http://schemas.openxmlformats.org/spreadsheetml/2006/main" count="618" uniqueCount="105">
  <si>
    <t>Taxable</t>
  </si>
  <si>
    <t>COM</t>
  </si>
  <si>
    <t>Wellness Center Inc</t>
  </si>
  <si>
    <t>Sandia Oil Company Inc.</t>
  </si>
  <si>
    <t>Pinon Pizza Edge</t>
  </si>
  <si>
    <t>GOV</t>
  </si>
  <si>
    <t>NPROFIT</t>
  </si>
  <si>
    <t>Pinon Clinic X-ray</t>
  </si>
  <si>
    <t>Assembly Of God Church</t>
  </si>
  <si>
    <t>CIT Apartment Complex</t>
  </si>
  <si>
    <t>The Nazarene Church</t>
  </si>
  <si>
    <t>Cedar School</t>
  </si>
  <si>
    <t>Accent Landscaping</t>
  </si>
  <si>
    <t>Citizens Frontier</t>
  </si>
  <si>
    <t>JWJ Mobile Home Park</t>
  </si>
  <si>
    <t>Spot Free Power Wash</t>
  </si>
  <si>
    <t>Red Lake Chapter</t>
  </si>
  <si>
    <t>FDIHS</t>
  </si>
  <si>
    <t>Old Peabody TC</t>
  </si>
  <si>
    <t>Church of Christ</t>
  </si>
  <si>
    <t>Chevron Station</t>
  </si>
  <si>
    <t>Van's Trading Laundromat</t>
  </si>
  <si>
    <t>Van's Trailer Court</t>
  </si>
  <si>
    <t>Yes</t>
  </si>
  <si>
    <t>No</t>
  </si>
  <si>
    <t>Sunnyday Day Care</t>
  </si>
  <si>
    <t>Pinon Housing</t>
  </si>
  <si>
    <t>Pic and Gun</t>
  </si>
  <si>
    <t>Chaleta Apartments</t>
  </si>
  <si>
    <t>1st Baptist Church</t>
  </si>
  <si>
    <t>Elmor construction</t>
  </si>
  <si>
    <t xml:space="preserve">Watsons Hall </t>
  </si>
  <si>
    <t>6-12 Trailer Court</t>
  </si>
  <si>
    <t>David Henry Elementary</t>
  </si>
  <si>
    <t>Pays Inn</t>
  </si>
  <si>
    <t>Blanding Stake</t>
  </si>
  <si>
    <t xml:space="preserve">Red Mesa Express </t>
  </si>
  <si>
    <t>WRABC</t>
  </si>
  <si>
    <t>Inscription House Irrigation</t>
  </si>
  <si>
    <t xml:space="preserve">Huge Global Industries </t>
  </si>
  <si>
    <t>Housing Agency</t>
  </si>
  <si>
    <t>Eastmoon Petroleum</t>
  </si>
  <si>
    <t xml:space="preserve">Huge Industries </t>
  </si>
  <si>
    <t>Speedy's</t>
  </si>
  <si>
    <t>DNA Office Complex</t>
  </si>
  <si>
    <t>Eagle Rock Professional Building</t>
  </si>
  <si>
    <t>Window Pebble Apartments</t>
  </si>
  <si>
    <t>Snowy PM Group</t>
  </si>
  <si>
    <t>NM State Highway</t>
  </si>
  <si>
    <t>Shipreck Burger King</t>
  </si>
  <si>
    <t>CFK</t>
  </si>
  <si>
    <t>NAPI Block Apartments</t>
  </si>
  <si>
    <t>Crown High School</t>
  </si>
  <si>
    <t>Red Mesa Diner</t>
  </si>
  <si>
    <t>Pure Lake Building</t>
  </si>
  <si>
    <t>Springs Trading Post</t>
  </si>
  <si>
    <t>Tax Rate</t>
  </si>
  <si>
    <t xml:space="preserve">Evan Carter Center Inc </t>
  </si>
  <si>
    <t xml:space="preserve">American Painting </t>
  </si>
  <si>
    <t>O B Trailer Service</t>
  </si>
  <si>
    <t>Department of Agriculture</t>
  </si>
  <si>
    <t>9-12 Laundromat</t>
  </si>
  <si>
    <t>Commision of Children and Youth</t>
  </si>
  <si>
    <t>Bulger Irrigation department</t>
  </si>
  <si>
    <t>Magore High School</t>
  </si>
  <si>
    <t>Energy Resources Board</t>
  </si>
  <si>
    <t>Tema Health Clinic</t>
  </si>
  <si>
    <t>Environmental Quality</t>
  </si>
  <si>
    <t>Agnew Avenue Church</t>
  </si>
  <si>
    <t>Amity Church</t>
  </si>
  <si>
    <t>Balboo Mission</t>
  </si>
  <si>
    <t xml:space="preserve">Ed's Trading Post </t>
  </si>
  <si>
    <t>Veterans Center</t>
  </si>
  <si>
    <t>SD Natural Gas Company</t>
  </si>
  <si>
    <t>PHS Irrigation</t>
  </si>
  <si>
    <t xml:space="preserve"> Robson Bakery </t>
  </si>
  <si>
    <t>Business Affairs</t>
  </si>
  <si>
    <t>Press City PHS</t>
  </si>
  <si>
    <t>Amarillo Trailer Park</t>
  </si>
  <si>
    <t>Cust Type</t>
  </si>
  <si>
    <t>Bill Waived</t>
  </si>
  <si>
    <t>Billing Year</t>
  </si>
  <si>
    <t>Gal Used</t>
  </si>
  <si>
    <t>Type</t>
  </si>
  <si>
    <t>Bill Rate</t>
  </si>
  <si>
    <t>Customer Name</t>
  </si>
  <si>
    <t>Com</t>
  </si>
  <si>
    <t>Created by:</t>
  </si>
  <si>
    <t>Nick Petty</t>
  </si>
  <si>
    <t>Date begun:</t>
  </si>
  <si>
    <t>Date completed:</t>
  </si>
  <si>
    <t>Problem #</t>
  </si>
  <si>
    <t>GalBilled</t>
  </si>
  <si>
    <t>WaterBill</t>
  </si>
  <si>
    <t>Tax</t>
  </si>
  <si>
    <t>TotalBill</t>
  </si>
  <si>
    <t>Totals</t>
  </si>
  <si>
    <t>Customer Type</t>
  </si>
  <si>
    <t>Nbr Customers</t>
  </si>
  <si>
    <t>Avg Gallons Used</t>
  </si>
  <si>
    <t>Total Billed</t>
  </si>
  <si>
    <t>Commercial</t>
  </si>
  <si>
    <t>Nonprofit</t>
  </si>
  <si>
    <t>Government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</si>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</sst>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</numFmts>
  <fonts count="3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3" fontId="0" fillId="0" borderId="0" xfId="0" applyNumberFormat="1"/>
    <xf numFmtId="3" fontId="2" fillId="0" borderId="0" xfId="0" applyNumberFormat="1" applyFont="1" applyAlignment="1">
      <alignment horizontal="center"/>
    </xf>
    <xf numFmtId="44" fontId="0" fillId="0" borderId="0" xfId="0" applyNumberFormat="1"/>
    <xf numFmtId="4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44" fontId="0" fillId="0" borderId="1" xfId="0" applyNumberFormat="1" applyBorder="1"/>
  </cellXfs>
  <cellStyles count="2">
    <cellStyle name="Normal" xfId="0" builtinId="0"/>
    <cellStyle name="Percent" xfId="1" builtinId="5"/>
  </cellStyles>
  <dxfs count="27">
    <dxf>
      <font>
        <color rgb="FF9C6500"/>
      </font>
      <fill>
        <patternFill>
          <bgColor rgb="FFFFEB9C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" formatCode="#,##0"/>
    </dxf>
    <dxf>
      <numFmt numFmtId="3" formatCode="#,##0"/>
    </dxf>
    <dxf>
      <numFmt numFmtId="1" formatCode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" formatCode="#,##0"/>
    </dxf>
    <dxf>
      <numFmt numFmtId="3" formatCode="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WaterData" displayName="WaterData" ref="A1:J74" totalsRowCount="1" headerRowDxfId="26">
  <autoFilter ref="A1:J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Customer Name" totalsRowLabel="Totals"/>
    <tableColumn id="2" name="Cust Type"/>
    <tableColumn id="3" name="Bill Waived"/>
    <tableColumn id="4" name="Taxable"/>
    <tableColumn id="5" name="Billing Year" dataDxfId="25" totalsRowDxfId="19"/>
    <tableColumn id="6" name="Gal Used" totalsRowFunction="sum" dataDxfId="24" totalsRowDxfId="18"/>
    <tableColumn id="7" name="GalBilled" totalsRowFunction="sum" dataDxfId="23" totalsRowDxfId="17">
      <calculatedColumnFormula>_xlfn.IFS(WaterData[[#This Row],[Bill Waived]]="Yes",0,WaterData[[#This Row],[Gal Used]]&lt;27000,0,TRUE,WaterData[[#This Row],[Gal Used]])</calculatedColumnFormula>
    </tableColumn>
    <tableColumn id="8" name="WaterBill" dataDxfId="22" totalsRowDxfId="16">
      <calculatedColumnFormula>HLOOKUP(WaterData[[#This Row],[Cust Type]],TypeRate,2,FALSE)*(ROUNDDOWN(WaterData[[#This Row],[GalBilled]], -3)/1000)</calculatedColumnFormula>
    </tableColumn>
    <tableColumn id="9" name="Tax" totalsRowFunction="sum" dataDxfId="21" totalsRowDxfId="15">
      <calculatedColumnFormula>IF(WaterData[[#This Row],[Taxable]]="Yes",WaterData[[#This Row],[WaterBill]]*$Q$1,0)</calculatedColumnFormula>
    </tableColumn>
    <tableColumn id="10" name="TotalBill" totalsRowFunction="sum" dataDxfId="20" totalsRowDxfId="14">
      <calculatedColumnFormula>WaterData[[#This Row],[WaterBill]]+WaterData[[#This Row],[Tax]]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WaterData3" displayName="WaterData3" ref="A1:J74" totalsRowCount="1" headerRowDxfId="13">
  <autoFilter ref="A1:J7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>
      <top10 percent="1" val="15" filterVal="1856.79"/>
    </filterColumn>
  </autoFilter>
  <tableColumns count="10">
    <tableColumn id="1" name="Customer Name" totalsRowLabel="Totals"/>
    <tableColumn id="2" name="Cust Type"/>
    <tableColumn id="3" name="Bill Waived"/>
    <tableColumn id="4" name="Taxable"/>
    <tableColumn id="5" name="Billing Year" dataDxfId="11" totalsRowDxfId="12"/>
    <tableColumn id="6" name="Gal Used" totalsRowFunction="sum" dataDxfId="9" totalsRowDxfId="10"/>
    <tableColumn id="7" name="GalBilled" totalsRowFunction="sum" dataDxfId="7" totalsRowDxfId="8">
      <calculatedColumnFormula>_xlfn.IFS(WaterData3[[#This Row],[Bill Waived]]="Yes",0,WaterData3[[#This Row],[Gal Used]]&lt;27000,0,TRUE,WaterData3[[#This Row],[Gal Used]])</calculatedColumnFormula>
    </tableColumn>
    <tableColumn id="8" name="WaterBill" dataDxfId="5" totalsRowDxfId="6">
      <calculatedColumnFormula>HLOOKUP(WaterData3[[#This Row],[Cust Type]],TypeRate,2,FALSE)*(ROUNDDOWN(WaterData3[[#This Row],[GalBilled]], -3)/1000)</calculatedColumnFormula>
    </tableColumn>
    <tableColumn id="9" name="Tax" totalsRowFunction="sum" dataDxfId="3" totalsRowDxfId="4">
      <calculatedColumnFormula>IF(WaterData3[[#This Row],[Taxable]]="Yes",WaterData3[[#This Row],[WaterBill]]*$Q$1,0)</calculatedColumnFormula>
    </tableColumn>
    <tableColumn id="10" name="TotalBill" totalsRowFunction="sum" dataDxfId="1" totalsRowDxfId="2">
      <calculatedColumnFormula>WaterData3[[#This Row],[WaterBill]]+WaterData3[[#This Row],[Tax]]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/>
  </sheetViews>
  <sheetFormatPr defaultRowHeight="12.75" x14ac:dyDescent="0.2"/>
  <cols>
    <col min="1" max="1" width="15.28515625" bestFit="1" customWidth="1"/>
    <col min="2" max="2" width="9.5703125" bestFit="1" customWidth="1"/>
  </cols>
  <sheetData>
    <row r="3" spans="1:2" x14ac:dyDescent="0.2">
      <c r="A3" t="s">
        <v>91</v>
      </c>
      <c r="B3">
        <v>2</v>
      </c>
    </row>
    <row r="4" spans="1:2" x14ac:dyDescent="0.2">
      <c r="A4" t="s">
        <v>87</v>
      </c>
      <c r="B4" t="s">
        <v>88</v>
      </c>
    </row>
    <row r="5" spans="1:2" x14ac:dyDescent="0.2">
      <c r="A5" t="s">
        <v>90</v>
      </c>
      <c r="B5" s="6">
        <f ca="1">TODAY()</f>
        <v>42557</v>
      </c>
    </row>
    <row r="6" spans="1:2" x14ac:dyDescent="0.2">
      <c r="A6" t="s">
        <v>89</v>
      </c>
      <c r="B6" s="6">
        <v>42557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2.75" x14ac:dyDescent="0.2"/>
  <cols>
    <col min="1" max="1" width="30.28515625" bestFit="1" customWidth="1"/>
    <col min="2" max="2" width="13.28515625" customWidth="1"/>
    <col min="3" max="3" width="14.5703125" customWidth="1"/>
    <col min="4" max="4" width="11.42578125" customWidth="1"/>
    <col min="5" max="5" width="14.7109375" customWidth="1"/>
    <col min="6" max="7" width="11.5703125" customWidth="1"/>
    <col min="8" max="8" width="11.7109375" bestFit="1" customWidth="1"/>
    <col min="9" max="9" width="11.85546875" bestFit="1" customWidth="1"/>
    <col min="10" max="10" width="13" bestFit="1" customWidth="1"/>
  </cols>
  <sheetData>
    <row r="1" spans="1:17" s="2" customFormat="1" x14ac:dyDescent="0.2">
      <c r="A1" s="2" t="s">
        <v>85</v>
      </c>
      <c r="B1" s="2" t="s">
        <v>79</v>
      </c>
      <c r="C1" s="2" t="s">
        <v>80</v>
      </c>
      <c r="D1" s="2" t="s">
        <v>0</v>
      </c>
      <c r="E1" s="2" t="s">
        <v>81</v>
      </c>
      <c r="F1" s="8" t="s">
        <v>82</v>
      </c>
      <c r="G1" s="8" t="s">
        <v>92</v>
      </c>
      <c r="H1" s="10" t="s">
        <v>93</v>
      </c>
      <c r="I1" s="10" t="s">
        <v>94</v>
      </c>
      <c r="J1" s="10" t="s">
        <v>95</v>
      </c>
      <c r="P1" t="s">
        <v>56</v>
      </c>
      <c r="Q1" s="1">
        <v>3.5000000000000003E-2</v>
      </c>
    </row>
    <row r="2" spans="1:17" x14ac:dyDescent="0.2">
      <c r="A2" t="s">
        <v>16</v>
      </c>
      <c r="B2" t="s">
        <v>6</v>
      </c>
      <c r="C2" t="s">
        <v>24</v>
      </c>
      <c r="D2" t="s">
        <v>23</v>
      </c>
      <c r="E2" s="5">
        <v>2013</v>
      </c>
      <c r="F2" s="7">
        <v>108300</v>
      </c>
      <c r="G2" s="7">
        <f>_xlfn.IFS(WaterData[[#This Row],[Bill Waived]]="Yes",0,WaterData[[#This Row],[Gal Used]]&lt;27000,0,TRUE,WaterData[[#This Row],[Gal Used]])</f>
        <v>108300</v>
      </c>
      <c r="H2" s="9">
        <f>HLOOKUP(WaterData[[#This Row],[Cust Type]],TypeRate,2,FALSE)*(ROUNDDOWN(WaterData[[#This Row],[GalBilled]], -3)/1000)</f>
        <v>216</v>
      </c>
      <c r="I2" s="9">
        <f>IF(WaterData[[#This Row],[Taxable]]="Yes",WaterData[[#This Row],[WaterBill]]*$Q$1,0)</f>
        <v>7.5600000000000005</v>
      </c>
      <c r="J2" s="9">
        <f>WaterData[[#This Row],[WaterBill]]+WaterData[[#This Row],[Tax]]</f>
        <v>223.56</v>
      </c>
    </row>
    <row r="3" spans="1:17" x14ac:dyDescent="0.2">
      <c r="A3" t="s">
        <v>69</v>
      </c>
      <c r="B3" t="s">
        <v>6</v>
      </c>
      <c r="C3" t="s">
        <v>23</v>
      </c>
      <c r="D3" t="s">
        <v>24</v>
      </c>
      <c r="E3" s="5">
        <v>2013</v>
      </c>
      <c r="F3" s="7">
        <v>55160</v>
      </c>
      <c r="G3" s="7">
        <f>_xlfn.IFS(WaterData[[#This Row],[Bill Waived]]="Yes",0,WaterData[[#This Row],[Gal Used]]&lt;27000,0,TRUE,WaterData[[#This Row],[Gal Used]])</f>
        <v>0</v>
      </c>
      <c r="H3" s="9">
        <f>HLOOKUP(WaterData[[#This Row],[Cust Type]],TypeRate,2,FALSE)*(ROUNDDOWN(WaterData[[#This Row],[GalBilled]], -3)/1000)</f>
        <v>0</v>
      </c>
      <c r="I3" s="9">
        <f>IF(WaterData[[#This Row],[Taxable]]="Yes",WaterData[[#This Row],[WaterBill]]*$Q$1,0)</f>
        <v>0</v>
      </c>
      <c r="J3" s="9">
        <f>WaterData[[#This Row],[WaterBill]]+WaterData[[#This Row],[Tax]]</f>
        <v>0</v>
      </c>
    </row>
    <row r="4" spans="1:17" x14ac:dyDescent="0.2">
      <c r="A4" t="s">
        <v>19</v>
      </c>
      <c r="B4" t="s">
        <v>6</v>
      </c>
      <c r="C4" t="s">
        <v>23</v>
      </c>
      <c r="D4" t="s">
        <v>24</v>
      </c>
      <c r="E4" s="5">
        <v>2013</v>
      </c>
      <c r="F4" s="7">
        <v>32430</v>
      </c>
      <c r="G4" s="7">
        <f>_xlfn.IFS(WaterData[[#This Row],[Bill Waived]]="Yes",0,WaterData[[#This Row],[Gal Used]]&lt;27000,0,TRUE,WaterData[[#This Row],[Gal Used]])</f>
        <v>0</v>
      </c>
      <c r="H4" s="9">
        <f>HLOOKUP(WaterData[[#This Row],[Cust Type]],TypeRate,2,FALSE)*(ROUNDDOWN(WaterData[[#This Row],[GalBilled]], -3)/1000)</f>
        <v>0</v>
      </c>
      <c r="I4" s="9">
        <f>IF(WaterData[[#This Row],[Taxable]]="Yes",WaterData[[#This Row],[WaterBill]]*$Q$1,0)</f>
        <v>0</v>
      </c>
      <c r="J4" s="9">
        <f>WaterData[[#This Row],[WaterBill]]+WaterData[[#This Row],[Tax]]</f>
        <v>0</v>
      </c>
    </row>
    <row r="5" spans="1:17" x14ac:dyDescent="0.2">
      <c r="A5" t="s">
        <v>48</v>
      </c>
      <c r="B5" t="s">
        <v>5</v>
      </c>
      <c r="C5" t="s">
        <v>24</v>
      </c>
      <c r="D5" t="s">
        <v>24</v>
      </c>
      <c r="E5" s="5">
        <v>2013</v>
      </c>
      <c r="F5" s="7">
        <v>195660</v>
      </c>
      <c r="G5" s="7">
        <f>_xlfn.IFS(WaterData[[#This Row],[Bill Waived]]="Yes",0,WaterData[[#This Row],[Gal Used]]&lt;27000,0,TRUE,WaterData[[#This Row],[Gal Used]])</f>
        <v>195660</v>
      </c>
      <c r="H5" s="9">
        <f>HLOOKUP(WaterData[[#This Row],[Cust Type]],TypeRate,2,FALSE)*(ROUNDDOWN(WaterData[[#This Row],[GalBilled]], -3)/1000)</f>
        <v>341.25</v>
      </c>
      <c r="I5" s="9">
        <f>IF(WaterData[[#This Row],[Taxable]]="Yes",WaterData[[#This Row],[WaterBill]]*$Q$1,0)</f>
        <v>0</v>
      </c>
      <c r="J5" s="9">
        <f>WaterData[[#This Row],[WaterBill]]+WaterData[[#This Row],[Tax]]</f>
        <v>341.25</v>
      </c>
    </row>
    <row r="6" spans="1:17" x14ac:dyDescent="0.2">
      <c r="A6" t="s">
        <v>15</v>
      </c>
      <c r="B6" t="s">
        <v>1</v>
      </c>
      <c r="C6" t="s">
        <v>24</v>
      </c>
      <c r="D6" t="s">
        <v>23</v>
      </c>
      <c r="E6" s="5">
        <v>2013</v>
      </c>
      <c r="F6" s="7">
        <v>281200</v>
      </c>
      <c r="G6" s="7">
        <f>_xlfn.IFS(WaterData[[#This Row],[Bill Waived]]="Yes",0,WaterData[[#This Row],[Gal Used]]&lt;27000,0,TRUE,WaterData[[#This Row],[Gal Used]])</f>
        <v>281200</v>
      </c>
      <c r="H6" s="9">
        <f>HLOOKUP(WaterData[[#This Row],[Cust Type]],TypeRate,2,FALSE)*(ROUNDDOWN(WaterData[[#This Row],[GalBilled]], -3)/1000)</f>
        <v>843</v>
      </c>
      <c r="I6" s="9">
        <f>IF(WaterData[[#This Row],[Taxable]]="Yes",WaterData[[#This Row],[WaterBill]]*$Q$1,0)</f>
        <v>29.505000000000003</v>
      </c>
      <c r="J6" s="9">
        <f>WaterData[[#This Row],[WaterBill]]+WaterData[[#This Row],[Tax]]</f>
        <v>872.505</v>
      </c>
    </row>
    <row r="7" spans="1:17" x14ac:dyDescent="0.2">
      <c r="A7" t="s">
        <v>35</v>
      </c>
      <c r="B7" t="s">
        <v>6</v>
      </c>
      <c r="C7" t="s">
        <v>23</v>
      </c>
      <c r="D7" t="s">
        <v>23</v>
      </c>
      <c r="E7" s="5">
        <v>2013</v>
      </c>
      <c r="F7" s="7">
        <v>238200</v>
      </c>
      <c r="G7" s="7">
        <f>_xlfn.IFS(WaterData[[#This Row],[Bill Waived]]="Yes",0,WaterData[[#This Row],[Gal Used]]&lt;27000,0,TRUE,WaterData[[#This Row],[Gal Used]])</f>
        <v>0</v>
      </c>
      <c r="H7" s="9">
        <f>HLOOKUP(WaterData[[#This Row],[Cust Type]],TypeRate,2,FALSE)*(ROUNDDOWN(WaterData[[#This Row],[GalBilled]], -3)/1000)</f>
        <v>0</v>
      </c>
      <c r="I7" s="9">
        <f>IF(WaterData[[#This Row],[Taxable]]="Yes",WaterData[[#This Row],[WaterBill]]*$Q$1,0)</f>
        <v>0</v>
      </c>
      <c r="J7" s="9">
        <f>WaterData[[#This Row],[WaterBill]]+WaterData[[#This Row],[Tax]]</f>
        <v>0</v>
      </c>
    </row>
    <row r="8" spans="1:17" x14ac:dyDescent="0.2">
      <c r="A8" t="s">
        <v>9</v>
      </c>
      <c r="B8" t="s">
        <v>1</v>
      </c>
      <c r="C8" t="s">
        <v>24</v>
      </c>
      <c r="D8" t="s">
        <v>23</v>
      </c>
      <c r="E8" s="5">
        <v>2013</v>
      </c>
      <c r="F8" s="7">
        <v>257000</v>
      </c>
      <c r="G8" s="7">
        <f>_xlfn.IFS(WaterData[[#This Row],[Bill Waived]]="Yes",0,WaterData[[#This Row],[Gal Used]]&lt;27000,0,TRUE,WaterData[[#This Row],[Gal Used]])</f>
        <v>257000</v>
      </c>
      <c r="H8" s="9">
        <f>HLOOKUP(WaterData[[#This Row],[Cust Type]],TypeRate,2,FALSE)*(ROUNDDOWN(WaterData[[#This Row],[GalBilled]], -3)/1000)</f>
        <v>771</v>
      </c>
      <c r="I8" s="9">
        <f>IF(WaterData[[#This Row],[Taxable]]="Yes",WaterData[[#This Row],[WaterBill]]*$Q$1,0)</f>
        <v>26.985000000000003</v>
      </c>
      <c r="J8" s="9">
        <f>WaterData[[#This Row],[WaterBill]]+WaterData[[#This Row],[Tax]]</f>
        <v>797.98500000000001</v>
      </c>
    </row>
    <row r="9" spans="1:17" x14ac:dyDescent="0.2">
      <c r="A9" t="s">
        <v>40</v>
      </c>
      <c r="B9" t="s">
        <v>5</v>
      </c>
      <c r="C9" t="s">
        <v>24</v>
      </c>
      <c r="D9" t="s">
        <v>24</v>
      </c>
      <c r="E9" s="5">
        <v>2013</v>
      </c>
      <c r="F9" s="7">
        <v>23300</v>
      </c>
      <c r="G9" s="7">
        <f>_xlfn.IFS(WaterData[[#This Row],[Bill Waived]]="Yes",0,WaterData[[#This Row],[Gal Used]]&lt;27000,0,TRUE,WaterData[[#This Row],[Gal Used]])</f>
        <v>0</v>
      </c>
      <c r="H9" s="9">
        <f>HLOOKUP(WaterData[[#This Row],[Cust Type]],TypeRate,2,FALSE)*(ROUNDDOWN(WaterData[[#This Row],[GalBilled]], -3)/1000)</f>
        <v>0</v>
      </c>
      <c r="I9" s="9">
        <f>IF(WaterData[[#This Row],[Taxable]]="Yes",WaterData[[#This Row],[WaterBill]]*$Q$1,0)</f>
        <v>0</v>
      </c>
      <c r="J9" s="9">
        <f>WaterData[[#This Row],[WaterBill]]+WaterData[[#This Row],[Tax]]</f>
        <v>0</v>
      </c>
    </row>
    <row r="10" spans="1:17" x14ac:dyDescent="0.2">
      <c r="A10" t="s">
        <v>4</v>
      </c>
      <c r="B10" t="s">
        <v>1</v>
      </c>
      <c r="C10" t="s">
        <v>24</v>
      </c>
      <c r="D10" t="s">
        <v>23</v>
      </c>
      <c r="E10" s="5">
        <v>2013</v>
      </c>
      <c r="F10" s="7">
        <v>81110</v>
      </c>
      <c r="G10" s="7">
        <f>_xlfn.IFS(WaterData[[#This Row],[Bill Waived]]="Yes",0,WaterData[[#This Row],[Gal Used]]&lt;27000,0,TRUE,WaterData[[#This Row],[Gal Used]])</f>
        <v>81110</v>
      </c>
      <c r="H10" s="9">
        <f>HLOOKUP(WaterData[[#This Row],[Cust Type]],TypeRate,2,FALSE)*(ROUNDDOWN(WaterData[[#This Row],[GalBilled]], -3)/1000)</f>
        <v>243</v>
      </c>
      <c r="I10" s="9">
        <f>IF(WaterData[[#This Row],[Taxable]]="Yes",WaterData[[#This Row],[WaterBill]]*$Q$1,0)</f>
        <v>8.5050000000000008</v>
      </c>
      <c r="J10" s="9">
        <f>WaterData[[#This Row],[WaterBill]]+WaterData[[#This Row],[Tax]]</f>
        <v>251.505</v>
      </c>
    </row>
    <row r="11" spans="1:17" x14ac:dyDescent="0.2">
      <c r="A11" t="s">
        <v>60</v>
      </c>
      <c r="B11" t="s">
        <v>5</v>
      </c>
      <c r="C11" t="s">
        <v>24</v>
      </c>
      <c r="D11" t="s">
        <v>24</v>
      </c>
      <c r="E11" s="5">
        <v>2013</v>
      </c>
      <c r="F11" s="7">
        <v>2783000</v>
      </c>
      <c r="G11" s="7">
        <f>_xlfn.IFS(WaterData[[#This Row],[Bill Waived]]="Yes",0,WaterData[[#This Row],[Gal Used]]&lt;27000,0,TRUE,WaterData[[#This Row],[Gal Used]])</f>
        <v>2783000</v>
      </c>
      <c r="H11" s="9">
        <f>HLOOKUP(WaterData[[#This Row],[Cust Type]],TypeRate,2,FALSE)*(ROUNDDOWN(WaterData[[#This Row],[GalBilled]], -3)/1000)</f>
        <v>4870.25</v>
      </c>
      <c r="I11" s="9">
        <f>IF(WaterData[[#This Row],[Taxable]]="Yes",WaterData[[#This Row],[WaterBill]]*$Q$1,0)</f>
        <v>0</v>
      </c>
      <c r="J11" s="9">
        <f>WaterData[[#This Row],[WaterBill]]+WaterData[[#This Row],[Tax]]</f>
        <v>4870.25</v>
      </c>
    </row>
    <row r="12" spans="1:17" x14ac:dyDescent="0.2">
      <c r="A12" t="s">
        <v>20</v>
      </c>
      <c r="B12" t="s">
        <v>1</v>
      </c>
      <c r="C12" t="s">
        <v>24</v>
      </c>
      <c r="D12" t="s">
        <v>23</v>
      </c>
      <c r="E12" s="5">
        <v>2013</v>
      </c>
      <c r="F12" s="7">
        <v>1131600</v>
      </c>
      <c r="G12" s="7">
        <f>_xlfn.IFS(WaterData[[#This Row],[Bill Waived]]="Yes",0,WaterData[[#This Row],[Gal Used]]&lt;27000,0,TRUE,WaterData[[#This Row],[Gal Used]])</f>
        <v>1131600</v>
      </c>
      <c r="H12" s="9">
        <f>HLOOKUP(WaterData[[#This Row],[Cust Type]],TypeRate,2,FALSE)*(ROUNDDOWN(WaterData[[#This Row],[GalBilled]], -3)/1000)</f>
        <v>3393</v>
      </c>
      <c r="I12" s="9">
        <f>IF(WaterData[[#This Row],[Taxable]]="Yes",WaterData[[#This Row],[WaterBill]]*$Q$1,0)</f>
        <v>118.75500000000001</v>
      </c>
      <c r="J12" s="9">
        <f>WaterData[[#This Row],[WaterBill]]+WaterData[[#This Row],[Tax]]</f>
        <v>3511.7550000000001</v>
      </c>
    </row>
    <row r="13" spans="1:17" x14ac:dyDescent="0.2">
      <c r="A13" t="s">
        <v>59</v>
      </c>
      <c r="B13" t="s">
        <v>1</v>
      </c>
      <c r="C13" t="s">
        <v>24</v>
      </c>
      <c r="D13" t="s">
        <v>23</v>
      </c>
      <c r="E13" s="5">
        <v>2013</v>
      </c>
      <c r="F13" s="7">
        <v>360800</v>
      </c>
      <c r="G13" s="7">
        <f>_xlfn.IFS(WaterData[[#This Row],[Bill Waived]]="Yes",0,WaterData[[#This Row],[Gal Used]]&lt;27000,0,TRUE,WaterData[[#This Row],[Gal Used]])</f>
        <v>360800</v>
      </c>
      <c r="H13" s="9">
        <f>HLOOKUP(WaterData[[#This Row],[Cust Type]],TypeRate,2,FALSE)*(ROUNDDOWN(WaterData[[#This Row],[GalBilled]], -3)/1000)</f>
        <v>1080</v>
      </c>
      <c r="I13" s="9">
        <f>IF(WaterData[[#This Row],[Taxable]]="Yes",WaterData[[#This Row],[WaterBill]]*$Q$1,0)</f>
        <v>37.800000000000004</v>
      </c>
      <c r="J13" s="9">
        <f>WaterData[[#This Row],[WaterBill]]+WaterData[[#This Row],[Tax]]</f>
        <v>1117.8</v>
      </c>
    </row>
    <row r="14" spans="1:17" x14ac:dyDescent="0.2">
      <c r="A14" t="s">
        <v>36</v>
      </c>
      <c r="B14" t="s">
        <v>1</v>
      </c>
      <c r="C14" t="s">
        <v>24</v>
      </c>
      <c r="D14" t="s">
        <v>23</v>
      </c>
      <c r="E14" s="5">
        <v>2013</v>
      </c>
      <c r="F14" s="7">
        <v>392600</v>
      </c>
      <c r="G14" s="7">
        <f>_xlfn.IFS(WaterData[[#This Row],[Bill Waived]]="Yes",0,WaterData[[#This Row],[Gal Used]]&lt;27000,0,TRUE,WaterData[[#This Row],[Gal Used]])</f>
        <v>392600</v>
      </c>
      <c r="H14" s="9">
        <f>HLOOKUP(WaterData[[#This Row],[Cust Type]],TypeRate,2,FALSE)*(ROUNDDOWN(WaterData[[#This Row],[GalBilled]], -3)/1000)</f>
        <v>1176</v>
      </c>
      <c r="I14" s="9">
        <f>IF(WaterData[[#This Row],[Taxable]]="Yes",WaterData[[#This Row],[WaterBill]]*$Q$1,0)</f>
        <v>41.160000000000004</v>
      </c>
      <c r="J14" s="9">
        <f>WaterData[[#This Row],[WaterBill]]+WaterData[[#This Row],[Tax]]</f>
        <v>1217.1600000000001</v>
      </c>
    </row>
    <row r="15" spans="1:17" x14ac:dyDescent="0.2">
      <c r="A15" t="s">
        <v>38</v>
      </c>
      <c r="B15" t="s">
        <v>5</v>
      </c>
      <c r="C15" t="s">
        <v>24</v>
      </c>
      <c r="D15" t="s">
        <v>24</v>
      </c>
      <c r="E15" s="5">
        <v>2013</v>
      </c>
      <c r="F15" s="7">
        <v>895300</v>
      </c>
      <c r="G15" s="7">
        <f>_xlfn.IFS(WaterData[[#This Row],[Bill Waived]]="Yes",0,WaterData[[#This Row],[Gal Used]]&lt;27000,0,TRUE,WaterData[[#This Row],[Gal Used]])</f>
        <v>895300</v>
      </c>
      <c r="H15" s="9">
        <f>HLOOKUP(WaterData[[#This Row],[Cust Type]],TypeRate,2,FALSE)*(ROUNDDOWN(WaterData[[#This Row],[GalBilled]], -3)/1000)</f>
        <v>1566.25</v>
      </c>
      <c r="I15" s="9">
        <f>IF(WaterData[[#This Row],[Taxable]]="Yes",WaterData[[#This Row],[WaterBill]]*$Q$1,0)</f>
        <v>0</v>
      </c>
      <c r="J15" s="9">
        <f>WaterData[[#This Row],[WaterBill]]+WaterData[[#This Row],[Tax]]</f>
        <v>1566.25</v>
      </c>
    </row>
    <row r="16" spans="1:17" x14ac:dyDescent="0.2">
      <c r="A16" t="s">
        <v>54</v>
      </c>
      <c r="B16" t="s">
        <v>1</v>
      </c>
      <c r="C16" t="s">
        <v>24</v>
      </c>
      <c r="D16" t="s">
        <v>23</v>
      </c>
      <c r="E16" s="5">
        <v>2013</v>
      </c>
      <c r="F16" s="7">
        <v>59240</v>
      </c>
      <c r="G16" s="7">
        <f>_xlfn.IFS(WaterData[[#This Row],[Bill Waived]]="Yes",0,WaterData[[#This Row],[Gal Used]]&lt;27000,0,TRUE,WaterData[[#This Row],[Gal Used]])</f>
        <v>59240</v>
      </c>
      <c r="H16" s="9">
        <f>HLOOKUP(WaterData[[#This Row],[Cust Type]],TypeRate,2,FALSE)*(ROUNDDOWN(WaterData[[#This Row],[GalBilled]], -3)/1000)</f>
        <v>177</v>
      </c>
      <c r="I16" s="9">
        <f>IF(WaterData[[#This Row],[Taxable]]="Yes",WaterData[[#This Row],[WaterBill]]*$Q$1,0)</f>
        <v>6.1950000000000003</v>
      </c>
      <c r="J16" s="9">
        <f>WaterData[[#This Row],[WaterBill]]+WaterData[[#This Row],[Tax]]</f>
        <v>183.19499999999999</v>
      </c>
    </row>
    <row r="17" spans="1:10" x14ac:dyDescent="0.2">
      <c r="A17" t="s">
        <v>8</v>
      </c>
      <c r="B17" t="s">
        <v>6</v>
      </c>
      <c r="C17" t="s">
        <v>23</v>
      </c>
      <c r="D17" t="s">
        <v>24</v>
      </c>
      <c r="E17" s="5">
        <v>2013</v>
      </c>
      <c r="F17" s="7">
        <v>41690</v>
      </c>
      <c r="G17" s="7">
        <f>_xlfn.IFS(WaterData[[#This Row],[Bill Waived]]="Yes",0,WaterData[[#This Row],[Gal Used]]&lt;27000,0,TRUE,WaterData[[#This Row],[Gal Used]])</f>
        <v>0</v>
      </c>
      <c r="H17" s="9">
        <f>HLOOKUP(WaterData[[#This Row],[Cust Type]],TypeRate,2,FALSE)*(ROUNDDOWN(WaterData[[#This Row],[GalBilled]], -3)/1000)</f>
        <v>0</v>
      </c>
      <c r="I17" s="9">
        <f>IF(WaterData[[#This Row],[Taxable]]="Yes",WaterData[[#This Row],[WaterBill]]*$Q$1,0)</f>
        <v>0</v>
      </c>
      <c r="J17" s="9">
        <f>WaterData[[#This Row],[WaterBill]]+WaterData[[#This Row],[Tax]]</f>
        <v>0</v>
      </c>
    </row>
    <row r="18" spans="1:10" x14ac:dyDescent="0.2">
      <c r="A18" t="s">
        <v>73</v>
      </c>
      <c r="B18" t="s">
        <v>1</v>
      </c>
      <c r="C18" t="s">
        <v>24</v>
      </c>
      <c r="D18" t="s">
        <v>23</v>
      </c>
      <c r="E18" s="5">
        <v>2013</v>
      </c>
      <c r="F18" s="7">
        <v>60870</v>
      </c>
      <c r="G18" s="7">
        <f>_xlfn.IFS(WaterData[[#This Row],[Bill Waived]]="Yes",0,WaterData[[#This Row],[Gal Used]]&lt;27000,0,TRUE,WaterData[[#This Row],[Gal Used]])</f>
        <v>60870</v>
      </c>
      <c r="H18" s="9">
        <f>HLOOKUP(WaterData[[#This Row],[Cust Type]],TypeRate,2,FALSE)*(ROUNDDOWN(WaterData[[#This Row],[GalBilled]], -3)/1000)</f>
        <v>180</v>
      </c>
      <c r="I18" s="9">
        <f>IF(WaterData[[#This Row],[Taxable]]="Yes",WaterData[[#This Row],[WaterBill]]*$Q$1,0)</f>
        <v>6.3000000000000007</v>
      </c>
      <c r="J18" s="9">
        <f>WaterData[[#This Row],[WaterBill]]+WaterData[[#This Row],[Tax]]</f>
        <v>186.3</v>
      </c>
    </row>
    <row r="19" spans="1:10" x14ac:dyDescent="0.2">
      <c r="A19" t="s">
        <v>43</v>
      </c>
      <c r="B19" t="s">
        <v>1</v>
      </c>
      <c r="C19" t="s">
        <v>24</v>
      </c>
      <c r="D19" t="s">
        <v>23</v>
      </c>
      <c r="E19" s="5">
        <v>2013</v>
      </c>
      <c r="F19" s="7">
        <v>34690</v>
      </c>
      <c r="G19" s="7">
        <f>_xlfn.IFS(WaterData[[#This Row],[Bill Waived]]="Yes",0,WaterData[[#This Row],[Gal Used]]&lt;27000,0,TRUE,WaterData[[#This Row],[Gal Used]])</f>
        <v>34690</v>
      </c>
      <c r="H19" s="9">
        <f>HLOOKUP(WaterData[[#This Row],[Cust Type]],TypeRate,2,FALSE)*(ROUNDDOWN(WaterData[[#This Row],[GalBilled]], -3)/1000)</f>
        <v>102</v>
      </c>
      <c r="I19" s="9">
        <f>IF(WaterData[[#This Row],[Taxable]]="Yes",WaterData[[#This Row],[WaterBill]]*$Q$1,0)</f>
        <v>3.5700000000000003</v>
      </c>
      <c r="J19" s="9">
        <f>WaterData[[#This Row],[WaterBill]]+WaterData[[#This Row],[Tax]]</f>
        <v>105.57</v>
      </c>
    </row>
    <row r="20" spans="1:10" x14ac:dyDescent="0.2">
      <c r="A20" t="s">
        <v>46</v>
      </c>
      <c r="B20" t="s">
        <v>5</v>
      </c>
      <c r="C20" t="s">
        <v>24</v>
      </c>
      <c r="D20" t="s">
        <v>23</v>
      </c>
      <c r="E20" s="5">
        <v>2013</v>
      </c>
      <c r="F20" s="7">
        <v>51790</v>
      </c>
      <c r="G20" s="7">
        <f>_xlfn.IFS(WaterData[[#This Row],[Bill Waived]]="Yes",0,WaterData[[#This Row],[Gal Used]]&lt;27000,0,TRUE,WaterData[[#This Row],[Gal Used]])</f>
        <v>51790</v>
      </c>
      <c r="H20" s="9">
        <f>HLOOKUP(WaterData[[#This Row],[Cust Type]],TypeRate,2,FALSE)*(ROUNDDOWN(WaterData[[#This Row],[GalBilled]], -3)/1000)</f>
        <v>89.25</v>
      </c>
      <c r="I20" s="9">
        <f>IF(WaterData[[#This Row],[Taxable]]="Yes",WaterData[[#This Row],[WaterBill]]*$Q$1,0)</f>
        <v>3.1237500000000002</v>
      </c>
      <c r="J20" s="9">
        <f>WaterData[[#This Row],[WaterBill]]+WaterData[[#This Row],[Tax]]</f>
        <v>92.373750000000001</v>
      </c>
    </row>
    <row r="21" spans="1:10" x14ac:dyDescent="0.2">
      <c r="A21" t="s">
        <v>77</v>
      </c>
      <c r="B21" t="s">
        <v>5</v>
      </c>
      <c r="C21" t="s">
        <v>24</v>
      </c>
      <c r="D21" t="s">
        <v>24</v>
      </c>
      <c r="E21" s="5">
        <v>2013</v>
      </c>
      <c r="F21" s="7">
        <v>3031700</v>
      </c>
      <c r="G21" s="7">
        <f>_xlfn.IFS(WaterData[[#This Row],[Bill Waived]]="Yes",0,WaterData[[#This Row],[Gal Used]]&lt;27000,0,TRUE,WaterData[[#This Row],[Gal Used]])</f>
        <v>3031700</v>
      </c>
      <c r="H21" s="9">
        <f>HLOOKUP(WaterData[[#This Row],[Cust Type]],TypeRate,2,FALSE)*(ROUNDDOWN(WaterData[[#This Row],[GalBilled]], -3)/1000)</f>
        <v>5304.25</v>
      </c>
      <c r="I21" s="9">
        <f>IF(WaterData[[#This Row],[Taxable]]="Yes",WaterData[[#This Row],[WaterBill]]*$Q$1,0)</f>
        <v>0</v>
      </c>
      <c r="J21" s="9">
        <f>WaterData[[#This Row],[WaterBill]]+WaterData[[#This Row],[Tax]]</f>
        <v>5304.25</v>
      </c>
    </row>
    <row r="22" spans="1:10" x14ac:dyDescent="0.2">
      <c r="A22" t="s">
        <v>52</v>
      </c>
      <c r="B22" t="s">
        <v>5</v>
      </c>
      <c r="C22" t="s">
        <v>24</v>
      </c>
      <c r="D22" t="s">
        <v>24</v>
      </c>
      <c r="E22" s="5">
        <v>2013</v>
      </c>
      <c r="F22" s="7">
        <v>990000</v>
      </c>
      <c r="G22" s="7">
        <f>_xlfn.IFS(WaterData[[#This Row],[Bill Waived]]="Yes",0,WaterData[[#This Row],[Gal Used]]&lt;27000,0,TRUE,WaterData[[#This Row],[Gal Used]])</f>
        <v>990000</v>
      </c>
      <c r="H22" s="9">
        <f>HLOOKUP(WaterData[[#This Row],[Cust Type]],TypeRate,2,FALSE)*(ROUNDDOWN(WaterData[[#This Row],[GalBilled]], -3)/1000)</f>
        <v>1732.5</v>
      </c>
      <c r="I22" s="9">
        <f>IF(WaterData[[#This Row],[Taxable]]="Yes",WaterData[[#This Row],[WaterBill]]*$Q$1,0)</f>
        <v>0</v>
      </c>
      <c r="J22" s="9">
        <f>WaterData[[#This Row],[WaterBill]]+WaterData[[#This Row],[Tax]]</f>
        <v>1732.5</v>
      </c>
    </row>
    <row r="23" spans="1:10" x14ac:dyDescent="0.2">
      <c r="A23" t="s">
        <v>31</v>
      </c>
      <c r="B23" t="s">
        <v>1</v>
      </c>
      <c r="C23" t="s">
        <v>24</v>
      </c>
      <c r="D23" t="s">
        <v>23</v>
      </c>
      <c r="E23" s="5">
        <v>2013</v>
      </c>
      <c r="F23" s="7">
        <v>82000</v>
      </c>
      <c r="G23" s="7">
        <f>_xlfn.IFS(WaterData[[#This Row],[Bill Waived]]="Yes",0,WaterData[[#This Row],[Gal Used]]&lt;27000,0,TRUE,WaterData[[#This Row],[Gal Used]])</f>
        <v>82000</v>
      </c>
      <c r="H23" s="9">
        <f>HLOOKUP(WaterData[[#This Row],[Cust Type]],TypeRate,2,FALSE)*(ROUNDDOWN(WaterData[[#This Row],[GalBilled]], -3)/1000)</f>
        <v>246</v>
      </c>
      <c r="I23" s="9">
        <f>IF(WaterData[[#This Row],[Taxable]]="Yes",WaterData[[#This Row],[WaterBill]]*$Q$1,0)</f>
        <v>8.6100000000000012</v>
      </c>
      <c r="J23" s="9">
        <f>WaterData[[#This Row],[WaterBill]]+WaterData[[#This Row],[Tax]]</f>
        <v>254.61</v>
      </c>
    </row>
    <row r="24" spans="1:10" x14ac:dyDescent="0.2">
      <c r="A24" t="s">
        <v>68</v>
      </c>
      <c r="B24" t="s">
        <v>6</v>
      </c>
      <c r="C24" t="s">
        <v>23</v>
      </c>
      <c r="D24" t="s">
        <v>24</v>
      </c>
      <c r="E24" s="5">
        <v>2013</v>
      </c>
      <c r="F24" s="7">
        <v>88840</v>
      </c>
      <c r="G24" s="7">
        <f>_xlfn.IFS(WaterData[[#This Row],[Bill Waived]]="Yes",0,WaterData[[#This Row],[Gal Used]]&lt;27000,0,TRUE,WaterData[[#This Row],[Gal Used]])</f>
        <v>0</v>
      </c>
      <c r="H24" s="9">
        <f>HLOOKUP(WaterData[[#This Row],[Cust Type]],TypeRate,2,FALSE)*(ROUNDDOWN(WaterData[[#This Row],[GalBilled]], -3)/1000)</f>
        <v>0</v>
      </c>
      <c r="I24" s="9">
        <f>IF(WaterData[[#This Row],[Taxable]]="Yes",WaterData[[#This Row],[WaterBill]]*$Q$1,0)</f>
        <v>0</v>
      </c>
      <c r="J24" s="9">
        <f>WaterData[[#This Row],[WaterBill]]+WaterData[[#This Row],[Tax]]</f>
        <v>0</v>
      </c>
    </row>
    <row r="25" spans="1:10" x14ac:dyDescent="0.2">
      <c r="A25" t="s">
        <v>12</v>
      </c>
      <c r="B25" t="s">
        <v>1</v>
      </c>
      <c r="C25" t="s">
        <v>24</v>
      </c>
      <c r="D25" t="s">
        <v>23</v>
      </c>
      <c r="E25" s="5">
        <v>2013</v>
      </c>
      <c r="F25" s="7">
        <v>319090</v>
      </c>
      <c r="G25" s="7">
        <f>_xlfn.IFS(WaterData[[#This Row],[Bill Waived]]="Yes",0,WaterData[[#This Row],[Gal Used]]&lt;27000,0,TRUE,WaterData[[#This Row],[Gal Used]])</f>
        <v>319090</v>
      </c>
      <c r="H25" s="9">
        <f>HLOOKUP(WaterData[[#This Row],[Cust Type]],TypeRate,2,FALSE)*(ROUNDDOWN(WaterData[[#This Row],[GalBilled]], -3)/1000)</f>
        <v>957</v>
      </c>
      <c r="I25" s="9">
        <f>IF(WaterData[[#This Row],[Taxable]]="Yes",WaterData[[#This Row],[WaterBill]]*$Q$1,0)</f>
        <v>33.495000000000005</v>
      </c>
      <c r="J25" s="9">
        <f>WaterData[[#This Row],[WaterBill]]+WaterData[[#This Row],[Tax]]</f>
        <v>990.495</v>
      </c>
    </row>
    <row r="26" spans="1:10" x14ac:dyDescent="0.2">
      <c r="A26" t="s">
        <v>58</v>
      </c>
      <c r="B26" t="s">
        <v>1</v>
      </c>
      <c r="C26" t="s">
        <v>24</v>
      </c>
      <c r="D26" t="s">
        <v>23</v>
      </c>
      <c r="E26" s="5">
        <v>2013</v>
      </c>
      <c r="F26" s="7">
        <v>332000</v>
      </c>
      <c r="G26" s="7">
        <f>_xlfn.IFS(WaterData[[#This Row],[Bill Waived]]="Yes",0,WaterData[[#This Row],[Gal Used]]&lt;27000,0,TRUE,WaterData[[#This Row],[Gal Used]])</f>
        <v>332000</v>
      </c>
      <c r="H26" s="9">
        <f>HLOOKUP(WaterData[[#This Row],[Cust Type]],TypeRate,2,FALSE)*(ROUNDDOWN(WaterData[[#This Row],[GalBilled]], -3)/1000)</f>
        <v>996</v>
      </c>
      <c r="I26" s="9">
        <f>IF(WaterData[[#This Row],[Taxable]]="Yes",WaterData[[#This Row],[WaterBill]]*$Q$1,0)</f>
        <v>34.860000000000007</v>
      </c>
      <c r="J26" s="9">
        <f>WaterData[[#This Row],[WaterBill]]+WaterData[[#This Row],[Tax]]</f>
        <v>1030.8599999999999</v>
      </c>
    </row>
    <row r="27" spans="1:10" x14ac:dyDescent="0.2">
      <c r="A27" t="s">
        <v>3</v>
      </c>
      <c r="B27" t="s">
        <v>1</v>
      </c>
      <c r="C27" t="s">
        <v>24</v>
      </c>
      <c r="D27" t="s">
        <v>23</v>
      </c>
      <c r="E27" s="5">
        <v>2013</v>
      </c>
      <c r="F27" s="7">
        <v>148590</v>
      </c>
      <c r="G27" s="7">
        <f>_xlfn.IFS(WaterData[[#This Row],[Bill Waived]]="Yes",0,WaterData[[#This Row],[Gal Used]]&lt;27000,0,TRUE,WaterData[[#This Row],[Gal Used]])</f>
        <v>148590</v>
      </c>
      <c r="H27" s="9">
        <f>HLOOKUP(WaterData[[#This Row],[Cust Type]],TypeRate,2,FALSE)*(ROUNDDOWN(WaterData[[#This Row],[GalBilled]], -3)/1000)</f>
        <v>444</v>
      </c>
      <c r="I27" s="9">
        <f>IF(WaterData[[#This Row],[Taxable]]="Yes",WaterData[[#This Row],[WaterBill]]*$Q$1,0)</f>
        <v>15.540000000000001</v>
      </c>
      <c r="J27" s="9">
        <f>WaterData[[#This Row],[WaterBill]]+WaterData[[#This Row],[Tax]]</f>
        <v>459.54</v>
      </c>
    </row>
    <row r="28" spans="1:10" x14ac:dyDescent="0.2">
      <c r="A28" t="s">
        <v>51</v>
      </c>
      <c r="B28" t="s">
        <v>1</v>
      </c>
      <c r="C28" t="s">
        <v>24</v>
      </c>
      <c r="D28" t="s">
        <v>23</v>
      </c>
      <c r="E28" s="5">
        <v>2013</v>
      </c>
      <c r="F28" s="7">
        <v>442400</v>
      </c>
      <c r="G28" s="7">
        <f>_xlfn.IFS(WaterData[[#This Row],[Bill Waived]]="Yes",0,WaterData[[#This Row],[Gal Used]]&lt;27000,0,TRUE,WaterData[[#This Row],[Gal Used]])</f>
        <v>442400</v>
      </c>
      <c r="H28" s="9">
        <f>HLOOKUP(WaterData[[#This Row],[Cust Type]],TypeRate,2,FALSE)*(ROUNDDOWN(WaterData[[#This Row],[GalBilled]], -3)/1000)</f>
        <v>1326</v>
      </c>
      <c r="I28" s="9">
        <f>IF(WaterData[[#This Row],[Taxable]]="Yes",WaterData[[#This Row],[WaterBill]]*$Q$1,0)</f>
        <v>46.410000000000004</v>
      </c>
      <c r="J28" s="9">
        <f>WaterData[[#This Row],[WaterBill]]+WaterData[[#This Row],[Tax]]</f>
        <v>1372.41</v>
      </c>
    </row>
    <row r="29" spans="1:10" x14ac:dyDescent="0.2">
      <c r="A29" t="s">
        <v>37</v>
      </c>
      <c r="B29" t="s">
        <v>5</v>
      </c>
      <c r="C29" t="s">
        <v>24</v>
      </c>
      <c r="D29" t="s">
        <v>24</v>
      </c>
      <c r="E29" s="5">
        <v>2013</v>
      </c>
      <c r="F29" s="7">
        <v>2020300</v>
      </c>
      <c r="G29" s="7">
        <f>_xlfn.IFS(WaterData[[#This Row],[Bill Waived]]="Yes",0,WaterData[[#This Row],[Gal Used]]&lt;27000,0,TRUE,WaterData[[#This Row],[Gal Used]])</f>
        <v>2020300</v>
      </c>
      <c r="H29" s="9">
        <f>HLOOKUP(WaterData[[#This Row],[Cust Type]],TypeRate,2,FALSE)*(ROUNDDOWN(WaterData[[#This Row],[GalBilled]], -3)/1000)</f>
        <v>3535</v>
      </c>
      <c r="I29" s="9">
        <f>IF(WaterData[[#This Row],[Taxable]]="Yes",WaterData[[#This Row],[WaterBill]]*$Q$1,0)</f>
        <v>0</v>
      </c>
      <c r="J29" s="9">
        <f>WaterData[[#This Row],[WaterBill]]+WaterData[[#This Row],[Tax]]</f>
        <v>3535</v>
      </c>
    </row>
    <row r="30" spans="1:10" x14ac:dyDescent="0.2">
      <c r="A30" t="s">
        <v>75</v>
      </c>
      <c r="B30" t="s">
        <v>1</v>
      </c>
      <c r="C30" t="s">
        <v>24</v>
      </c>
      <c r="D30" t="s">
        <v>23</v>
      </c>
      <c r="E30" s="5">
        <v>2013</v>
      </c>
      <c r="F30" s="7">
        <v>76700</v>
      </c>
      <c r="G30" s="7">
        <f>_xlfn.IFS(WaterData[[#This Row],[Bill Waived]]="Yes",0,WaterData[[#This Row],[Gal Used]]&lt;27000,0,TRUE,WaterData[[#This Row],[Gal Used]])</f>
        <v>76700</v>
      </c>
      <c r="H30" s="9">
        <f>HLOOKUP(WaterData[[#This Row],[Cust Type]],TypeRate,2,FALSE)*(ROUNDDOWN(WaterData[[#This Row],[GalBilled]], -3)/1000)</f>
        <v>228</v>
      </c>
      <c r="I30" s="9">
        <f>IF(WaterData[[#This Row],[Taxable]]="Yes",WaterData[[#This Row],[WaterBill]]*$Q$1,0)</f>
        <v>7.98</v>
      </c>
      <c r="J30" s="9">
        <f>WaterData[[#This Row],[WaterBill]]+WaterData[[#This Row],[Tax]]</f>
        <v>235.98</v>
      </c>
    </row>
    <row r="31" spans="1:10" x14ac:dyDescent="0.2">
      <c r="A31" t="s">
        <v>34</v>
      </c>
      <c r="B31" t="s">
        <v>1</v>
      </c>
      <c r="C31" t="s">
        <v>24</v>
      </c>
      <c r="D31" t="s">
        <v>23</v>
      </c>
      <c r="E31" s="5">
        <v>2013</v>
      </c>
      <c r="F31" s="7">
        <v>178300</v>
      </c>
      <c r="G31" s="7">
        <f>_xlfn.IFS(WaterData[[#This Row],[Bill Waived]]="Yes",0,WaterData[[#This Row],[Gal Used]]&lt;27000,0,TRUE,WaterData[[#This Row],[Gal Used]])</f>
        <v>178300</v>
      </c>
      <c r="H31" s="9">
        <f>HLOOKUP(WaterData[[#This Row],[Cust Type]],TypeRate,2,FALSE)*(ROUNDDOWN(WaterData[[#This Row],[GalBilled]], -3)/1000)</f>
        <v>534</v>
      </c>
      <c r="I31" s="9">
        <f>IF(WaterData[[#This Row],[Taxable]]="Yes",WaterData[[#This Row],[WaterBill]]*$Q$1,0)</f>
        <v>18.690000000000001</v>
      </c>
      <c r="J31" s="9">
        <f>WaterData[[#This Row],[WaterBill]]+WaterData[[#This Row],[Tax]]</f>
        <v>552.69000000000005</v>
      </c>
    </row>
    <row r="32" spans="1:10" x14ac:dyDescent="0.2">
      <c r="A32" t="s">
        <v>2</v>
      </c>
      <c r="B32" t="s">
        <v>1</v>
      </c>
      <c r="C32" t="s">
        <v>24</v>
      </c>
      <c r="D32" t="s">
        <v>23</v>
      </c>
      <c r="E32" s="5">
        <v>2013</v>
      </c>
      <c r="F32" s="7">
        <v>217700</v>
      </c>
      <c r="G32" s="7">
        <f>_xlfn.IFS(WaterData[[#This Row],[Bill Waived]]="Yes",0,WaterData[[#This Row],[Gal Used]]&lt;27000,0,TRUE,WaterData[[#This Row],[Gal Used]])</f>
        <v>217700</v>
      </c>
      <c r="H32" s="9">
        <f>HLOOKUP(WaterData[[#This Row],[Cust Type]],TypeRate,2,FALSE)*(ROUNDDOWN(WaterData[[#This Row],[GalBilled]], -3)/1000)</f>
        <v>651</v>
      </c>
      <c r="I32" s="9">
        <f>IF(WaterData[[#This Row],[Taxable]]="Yes",WaterData[[#This Row],[WaterBill]]*$Q$1,0)</f>
        <v>22.785000000000004</v>
      </c>
      <c r="J32" s="9">
        <f>WaterData[[#This Row],[WaterBill]]+WaterData[[#This Row],[Tax]]</f>
        <v>673.78499999999997</v>
      </c>
    </row>
    <row r="33" spans="1:10" x14ac:dyDescent="0.2">
      <c r="A33" t="s">
        <v>21</v>
      </c>
      <c r="B33" t="s">
        <v>1</v>
      </c>
      <c r="C33" t="s">
        <v>24</v>
      </c>
      <c r="D33" t="s">
        <v>23</v>
      </c>
      <c r="E33" s="5">
        <v>2013</v>
      </c>
      <c r="F33" s="7">
        <v>964500</v>
      </c>
      <c r="G33" s="7">
        <f>_xlfn.IFS(WaterData[[#This Row],[Bill Waived]]="Yes",0,WaterData[[#This Row],[Gal Used]]&lt;27000,0,TRUE,WaterData[[#This Row],[Gal Used]])</f>
        <v>964500</v>
      </c>
      <c r="H33" s="9">
        <f>HLOOKUP(WaterData[[#This Row],[Cust Type]],TypeRate,2,FALSE)*(ROUNDDOWN(WaterData[[#This Row],[GalBilled]], -3)/1000)</f>
        <v>2892</v>
      </c>
      <c r="I33" s="9">
        <f>IF(WaterData[[#This Row],[Taxable]]="Yes",WaterData[[#This Row],[WaterBill]]*$Q$1,0)</f>
        <v>101.22000000000001</v>
      </c>
      <c r="J33" s="9">
        <f>WaterData[[#This Row],[WaterBill]]+WaterData[[#This Row],[Tax]]</f>
        <v>2993.22</v>
      </c>
    </row>
    <row r="34" spans="1:10" x14ac:dyDescent="0.2">
      <c r="A34" t="s">
        <v>42</v>
      </c>
      <c r="B34" t="s">
        <v>1</v>
      </c>
      <c r="C34" t="s">
        <v>24</v>
      </c>
      <c r="D34" t="s">
        <v>23</v>
      </c>
      <c r="E34" s="5">
        <v>2013</v>
      </c>
      <c r="F34" s="7">
        <v>28877</v>
      </c>
      <c r="G34" s="7">
        <f>_xlfn.IFS(WaterData[[#This Row],[Bill Waived]]="Yes",0,WaterData[[#This Row],[Gal Used]]&lt;27000,0,TRUE,WaterData[[#This Row],[Gal Used]])</f>
        <v>28877</v>
      </c>
      <c r="H34" s="9">
        <f>HLOOKUP(WaterData[[#This Row],[Cust Type]],TypeRate,2,FALSE)*(ROUNDDOWN(WaterData[[#This Row],[GalBilled]], -3)/1000)</f>
        <v>84</v>
      </c>
      <c r="I34" s="9">
        <f>IF(WaterData[[#This Row],[Taxable]]="Yes",WaterData[[#This Row],[WaterBill]]*$Q$1,0)</f>
        <v>2.9400000000000004</v>
      </c>
      <c r="J34" s="9">
        <f>WaterData[[#This Row],[WaterBill]]+WaterData[[#This Row],[Tax]]</f>
        <v>86.94</v>
      </c>
    </row>
    <row r="35" spans="1:10" x14ac:dyDescent="0.2">
      <c r="A35" t="s">
        <v>39</v>
      </c>
      <c r="B35" t="s">
        <v>1</v>
      </c>
      <c r="C35" t="s">
        <v>24</v>
      </c>
      <c r="D35" t="s">
        <v>23</v>
      </c>
      <c r="E35" s="5">
        <v>2013</v>
      </c>
      <c r="F35" s="7">
        <v>598600</v>
      </c>
      <c r="G35" s="7">
        <f>_xlfn.IFS(WaterData[[#This Row],[Bill Waived]]="Yes",0,WaterData[[#This Row],[Gal Used]]&lt;27000,0,TRUE,WaterData[[#This Row],[Gal Used]])</f>
        <v>598600</v>
      </c>
      <c r="H35" s="9">
        <f>HLOOKUP(WaterData[[#This Row],[Cust Type]],TypeRate,2,FALSE)*(ROUNDDOWN(WaterData[[#This Row],[GalBilled]], -3)/1000)</f>
        <v>1794</v>
      </c>
      <c r="I35" s="9">
        <f>IF(WaterData[[#This Row],[Taxable]]="Yes",WaterData[[#This Row],[WaterBill]]*$Q$1,0)</f>
        <v>62.790000000000006</v>
      </c>
      <c r="J35" s="9">
        <f>WaterData[[#This Row],[WaterBill]]+WaterData[[#This Row],[Tax]]</f>
        <v>1856.79</v>
      </c>
    </row>
    <row r="36" spans="1:10" x14ac:dyDescent="0.2">
      <c r="A36" t="s">
        <v>13</v>
      </c>
      <c r="B36" t="s">
        <v>1</v>
      </c>
      <c r="C36" t="s">
        <v>24</v>
      </c>
      <c r="D36" t="s">
        <v>23</v>
      </c>
      <c r="E36" s="5">
        <v>2013</v>
      </c>
      <c r="F36" s="7">
        <v>56900</v>
      </c>
      <c r="G36" s="7">
        <f>_xlfn.IFS(WaterData[[#This Row],[Bill Waived]]="Yes",0,WaterData[[#This Row],[Gal Used]]&lt;27000,0,TRUE,WaterData[[#This Row],[Gal Used]])</f>
        <v>56900</v>
      </c>
      <c r="H36" s="9">
        <f>HLOOKUP(WaterData[[#This Row],[Cust Type]],TypeRate,2,FALSE)*(ROUNDDOWN(WaterData[[#This Row],[GalBilled]], -3)/1000)</f>
        <v>168</v>
      </c>
      <c r="I36" s="9">
        <f>IF(WaterData[[#This Row],[Taxable]]="Yes",WaterData[[#This Row],[WaterBill]]*$Q$1,0)</f>
        <v>5.8800000000000008</v>
      </c>
      <c r="J36" s="9">
        <f>WaterData[[#This Row],[WaterBill]]+WaterData[[#This Row],[Tax]]</f>
        <v>173.88</v>
      </c>
    </row>
    <row r="37" spans="1:10" x14ac:dyDescent="0.2">
      <c r="A37" t="s">
        <v>30</v>
      </c>
      <c r="B37" t="s">
        <v>1</v>
      </c>
      <c r="C37" t="s">
        <v>24</v>
      </c>
      <c r="D37" t="s">
        <v>23</v>
      </c>
      <c r="E37" s="5">
        <v>2013</v>
      </c>
      <c r="F37" s="7">
        <v>80530</v>
      </c>
      <c r="G37" s="7">
        <f>_xlfn.IFS(WaterData[[#This Row],[Bill Waived]]="Yes",0,WaterData[[#This Row],[Gal Used]]&lt;27000,0,TRUE,WaterData[[#This Row],[Gal Used]])</f>
        <v>80530</v>
      </c>
      <c r="H37" s="9">
        <f>HLOOKUP(WaterData[[#This Row],[Cust Type]],TypeRate,2,FALSE)*(ROUNDDOWN(WaterData[[#This Row],[GalBilled]], -3)/1000)</f>
        <v>240</v>
      </c>
      <c r="I37" s="9">
        <f>IF(WaterData[[#This Row],[Taxable]]="Yes",WaterData[[#This Row],[WaterBill]]*$Q$1,0)</f>
        <v>8.4</v>
      </c>
      <c r="J37" s="9">
        <f>WaterData[[#This Row],[WaterBill]]+WaterData[[#This Row],[Tax]]</f>
        <v>248.4</v>
      </c>
    </row>
    <row r="38" spans="1:10" x14ac:dyDescent="0.2">
      <c r="A38" t="s">
        <v>44</v>
      </c>
      <c r="B38" t="s">
        <v>6</v>
      </c>
      <c r="C38" t="s">
        <v>23</v>
      </c>
      <c r="D38" t="s">
        <v>23</v>
      </c>
      <c r="E38" s="5">
        <v>2013</v>
      </c>
      <c r="F38" s="7">
        <v>38040</v>
      </c>
      <c r="G38" s="7">
        <f>_xlfn.IFS(WaterData[[#This Row],[Bill Waived]]="Yes",0,WaterData[[#This Row],[Gal Used]]&lt;27000,0,TRUE,WaterData[[#This Row],[Gal Used]])</f>
        <v>0</v>
      </c>
      <c r="H38" s="9">
        <f>HLOOKUP(WaterData[[#This Row],[Cust Type]],TypeRate,2,FALSE)*(ROUNDDOWN(WaterData[[#This Row],[GalBilled]], -3)/1000)</f>
        <v>0</v>
      </c>
      <c r="I38" s="9">
        <f>IF(WaterData[[#This Row],[Taxable]]="Yes",WaterData[[#This Row],[WaterBill]]*$Q$1,0)</f>
        <v>0</v>
      </c>
      <c r="J38" s="9">
        <f>WaterData[[#This Row],[WaterBill]]+WaterData[[#This Row],[Tax]]</f>
        <v>0</v>
      </c>
    </row>
    <row r="39" spans="1:10" x14ac:dyDescent="0.2">
      <c r="A39" t="s">
        <v>65</v>
      </c>
      <c r="B39" t="s">
        <v>5</v>
      </c>
      <c r="C39" t="s">
        <v>24</v>
      </c>
      <c r="D39" t="s">
        <v>24</v>
      </c>
      <c r="E39" s="5">
        <v>2013</v>
      </c>
      <c r="F39" s="7">
        <v>26250</v>
      </c>
      <c r="G39" s="7">
        <f>_xlfn.IFS(WaterData[[#This Row],[Bill Waived]]="Yes",0,WaterData[[#This Row],[Gal Used]]&lt;27000,0,TRUE,WaterData[[#This Row],[Gal Used]])</f>
        <v>0</v>
      </c>
      <c r="H39" s="9">
        <f>HLOOKUP(WaterData[[#This Row],[Cust Type]],TypeRate,2,FALSE)*(ROUNDDOWN(WaterData[[#This Row],[GalBilled]], -3)/1000)</f>
        <v>0</v>
      </c>
      <c r="I39" s="9">
        <f>IF(WaterData[[#This Row],[Taxable]]="Yes",WaterData[[#This Row],[WaterBill]]*$Q$1,0)</f>
        <v>0</v>
      </c>
      <c r="J39" s="9">
        <f>WaterData[[#This Row],[WaterBill]]+WaterData[[#This Row],[Tax]]</f>
        <v>0</v>
      </c>
    </row>
    <row r="40" spans="1:10" x14ac:dyDescent="0.2">
      <c r="A40" t="s">
        <v>29</v>
      </c>
      <c r="B40" t="s">
        <v>6</v>
      </c>
      <c r="C40" t="s">
        <v>23</v>
      </c>
      <c r="D40" t="s">
        <v>24</v>
      </c>
      <c r="E40" s="5">
        <v>2013</v>
      </c>
      <c r="F40" s="7">
        <v>75490</v>
      </c>
      <c r="G40" s="7">
        <f>_xlfn.IFS(WaterData[[#This Row],[Bill Waived]]="Yes",0,WaterData[[#This Row],[Gal Used]]&lt;27000,0,TRUE,WaterData[[#This Row],[Gal Used]])</f>
        <v>0</v>
      </c>
      <c r="H40" s="9">
        <f>HLOOKUP(WaterData[[#This Row],[Cust Type]],TypeRate,2,FALSE)*(ROUNDDOWN(WaterData[[#This Row],[GalBilled]], -3)/1000)</f>
        <v>0</v>
      </c>
      <c r="I40" s="9">
        <f>IF(WaterData[[#This Row],[Taxable]]="Yes",WaterData[[#This Row],[WaterBill]]*$Q$1,0)</f>
        <v>0</v>
      </c>
      <c r="J40" s="9">
        <f>WaterData[[#This Row],[WaterBill]]+WaterData[[#This Row],[Tax]]</f>
        <v>0</v>
      </c>
    </row>
    <row r="41" spans="1:10" x14ac:dyDescent="0.2">
      <c r="A41" t="s">
        <v>41</v>
      </c>
      <c r="B41" t="s">
        <v>1</v>
      </c>
      <c r="C41" t="s">
        <v>24</v>
      </c>
      <c r="D41" t="s">
        <v>23</v>
      </c>
      <c r="E41" s="5">
        <v>2013</v>
      </c>
      <c r="F41" s="7">
        <v>27800</v>
      </c>
      <c r="G41" s="7">
        <f>_xlfn.IFS(WaterData[[#This Row],[Bill Waived]]="Yes",0,WaterData[[#This Row],[Gal Used]]&lt;27000,0,TRUE,WaterData[[#This Row],[Gal Used]])</f>
        <v>27800</v>
      </c>
      <c r="H41" s="9">
        <f>HLOOKUP(WaterData[[#This Row],[Cust Type]],TypeRate,2,FALSE)*(ROUNDDOWN(WaterData[[#This Row],[GalBilled]], -3)/1000)</f>
        <v>81</v>
      </c>
      <c r="I41" s="9">
        <f>IF(WaterData[[#This Row],[Taxable]]="Yes",WaterData[[#This Row],[WaterBill]]*$Q$1,0)</f>
        <v>2.8350000000000004</v>
      </c>
      <c r="J41" s="9">
        <f>WaterData[[#This Row],[WaterBill]]+WaterData[[#This Row],[Tax]]</f>
        <v>83.834999999999994</v>
      </c>
    </row>
    <row r="42" spans="1:10" x14ac:dyDescent="0.2">
      <c r="A42" t="s">
        <v>61</v>
      </c>
      <c r="B42" t="s">
        <v>1</v>
      </c>
      <c r="C42" t="s">
        <v>24</v>
      </c>
      <c r="D42" t="s">
        <v>23</v>
      </c>
      <c r="E42" s="5">
        <v>2013</v>
      </c>
      <c r="F42" s="7">
        <v>1863100</v>
      </c>
      <c r="G42" s="7">
        <f>_xlfn.IFS(WaterData[[#This Row],[Bill Waived]]="Yes",0,WaterData[[#This Row],[Gal Used]]&lt;27000,0,TRUE,WaterData[[#This Row],[Gal Used]])</f>
        <v>1863100</v>
      </c>
      <c r="H42" s="9">
        <f>HLOOKUP(WaterData[[#This Row],[Cust Type]],TypeRate,2,FALSE)*(ROUNDDOWN(WaterData[[#This Row],[GalBilled]], -3)/1000)</f>
        <v>5589</v>
      </c>
      <c r="I42" s="9">
        <f>IF(WaterData[[#This Row],[Taxable]]="Yes",WaterData[[#This Row],[WaterBill]]*$Q$1,0)</f>
        <v>195.61500000000001</v>
      </c>
      <c r="J42" s="9">
        <f>WaterData[[#This Row],[WaterBill]]+WaterData[[#This Row],[Tax]]</f>
        <v>5784.6149999999998</v>
      </c>
    </row>
    <row r="43" spans="1:10" x14ac:dyDescent="0.2">
      <c r="A43" t="s">
        <v>71</v>
      </c>
      <c r="B43" t="s">
        <v>1</v>
      </c>
      <c r="C43" t="s">
        <v>24</v>
      </c>
      <c r="D43" t="s">
        <v>23</v>
      </c>
      <c r="E43" s="5">
        <v>2013</v>
      </c>
      <c r="F43" s="7">
        <v>49000</v>
      </c>
      <c r="G43" s="7">
        <f>_xlfn.IFS(WaterData[[#This Row],[Bill Waived]]="Yes",0,WaterData[[#This Row],[Gal Used]]&lt;27000,0,TRUE,WaterData[[#This Row],[Gal Used]])</f>
        <v>49000</v>
      </c>
      <c r="H43" s="9">
        <f>HLOOKUP(WaterData[[#This Row],[Cust Type]],TypeRate,2,FALSE)*(ROUNDDOWN(WaterData[[#This Row],[GalBilled]], -3)/1000)</f>
        <v>147</v>
      </c>
      <c r="I43" s="9">
        <f>IF(WaterData[[#This Row],[Taxable]]="Yes",WaterData[[#This Row],[WaterBill]]*$Q$1,0)</f>
        <v>5.1450000000000005</v>
      </c>
      <c r="J43" s="9">
        <f>WaterData[[#This Row],[WaterBill]]+WaterData[[#This Row],[Tax]]</f>
        <v>152.14500000000001</v>
      </c>
    </row>
    <row r="44" spans="1:10" x14ac:dyDescent="0.2">
      <c r="A44" t="s">
        <v>53</v>
      </c>
      <c r="B44" t="s">
        <v>5</v>
      </c>
      <c r="C44" t="s">
        <v>24</v>
      </c>
      <c r="D44" t="s">
        <v>23</v>
      </c>
      <c r="E44" s="5">
        <v>2013</v>
      </c>
      <c r="F44" s="7">
        <v>40530</v>
      </c>
      <c r="G44" s="7">
        <f>_xlfn.IFS(WaterData[[#This Row],[Bill Waived]]="Yes",0,WaterData[[#This Row],[Gal Used]]&lt;27000,0,TRUE,WaterData[[#This Row],[Gal Used]])</f>
        <v>40530</v>
      </c>
      <c r="H44" s="9">
        <f>HLOOKUP(WaterData[[#This Row],[Cust Type]],TypeRate,2,FALSE)*(ROUNDDOWN(WaterData[[#This Row],[GalBilled]], -3)/1000)</f>
        <v>70</v>
      </c>
      <c r="I44" s="9">
        <f>IF(WaterData[[#This Row],[Taxable]]="Yes",WaterData[[#This Row],[WaterBill]]*$Q$1,0)</f>
        <v>2.4500000000000002</v>
      </c>
      <c r="J44" s="9">
        <f>WaterData[[#This Row],[WaterBill]]+WaterData[[#This Row],[Tax]]</f>
        <v>72.45</v>
      </c>
    </row>
    <row r="45" spans="1:10" x14ac:dyDescent="0.2">
      <c r="A45" t="s">
        <v>14</v>
      </c>
      <c r="B45" t="s">
        <v>1</v>
      </c>
      <c r="C45" t="s">
        <v>24</v>
      </c>
      <c r="D45" t="s">
        <v>23</v>
      </c>
      <c r="E45" s="5">
        <v>2013</v>
      </c>
      <c r="F45" s="7">
        <v>524900</v>
      </c>
      <c r="G45" s="7">
        <f>_xlfn.IFS(WaterData[[#This Row],[Bill Waived]]="Yes",0,WaterData[[#This Row],[Gal Used]]&lt;27000,0,TRUE,WaterData[[#This Row],[Gal Used]])</f>
        <v>524900</v>
      </c>
      <c r="H45" s="9">
        <f>HLOOKUP(WaterData[[#This Row],[Cust Type]],TypeRate,2,FALSE)*(ROUNDDOWN(WaterData[[#This Row],[GalBilled]], -3)/1000)</f>
        <v>1572</v>
      </c>
      <c r="I45" s="9">
        <f>IF(WaterData[[#This Row],[Taxable]]="Yes",WaterData[[#This Row],[WaterBill]]*$Q$1,0)</f>
        <v>55.02</v>
      </c>
      <c r="J45" s="9">
        <f>WaterData[[#This Row],[WaterBill]]+WaterData[[#This Row],[Tax]]</f>
        <v>1627.02</v>
      </c>
    </row>
    <row r="46" spans="1:10" x14ac:dyDescent="0.2">
      <c r="A46" t="s">
        <v>78</v>
      </c>
      <c r="B46" t="s">
        <v>1</v>
      </c>
      <c r="C46" t="s">
        <v>24</v>
      </c>
      <c r="D46" t="s">
        <v>23</v>
      </c>
      <c r="E46" s="5">
        <v>2013</v>
      </c>
      <c r="F46" s="7">
        <v>25200</v>
      </c>
      <c r="G46" s="7">
        <f>_xlfn.IFS(WaterData[[#This Row],[Bill Waived]]="Yes",0,WaterData[[#This Row],[Gal Used]]&lt;27000,0,TRUE,WaterData[[#This Row],[Gal Used]])</f>
        <v>0</v>
      </c>
      <c r="H46" s="9">
        <f>HLOOKUP(WaterData[[#This Row],[Cust Type]],TypeRate,2,FALSE)*(ROUNDDOWN(WaterData[[#This Row],[GalBilled]], -3)/1000)</f>
        <v>0</v>
      </c>
      <c r="I46" s="9">
        <f>IF(WaterData[[#This Row],[Taxable]]="Yes",WaterData[[#This Row],[WaterBill]]*$Q$1,0)</f>
        <v>0</v>
      </c>
      <c r="J46" s="9">
        <f>WaterData[[#This Row],[WaterBill]]+WaterData[[#This Row],[Tax]]</f>
        <v>0</v>
      </c>
    </row>
    <row r="47" spans="1:10" x14ac:dyDescent="0.2">
      <c r="A47" t="s">
        <v>50</v>
      </c>
      <c r="B47" t="s">
        <v>1</v>
      </c>
      <c r="C47" t="s">
        <v>24</v>
      </c>
      <c r="D47" t="s">
        <v>23</v>
      </c>
      <c r="E47" s="5">
        <v>2013</v>
      </c>
      <c r="F47" s="7">
        <v>380460</v>
      </c>
      <c r="G47" s="7">
        <f>_xlfn.IFS(WaterData[[#This Row],[Bill Waived]]="Yes",0,WaterData[[#This Row],[Gal Used]]&lt;27000,0,TRUE,WaterData[[#This Row],[Gal Used]])</f>
        <v>380460</v>
      </c>
      <c r="H47" s="9">
        <f>HLOOKUP(WaterData[[#This Row],[Cust Type]],TypeRate,2,FALSE)*(ROUNDDOWN(WaterData[[#This Row],[GalBilled]], -3)/1000)</f>
        <v>1140</v>
      </c>
      <c r="I47" s="9">
        <f>IF(WaterData[[#This Row],[Taxable]]="Yes",WaterData[[#This Row],[WaterBill]]*$Q$1,0)</f>
        <v>39.900000000000006</v>
      </c>
      <c r="J47" s="9">
        <f>WaterData[[#This Row],[WaterBill]]+WaterData[[#This Row],[Tax]]</f>
        <v>1179.9000000000001</v>
      </c>
    </row>
    <row r="48" spans="1:10" x14ac:dyDescent="0.2">
      <c r="A48" t="s">
        <v>57</v>
      </c>
      <c r="B48" t="s">
        <v>1</v>
      </c>
      <c r="C48" t="s">
        <v>24</v>
      </c>
      <c r="D48" t="s">
        <v>23</v>
      </c>
      <c r="E48" s="5">
        <v>2013</v>
      </c>
      <c r="F48" s="7">
        <v>148174</v>
      </c>
      <c r="G48" s="7">
        <f>_xlfn.IFS(WaterData[[#This Row],[Bill Waived]]="Yes",0,WaterData[[#This Row],[Gal Used]]&lt;27000,0,TRUE,WaterData[[#This Row],[Gal Used]])</f>
        <v>148174</v>
      </c>
      <c r="H48" s="9">
        <f>HLOOKUP(WaterData[[#This Row],[Cust Type]],TypeRate,2,FALSE)*(ROUNDDOWN(WaterData[[#This Row],[GalBilled]], -3)/1000)</f>
        <v>444</v>
      </c>
      <c r="I48" s="9">
        <f>IF(WaterData[[#This Row],[Taxable]]="Yes",WaterData[[#This Row],[WaterBill]]*$Q$1,0)</f>
        <v>15.540000000000001</v>
      </c>
      <c r="J48" s="9">
        <f>WaterData[[#This Row],[WaterBill]]+WaterData[[#This Row],[Tax]]</f>
        <v>459.54</v>
      </c>
    </row>
    <row r="49" spans="1:10" x14ac:dyDescent="0.2">
      <c r="A49" t="s">
        <v>62</v>
      </c>
      <c r="B49" t="s">
        <v>5</v>
      </c>
      <c r="C49" t="s">
        <v>24</v>
      </c>
      <c r="D49" t="s">
        <v>23</v>
      </c>
      <c r="E49" s="5">
        <v>2013</v>
      </c>
      <c r="F49" s="7">
        <v>737000</v>
      </c>
      <c r="G49" s="7">
        <f>_xlfn.IFS(WaterData[[#This Row],[Bill Waived]]="Yes",0,WaterData[[#This Row],[Gal Used]]&lt;27000,0,TRUE,WaterData[[#This Row],[Gal Used]])</f>
        <v>737000</v>
      </c>
      <c r="H49" s="9">
        <f>HLOOKUP(WaterData[[#This Row],[Cust Type]],TypeRate,2,FALSE)*(ROUNDDOWN(WaterData[[#This Row],[GalBilled]], -3)/1000)</f>
        <v>1289.75</v>
      </c>
      <c r="I49" s="9">
        <f>IF(WaterData[[#This Row],[Taxable]]="Yes",WaterData[[#This Row],[WaterBill]]*$Q$1,0)</f>
        <v>45.141250000000007</v>
      </c>
      <c r="J49" s="9">
        <f>WaterData[[#This Row],[WaterBill]]+WaterData[[#This Row],[Tax]]</f>
        <v>1334.8912499999999</v>
      </c>
    </row>
    <row r="50" spans="1:10" x14ac:dyDescent="0.2">
      <c r="A50" t="s">
        <v>72</v>
      </c>
      <c r="B50" t="s">
        <v>1</v>
      </c>
      <c r="C50" t="s">
        <v>24</v>
      </c>
      <c r="D50" t="s">
        <v>23</v>
      </c>
      <c r="E50" s="5">
        <v>2013</v>
      </c>
      <c r="F50" s="7">
        <v>41920</v>
      </c>
      <c r="G50" s="7">
        <f>_xlfn.IFS(WaterData[[#This Row],[Bill Waived]]="Yes",0,WaterData[[#This Row],[Gal Used]]&lt;27000,0,TRUE,WaterData[[#This Row],[Gal Used]])</f>
        <v>41920</v>
      </c>
      <c r="H50" s="9">
        <f>HLOOKUP(WaterData[[#This Row],[Cust Type]],TypeRate,2,FALSE)*(ROUNDDOWN(WaterData[[#This Row],[GalBilled]], -3)/1000)</f>
        <v>123</v>
      </c>
      <c r="I50" s="9">
        <f>IF(WaterData[[#This Row],[Taxable]]="Yes",WaterData[[#This Row],[WaterBill]]*$Q$1,0)</f>
        <v>4.3050000000000006</v>
      </c>
      <c r="J50" s="9">
        <f>WaterData[[#This Row],[WaterBill]]+WaterData[[#This Row],[Tax]]</f>
        <v>127.30500000000001</v>
      </c>
    </row>
    <row r="51" spans="1:10" x14ac:dyDescent="0.2">
      <c r="A51" t="s">
        <v>76</v>
      </c>
      <c r="B51" t="s">
        <v>5</v>
      </c>
      <c r="C51" t="s">
        <v>24</v>
      </c>
      <c r="D51" t="s">
        <v>24</v>
      </c>
      <c r="E51" s="5">
        <v>2013</v>
      </c>
      <c r="F51" s="7">
        <v>3978000</v>
      </c>
      <c r="G51" s="7">
        <f>_xlfn.IFS(WaterData[[#This Row],[Bill Waived]]="Yes",0,WaterData[[#This Row],[Gal Used]]&lt;27000,0,TRUE,WaterData[[#This Row],[Gal Used]])</f>
        <v>3978000</v>
      </c>
      <c r="H51" s="9">
        <f>HLOOKUP(WaterData[[#This Row],[Cust Type]],TypeRate,2,FALSE)*(ROUNDDOWN(WaterData[[#This Row],[GalBilled]], -3)/1000)</f>
        <v>6961.5</v>
      </c>
      <c r="I51" s="9">
        <f>IF(WaterData[[#This Row],[Taxable]]="Yes",WaterData[[#This Row],[WaterBill]]*$Q$1,0)</f>
        <v>0</v>
      </c>
      <c r="J51" s="9">
        <f>WaterData[[#This Row],[WaterBill]]+WaterData[[#This Row],[Tax]]</f>
        <v>6961.5</v>
      </c>
    </row>
    <row r="52" spans="1:10" x14ac:dyDescent="0.2">
      <c r="A52" t="s">
        <v>64</v>
      </c>
      <c r="B52" t="s">
        <v>5</v>
      </c>
      <c r="C52" t="s">
        <v>24</v>
      </c>
      <c r="D52" t="s">
        <v>24</v>
      </c>
      <c r="E52" s="5">
        <v>2013</v>
      </c>
      <c r="F52" s="7">
        <v>1207700</v>
      </c>
      <c r="G52" s="7">
        <f>_xlfn.IFS(WaterData[[#This Row],[Bill Waived]]="Yes",0,WaterData[[#This Row],[Gal Used]]&lt;27000,0,TRUE,WaterData[[#This Row],[Gal Used]])</f>
        <v>1207700</v>
      </c>
      <c r="H52" s="9">
        <f>HLOOKUP(WaterData[[#This Row],[Cust Type]],TypeRate,2,FALSE)*(ROUNDDOWN(WaterData[[#This Row],[GalBilled]], -3)/1000)</f>
        <v>2112.25</v>
      </c>
      <c r="I52" s="9">
        <f>IF(WaterData[[#This Row],[Taxable]]="Yes",WaterData[[#This Row],[WaterBill]]*$Q$1,0)</f>
        <v>0</v>
      </c>
      <c r="J52" s="9">
        <f>WaterData[[#This Row],[WaterBill]]+WaterData[[#This Row],[Tax]]</f>
        <v>2112.25</v>
      </c>
    </row>
    <row r="53" spans="1:10" x14ac:dyDescent="0.2">
      <c r="A53" t="s">
        <v>66</v>
      </c>
      <c r="B53" t="s">
        <v>5</v>
      </c>
      <c r="C53" t="s">
        <v>24</v>
      </c>
      <c r="D53" t="s">
        <v>24</v>
      </c>
      <c r="E53" s="5">
        <v>2013</v>
      </c>
      <c r="F53" s="7">
        <v>415000</v>
      </c>
      <c r="G53" s="7">
        <f>_xlfn.IFS(WaterData[[#This Row],[Bill Waived]]="Yes",0,WaterData[[#This Row],[Gal Used]]&lt;27000,0,TRUE,WaterData[[#This Row],[Gal Used]])</f>
        <v>415000</v>
      </c>
      <c r="H53" s="9">
        <f>HLOOKUP(WaterData[[#This Row],[Cust Type]],TypeRate,2,FALSE)*(ROUNDDOWN(WaterData[[#This Row],[GalBilled]], -3)/1000)</f>
        <v>726.25</v>
      </c>
      <c r="I53" s="9">
        <f>IF(WaterData[[#This Row],[Taxable]]="Yes",WaterData[[#This Row],[WaterBill]]*$Q$1,0)</f>
        <v>0</v>
      </c>
      <c r="J53" s="9">
        <f>WaterData[[#This Row],[WaterBill]]+WaterData[[#This Row],[Tax]]</f>
        <v>726.25</v>
      </c>
    </row>
    <row r="54" spans="1:10" x14ac:dyDescent="0.2">
      <c r="A54" t="s">
        <v>11</v>
      </c>
      <c r="B54" t="s">
        <v>5</v>
      </c>
      <c r="C54" t="s">
        <v>24</v>
      </c>
      <c r="D54" t="s">
        <v>24</v>
      </c>
      <c r="E54" s="5">
        <v>2013</v>
      </c>
      <c r="F54" s="7">
        <v>479400</v>
      </c>
      <c r="G54" s="7">
        <f>_xlfn.IFS(WaterData[[#This Row],[Bill Waived]]="Yes",0,WaterData[[#This Row],[Gal Used]]&lt;27000,0,TRUE,WaterData[[#This Row],[Gal Used]])</f>
        <v>479400</v>
      </c>
      <c r="H54" s="9">
        <f>HLOOKUP(WaterData[[#This Row],[Cust Type]],TypeRate,2,FALSE)*(ROUNDDOWN(WaterData[[#This Row],[GalBilled]], -3)/1000)</f>
        <v>838.25</v>
      </c>
      <c r="I54" s="9">
        <f>IF(WaterData[[#This Row],[Taxable]]="Yes",WaterData[[#This Row],[WaterBill]]*$Q$1,0)</f>
        <v>0</v>
      </c>
      <c r="J54" s="9">
        <f>WaterData[[#This Row],[WaterBill]]+WaterData[[#This Row],[Tax]]</f>
        <v>838.25</v>
      </c>
    </row>
    <row r="55" spans="1:10" x14ac:dyDescent="0.2">
      <c r="A55" t="s">
        <v>28</v>
      </c>
      <c r="B55" t="s">
        <v>5</v>
      </c>
      <c r="C55" t="s">
        <v>24</v>
      </c>
      <c r="D55" t="s">
        <v>23</v>
      </c>
      <c r="E55" s="5">
        <v>2013</v>
      </c>
      <c r="F55" s="7">
        <v>73050</v>
      </c>
      <c r="G55" s="7">
        <f>_xlfn.IFS(WaterData[[#This Row],[Bill Waived]]="Yes",0,WaterData[[#This Row],[Gal Used]]&lt;27000,0,TRUE,WaterData[[#This Row],[Gal Used]])</f>
        <v>73050</v>
      </c>
      <c r="H55" s="9">
        <f>HLOOKUP(WaterData[[#This Row],[Cust Type]],TypeRate,2,FALSE)*(ROUNDDOWN(WaterData[[#This Row],[GalBilled]], -3)/1000)</f>
        <v>127.75</v>
      </c>
      <c r="I55" s="9">
        <f>IF(WaterData[[#This Row],[Taxable]]="Yes",WaterData[[#This Row],[WaterBill]]*$Q$1,0)</f>
        <v>4.4712500000000004</v>
      </c>
      <c r="J55" s="9">
        <f>WaterData[[#This Row],[WaterBill]]+WaterData[[#This Row],[Tax]]</f>
        <v>132.22125</v>
      </c>
    </row>
    <row r="56" spans="1:10" x14ac:dyDescent="0.2">
      <c r="A56" t="s">
        <v>67</v>
      </c>
      <c r="B56" t="s">
        <v>5</v>
      </c>
      <c r="C56" t="s">
        <v>24</v>
      </c>
      <c r="D56" t="s">
        <v>24</v>
      </c>
      <c r="E56" s="5">
        <v>2013</v>
      </c>
      <c r="F56" s="7">
        <v>713400</v>
      </c>
      <c r="G56" s="7">
        <f>_xlfn.IFS(WaterData[[#This Row],[Bill Waived]]="Yes",0,WaterData[[#This Row],[Gal Used]]&lt;27000,0,TRUE,WaterData[[#This Row],[Gal Used]])</f>
        <v>713400</v>
      </c>
      <c r="H56" s="9">
        <f>HLOOKUP(WaterData[[#This Row],[Cust Type]],TypeRate,2,FALSE)*(ROUNDDOWN(WaterData[[#This Row],[GalBilled]], -3)/1000)</f>
        <v>1247.75</v>
      </c>
      <c r="I56" s="9">
        <f>IF(WaterData[[#This Row],[Taxable]]="Yes",WaterData[[#This Row],[WaterBill]]*$Q$1,0)</f>
        <v>0</v>
      </c>
      <c r="J56" s="9">
        <f>WaterData[[#This Row],[WaterBill]]+WaterData[[#This Row],[Tax]]</f>
        <v>1247.75</v>
      </c>
    </row>
    <row r="57" spans="1:10" x14ac:dyDescent="0.2">
      <c r="A57" t="s">
        <v>45</v>
      </c>
      <c r="B57" t="s">
        <v>1</v>
      </c>
      <c r="C57" t="s">
        <v>24</v>
      </c>
      <c r="D57" t="s">
        <v>23</v>
      </c>
      <c r="E57" s="5">
        <v>2013</v>
      </c>
      <c r="F57" s="7">
        <v>41830</v>
      </c>
      <c r="G57" s="7">
        <f>_xlfn.IFS(WaterData[[#This Row],[Bill Waived]]="Yes",0,WaterData[[#This Row],[Gal Used]]&lt;27000,0,TRUE,WaterData[[#This Row],[Gal Used]])</f>
        <v>41830</v>
      </c>
      <c r="H57" s="9">
        <f>HLOOKUP(WaterData[[#This Row],[Cust Type]],TypeRate,2,FALSE)*(ROUNDDOWN(WaterData[[#This Row],[GalBilled]], -3)/1000)</f>
        <v>123</v>
      </c>
      <c r="I57" s="9">
        <f>IF(WaterData[[#This Row],[Taxable]]="Yes",WaterData[[#This Row],[WaterBill]]*$Q$1,0)</f>
        <v>4.3050000000000006</v>
      </c>
      <c r="J57" s="9">
        <f>WaterData[[#This Row],[WaterBill]]+WaterData[[#This Row],[Tax]]</f>
        <v>127.30500000000001</v>
      </c>
    </row>
    <row r="58" spans="1:10" x14ac:dyDescent="0.2">
      <c r="A58" t="s">
        <v>22</v>
      </c>
      <c r="B58" t="s">
        <v>1</v>
      </c>
      <c r="C58" t="s">
        <v>24</v>
      </c>
      <c r="D58" t="s">
        <v>23</v>
      </c>
      <c r="E58" s="5">
        <v>2013</v>
      </c>
      <c r="F58" s="7">
        <v>165900</v>
      </c>
      <c r="G58" s="7">
        <f>_xlfn.IFS(WaterData[[#This Row],[Bill Waived]]="Yes",0,WaterData[[#This Row],[Gal Used]]&lt;27000,0,TRUE,WaterData[[#This Row],[Gal Used]])</f>
        <v>165900</v>
      </c>
      <c r="H58" s="9">
        <f>HLOOKUP(WaterData[[#This Row],[Cust Type]],TypeRate,2,FALSE)*(ROUNDDOWN(WaterData[[#This Row],[GalBilled]], -3)/1000)</f>
        <v>495</v>
      </c>
      <c r="I58" s="9">
        <f>IF(WaterData[[#This Row],[Taxable]]="Yes",WaterData[[#This Row],[WaterBill]]*$Q$1,0)</f>
        <v>17.325000000000003</v>
      </c>
      <c r="J58" s="9">
        <f>WaterData[[#This Row],[WaterBill]]+WaterData[[#This Row],[Tax]]</f>
        <v>512.32500000000005</v>
      </c>
    </row>
    <row r="59" spans="1:10" x14ac:dyDescent="0.2">
      <c r="A59" t="s">
        <v>7</v>
      </c>
      <c r="B59" t="s">
        <v>5</v>
      </c>
      <c r="C59" t="s">
        <v>24</v>
      </c>
      <c r="D59" t="s">
        <v>24</v>
      </c>
      <c r="E59" s="5">
        <v>2013</v>
      </c>
      <c r="F59" s="7">
        <v>63200</v>
      </c>
      <c r="G59" s="7">
        <f>_xlfn.IFS(WaterData[[#This Row],[Bill Waived]]="Yes",0,WaterData[[#This Row],[Gal Used]]&lt;27000,0,TRUE,WaterData[[#This Row],[Gal Used]])</f>
        <v>63200</v>
      </c>
      <c r="H59" s="9">
        <f>HLOOKUP(WaterData[[#This Row],[Cust Type]],TypeRate,2,FALSE)*(ROUNDDOWN(WaterData[[#This Row],[GalBilled]], -3)/1000)</f>
        <v>110.25</v>
      </c>
      <c r="I59" s="9">
        <f>IF(WaterData[[#This Row],[Taxable]]="Yes",WaterData[[#This Row],[WaterBill]]*$Q$1,0)</f>
        <v>0</v>
      </c>
      <c r="J59" s="9">
        <f>WaterData[[#This Row],[WaterBill]]+WaterData[[#This Row],[Tax]]</f>
        <v>110.25</v>
      </c>
    </row>
    <row r="60" spans="1:10" x14ac:dyDescent="0.2">
      <c r="A60" t="s">
        <v>63</v>
      </c>
      <c r="B60" t="s">
        <v>5</v>
      </c>
      <c r="C60" t="s">
        <v>24</v>
      </c>
      <c r="D60" t="s">
        <v>24</v>
      </c>
      <c r="E60" s="5">
        <v>2013</v>
      </c>
      <c r="F60" s="7">
        <v>625200</v>
      </c>
      <c r="G60" s="7">
        <f>_xlfn.IFS(WaterData[[#This Row],[Bill Waived]]="Yes",0,WaterData[[#This Row],[Gal Used]]&lt;27000,0,TRUE,WaterData[[#This Row],[Gal Used]])</f>
        <v>625200</v>
      </c>
      <c r="H60" s="9">
        <f>HLOOKUP(WaterData[[#This Row],[Cust Type]],TypeRate,2,FALSE)*(ROUNDDOWN(WaterData[[#This Row],[GalBilled]], -3)/1000)</f>
        <v>1093.75</v>
      </c>
      <c r="I60" s="9">
        <f>IF(WaterData[[#This Row],[Taxable]]="Yes",WaterData[[#This Row],[WaterBill]]*$Q$1,0)</f>
        <v>0</v>
      </c>
      <c r="J60" s="9">
        <f>WaterData[[#This Row],[WaterBill]]+WaterData[[#This Row],[Tax]]</f>
        <v>1093.75</v>
      </c>
    </row>
    <row r="61" spans="1:10" x14ac:dyDescent="0.2">
      <c r="A61" t="s">
        <v>27</v>
      </c>
      <c r="B61" t="s">
        <v>1</v>
      </c>
      <c r="C61" t="s">
        <v>24</v>
      </c>
      <c r="D61" t="s">
        <v>23</v>
      </c>
      <c r="E61" s="5">
        <v>2013</v>
      </c>
      <c r="F61" s="7">
        <v>67270</v>
      </c>
      <c r="G61" s="7">
        <f>_xlfn.IFS(WaterData[[#This Row],[Bill Waived]]="Yes",0,WaterData[[#This Row],[Gal Used]]&lt;27000,0,TRUE,WaterData[[#This Row],[Gal Used]])</f>
        <v>67270</v>
      </c>
      <c r="H61" s="9">
        <f>HLOOKUP(WaterData[[#This Row],[Cust Type]],TypeRate,2,FALSE)*(ROUNDDOWN(WaterData[[#This Row],[GalBilled]], -3)/1000)</f>
        <v>201</v>
      </c>
      <c r="I61" s="9">
        <f>IF(WaterData[[#This Row],[Taxable]]="Yes",WaterData[[#This Row],[WaterBill]]*$Q$1,0)</f>
        <v>7.035000000000001</v>
      </c>
      <c r="J61" s="9">
        <f>WaterData[[#This Row],[WaterBill]]+WaterData[[#This Row],[Tax]]</f>
        <v>208.035</v>
      </c>
    </row>
    <row r="62" spans="1:10" x14ac:dyDescent="0.2">
      <c r="A62" t="s">
        <v>47</v>
      </c>
      <c r="B62" t="s">
        <v>6</v>
      </c>
      <c r="C62" t="s">
        <v>23</v>
      </c>
      <c r="D62" t="s">
        <v>24</v>
      </c>
      <c r="E62" s="5">
        <v>2013</v>
      </c>
      <c r="F62" s="7">
        <v>83270</v>
      </c>
      <c r="G62" s="7">
        <f>_xlfn.IFS(WaterData[[#This Row],[Bill Waived]]="Yes",0,WaterData[[#This Row],[Gal Used]]&lt;27000,0,TRUE,WaterData[[#This Row],[Gal Used]])</f>
        <v>0</v>
      </c>
      <c r="H62" s="9">
        <f>HLOOKUP(WaterData[[#This Row],[Cust Type]],TypeRate,2,FALSE)*(ROUNDDOWN(WaterData[[#This Row],[GalBilled]], -3)/1000)</f>
        <v>0</v>
      </c>
      <c r="I62" s="9">
        <f>IF(WaterData[[#This Row],[Taxable]]="Yes",WaterData[[#This Row],[WaterBill]]*$Q$1,0)</f>
        <v>0</v>
      </c>
      <c r="J62" s="9">
        <f>WaterData[[#This Row],[WaterBill]]+WaterData[[#This Row],[Tax]]</f>
        <v>0</v>
      </c>
    </row>
    <row r="63" spans="1:10" x14ac:dyDescent="0.2">
      <c r="A63" t="s">
        <v>26</v>
      </c>
      <c r="B63" t="s">
        <v>5</v>
      </c>
      <c r="C63" t="s">
        <v>24</v>
      </c>
      <c r="D63" t="s">
        <v>23</v>
      </c>
      <c r="E63" s="5">
        <v>2013</v>
      </c>
      <c r="F63" s="7">
        <v>55000</v>
      </c>
      <c r="G63" s="7">
        <f>_xlfn.IFS(WaterData[[#This Row],[Bill Waived]]="Yes",0,WaterData[[#This Row],[Gal Used]]&lt;27000,0,TRUE,WaterData[[#This Row],[Gal Used]])</f>
        <v>55000</v>
      </c>
      <c r="H63" s="9">
        <f>HLOOKUP(WaterData[[#This Row],[Cust Type]],TypeRate,2,FALSE)*(ROUNDDOWN(WaterData[[#This Row],[GalBilled]], -3)/1000)</f>
        <v>96.25</v>
      </c>
      <c r="I63" s="9">
        <f>IF(WaterData[[#This Row],[Taxable]]="Yes",WaterData[[#This Row],[WaterBill]]*$Q$1,0)</f>
        <v>3.3687500000000004</v>
      </c>
      <c r="J63" s="9">
        <f>WaterData[[#This Row],[WaterBill]]+WaterData[[#This Row],[Tax]]</f>
        <v>99.618750000000006</v>
      </c>
    </row>
    <row r="64" spans="1:10" x14ac:dyDescent="0.2">
      <c r="A64" t="s">
        <v>25</v>
      </c>
      <c r="B64" t="s">
        <v>5</v>
      </c>
      <c r="C64" t="s">
        <v>24</v>
      </c>
      <c r="D64" t="s">
        <v>23</v>
      </c>
      <c r="E64" s="5">
        <v>2013</v>
      </c>
      <c r="F64" s="7">
        <v>56495</v>
      </c>
      <c r="G64" s="7">
        <f>_xlfn.IFS(WaterData[[#This Row],[Bill Waived]]="Yes",0,WaterData[[#This Row],[Gal Used]]&lt;27000,0,TRUE,WaterData[[#This Row],[Gal Used]])</f>
        <v>56495</v>
      </c>
      <c r="H64" s="9">
        <f>HLOOKUP(WaterData[[#This Row],[Cust Type]],TypeRate,2,FALSE)*(ROUNDDOWN(WaterData[[#This Row],[GalBilled]], -3)/1000)</f>
        <v>98</v>
      </c>
      <c r="I64" s="9">
        <f>IF(WaterData[[#This Row],[Taxable]]="Yes",WaterData[[#This Row],[WaterBill]]*$Q$1,0)</f>
        <v>3.43</v>
      </c>
      <c r="J64" s="9">
        <f>WaterData[[#This Row],[WaterBill]]+WaterData[[#This Row],[Tax]]</f>
        <v>101.43</v>
      </c>
    </row>
    <row r="65" spans="1:10" x14ac:dyDescent="0.2">
      <c r="A65" t="s">
        <v>74</v>
      </c>
      <c r="B65" t="s">
        <v>5</v>
      </c>
      <c r="C65" t="s">
        <v>24</v>
      </c>
      <c r="D65" t="s">
        <v>24</v>
      </c>
      <c r="E65" s="5">
        <v>2013</v>
      </c>
      <c r="F65" s="7">
        <v>70600</v>
      </c>
      <c r="G65" s="7">
        <f>_xlfn.IFS(WaterData[[#This Row],[Bill Waived]]="Yes",0,WaterData[[#This Row],[Gal Used]]&lt;27000,0,TRUE,WaterData[[#This Row],[Gal Used]])</f>
        <v>70600</v>
      </c>
      <c r="H65" s="9">
        <f>HLOOKUP(WaterData[[#This Row],[Cust Type]],TypeRate,2,FALSE)*(ROUNDDOWN(WaterData[[#This Row],[GalBilled]], -3)/1000)</f>
        <v>122.5</v>
      </c>
      <c r="I65" s="9">
        <f>IF(WaterData[[#This Row],[Taxable]]="Yes",WaterData[[#This Row],[WaterBill]]*$Q$1,0)</f>
        <v>0</v>
      </c>
      <c r="J65" s="9">
        <f>WaterData[[#This Row],[WaterBill]]+WaterData[[#This Row],[Tax]]</f>
        <v>122.5</v>
      </c>
    </row>
    <row r="66" spans="1:10" x14ac:dyDescent="0.2">
      <c r="A66" t="s">
        <v>10</v>
      </c>
      <c r="B66" t="s">
        <v>6</v>
      </c>
      <c r="C66" t="s">
        <v>23</v>
      </c>
      <c r="D66" t="s">
        <v>24</v>
      </c>
      <c r="E66" s="5">
        <v>2013</v>
      </c>
      <c r="F66" s="7">
        <v>84050</v>
      </c>
      <c r="G66" s="7">
        <f>_xlfn.IFS(WaterData[[#This Row],[Bill Waived]]="Yes",0,WaterData[[#This Row],[Gal Used]]&lt;27000,0,TRUE,WaterData[[#This Row],[Gal Used]])</f>
        <v>0</v>
      </c>
      <c r="H66" s="9">
        <f>HLOOKUP(WaterData[[#This Row],[Cust Type]],TypeRate,2,FALSE)*(ROUNDDOWN(WaterData[[#This Row],[GalBilled]], -3)/1000)</f>
        <v>0</v>
      </c>
      <c r="I66" s="9">
        <f>IF(WaterData[[#This Row],[Taxable]]="Yes",WaterData[[#This Row],[WaterBill]]*$Q$1,0)</f>
        <v>0</v>
      </c>
      <c r="J66" s="9">
        <f>WaterData[[#This Row],[WaterBill]]+WaterData[[#This Row],[Tax]]</f>
        <v>0</v>
      </c>
    </row>
    <row r="67" spans="1:10" x14ac:dyDescent="0.2">
      <c r="A67" t="s">
        <v>70</v>
      </c>
      <c r="B67" t="s">
        <v>6</v>
      </c>
      <c r="C67" t="s">
        <v>23</v>
      </c>
      <c r="D67" t="s">
        <v>24</v>
      </c>
      <c r="E67" s="5">
        <v>2013</v>
      </c>
      <c r="F67" s="7">
        <v>118800</v>
      </c>
      <c r="G67" s="7">
        <f>_xlfn.IFS(WaterData[[#This Row],[Bill Waived]]="Yes",0,WaterData[[#This Row],[Gal Used]]&lt;27000,0,TRUE,WaterData[[#This Row],[Gal Used]])</f>
        <v>0</v>
      </c>
      <c r="H67" s="9">
        <f>HLOOKUP(WaterData[[#This Row],[Cust Type]],TypeRate,2,FALSE)*(ROUNDDOWN(WaterData[[#This Row],[GalBilled]], -3)/1000)</f>
        <v>0</v>
      </c>
      <c r="I67" s="9">
        <f>IF(WaterData[[#This Row],[Taxable]]="Yes",WaterData[[#This Row],[WaterBill]]*$Q$1,0)</f>
        <v>0</v>
      </c>
      <c r="J67" s="9">
        <f>WaterData[[#This Row],[WaterBill]]+WaterData[[#This Row],[Tax]]</f>
        <v>0</v>
      </c>
    </row>
    <row r="68" spans="1:10" x14ac:dyDescent="0.2">
      <c r="A68" t="s">
        <v>32</v>
      </c>
      <c r="B68" t="s">
        <v>1</v>
      </c>
      <c r="C68" t="s">
        <v>24</v>
      </c>
      <c r="D68" t="s">
        <v>23</v>
      </c>
      <c r="E68" s="5">
        <v>2013</v>
      </c>
      <c r="F68" s="7">
        <v>88600</v>
      </c>
      <c r="G68" s="7">
        <f>_xlfn.IFS(WaterData[[#This Row],[Bill Waived]]="Yes",0,WaterData[[#This Row],[Gal Used]]&lt;27000,0,TRUE,WaterData[[#This Row],[Gal Used]])</f>
        <v>88600</v>
      </c>
      <c r="H68" s="9">
        <f>HLOOKUP(WaterData[[#This Row],[Cust Type]],TypeRate,2,FALSE)*(ROUNDDOWN(WaterData[[#This Row],[GalBilled]], -3)/1000)</f>
        <v>264</v>
      </c>
      <c r="I68" s="9">
        <f>IF(WaterData[[#This Row],[Taxable]]="Yes",WaterData[[#This Row],[WaterBill]]*$Q$1,0)</f>
        <v>9.24</v>
      </c>
      <c r="J68" s="9">
        <f>WaterData[[#This Row],[WaterBill]]+WaterData[[#This Row],[Tax]]</f>
        <v>273.24</v>
      </c>
    </row>
    <row r="69" spans="1:10" x14ac:dyDescent="0.2">
      <c r="A69" t="s">
        <v>49</v>
      </c>
      <c r="B69" t="s">
        <v>1</v>
      </c>
      <c r="C69" t="s">
        <v>24</v>
      </c>
      <c r="D69" t="s">
        <v>23</v>
      </c>
      <c r="E69" s="5">
        <v>2013</v>
      </c>
      <c r="F69" s="7">
        <v>204380</v>
      </c>
      <c r="G69" s="7">
        <f>_xlfn.IFS(WaterData[[#This Row],[Bill Waived]]="Yes",0,WaterData[[#This Row],[Gal Used]]&lt;27000,0,TRUE,WaterData[[#This Row],[Gal Used]])</f>
        <v>204380</v>
      </c>
      <c r="H69" s="9">
        <f>HLOOKUP(WaterData[[#This Row],[Cust Type]],TypeRate,2,FALSE)*(ROUNDDOWN(WaterData[[#This Row],[GalBilled]], -3)/1000)</f>
        <v>612</v>
      </c>
      <c r="I69" s="9">
        <f>IF(WaterData[[#This Row],[Taxable]]="Yes",WaterData[[#This Row],[WaterBill]]*$Q$1,0)</f>
        <v>21.42</v>
      </c>
      <c r="J69" s="9">
        <f>WaterData[[#This Row],[WaterBill]]+WaterData[[#This Row],[Tax]]</f>
        <v>633.41999999999996</v>
      </c>
    </row>
    <row r="70" spans="1:10" x14ac:dyDescent="0.2">
      <c r="A70" t="s">
        <v>33</v>
      </c>
      <c r="B70" t="s">
        <v>5</v>
      </c>
      <c r="C70" t="s">
        <v>24</v>
      </c>
      <c r="D70" t="s">
        <v>24</v>
      </c>
      <c r="E70" s="5">
        <v>2013</v>
      </c>
      <c r="F70" s="7">
        <v>122800</v>
      </c>
      <c r="G70" s="7">
        <f>_xlfn.IFS(WaterData[[#This Row],[Bill Waived]]="Yes",0,WaterData[[#This Row],[Gal Used]]&lt;27000,0,TRUE,WaterData[[#This Row],[Gal Used]])</f>
        <v>122800</v>
      </c>
      <c r="H70" s="9">
        <f>HLOOKUP(WaterData[[#This Row],[Cust Type]],TypeRate,2,FALSE)*(ROUNDDOWN(WaterData[[#This Row],[GalBilled]], -3)/1000)</f>
        <v>213.5</v>
      </c>
      <c r="I70" s="9">
        <f>IF(WaterData[[#This Row],[Taxable]]="Yes",WaterData[[#This Row],[WaterBill]]*$Q$1,0)</f>
        <v>0</v>
      </c>
      <c r="J70" s="9">
        <f>WaterData[[#This Row],[WaterBill]]+WaterData[[#This Row],[Tax]]</f>
        <v>213.5</v>
      </c>
    </row>
    <row r="71" spans="1:10" x14ac:dyDescent="0.2">
      <c r="A71" t="s">
        <v>55</v>
      </c>
      <c r="B71" t="s">
        <v>1</v>
      </c>
      <c r="C71" t="s">
        <v>24</v>
      </c>
      <c r="D71" t="s">
        <v>23</v>
      </c>
      <c r="E71" s="5">
        <v>2013</v>
      </c>
      <c r="F71" s="7">
        <v>44320</v>
      </c>
      <c r="G71" s="7">
        <f>_xlfn.IFS(WaterData[[#This Row],[Bill Waived]]="Yes",0,WaterData[[#This Row],[Gal Used]]&lt;27000,0,TRUE,WaterData[[#This Row],[Gal Used]])</f>
        <v>44320</v>
      </c>
      <c r="H71" s="9">
        <f>HLOOKUP(WaterData[[#This Row],[Cust Type]],TypeRate,2,FALSE)*(ROUNDDOWN(WaterData[[#This Row],[GalBilled]], -3)/1000)</f>
        <v>132</v>
      </c>
      <c r="I71" s="9">
        <f>IF(WaterData[[#This Row],[Taxable]]="Yes",WaterData[[#This Row],[WaterBill]]*$Q$1,0)</f>
        <v>4.62</v>
      </c>
      <c r="J71" s="9">
        <f>WaterData[[#This Row],[WaterBill]]+WaterData[[#This Row],[Tax]]</f>
        <v>136.62</v>
      </c>
    </row>
    <row r="72" spans="1:10" x14ac:dyDescent="0.2">
      <c r="A72" t="s">
        <v>17</v>
      </c>
      <c r="B72" t="s">
        <v>5</v>
      </c>
      <c r="C72" t="s">
        <v>24</v>
      </c>
      <c r="D72" t="s">
        <v>24</v>
      </c>
      <c r="E72" s="5">
        <v>2013</v>
      </c>
      <c r="F72" s="7">
        <v>34100</v>
      </c>
      <c r="G72" s="7">
        <f>_xlfn.IFS(WaterData[[#This Row],[Bill Waived]]="Yes",0,WaterData[[#This Row],[Gal Used]]&lt;27000,0,TRUE,WaterData[[#This Row],[Gal Used]])</f>
        <v>34100</v>
      </c>
      <c r="H72" s="9">
        <f>HLOOKUP(WaterData[[#This Row],[Cust Type]],TypeRate,2,FALSE)*(ROUNDDOWN(WaterData[[#This Row],[GalBilled]], -3)/1000)</f>
        <v>59.5</v>
      </c>
      <c r="I72" s="9">
        <f>IF(WaterData[[#This Row],[Taxable]]="Yes",WaterData[[#This Row],[WaterBill]]*$Q$1,0)</f>
        <v>0</v>
      </c>
      <c r="J72" s="9">
        <f>WaterData[[#This Row],[WaterBill]]+WaterData[[#This Row],[Tax]]</f>
        <v>59.5</v>
      </c>
    </row>
    <row r="73" spans="1:10" x14ac:dyDescent="0.2">
      <c r="A73" t="s">
        <v>18</v>
      </c>
      <c r="B73" t="s">
        <v>1</v>
      </c>
      <c r="C73" t="s">
        <v>24</v>
      </c>
      <c r="D73" t="s">
        <v>23</v>
      </c>
      <c r="E73" s="5">
        <v>2013</v>
      </c>
      <c r="F73" s="7">
        <v>2072000</v>
      </c>
      <c r="G73" s="7">
        <f>_xlfn.IFS(WaterData[[#This Row],[Bill Waived]]="Yes",0,WaterData[[#This Row],[Gal Used]]&lt;27000,0,TRUE,WaterData[[#This Row],[Gal Used]])</f>
        <v>2072000</v>
      </c>
      <c r="H73" s="9">
        <f>HLOOKUP(WaterData[[#This Row],[Cust Type]],TypeRate,2,FALSE)*(ROUNDDOWN(WaterData[[#This Row],[GalBilled]], -3)/1000)</f>
        <v>6216</v>
      </c>
      <c r="I73" s="9">
        <f>IF(WaterData[[#This Row],[Taxable]]="Yes",WaterData[[#This Row],[WaterBill]]*$Q$1,0)</f>
        <v>217.56000000000003</v>
      </c>
      <c r="J73" s="9">
        <f>WaterData[[#This Row],[WaterBill]]+WaterData[[#This Row],[Tax]]</f>
        <v>6433.56</v>
      </c>
    </row>
    <row r="74" spans="1:10" x14ac:dyDescent="0.2">
      <c r="A74" t="s">
        <v>96</v>
      </c>
      <c r="E74" s="5"/>
      <c r="F74" s="7">
        <f>SUBTOTAL(109,WaterData[Gal Used])</f>
        <v>31583196</v>
      </c>
      <c r="G74" s="7">
        <f>SUBTOTAL(109,WaterData[GalBilled])</f>
        <v>30652476</v>
      </c>
      <c r="H74" s="9"/>
      <c r="I74" s="9">
        <f>SUBTOTAL(109,WaterData[Tax])</f>
        <v>1317.7850000000005</v>
      </c>
      <c r="J74" s="9">
        <f>SUBTOTAL(109,WaterData[TotalBill])</f>
        <v>69803.784999999989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2.75" x14ac:dyDescent="0.2"/>
  <cols>
    <col min="1" max="1" width="30.28515625" bestFit="1" customWidth="1"/>
    <col min="2" max="2" width="13.28515625" customWidth="1"/>
    <col min="3" max="3" width="14.5703125" customWidth="1"/>
    <col min="4" max="4" width="11.42578125" customWidth="1"/>
    <col min="5" max="5" width="14.7109375" customWidth="1"/>
    <col min="6" max="7" width="11.5703125" customWidth="1"/>
    <col min="8" max="8" width="11.7109375" bestFit="1" customWidth="1"/>
    <col min="9" max="9" width="11.85546875" bestFit="1" customWidth="1"/>
    <col min="10" max="10" width="13" bestFit="1" customWidth="1"/>
  </cols>
  <sheetData>
    <row r="1" spans="1:17" s="2" customFormat="1" x14ac:dyDescent="0.2">
      <c r="A1" s="2" t="s">
        <v>85</v>
      </c>
      <c r="B1" s="2" t="s">
        <v>79</v>
      </c>
      <c r="C1" s="2" t="s">
        <v>80</v>
      </c>
      <c r="D1" s="2" t="s">
        <v>0</v>
      </c>
      <c r="E1" s="2" t="s">
        <v>81</v>
      </c>
      <c r="F1" s="8" t="s">
        <v>82</v>
      </c>
      <c r="G1" s="8" t="s">
        <v>92</v>
      </c>
      <c r="H1" s="10" t="s">
        <v>93</v>
      </c>
      <c r="I1" s="10" t="s">
        <v>94</v>
      </c>
      <c r="J1" s="10" t="s">
        <v>95</v>
      </c>
      <c r="P1" t="s">
        <v>56</v>
      </c>
      <c r="Q1" s="1">
        <v>3.5000000000000003E-2</v>
      </c>
    </row>
    <row r="2" spans="1:17" hidden="1" x14ac:dyDescent="0.2">
      <c r="A2" t="s">
        <v>16</v>
      </c>
      <c r="B2" t="s">
        <v>6</v>
      </c>
      <c r="C2" t="s">
        <v>24</v>
      </c>
      <c r="D2" t="s">
        <v>23</v>
      </c>
      <c r="E2" s="5">
        <v>2013</v>
      </c>
      <c r="F2" s="7">
        <v>108300</v>
      </c>
      <c r="G2" s="7">
        <f>_xlfn.IFS(WaterData3[[#This Row],[Bill Waived]]="Yes",0,WaterData3[[#This Row],[Gal Used]]&lt;27000,0,TRUE,WaterData3[[#This Row],[Gal Used]])</f>
        <v>108300</v>
      </c>
      <c r="H2" s="9">
        <f>HLOOKUP(WaterData3[[#This Row],[Cust Type]],TypeRate,2,FALSE)*(ROUNDDOWN(WaterData3[[#This Row],[GalBilled]], -3)/1000)</f>
        <v>216</v>
      </c>
      <c r="I2" s="9">
        <f>IF(WaterData3[[#This Row],[Taxable]]="Yes",WaterData3[[#This Row],[WaterBill]]*$Q$1,0)</f>
        <v>7.5600000000000005</v>
      </c>
      <c r="J2" s="9">
        <f>WaterData3[[#This Row],[WaterBill]]+WaterData3[[#This Row],[Tax]]</f>
        <v>223.56</v>
      </c>
    </row>
    <row r="3" spans="1:17" hidden="1" x14ac:dyDescent="0.2">
      <c r="A3" t="s">
        <v>69</v>
      </c>
      <c r="B3" t="s">
        <v>6</v>
      </c>
      <c r="C3" t="s">
        <v>23</v>
      </c>
      <c r="D3" t="s">
        <v>24</v>
      </c>
      <c r="E3" s="5">
        <v>2013</v>
      </c>
      <c r="F3" s="7">
        <v>55160</v>
      </c>
      <c r="G3" s="7">
        <f>_xlfn.IFS(WaterData3[[#This Row],[Bill Waived]]="Yes",0,WaterData3[[#This Row],[Gal Used]]&lt;27000,0,TRUE,WaterData3[[#This Row],[Gal Used]])</f>
        <v>0</v>
      </c>
      <c r="H3" s="9">
        <f>HLOOKUP(WaterData3[[#This Row],[Cust Type]],TypeRate,2,FALSE)*(ROUNDDOWN(WaterData3[[#This Row],[GalBilled]], -3)/1000)</f>
        <v>0</v>
      </c>
      <c r="I3" s="9">
        <f>IF(WaterData3[[#This Row],[Taxable]]="Yes",WaterData3[[#This Row],[WaterBill]]*$Q$1,0)</f>
        <v>0</v>
      </c>
      <c r="J3" s="9">
        <f>WaterData3[[#This Row],[WaterBill]]+WaterData3[[#This Row],[Tax]]</f>
        <v>0</v>
      </c>
    </row>
    <row r="4" spans="1:17" hidden="1" x14ac:dyDescent="0.2">
      <c r="A4" t="s">
        <v>19</v>
      </c>
      <c r="B4" t="s">
        <v>6</v>
      </c>
      <c r="C4" t="s">
        <v>23</v>
      </c>
      <c r="D4" t="s">
        <v>24</v>
      </c>
      <c r="E4" s="5">
        <v>2013</v>
      </c>
      <c r="F4" s="7">
        <v>32430</v>
      </c>
      <c r="G4" s="7">
        <f>_xlfn.IFS(WaterData3[[#This Row],[Bill Waived]]="Yes",0,WaterData3[[#This Row],[Gal Used]]&lt;27000,0,TRUE,WaterData3[[#This Row],[Gal Used]])</f>
        <v>0</v>
      </c>
      <c r="H4" s="9">
        <f>HLOOKUP(WaterData3[[#This Row],[Cust Type]],TypeRate,2,FALSE)*(ROUNDDOWN(WaterData3[[#This Row],[GalBilled]], -3)/1000)</f>
        <v>0</v>
      </c>
      <c r="I4" s="9">
        <f>IF(WaterData3[[#This Row],[Taxable]]="Yes",WaterData3[[#This Row],[WaterBill]]*$Q$1,0)</f>
        <v>0</v>
      </c>
      <c r="J4" s="9">
        <f>WaterData3[[#This Row],[WaterBill]]+WaterData3[[#This Row],[Tax]]</f>
        <v>0</v>
      </c>
    </row>
    <row r="5" spans="1:17" hidden="1" x14ac:dyDescent="0.2">
      <c r="A5" t="s">
        <v>48</v>
      </c>
      <c r="B5" t="s">
        <v>5</v>
      </c>
      <c r="C5" t="s">
        <v>24</v>
      </c>
      <c r="D5" t="s">
        <v>24</v>
      </c>
      <c r="E5" s="5">
        <v>2013</v>
      </c>
      <c r="F5" s="7">
        <v>195660</v>
      </c>
      <c r="G5" s="7">
        <f>_xlfn.IFS(WaterData3[[#This Row],[Bill Waived]]="Yes",0,WaterData3[[#This Row],[Gal Used]]&lt;27000,0,TRUE,WaterData3[[#This Row],[Gal Used]])</f>
        <v>195660</v>
      </c>
      <c r="H5" s="9">
        <f>HLOOKUP(WaterData3[[#This Row],[Cust Type]],TypeRate,2,FALSE)*(ROUNDDOWN(WaterData3[[#This Row],[GalBilled]], -3)/1000)</f>
        <v>341.25</v>
      </c>
      <c r="I5" s="9">
        <f>IF(WaterData3[[#This Row],[Taxable]]="Yes",WaterData3[[#This Row],[WaterBill]]*$Q$1,0)</f>
        <v>0</v>
      </c>
      <c r="J5" s="9">
        <f>WaterData3[[#This Row],[WaterBill]]+WaterData3[[#This Row],[Tax]]</f>
        <v>341.25</v>
      </c>
    </row>
    <row r="6" spans="1:17" hidden="1" x14ac:dyDescent="0.2">
      <c r="A6" t="s">
        <v>15</v>
      </c>
      <c r="B6" t="s">
        <v>1</v>
      </c>
      <c r="C6" t="s">
        <v>24</v>
      </c>
      <c r="D6" t="s">
        <v>23</v>
      </c>
      <c r="E6" s="5">
        <v>2013</v>
      </c>
      <c r="F6" s="7">
        <v>281200</v>
      </c>
      <c r="G6" s="7">
        <f>_xlfn.IFS(WaterData3[[#This Row],[Bill Waived]]="Yes",0,WaterData3[[#This Row],[Gal Used]]&lt;27000,0,TRUE,WaterData3[[#This Row],[Gal Used]])</f>
        <v>281200</v>
      </c>
      <c r="H6" s="9">
        <f>HLOOKUP(WaterData3[[#This Row],[Cust Type]],TypeRate,2,FALSE)*(ROUNDDOWN(WaterData3[[#This Row],[GalBilled]], -3)/1000)</f>
        <v>843</v>
      </c>
      <c r="I6" s="9">
        <f>IF(WaterData3[[#This Row],[Taxable]]="Yes",WaterData3[[#This Row],[WaterBill]]*$Q$1,0)</f>
        <v>29.505000000000003</v>
      </c>
      <c r="J6" s="9">
        <f>WaterData3[[#This Row],[WaterBill]]+WaterData3[[#This Row],[Tax]]</f>
        <v>872.505</v>
      </c>
    </row>
    <row r="7" spans="1:17" hidden="1" x14ac:dyDescent="0.2">
      <c r="A7" t="s">
        <v>35</v>
      </c>
      <c r="B7" t="s">
        <v>6</v>
      </c>
      <c r="C7" t="s">
        <v>23</v>
      </c>
      <c r="D7" t="s">
        <v>23</v>
      </c>
      <c r="E7" s="5">
        <v>2013</v>
      </c>
      <c r="F7" s="7">
        <v>238200</v>
      </c>
      <c r="G7" s="7">
        <f>_xlfn.IFS(WaterData3[[#This Row],[Bill Waived]]="Yes",0,WaterData3[[#This Row],[Gal Used]]&lt;27000,0,TRUE,WaterData3[[#This Row],[Gal Used]])</f>
        <v>0</v>
      </c>
      <c r="H7" s="9">
        <f>HLOOKUP(WaterData3[[#This Row],[Cust Type]],TypeRate,2,FALSE)*(ROUNDDOWN(WaterData3[[#This Row],[GalBilled]], -3)/1000)</f>
        <v>0</v>
      </c>
      <c r="I7" s="9">
        <f>IF(WaterData3[[#This Row],[Taxable]]="Yes",WaterData3[[#This Row],[WaterBill]]*$Q$1,0)</f>
        <v>0</v>
      </c>
      <c r="J7" s="9">
        <f>WaterData3[[#This Row],[WaterBill]]+WaterData3[[#This Row],[Tax]]</f>
        <v>0</v>
      </c>
    </row>
    <row r="8" spans="1:17" hidden="1" x14ac:dyDescent="0.2">
      <c r="A8" t="s">
        <v>9</v>
      </c>
      <c r="B8" t="s">
        <v>1</v>
      </c>
      <c r="C8" t="s">
        <v>24</v>
      </c>
      <c r="D8" t="s">
        <v>23</v>
      </c>
      <c r="E8" s="5">
        <v>2013</v>
      </c>
      <c r="F8" s="7">
        <v>257000</v>
      </c>
      <c r="G8" s="7">
        <f>_xlfn.IFS(WaterData3[[#This Row],[Bill Waived]]="Yes",0,WaterData3[[#This Row],[Gal Used]]&lt;27000,0,TRUE,WaterData3[[#This Row],[Gal Used]])</f>
        <v>257000</v>
      </c>
      <c r="H8" s="9">
        <f>HLOOKUP(WaterData3[[#This Row],[Cust Type]],TypeRate,2,FALSE)*(ROUNDDOWN(WaterData3[[#This Row],[GalBilled]], -3)/1000)</f>
        <v>771</v>
      </c>
      <c r="I8" s="9">
        <f>IF(WaterData3[[#This Row],[Taxable]]="Yes",WaterData3[[#This Row],[WaterBill]]*$Q$1,0)</f>
        <v>26.985000000000003</v>
      </c>
      <c r="J8" s="9">
        <f>WaterData3[[#This Row],[WaterBill]]+WaterData3[[#This Row],[Tax]]</f>
        <v>797.98500000000001</v>
      </c>
    </row>
    <row r="9" spans="1:17" hidden="1" x14ac:dyDescent="0.2">
      <c r="A9" t="s">
        <v>40</v>
      </c>
      <c r="B9" t="s">
        <v>5</v>
      </c>
      <c r="C9" t="s">
        <v>24</v>
      </c>
      <c r="D9" t="s">
        <v>24</v>
      </c>
      <c r="E9" s="5">
        <v>2013</v>
      </c>
      <c r="F9" s="7">
        <v>23300</v>
      </c>
      <c r="G9" s="7">
        <f>_xlfn.IFS(WaterData3[[#This Row],[Bill Waived]]="Yes",0,WaterData3[[#This Row],[Gal Used]]&lt;27000,0,TRUE,WaterData3[[#This Row],[Gal Used]])</f>
        <v>0</v>
      </c>
      <c r="H9" s="9">
        <f>HLOOKUP(WaterData3[[#This Row],[Cust Type]],TypeRate,2,FALSE)*(ROUNDDOWN(WaterData3[[#This Row],[GalBilled]], -3)/1000)</f>
        <v>0</v>
      </c>
      <c r="I9" s="9">
        <f>IF(WaterData3[[#This Row],[Taxable]]="Yes",WaterData3[[#This Row],[WaterBill]]*$Q$1,0)</f>
        <v>0</v>
      </c>
      <c r="J9" s="9">
        <f>WaterData3[[#This Row],[WaterBill]]+WaterData3[[#This Row],[Tax]]</f>
        <v>0</v>
      </c>
    </row>
    <row r="10" spans="1:17" hidden="1" x14ac:dyDescent="0.2">
      <c r="A10" t="s">
        <v>4</v>
      </c>
      <c r="B10" t="s">
        <v>1</v>
      </c>
      <c r="C10" t="s">
        <v>24</v>
      </c>
      <c r="D10" t="s">
        <v>23</v>
      </c>
      <c r="E10" s="5">
        <v>2013</v>
      </c>
      <c r="F10" s="7">
        <v>81110</v>
      </c>
      <c r="G10" s="7">
        <f>_xlfn.IFS(WaterData3[[#This Row],[Bill Waived]]="Yes",0,WaterData3[[#This Row],[Gal Used]]&lt;27000,0,TRUE,WaterData3[[#This Row],[Gal Used]])</f>
        <v>81110</v>
      </c>
      <c r="H10" s="9">
        <f>HLOOKUP(WaterData3[[#This Row],[Cust Type]],TypeRate,2,FALSE)*(ROUNDDOWN(WaterData3[[#This Row],[GalBilled]], -3)/1000)</f>
        <v>243</v>
      </c>
      <c r="I10" s="9">
        <f>IF(WaterData3[[#This Row],[Taxable]]="Yes",WaterData3[[#This Row],[WaterBill]]*$Q$1,0)</f>
        <v>8.5050000000000008</v>
      </c>
      <c r="J10" s="9">
        <f>WaterData3[[#This Row],[WaterBill]]+WaterData3[[#This Row],[Tax]]</f>
        <v>251.505</v>
      </c>
    </row>
    <row r="11" spans="1:17" x14ac:dyDescent="0.2">
      <c r="A11" t="s">
        <v>60</v>
      </c>
      <c r="B11" t="s">
        <v>5</v>
      </c>
      <c r="C11" t="s">
        <v>24</v>
      </c>
      <c r="D11" t="s">
        <v>24</v>
      </c>
      <c r="E11" s="5">
        <v>2013</v>
      </c>
      <c r="F11" s="7">
        <v>2783000</v>
      </c>
      <c r="G11" s="7">
        <f>_xlfn.IFS(WaterData3[[#This Row],[Bill Waived]]="Yes",0,WaterData3[[#This Row],[Gal Used]]&lt;27000,0,TRUE,WaterData3[[#This Row],[Gal Used]])</f>
        <v>2783000</v>
      </c>
      <c r="H11" s="9">
        <f>HLOOKUP(WaterData3[[#This Row],[Cust Type]],TypeRate,2,FALSE)*(ROUNDDOWN(WaterData3[[#This Row],[GalBilled]], -3)/1000)</f>
        <v>4870.25</v>
      </c>
      <c r="I11" s="9">
        <f>IF(WaterData3[[#This Row],[Taxable]]="Yes",WaterData3[[#This Row],[WaterBill]]*$Q$1,0)</f>
        <v>0</v>
      </c>
      <c r="J11" s="9">
        <f>WaterData3[[#This Row],[WaterBill]]+WaterData3[[#This Row],[Tax]]</f>
        <v>4870.25</v>
      </c>
    </row>
    <row r="12" spans="1:17" x14ac:dyDescent="0.2">
      <c r="A12" t="s">
        <v>20</v>
      </c>
      <c r="B12" t="s">
        <v>1</v>
      </c>
      <c r="C12" t="s">
        <v>24</v>
      </c>
      <c r="D12" t="s">
        <v>23</v>
      </c>
      <c r="E12" s="5">
        <v>2013</v>
      </c>
      <c r="F12" s="7">
        <v>1131600</v>
      </c>
      <c r="G12" s="7">
        <f>_xlfn.IFS(WaterData3[[#This Row],[Bill Waived]]="Yes",0,WaterData3[[#This Row],[Gal Used]]&lt;27000,0,TRUE,WaterData3[[#This Row],[Gal Used]])</f>
        <v>1131600</v>
      </c>
      <c r="H12" s="9">
        <f>HLOOKUP(WaterData3[[#This Row],[Cust Type]],TypeRate,2,FALSE)*(ROUNDDOWN(WaterData3[[#This Row],[GalBilled]], -3)/1000)</f>
        <v>3393</v>
      </c>
      <c r="I12" s="9">
        <f>IF(WaterData3[[#This Row],[Taxable]]="Yes",WaterData3[[#This Row],[WaterBill]]*$Q$1,0)</f>
        <v>118.75500000000001</v>
      </c>
      <c r="J12" s="9">
        <f>WaterData3[[#This Row],[WaterBill]]+WaterData3[[#This Row],[Tax]]</f>
        <v>3511.7550000000001</v>
      </c>
    </row>
    <row r="13" spans="1:17" hidden="1" x14ac:dyDescent="0.2">
      <c r="A13" t="s">
        <v>59</v>
      </c>
      <c r="B13" t="s">
        <v>1</v>
      </c>
      <c r="C13" t="s">
        <v>24</v>
      </c>
      <c r="D13" t="s">
        <v>23</v>
      </c>
      <c r="E13" s="5">
        <v>2013</v>
      </c>
      <c r="F13" s="7">
        <v>360800</v>
      </c>
      <c r="G13" s="7">
        <f>_xlfn.IFS(WaterData3[[#This Row],[Bill Waived]]="Yes",0,WaterData3[[#This Row],[Gal Used]]&lt;27000,0,TRUE,WaterData3[[#This Row],[Gal Used]])</f>
        <v>360800</v>
      </c>
      <c r="H13" s="9">
        <f>HLOOKUP(WaterData3[[#This Row],[Cust Type]],TypeRate,2,FALSE)*(ROUNDDOWN(WaterData3[[#This Row],[GalBilled]], -3)/1000)</f>
        <v>1080</v>
      </c>
      <c r="I13" s="9">
        <f>IF(WaterData3[[#This Row],[Taxable]]="Yes",WaterData3[[#This Row],[WaterBill]]*$Q$1,0)</f>
        <v>37.800000000000004</v>
      </c>
      <c r="J13" s="9">
        <f>WaterData3[[#This Row],[WaterBill]]+WaterData3[[#This Row],[Tax]]</f>
        <v>1117.8</v>
      </c>
    </row>
    <row r="14" spans="1:17" hidden="1" x14ac:dyDescent="0.2">
      <c r="A14" t="s">
        <v>36</v>
      </c>
      <c r="B14" t="s">
        <v>1</v>
      </c>
      <c r="C14" t="s">
        <v>24</v>
      </c>
      <c r="D14" t="s">
        <v>23</v>
      </c>
      <c r="E14" s="5">
        <v>2013</v>
      </c>
      <c r="F14" s="7">
        <v>392600</v>
      </c>
      <c r="G14" s="7">
        <f>_xlfn.IFS(WaterData3[[#This Row],[Bill Waived]]="Yes",0,WaterData3[[#This Row],[Gal Used]]&lt;27000,0,TRUE,WaterData3[[#This Row],[Gal Used]])</f>
        <v>392600</v>
      </c>
      <c r="H14" s="9">
        <f>HLOOKUP(WaterData3[[#This Row],[Cust Type]],TypeRate,2,FALSE)*(ROUNDDOWN(WaterData3[[#This Row],[GalBilled]], -3)/1000)</f>
        <v>1176</v>
      </c>
      <c r="I14" s="9">
        <f>IF(WaterData3[[#This Row],[Taxable]]="Yes",WaterData3[[#This Row],[WaterBill]]*$Q$1,0)</f>
        <v>41.160000000000004</v>
      </c>
      <c r="J14" s="9">
        <f>WaterData3[[#This Row],[WaterBill]]+WaterData3[[#This Row],[Tax]]</f>
        <v>1217.1600000000001</v>
      </c>
    </row>
    <row r="15" spans="1:17" hidden="1" x14ac:dyDescent="0.2">
      <c r="A15" t="s">
        <v>38</v>
      </c>
      <c r="B15" t="s">
        <v>5</v>
      </c>
      <c r="C15" t="s">
        <v>24</v>
      </c>
      <c r="D15" t="s">
        <v>24</v>
      </c>
      <c r="E15" s="5">
        <v>2013</v>
      </c>
      <c r="F15" s="7">
        <v>895300</v>
      </c>
      <c r="G15" s="7">
        <f>_xlfn.IFS(WaterData3[[#This Row],[Bill Waived]]="Yes",0,WaterData3[[#This Row],[Gal Used]]&lt;27000,0,TRUE,WaterData3[[#This Row],[Gal Used]])</f>
        <v>895300</v>
      </c>
      <c r="H15" s="9">
        <f>HLOOKUP(WaterData3[[#This Row],[Cust Type]],TypeRate,2,FALSE)*(ROUNDDOWN(WaterData3[[#This Row],[GalBilled]], -3)/1000)</f>
        <v>1566.25</v>
      </c>
      <c r="I15" s="9">
        <f>IF(WaterData3[[#This Row],[Taxable]]="Yes",WaterData3[[#This Row],[WaterBill]]*$Q$1,0)</f>
        <v>0</v>
      </c>
      <c r="J15" s="9">
        <f>WaterData3[[#This Row],[WaterBill]]+WaterData3[[#This Row],[Tax]]</f>
        <v>1566.25</v>
      </c>
    </row>
    <row r="16" spans="1:17" hidden="1" x14ac:dyDescent="0.2">
      <c r="A16" t="s">
        <v>54</v>
      </c>
      <c r="B16" t="s">
        <v>1</v>
      </c>
      <c r="C16" t="s">
        <v>24</v>
      </c>
      <c r="D16" t="s">
        <v>23</v>
      </c>
      <c r="E16" s="5">
        <v>2013</v>
      </c>
      <c r="F16" s="7">
        <v>59240</v>
      </c>
      <c r="G16" s="7">
        <f>_xlfn.IFS(WaterData3[[#This Row],[Bill Waived]]="Yes",0,WaterData3[[#This Row],[Gal Used]]&lt;27000,0,TRUE,WaterData3[[#This Row],[Gal Used]])</f>
        <v>59240</v>
      </c>
      <c r="H16" s="9">
        <f>HLOOKUP(WaterData3[[#This Row],[Cust Type]],TypeRate,2,FALSE)*(ROUNDDOWN(WaterData3[[#This Row],[GalBilled]], -3)/1000)</f>
        <v>177</v>
      </c>
      <c r="I16" s="9">
        <f>IF(WaterData3[[#This Row],[Taxable]]="Yes",WaterData3[[#This Row],[WaterBill]]*$Q$1,0)</f>
        <v>6.1950000000000003</v>
      </c>
      <c r="J16" s="9">
        <f>WaterData3[[#This Row],[WaterBill]]+WaterData3[[#This Row],[Tax]]</f>
        <v>183.19499999999999</v>
      </c>
    </row>
    <row r="17" spans="1:10" hidden="1" x14ac:dyDescent="0.2">
      <c r="A17" t="s">
        <v>8</v>
      </c>
      <c r="B17" t="s">
        <v>6</v>
      </c>
      <c r="C17" t="s">
        <v>23</v>
      </c>
      <c r="D17" t="s">
        <v>24</v>
      </c>
      <c r="E17" s="5">
        <v>2013</v>
      </c>
      <c r="F17" s="7">
        <v>41690</v>
      </c>
      <c r="G17" s="7">
        <f>_xlfn.IFS(WaterData3[[#This Row],[Bill Waived]]="Yes",0,WaterData3[[#This Row],[Gal Used]]&lt;27000,0,TRUE,WaterData3[[#This Row],[Gal Used]])</f>
        <v>0</v>
      </c>
      <c r="H17" s="9">
        <f>HLOOKUP(WaterData3[[#This Row],[Cust Type]],TypeRate,2,FALSE)*(ROUNDDOWN(WaterData3[[#This Row],[GalBilled]], -3)/1000)</f>
        <v>0</v>
      </c>
      <c r="I17" s="9">
        <f>IF(WaterData3[[#This Row],[Taxable]]="Yes",WaterData3[[#This Row],[WaterBill]]*$Q$1,0)</f>
        <v>0</v>
      </c>
      <c r="J17" s="9">
        <f>WaterData3[[#This Row],[WaterBill]]+WaterData3[[#This Row],[Tax]]</f>
        <v>0</v>
      </c>
    </row>
    <row r="18" spans="1:10" hidden="1" x14ac:dyDescent="0.2">
      <c r="A18" t="s">
        <v>73</v>
      </c>
      <c r="B18" t="s">
        <v>1</v>
      </c>
      <c r="C18" t="s">
        <v>24</v>
      </c>
      <c r="D18" t="s">
        <v>23</v>
      </c>
      <c r="E18" s="5">
        <v>2013</v>
      </c>
      <c r="F18" s="7">
        <v>60870</v>
      </c>
      <c r="G18" s="7">
        <f>_xlfn.IFS(WaterData3[[#This Row],[Bill Waived]]="Yes",0,WaterData3[[#This Row],[Gal Used]]&lt;27000,0,TRUE,WaterData3[[#This Row],[Gal Used]])</f>
        <v>60870</v>
      </c>
      <c r="H18" s="9">
        <f>HLOOKUP(WaterData3[[#This Row],[Cust Type]],TypeRate,2,FALSE)*(ROUNDDOWN(WaterData3[[#This Row],[GalBilled]], -3)/1000)</f>
        <v>180</v>
      </c>
      <c r="I18" s="9">
        <f>IF(WaterData3[[#This Row],[Taxable]]="Yes",WaterData3[[#This Row],[WaterBill]]*$Q$1,0)</f>
        <v>6.3000000000000007</v>
      </c>
      <c r="J18" s="9">
        <f>WaterData3[[#This Row],[WaterBill]]+WaterData3[[#This Row],[Tax]]</f>
        <v>186.3</v>
      </c>
    </row>
    <row r="19" spans="1:10" hidden="1" x14ac:dyDescent="0.2">
      <c r="A19" t="s">
        <v>43</v>
      </c>
      <c r="B19" t="s">
        <v>1</v>
      </c>
      <c r="C19" t="s">
        <v>24</v>
      </c>
      <c r="D19" t="s">
        <v>23</v>
      </c>
      <c r="E19" s="5">
        <v>2013</v>
      </c>
      <c r="F19" s="7">
        <v>34690</v>
      </c>
      <c r="G19" s="7">
        <f>_xlfn.IFS(WaterData3[[#This Row],[Bill Waived]]="Yes",0,WaterData3[[#This Row],[Gal Used]]&lt;27000,0,TRUE,WaterData3[[#This Row],[Gal Used]])</f>
        <v>34690</v>
      </c>
      <c r="H19" s="9">
        <f>HLOOKUP(WaterData3[[#This Row],[Cust Type]],TypeRate,2,FALSE)*(ROUNDDOWN(WaterData3[[#This Row],[GalBilled]], -3)/1000)</f>
        <v>102</v>
      </c>
      <c r="I19" s="9">
        <f>IF(WaterData3[[#This Row],[Taxable]]="Yes",WaterData3[[#This Row],[WaterBill]]*$Q$1,0)</f>
        <v>3.5700000000000003</v>
      </c>
      <c r="J19" s="9">
        <f>WaterData3[[#This Row],[WaterBill]]+WaterData3[[#This Row],[Tax]]</f>
        <v>105.57</v>
      </c>
    </row>
    <row r="20" spans="1:10" hidden="1" x14ac:dyDescent="0.2">
      <c r="A20" t="s">
        <v>46</v>
      </c>
      <c r="B20" t="s">
        <v>5</v>
      </c>
      <c r="C20" t="s">
        <v>24</v>
      </c>
      <c r="D20" t="s">
        <v>23</v>
      </c>
      <c r="E20" s="5">
        <v>2013</v>
      </c>
      <c r="F20" s="7">
        <v>51790</v>
      </c>
      <c r="G20" s="7">
        <f>_xlfn.IFS(WaterData3[[#This Row],[Bill Waived]]="Yes",0,WaterData3[[#This Row],[Gal Used]]&lt;27000,0,TRUE,WaterData3[[#This Row],[Gal Used]])</f>
        <v>51790</v>
      </c>
      <c r="H20" s="9">
        <f>HLOOKUP(WaterData3[[#This Row],[Cust Type]],TypeRate,2,FALSE)*(ROUNDDOWN(WaterData3[[#This Row],[GalBilled]], -3)/1000)</f>
        <v>89.25</v>
      </c>
      <c r="I20" s="9">
        <f>IF(WaterData3[[#This Row],[Taxable]]="Yes",WaterData3[[#This Row],[WaterBill]]*$Q$1,0)</f>
        <v>3.1237500000000002</v>
      </c>
      <c r="J20" s="9">
        <f>WaterData3[[#This Row],[WaterBill]]+WaterData3[[#This Row],[Tax]]</f>
        <v>92.373750000000001</v>
      </c>
    </row>
    <row r="21" spans="1:10" x14ac:dyDescent="0.2">
      <c r="A21" t="s">
        <v>77</v>
      </c>
      <c r="B21" t="s">
        <v>5</v>
      </c>
      <c r="C21" t="s">
        <v>24</v>
      </c>
      <c r="D21" t="s">
        <v>24</v>
      </c>
      <c r="E21" s="5">
        <v>2013</v>
      </c>
      <c r="F21" s="7">
        <v>3031700</v>
      </c>
      <c r="G21" s="7">
        <f>_xlfn.IFS(WaterData3[[#This Row],[Bill Waived]]="Yes",0,WaterData3[[#This Row],[Gal Used]]&lt;27000,0,TRUE,WaterData3[[#This Row],[Gal Used]])</f>
        <v>3031700</v>
      </c>
      <c r="H21" s="9">
        <f>HLOOKUP(WaterData3[[#This Row],[Cust Type]],TypeRate,2,FALSE)*(ROUNDDOWN(WaterData3[[#This Row],[GalBilled]], -3)/1000)</f>
        <v>5304.25</v>
      </c>
      <c r="I21" s="9">
        <f>IF(WaterData3[[#This Row],[Taxable]]="Yes",WaterData3[[#This Row],[WaterBill]]*$Q$1,0)</f>
        <v>0</v>
      </c>
      <c r="J21" s="9">
        <f>WaterData3[[#This Row],[WaterBill]]+WaterData3[[#This Row],[Tax]]</f>
        <v>5304.25</v>
      </c>
    </row>
    <row r="22" spans="1:10" hidden="1" x14ac:dyDescent="0.2">
      <c r="A22" t="s">
        <v>52</v>
      </c>
      <c r="B22" t="s">
        <v>5</v>
      </c>
      <c r="C22" t="s">
        <v>24</v>
      </c>
      <c r="D22" t="s">
        <v>24</v>
      </c>
      <c r="E22" s="5">
        <v>2013</v>
      </c>
      <c r="F22" s="7">
        <v>990000</v>
      </c>
      <c r="G22" s="7">
        <f>_xlfn.IFS(WaterData3[[#This Row],[Bill Waived]]="Yes",0,WaterData3[[#This Row],[Gal Used]]&lt;27000,0,TRUE,WaterData3[[#This Row],[Gal Used]])</f>
        <v>990000</v>
      </c>
      <c r="H22" s="9">
        <f>HLOOKUP(WaterData3[[#This Row],[Cust Type]],TypeRate,2,FALSE)*(ROUNDDOWN(WaterData3[[#This Row],[GalBilled]], -3)/1000)</f>
        <v>1732.5</v>
      </c>
      <c r="I22" s="9">
        <f>IF(WaterData3[[#This Row],[Taxable]]="Yes",WaterData3[[#This Row],[WaterBill]]*$Q$1,0)</f>
        <v>0</v>
      </c>
      <c r="J22" s="9">
        <f>WaterData3[[#This Row],[WaterBill]]+WaterData3[[#This Row],[Tax]]</f>
        <v>1732.5</v>
      </c>
    </row>
    <row r="23" spans="1:10" hidden="1" x14ac:dyDescent="0.2">
      <c r="A23" t="s">
        <v>31</v>
      </c>
      <c r="B23" t="s">
        <v>1</v>
      </c>
      <c r="C23" t="s">
        <v>24</v>
      </c>
      <c r="D23" t="s">
        <v>23</v>
      </c>
      <c r="E23" s="5">
        <v>2013</v>
      </c>
      <c r="F23" s="7">
        <v>82000</v>
      </c>
      <c r="G23" s="7">
        <f>_xlfn.IFS(WaterData3[[#This Row],[Bill Waived]]="Yes",0,WaterData3[[#This Row],[Gal Used]]&lt;27000,0,TRUE,WaterData3[[#This Row],[Gal Used]])</f>
        <v>82000</v>
      </c>
      <c r="H23" s="9">
        <f>HLOOKUP(WaterData3[[#This Row],[Cust Type]],TypeRate,2,FALSE)*(ROUNDDOWN(WaterData3[[#This Row],[GalBilled]], -3)/1000)</f>
        <v>246</v>
      </c>
      <c r="I23" s="9">
        <f>IF(WaterData3[[#This Row],[Taxable]]="Yes",WaterData3[[#This Row],[WaterBill]]*$Q$1,0)</f>
        <v>8.6100000000000012</v>
      </c>
      <c r="J23" s="9">
        <f>WaterData3[[#This Row],[WaterBill]]+WaterData3[[#This Row],[Tax]]</f>
        <v>254.61</v>
      </c>
    </row>
    <row r="24" spans="1:10" hidden="1" x14ac:dyDescent="0.2">
      <c r="A24" t="s">
        <v>68</v>
      </c>
      <c r="B24" t="s">
        <v>6</v>
      </c>
      <c r="C24" t="s">
        <v>23</v>
      </c>
      <c r="D24" t="s">
        <v>24</v>
      </c>
      <c r="E24" s="5">
        <v>2013</v>
      </c>
      <c r="F24" s="7">
        <v>88840</v>
      </c>
      <c r="G24" s="7">
        <f>_xlfn.IFS(WaterData3[[#This Row],[Bill Waived]]="Yes",0,WaterData3[[#This Row],[Gal Used]]&lt;27000,0,TRUE,WaterData3[[#This Row],[Gal Used]])</f>
        <v>0</v>
      </c>
      <c r="H24" s="9">
        <f>HLOOKUP(WaterData3[[#This Row],[Cust Type]],TypeRate,2,FALSE)*(ROUNDDOWN(WaterData3[[#This Row],[GalBilled]], -3)/1000)</f>
        <v>0</v>
      </c>
      <c r="I24" s="9">
        <f>IF(WaterData3[[#This Row],[Taxable]]="Yes",WaterData3[[#This Row],[WaterBill]]*$Q$1,0)</f>
        <v>0</v>
      </c>
      <c r="J24" s="9">
        <f>WaterData3[[#This Row],[WaterBill]]+WaterData3[[#This Row],[Tax]]</f>
        <v>0</v>
      </c>
    </row>
    <row r="25" spans="1:10" hidden="1" x14ac:dyDescent="0.2">
      <c r="A25" t="s">
        <v>12</v>
      </c>
      <c r="B25" t="s">
        <v>1</v>
      </c>
      <c r="C25" t="s">
        <v>24</v>
      </c>
      <c r="D25" t="s">
        <v>23</v>
      </c>
      <c r="E25" s="5">
        <v>2013</v>
      </c>
      <c r="F25" s="7">
        <v>319090</v>
      </c>
      <c r="G25" s="7">
        <f>_xlfn.IFS(WaterData3[[#This Row],[Bill Waived]]="Yes",0,WaterData3[[#This Row],[Gal Used]]&lt;27000,0,TRUE,WaterData3[[#This Row],[Gal Used]])</f>
        <v>319090</v>
      </c>
      <c r="H25" s="9">
        <f>HLOOKUP(WaterData3[[#This Row],[Cust Type]],TypeRate,2,FALSE)*(ROUNDDOWN(WaterData3[[#This Row],[GalBilled]], -3)/1000)</f>
        <v>957</v>
      </c>
      <c r="I25" s="9">
        <f>IF(WaterData3[[#This Row],[Taxable]]="Yes",WaterData3[[#This Row],[WaterBill]]*$Q$1,0)</f>
        <v>33.495000000000005</v>
      </c>
      <c r="J25" s="9">
        <f>WaterData3[[#This Row],[WaterBill]]+WaterData3[[#This Row],[Tax]]</f>
        <v>990.495</v>
      </c>
    </row>
    <row r="26" spans="1:10" hidden="1" x14ac:dyDescent="0.2">
      <c r="A26" t="s">
        <v>58</v>
      </c>
      <c r="B26" t="s">
        <v>1</v>
      </c>
      <c r="C26" t="s">
        <v>24</v>
      </c>
      <c r="D26" t="s">
        <v>23</v>
      </c>
      <c r="E26" s="5">
        <v>2013</v>
      </c>
      <c r="F26" s="7">
        <v>332000</v>
      </c>
      <c r="G26" s="7">
        <f>_xlfn.IFS(WaterData3[[#This Row],[Bill Waived]]="Yes",0,WaterData3[[#This Row],[Gal Used]]&lt;27000,0,TRUE,WaterData3[[#This Row],[Gal Used]])</f>
        <v>332000</v>
      </c>
      <c r="H26" s="9">
        <f>HLOOKUP(WaterData3[[#This Row],[Cust Type]],TypeRate,2,FALSE)*(ROUNDDOWN(WaterData3[[#This Row],[GalBilled]], -3)/1000)</f>
        <v>996</v>
      </c>
      <c r="I26" s="9">
        <f>IF(WaterData3[[#This Row],[Taxable]]="Yes",WaterData3[[#This Row],[WaterBill]]*$Q$1,0)</f>
        <v>34.860000000000007</v>
      </c>
      <c r="J26" s="9">
        <f>WaterData3[[#This Row],[WaterBill]]+WaterData3[[#This Row],[Tax]]</f>
        <v>1030.8599999999999</v>
      </c>
    </row>
    <row r="27" spans="1:10" hidden="1" x14ac:dyDescent="0.2">
      <c r="A27" t="s">
        <v>3</v>
      </c>
      <c r="B27" t="s">
        <v>1</v>
      </c>
      <c r="C27" t="s">
        <v>24</v>
      </c>
      <c r="D27" t="s">
        <v>23</v>
      </c>
      <c r="E27" s="5">
        <v>2013</v>
      </c>
      <c r="F27" s="7">
        <v>148590</v>
      </c>
      <c r="G27" s="7">
        <f>_xlfn.IFS(WaterData3[[#This Row],[Bill Waived]]="Yes",0,WaterData3[[#This Row],[Gal Used]]&lt;27000,0,TRUE,WaterData3[[#This Row],[Gal Used]])</f>
        <v>148590</v>
      </c>
      <c r="H27" s="9">
        <f>HLOOKUP(WaterData3[[#This Row],[Cust Type]],TypeRate,2,FALSE)*(ROUNDDOWN(WaterData3[[#This Row],[GalBilled]], -3)/1000)</f>
        <v>444</v>
      </c>
      <c r="I27" s="9">
        <f>IF(WaterData3[[#This Row],[Taxable]]="Yes",WaterData3[[#This Row],[WaterBill]]*$Q$1,0)</f>
        <v>15.540000000000001</v>
      </c>
      <c r="J27" s="9">
        <f>WaterData3[[#This Row],[WaterBill]]+WaterData3[[#This Row],[Tax]]</f>
        <v>459.54</v>
      </c>
    </row>
    <row r="28" spans="1:10" hidden="1" x14ac:dyDescent="0.2">
      <c r="A28" t="s">
        <v>51</v>
      </c>
      <c r="B28" t="s">
        <v>1</v>
      </c>
      <c r="C28" t="s">
        <v>24</v>
      </c>
      <c r="D28" t="s">
        <v>23</v>
      </c>
      <c r="E28" s="5">
        <v>2013</v>
      </c>
      <c r="F28" s="7">
        <v>442400</v>
      </c>
      <c r="G28" s="7">
        <f>_xlfn.IFS(WaterData3[[#This Row],[Bill Waived]]="Yes",0,WaterData3[[#This Row],[Gal Used]]&lt;27000,0,TRUE,WaterData3[[#This Row],[Gal Used]])</f>
        <v>442400</v>
      </c>
      <c r="H28" s="9">
        <f>HLOOKUP(WaterData3[[#This Row],[Cust Type]],TypeRate,2,FALSE)*(ROUNDDOWN(WaterData3[[#This Row],[GalBilled]], -3)/1000)</f>
        <v>1326</v>
      </c>
      <c r="I28" s="9">
        <f>IF(WaterData3[[#This Row],[Taxable]]="Yes",WaterData3[[#This Row],[WaterBill]]*$Q$1,0)</f>
        <v>46.410000000000004</v>
      </c>
      <c r="J28" s="9">
        <f>WaterData3[[#This Row],[WaterBill]]+WaterData3[[#This Row],[Tax]]</f>
        <v>1372.41</v>
      </c>
    </row>
    <row r="29" spans="1:10" x14ac:dyDescent="0.2">
      <c r="A29" t="s">
        <v>37</v>
      </c>
      <c r="B29" t="s">
        <v>5</v>
      </c>
      <c r="C29" t="s">
        <v>24</v>
      </c>
      <c r="D29" t="s">
        <v>24</v>
      </c>
      <c r="E29" s="5">
        <v>2013</v>
      </c>
      <c r="F29" s="7">
        <v>2020300</v>
      </c>
      <c r="G29" s="7">
        <f>_xlfn.IFS(WaterData3[[#This Row],[Bill Waived]]="Yes",0,WaterData3[[#This Row],[Gal Used]]&lt;27000,0,TRUE,WaterData3[[#This Row],[Gal Used]])</f>
        <v>2020300</v>
      </c>
      <c r="H29" s="9">
        <f>HLOOKUP(WaterData3[[#This Row],[Cust Type]],TypeRate,2,FALSE)*(ROUNDDOWN(WaterData3[[#This Row],[GalBilled]], -3)/1000)</f>
        <v>3535</v>
      </c>
      <c r="I29" s="9">
        <f>IF(WaterData3[[#This Row],[Taxable]]="Yes",WaterData3[[#This Row],[WaterBill]]*$Q$1,0)</f>
        <v>0</v>
      </c>
      <c r="J29" s="9">
        <f>WaterData3[[#This Row],[WaterBill]]+WaterData3[[#This Row],[Tax]]</f>
        <v>3535</v>
      </c>
    </row>
    <row r="30" spans="1:10" hidden="1" x14ac:dyDescent="0.2">
      <c r="A30" t="s">
        <v>75</v>
      </c>
      <c r="B30" t="s">
        <v>1</v>
      </c>
      <c r="C30" t="s">
        <v>24</v>
      </c>
      <c r="D30" t="s">
        <v>23</v>
      </c>
      <c r="E30" s="5">
        <v>2013</v>
      </c>
      <c r="F30" s="7">
        <v>76700</v>
      </c>
      <c r="G30" s="7">
        <f>_xlfn.IFS(WaterData3[[#This Row],[Bill Waived]]="Yes",0,WaterData3[[#This Row],[Gal Used]]&lt;27000,0,TRUE,WaterData3[[#This Row],[Gal Used]])</f>
        <v>76700</v>
      </c>
      <c r="H30" s="9">
        <f>HLOOKUP(WaterData3[[#This Row],[Cust Type]],TypeRate,2,FALSE)*(ROUNDDOWN(WaterData3[[#This Row],[GalBilled]], -3)/1000)</f>
        <v>228</v>
      </c>
      <c r="I30" s="9">
        <f>IF(WaterData3[[#This Row],[Taxable]]="Yes",WaterData3[[#This Row],[WaterBill]]*$Q$1,0)</f>
        <v>7.98</v>
      </c>
      <c r="J30" s="9">
        <f>WaterData3[[#This Row],[WaterBill]]+WaterData3[[#This Row],[Tax]]</f>
        <v>235.98</v>
      </c>
    </row>
    <row r="31" spans="1:10" hidden="1" x14ac:dyDescent="0.2">
      <c r="A31" t="s">
        <v>34</v>
      </c>
      <c r="B31" t="s">
        <v>1</v>
      </c>
      <c r="C31" t="s">
        <v>24</v>
      </c>
      <c r="D31" t="s">
        <v>23</v>
      </c>
      <c r="E31" s="5">
        <v>2013</v>
      </c>
      <c r="F31" s="7">
        <v>178300</v>
      </c>
      <c r="G31" s="7">
        <f>_xlfn.IFS(WaterData3[[#This Row],[Bill Waived]]="Yes",0,WaterData3[[#This Row],[Gal Used]]&lt;27000,0,TRUE,WaterData3[[#This Row],[Gal Used]])</f>
        <v>178300</v>
      </c>
      <c r="H31" s="9">
        <f>HLOOKUP(WaterData3[[#This Row],[Cust Type]],TypeRate,2,FALSE)*(ROUNDDOWN(WaterData3[[#This Row],[GalBilled]], -3)/1000)</f>
        <v>534</v>
      </c>
      <c r="I31" s="9">
        <f>IF(WaterData3[[#This Row],[Taxable]]="Yes",WaterData3[[#This Row],[WaterBill]]*$Q$1,0)</f>
        <v>18.690000000000001</v>
      </c>
      <c r="J31" s="9">
        <f>WaterData3[[#This Row],[WaterBill]]+WaterData3[[#This Row],[Tax]]</f>
        <v>552.69000000000005</v>
      </c>
    </row>
    <row r="32" spans="1:10" hidden="1" x14ac:dyDescent="0.2">
      <c r="A32" t="s">
        <v>2</v>
      </c>
      <c r="B32" t="s">
        <v>1</v>
      </c>
      <c r="C32" t="s">
        <v>24</v>
      </c>
      <c r="D32" t="s">
        <v>23</v>
      </c>
      <c r="E32" s="5">
        <v>2013</v>
      </c>
      <c r="F32" s="7">
        <v>217700</v>
      </c>
      <c r="G32" s="7">
        <f>_xlfn.IFS(WaterData3[[#This Row],[Bill Waived]]="Yes",0,WaterData3[[#This Row],[Gal Used]]&lt;27000,0,TRUE,WaterData3[[#This Row],[Gal Used]])</f>
        <v>217700</v>
      </c>
      <c r="H32" s="9">
        <f>HLOOKUP(WaterData3[[#This Row],[Cust Type]],TypeRate,2,FALSE)*(ROUNDDOWN(WaterData3[[#This Row],[GalBilled]], -3)/1000)</f>
        <v>651</v>
      </c>
      <c r="I32" s="9">
        <f>IF(WaterData3[[#This Row],[Taxable]]="Yes",WaterData3[[#This Row],[WaterBill]]*$Q$1,0)</f>
        <v>22.785000000000004</v>
      </c>
      <c r="J32" s="9">
        <f>WaterData3[[#This Row],[WaterBill]]+WaterData3[[#This Row],[Tax]]</f>
        <v>673.78499999999997</v>
      </c>
    </row>
    <row r="33" spans="1:10" x14ac:dyDescent="0.2">
      <c r="A33" t="s">
        <v>21</v>
      </c>
      <c r="B33" t="s">
        <v>1</v>
      </c>
      <c r="C33" t="s">
        <v>24</v>
      </c>
      <c r="D33" t="s">
        <v>23</v>
      </c>
      <c r="E33" s="5">
        <v>2013</v>
      </c>
      <c r="F33" s="7">
        <v>964500</v>
      </c>
      <c r="G33" s="7">
        <f>_xlfn.IFS(WaterData3[[#This Row],[Bill Waived]]="Yes",0,WaterData3[[#This Row],[Gal Used]]&lt;27000,0,TRUE,WaterData3[[#This Row],[Gal Used]])</f>
        <v>964500</v>
      </c>
      <c r="H33" s="9">
        <f>HLOOKUP(WaterData3[[#This Row],[Cust Type]],TypeRate,2,FALSE)*(ROUNDDOWN(WaterData3[[#This Row],[GalBilled]], -3)/1000)</f>
        <v>2892</v>
      </c>
      <c r="I33" s="9">
        <f>IF(WaterData3[[#This Row],[Taxable]]="Yes",WaterData3[[#This Row],[WaterBill]]*$Q$1,0)</f>
        <v>101.22000000000001</v>
      </c>
      <c r="J33" s="9">
        <f>WaterData3[[#This Row],[WaterBill]]+WaterData3[[#This Row],[Tax]]</f>
        <v>2993.22</v>
      </c>
    </row>
    <row r="34" spans="1:10" hidden="1" x14ac:dyDescent="0.2">
      <c r="A34" t="s">
        <v>42</v>
      </c>
      <c r="B34" t="s">
        <v>1</v>
      </c>
      <c r="C34" t="s">
        <v>24</v>
      </c>
      <c r="D34" t="s">
        <v>23</v>
      </c>
      <c r="E34" s="5">
        <v>2013</v>
      </c>
      <c r="F34" s="7">
        <v>28877</v>
      </c>
      <c r="G34" s="7">
        <f>_xlfn.IFS(WaterData3[[#This Row],[Bill Waived]]="Yes",0,WaterData3[[#This Row],[Gal Used]]&lt;27000,0,TRUE,WaterData3[[#This Row],[Gal Used]])</f>
        <v>28877</v>
      </c>
      <c r="H34" s="9">
        <f>HLOOKUP(WaterData3[[#This Row],[Cust Type]],TypeRate,2,FALSE)*(ROUNDDOWN(WaterData3[[#This Row],[GalBilled]], -3)/1000)</f>
        <v>84</v>
      </c>
      <c r="I34" s="9">
        <f>IF(WaterData3[[#This Row],[Taxable]]="Yes",WaterData3[[#This Row],[WaterBill]]*$Q$1,0)</f>
        <v>2.9400000000000004</v>
      </c>
      <c r="J34" s="9">
        <f>WaterData3[[#This Row],[WaterBill]]+WaterData3[[#This Row],[Tax]]</f>
        <v>86.94</v>
      </c>
    </row>
    <row r="35" spans="1:10" x14ac:dyDescent="0.2">
      <c r="A35" t="s">
        <v>39</v>
      </c>
      <c r="B35" t="s">
        <v>1</v>
      </c>
      <c r="C35" t="s">
        <v>24</v>
      </c>
      <c r="D35" t="s">
        <v>23</v>
      </c>
      <c r="E35" s="5">
        <v>2013</v>
      </c>
      <c r="F35" s="7">
        <v>598600</v>
      </c>
      <c r="G35" s="7">
        <f>_xlfn.IFS(WaterData3[[#This Row],[Bill Waived]]="Yes",0,WaterData3[[#This Row],[Gal Used]]&lt;27000,0,TRUE,WaterData3[[#This Row],[Gal Used]])</f>
        <v>598600</v>
      </c>
      <c r="H35" s="9">
        <f>HLOOKUP(WaterData3[[#This Row],[Cust Type]],TypeRate,2,FALSE)*(ROUNDDOWN(WaterData3[[#This Row],[GalBilled]], -3)/1000)</f>
        <v>1794</v>
      </c>
      <c r="I35" s="9">
        <f>IF(WaterData3[[#This Row],[Taxable]]="Yes",WaterData3[[#This Row],[WaterBill]]*$Q$1,0)</f>
        <v>62.790000000000006</v>
      </c>
      <c r="J35" s="9">
        <f>WaterData3[[#This Row],[WaterBill]]+WaterData3[[#This Row],[Tax]]</f>
        <v>1856.79</v>
      </c>
    </row>
    <row r="36" spans="1:10" hidden="1" x14ac:dyDescent="0.2">
      <c r="A36" t="s">
        <v>13</v>
      </c>
      <c r="B36" t="s">
        <v>1</v>
      </c>
      <c r="C36" t="s">
        <v>24</v>
      </c>
      <c r="D36" t="s">
        <v>23</v>
      </c>
      <c r="E36" s="5">
        <v>2013</v>
      </c>
      <c r="F36" s="7">
        <v>56900</v>
      </c>
      <c r="G36" s="7">
        <f>_xlfn.IFS(WaterData3[[#This Row],[Bill Waived]]="Yes",0,WaterData3[[#This Row],[Gal Used]]&lt;27000,0,TRUE,WaterData3[[#This Row],[Gal Used]])</f>
        <v>56900</v>
      </c>
      <c r="H36" s="9">
        <f>HLOOKUP(WaterData3[[#This Row],[Cust Type]],TypeRate,2,FALSE)*(ROUNDDOWN(WaterData3[[#This Row],[GalBilled]], -3)/1000)</f>
        <v>168</v>
      </c>
      <c r="I36" s="9">
        <f>IF(WaterData3[[#This Row],[Taxable]]="Yes",WaterData3[[#This Row],[WaterBill]]*$Q$1,0)</f>
        <v>5.8800000000000008</v>
      </c>
      <c r="J36" s="9">
        <f>WaterData3[[#This Row],[WaterBill]]+WaterData3[[#This Row],[Tax]]</f>
        <v>173.88</v>
      </c>
    </row>
    <row r="37" spans="1:10" hidden="1" x14ac:dyDescent="0.2">
      <c r="A37" t="s">
        <v>30</v>
      </c>
      <c r="B37" t="s">
        <v>1</v>
      </c>
      <c r="C37" t="s">
        <v>24</v>
      </c>
      <c r="D37" t="s">
        <v>23</v>
      </c>
      <c r="E37" s="5">
        <v>2013</v>
      </c>
      <c r="F37" s="7">
        <v>80530</v>
      </c>
      <c r="G37" s="7">
        <f>_xlfn.IFS(WaterData3[[#This Row],[Bill Waived]]="Yes",0,WaterData3[[#This Row],[Gal Used]]&lt;27000,0,TRUE,WaterData3[[#This Row],[Gal Used]])</f>
        <v>80530</v>
      </c>
      <c r="H37" s="9">
        <f>HLOOKUP(WaterData3[[#This Row],[Cust Type]],TypeRate,2,FALSE)*(ROUNDDOWN(WaterData3[[#This Row],[GalBilled]], -3)/1000)</f>
        <v>240</v>
      </c>
      <c r="I37" s="9">
        <f>IF(WaterData3[[#This Row],[Taxable]]="Yes",WaterData3[[#This Row],[WaterBill]]*$Q$1,0)</f>
        <v>8.4</v>
      </c>
      <c r="J37" s="9">
        <f>WaterData3[[#This Row],[WaterBill]]+WaterData3[[#This Row],[Tax]]</f>
        <v>248.4</v>
      </c>
    </row>
    <row r="38" spans="1:10" hidden="1" x14ac:dyDescent="0.2">
      <c r="A38" t="s">
        <v>44</v>
      </c>
      <c r="B38" t="s">
        <v>6</v>
      </c>
      <c r="C38" t="s">
        <v>23</v>
      </c>
      <c r="D38" t="s">
        <v>23</v>
      </c>
      <c r="E38" s="5">
        <v>2013</v>
      </c>
      <c r="F38" s="7">
        <v>38040</v>
      </c>
      <c r="G38" s="7">
        <f>_xlfn.IFS(WaterData3[[#This Row],[Bill Waived]]="Yes",0,WaterData3[[#This Row],[Gal Used]]&lt;27000,0,TRUE,WaterData3[[#This Row],[Gal Used]])</f>
        <v>0</v>
      </c>
      <c r="H38" s="9">
        <f>HLOOKUP(WaterData3[[#This Row],[Cust Type]],TypeRate,2,FALSE)*(ROUNDDOWN(WaterData3[[#This Row],[GalBilled]], -3)/1000)</f>
        <v>0</v>
      </c>
      <c r="I38" s="9">
        <f>IF(WaterData3[[#This Row],[Taxable]]="Yes",WaterData3[[#This Row],[WaterBill]]*$Q$1,0)</f>
        <v>0</v>
      </c>
      <c r="J38" s="9">
        <f>WaterData3[[#This Row],[WaterBill]]+WaterData3[[#This Row],[Tax]]</f>
        <v>0</v>
      </c>
    </row>
    <row r="39" spans="1:10" hidden="1" x14ac:dyDescent="0.2">
      <c r="A39" t="s">
        <v>65</v>
      </c>
      <c r="B39" t="s">
        <v>5</v>
      </c>
      <c r="C39" t="s">
        <v>24</v>
      </c>
      <c r="D39" t="s">
        <v>24</v>
      </c>
      <c r="E39" s="5">
        <v>2013</v>
      </c>
      <c r="F39" s="7">
        <v>26250</v>
      </c>
      <c r="G39" s="7">
        <f>_xlfn.IFS(WaterData3[[#This Row],[Bill Waived]]="Yes",0,WaterData3[[#This Row],[Gal Used]]&lt;27000,0,TRUE,WaterData3[[#This Row],[Gal Used]])</f>
        <v>0</v>
      </c>
      <c r="H39" s="9">
        <f>HLOOKUP(WaterData3[[#This Row],[Cust Type]],TypeRate,2,FALSE)*(ROUNDDOWN(WaterData3[[#This Row],[GalBilled]], -3)/1000)</f>
        <v>0</v>
      </c>
      <c r="I39" s="9">
        <f>IF(WaterData3[[#This Row],[Taxable]]="Yes",WaterData3[[#This Row],[WaterBill]]*$Q$1,0)</f>
        <v>0</v>
      </c>
      <c r="J39" s="9">
        <f>WaterData3[[#This Row],[WaterBill]]+WaterData3[[#This Row],[Tax]]</f>
        <v>0</v>
      </c>
    </row>
    <row r="40" spans="1:10" hidden="1" x14ac:dyDescent="0.2">
      <c r="A40" t="s">
        <v>29</v>
      </c>
      <c r="B40" t="s">
        <v>6</v>
      </c>
      <c r="C40" t="s">
        <v>23</v>
      </c>
      <c r="D40" t="s">
        <v>24</v>
      </c>
      <c r="E40" s="5">
        <v>2013</v>
      </c>
      <c r="F40" s="7">
        <v>75490</v>
      </c>
      <c r="G40" s="7">
        <f>_xlfn.IFS(WaterData3[[#This Row],[Bill Waived]]="Yes",0,WaterData3[[#This Row],[Gal Used]]&lt;27000,0,TRUE,WaterData3[[#This Row],[Gal Used]])</f>
        <v>0</v>
      </c>
      <c r="H40" s="9">
        <f>HLOOKUP(WaterData3[[#This Row],[Cust Type]],TypeRate,2,FALSE)*(ROUNDDOWN(WaterData3[[#This Row],[GalBilled]], -3)/1000)</f>
        <v>0</v>
      </c>
      <c r="I40" s="9">
        <f>IF(WaterData3[[#This Row],[Taxable]]="Yes",WaterData3[[#This Row],[WaterBill]]*$Q$1,0)</f>
        <v>0</v>
      </c>
      <c r="J40" s="9">
        <f>WaterData3[[#This Row],[WaterBill]]+WaterData3[[#This Row],[Tax]]</f>
        <v>0</v>
      </c>
    </row>
    <row r="41" spans="1:10" hidden="1" x14ac:dyDescent="0.2">
      <c r="A41" t="s">
        <v>41</v>
      </c>
      <c r="B41" t="s">
        <v>1</v>
      </c>
      <c r="C41" t="s">
        <v>24</v>
      </c>
      <c r="D41" t="s">
        <v>23</v>
      </c>
      <c r="E41" s="5">
        <v>2013</v>
      </c>
      <c r="F41" s="7">
        <v>27800</v>
      </c>
      <c r="G41" s="7">
        <f>_xlfn.IFS(WaterData3[[#This Row],[Bill Waived]]="Yes",0,WaterData3[[#This Row],[Gal Used]]&lt;27000,0,TRUE,WaterData3[[#This Row],[Gal Used]])</f>
        <v>27800</v>
      </c>
      <c r="H41" s="9">
        <f>HLOOKUP(WaterData3[[#This Row],[Cust Type]],TypeRate,2,FALSE)*(ROUNDDOWN(WaterData3[[#This Row],[GalBilled]], -3)/1000)</f>
        <v>81</v>
      </c>
      <c r="I41" s="9">
        <f>IF(WaterData3[[#This Row],[Taxable]]="Yes",WaterData3[[#This Row],[WaterBill]]*$Q$1,0)</f>
        <v>2.8350000000000004</v>
      </c>
      <c r="J41" s="9">
        <f>WaterData3[[#This Row],[WaterBill]]+WaterData3[[#This Row],[Tax]]</f>
        <v>83.834999999999994</v>
      </c>
    </row>
    <row r="42" spans="1:10" x14ac:dyDescent="0.2">
      <c r="A42" t="s">
        <v>61</v>
      </c>
      <c r="B42" t="s">
        <v>1</v>
      </c>
      <c r="C42" t="s">
        <v>24</v>
      </c>
      <c r="D42" t="s">
        <v>23</v>
      </c>
      <c r="E42" s="5">
        <v>2013</v>
      </c>
      <c r="F42" s="7">
        <v>1863100</v>
      </c>
      <c r="G42" s="7">
        <f>_xlfn.IFS(WaterData3[[#This Row],[Bill Waived]]="Yes",0,WaterData3[[#This Row],[Gal Used]]&lt;27000,0,TRUE,WaterData3[[#This Row],[Gal Used]])</f>
        <v>1863100</v>
      </c>
      <c r="H42" s="9">
        <f>HLOOKUP(WaterData3[[#This Row],[Cust Type]],TypeRate,2,FALSE)*(ROUNDDOWN(WaterData3[[#This Row],[GalBilled]], -3)/1000)</f>
        <v>5589</v>
      </c>
      <c r="I42" s="9">
        <f>IF(WaterData3[[#This Row],[Taxable]]="Yes",WaterData3[[#This Row],[WaterBill]]*$Q$1,0)</f>
        <v>195.61500000000001</v>
      </c>
      <c r="J42" s="9">
        <f>WaterData3[[#This Row],[WaterBill]]+WaterData3[[#This Row],[Tax]]</f>
        <v>5784.6149999999998</v>
      </c>
    </row>
    <row r="43" spans="1:10" hidden="1" x14ac:dyDescent="0.2">
      <c r="A43" t="s">
        <v>71</v>
      </c>
      <c r="B43" t="s">
        <v>1</v>
      </c>
      <c r="C43" t="s">
        <v>24</v>
      </c>
      <c r="D43" t="s">
        <v>23</v>
      </c>
      <c r="E43" s="5">
        <v>2013</v>
      </c>
      <c r="F43" s="7">
        <v>49000</v>
      </c>
      <c r="G43" s="7">
        <f>_xlfn.IFS(WaterData3[[#This Row],[Bill Waived]]="Yes",0,WaterData3[[#This Row],[Gal Used]]&lt;27000,0,TRUE,WaterData3[[#This Row],[Gal Used]])</f>
        <v>49000</v>
      </c>
      <c r="H43" s="9">
        <f>HLOOKUP(WaterData3[[#This Row],[Cust Type]],TypeRate,2,FALSE)*(ROUNDDOWN(WaterData3[[#This Row],[GalBilled]], -3)/1000)</f>
        <v>147</v>
      </c>
      <c r="I43" s="9">
        <f>IF(WaterData3[[#This Row],[Taxable]]="Yes",WaterData3[[#This Row],[WaterBill]]*$Q$1,0)</f>
        <v>5.1450000000000005</v>
      </c>
      <c r="J43" s="9">
        <f>WaterData3[[#This Row],[WaterBill]]+WaterData3[[#This Row],[Tax]]</f>
        <v>152.14500000000001</v>
      </c>
    </row>
    <row r="44" spans="1:10" hidden="1" x14ac:dyDescent="0.2">
      <c r="A44" t="s">
        <v>53</v>
      </c>
      <c r="B44" t="s">
        <v>5</v>
      </c>
      <c r="C44" t="s">
        <v>24</v>
      </c>
      <c r="D44" t="s">
        <v>23</v>
      </c>
      <c r="E44" s="5">
        <v>2013</v>
      </c>
      <c r="F44" s="7">
        <v>40530</v>
      </c>
      <c r="G44" s="7">
        <f>_xlfn.IFS(WaterData3[[#This Row],[Bill Waived]]="Yes",0,WaterData3[[#This Row],[Gal Used]]&lt;27000,0,TRUE,WaterData3[[#This Row],[Gal Used]])</f>
        <v>40530</v>
      </c>
      <c r="H44" s="9">
        <f>HLOOKUP(WaterData3[[#This Row],[Cust Type]],TypeRate,2,FALSE)*(ROUNDDOWN(WaterData3[[#This Row],[GalBilled]], -3)/1000)</f>
        <v>70</v>
      </c>
      <c r="I44" s="9">
        <f>IF(WaterData3[[#This Row],[Taxable]]="Yes",WaterData3[[#This Row],[WaterBill]]*$Q$1,0)</f>
        <v>2.4500000000000002</v>
      </c>
      <c r="J44" s="9">
        <f>WaterData3[[#This Row],[WaterBill]]+WaterData3[[#This Row],[Tax]]</f>
        <v>72.45</v>
      </c>
    </row>
    <row r="45" spans="1:10" hidden="1" x14ac:dyDescent="0.2">
      <c r="A45" t="s">
        <v>14</v>
      </c>
      <c r="B45" t="s">
        <v>1</v>
      </c>
      <c r="C45" t="s">
        <v>24</v>
      </c>
      <c r="D45" t="s">
        <v>23</v>
      </c>
      <c r="E45" s="5">
        <v>2013</v>
      </c>
      <c r="F45" s="7">
        <v>524900</v>
      </c>
      <c r="G45" s="7">
        <f>_xlfn.IFS(WaterData3[[#This Row],[Bill Waived]]="Yes",0,WaterData3[[#This Row],[Gal Used]]&lt;27000,0,TRUE,WaterData3[[#This Row],[Gal Used]])</f>
        <v>524900</v>
      </c>
      <c r="H45" s="9">
        <f>HLOOKUP(WaterData3[[#This Row],[Cust Type]],TypeRate,2,FALSE)*(ROUNDDOWN(WaterData3[[#This Row],[GalBilled]], -3)/1000)</f>
        <v>1572</v>
      </c>
      <c r="I45" s="9">
        <f>IF(WaterData3[[#This Row],[Taxable]]="Yes",WaterData3[[#This Row],[WaterBill]]*$Q$1,0)</f>
        <v>55.02</v>
      </c>
      <c r="J45" s="9">
        <f>WaterData3[[#This Row],[WaterBill]]+WaterData3[[#This Row],[Tax]]</f>
        <v>1627.02</v>
      </c>
    </row>
    <row r="46" spans="1:10" hidden="1" x14ac:dyDescent="0.2">
      <c r="A46" t="s">
        <v>78</v>
      </c>
      <c r="B46" t="s">
        <v>1</v>
      </c>
      <c r="C46" t="s">
        <v>24</v>
      </c>
      <c r="D46" t="s">
        <v>23</v>
      </c>
      <c r="E46" s="5">
        <v>2013</v>
      </c>
      <c r="F46" s="7">
        <v>25200</v>
      </c>
      <c r="G46" s="7">
        <f>_xlfn.IFS(WaterData3[[#This Row],[Bill Waived]]="Yes",0,WaterData3[[#This Row],[Gal Used]]&lt;27000,0,TRUE,WaterData3[[#This Row],[Gal Used]])</f>
        <v>0</v>
      </c>
      <c r="H46" s="9">
        <f>HLOOKUP(WaterData3[[#This Row],[Cust Type]],TypeRate,2,FALSE)*(ROUNDDOWN(WaterData3[[#This Row],[GalBilled]], -3)/1000)</f>
        <v>0</v>
      </c>
      <c r="I46" s="9">
        <f>IF(WaterData3[[#This Row],[Taxable]]="Yes",WaterData3[[#This Row],[WaterBill]]*$Q$1,0)</f>
        <v>0</v>
      </c>
      <c r="J46" s="9">
        <f>WaterData3[[#This Row],[WaterBill]]+WaterData3[[#This Row],[Tax]]</f>
        <v>0</v>
      </c>
    </row>
    <row r="47" spans="1:10" hidden="1" x14ac:dyDescent="0.2">
      <c r="A47" t="s">
        <v>50</v>
      </c>
      <c r="B47" t="s">
        <v>1</v>
      </c>
      <c r="C47" t="s">
        <v>24</v>
      </c>
      <c r="D47" t="s">
        <v>23</v>
      </c>
      <c r="E47" s="5">
        <v>2013</v>
      </c>
      <c r="F47" s="7">
        <v>380460</v>
      </c>
      <c r="G47" s="7">
        <f>_xlfn.IFS(WaterData3[[#This Row],[Bill Waived]]="Yes",0,WaterData3[[#This Row],[Gal Used]]&lt;27000,0,TRUE,WaterData3[[#This Row],[Gal Used]])</f>
        <v>380460</v>
      </c>
      <c r="H47" s="9">
        <f>HLOOKUP(WaterData3[[#This Row],[Cust Type]],TypeRate,2,FALSE)*(ROUNDDOWN(WaterData3[[#This Row],[GalBilled]], -3)/1000)</f>
        <v>1140</v>
      </c>
      <c r="I47" s="9">
        <f>IF(WaterData3[[#This Row],[Taxable]]="Yes",WaterData3[[#This Row],[WaterBill]]*$Q$1,0)</f>
        <v>39.900000000000006</v>
      </c>
      <c r="J47" s="9">
        <f>WaterData3[[#This Row],[WaterBill]]+WaterData3[[#This Row],[Tax]]</f>
        <v>1179.9000000000001</v>
      </c>
    </row>
    <row r="48" spans="1:10" hidden="1" x14ac:dyDescent="0.2">
      <c r="A48" t="s">
        <v>57</v>
      </c>
      <c r="B48" t="s">
        <v>1</v>
      </c>
      <c r="C48" t="s">
        <v>24</v>
      </c>
      <c r="D48" t="s">
        <v>23</v>
      </c>
      <c r="E48" s="5">
        <v>2013</v>
      </c>
      <c r="F48" s="7">
        <v>148174</v>
      </c>
      <c r="G48" s="7">
        <f>_xlfn.IFS(WaterData3[[#This Row],[Bill Waived]]="Yes",0,WaterData3[[#This Row],[Gal Used]]&lt;27000,0,TRUE,WaterData3[[#This Row],[Gal Used]])</f>
        <v>148174</v>
      </c>
      <c r="H48" s="9">
        <f>HLOOKUP(WaterData3[[#This Row],[Cust Type]],TypeRate,2,FALSE)*(ROUNDDOWN(WaterData3[[#This Row],[GalBilled]], -3)/1000)</f>
        <v>444</v>
      </c>
      <c r="I48" s="9">
        <f>IF(WaterData3[[#This Row],[Taxable]]="Yes",WaterData3[[#This Row],[WaterBill]]*$Q$1,0)</f>
        <v>15.540000000000001</v>
      </c>
      <c r="J48" s="9">
        <f>WaterData3[[#This Row],[WaterBill]]+WaterData3[[#This Row],[Tax]]</f>
        <v>459.54</v>
      </c>
    </row>
    <row r="49" spans="1:10" hidden="1" x14ac:dyDescent="0.2">
      <c r="A49" t="s">
        <v>62</v>
      </c>
      <c r="B49" t="s">
        <v>5</v>
      </c>
      <c r="C49" t="s">
        <v>24</v>
      </c>
      <c r="D49" t="s">
        <v>23</v>
      </c>
      <c r="E49" s="5">
        <v>2013</v>
      </c>
      <c r="F49" s="7">
        <v>737000</v>
      </c>
      <c r="G49" s="7">
        <f>_xlfn.IFS(WaterData3[[#This Row],[Bill Waived]]="Yes",0,WaterData3[[#This Row],[Gal Used]]&lt;27000,0,TRUE,WaterData3[[#This Row],[Gal Used]])</f>
        <v>737000</v>
      </c>
      <c r="H49" s="9">
        <f>HLOOKUP(WaterData3[[#This Row],[Cust Type]],TypeRate,2,FALSE)*(ROUNDDOWN(WaterData3[[#This Row],[GalBilled]], -3)/1000)</f>
        <v>1289.75</v>
      </c>
      <c r="I49" s="9">
        <f>IF(WaterData3[[#This Row],[Taxable]]="Yes",WaterData3[[#This Row],[WaterBill]]*$Q$1,0)</f>
        <v>45.141250000000007</v>
      </c>
      <c r="J49" s="9">
        <f>WaterData3[[#This Row],[WaterBill]]+WaterData3[[#This Row],[Tax]]</f>
        <v>1334.8912499999999</v>
      </c>
    </row>
    <row r="50" spans="1:10" hidden="1" x14ac:dyDescent="0.2">
      <c r="A50" t="s">
        <v>72</v>
      </c>
      <c r="B50" t="s">
        <v>1</v>
      </c>
      <c r="C50" t="s">
        <v>24</v>
      </c>
      <c r="D50" t="s">
        <v>23</v>
      </c>
      <c r="E50" s="5">
        <v>2013</v>
      </c>
      <c r="F50" s="7">
        <v>41920</v>
      </c>
      <c r="G50" s="7">
        <f>_xlfn.IFS(WaterData3[[#This Row],[Bill Waived]]="Yes",0,WaterData3[[#This Row],[Gal Used]]&lt;27000,0,TRUE,WaterData3[[#This Row],[Gal Used]])</f>
        <v>41920</v>
      </c>
      <c r="H50" s="9">
        <f>HLOOKUP(WaterData3[[#This Row],[Cust Type]],TypeRate,2,FALSE)*(ROUNDDOWN(WaterData3[[#This Row],[GalBilled]], -3)/1000)</f>
        <v>123</v>
      </c>
      <c r="I50" s="9">
        <f>IF(WaterData3[[#This Row],[Taxable]]="Yes",WaterData3[[#This Row],[WaterBill]]*$Q$1,0)</f>
        <v>4.3050000000000006</v>
      </c>
      <c r="J50" s="9">
        <f>WaterData3[[#This Row],[WaterBill]]+WaterData3[[#This Row],[Tax]]</f>
        <v>127.30500000000001</v>
      </c>
    </row>
    <row r="51" spans="1:10" x14ac:dyDescent="0.2">
      <c r="A51" t="s">
        <v>76</v>
      </c>
      <c r="B51" t="s">
        <v>5</v>
      </c>
      <c r="C51" t="s">
        <v>24</v>
      </c>
      <c r="D51" t="s">
        <v>24</v>
      </c>
      <c r="E51" s="5">
        <v>2013</v>
      </c>
      <c r="F51" s="7">
        <v>3978000</v>
      </c>
      <c r="G51" s="7">
        <f>_xlfn.IFS(WaterData3[[#This Row],[Bill Waived]]="Yes",0,WaterData3[[#This Row],[Gal Used]]&lt;27000,0,TRUE,WaterData3[[#This Row],[Gal Used]])</f>
        <v>3978000</v>
      </c>
      <c r="H51" s="9">
        <f>HLOOKUP(WaterData3[[#This Row],[Cust Type]],TypeRate,2,FALSE)*(ROUNDDOWN(WaterData3[[#This Row],[GalBilled]], -3)/1000)</f>
        <v>6961.5</v>
      </c>
      <c r="I51" s="9">
        <f>IF(WaterData3[[#This Row],[Taxable]]="Yes",WaterData3[[#This Row],[WaterBill]]*$Q$1,0)</f>
        <v>0</v>
      </c>
      <c r="J51" s="9">
        <f>WaterData3[[#This Row],[WaterBill]]+WaterData3[[#This Row],[Tax]]</f>
        <v>6961.5</v>
      </c>
    </row>
    <row r="52" spans="1:10" x14ac:dyDescent="0.2">
      <c r="A52" t="s">
        <v>64</v>
      </c>
      <c r="B52" t="s">
        <v>5</v>
      </c>
      <c r="C52" t="s">
        <v>24</v>
      </c>
      <c r="D52" t="s">
        <v>24</v>
      </c>
      <c r="E52" s="5">
        <v>2013</v>
      </c>
      <c r="F52" s="7">
        <v>1207700</v>
      </c>
      <c r="G52" s="7">
        <f>_xlfn.IFS(WaterData3[[#This Row],[Bill Waived]]="Yes",0,WaterData3[[#This Row],[Gal Used]]&lt;27000,0,TRUE,WaterData3[[#This Row],[Gal Used]])</f>
        <v>1207700</v>
      </c>
      <c r="H52" s="9">
        <f>HLOOKUP(WaterData3[[#This Row],[Cust Type]],TypeRate,2,FALSE)*(ROUNDDOWN(WaterData3[[#This Row],[GalBilled]], -3)/1000)</f>
        <v>2112.25</v>
      </c>
      <c r="I52" s="9">
        <f>IF(WaterData3[[#This Row],[Taxable]]="Yes",WaterData3[[#This Row],[WaterBill]]*$Q$1,0)</f>
        <v>0</v>
      </c>
      <c r="J52" s="9">
        <f>WaterData3[[#This Row],[WaterBill]]+WaterData3[[#This Row],[Tax]]</f>
        <v>2112.25</v>
      </c>
    </row>
    <row r="53" spans="1:10" hidden="1" x14ac:dyDescent="0.2">
      <c r="A53" t="s">
        <v>66</v>
      </c>
      <c r="B53" t="s">
        <v>5</v>
      </c>
      <c r="C53" t="s">
        <v>24</v>
      </c>
      <c r="D53" t="s">
        <v>24</v>
      </c>
      <c r="E53" s="5">
        <v>2013</v>
      </c>
      <c r="F53" s="7">
        <v>415000</v>
      </c>
      <c r="G53" s="7">
        <f>_xlfn.IFS(WaterData3[[#This Row],[Bill Waived]]="Yes",0,WaterData3[[#This Row],[Gal Used]]&lt;27000,0,TRUE,WaterData3[[#This Row],[Gal Used]])</f>
        <v>415000</v>
      </c>
      <c r="H53" s="9">
        <f>HLOOKUP(WaterData3[[#This Row],[Cust Type]],TypeRate,2,FALSE)*(ROUNDDOWN(WaterData3[[#This Row],[GalBilled]], -3)/1000)</f>
        <v>726.25</v>
      </c>
      <c r="I53" s="9">
        <f>IF(WaterData3[[#This Row],[Taxable]]="Yes",WaterData3[[#This Row],[WaterBill]]*$Q$1,0)</f>
        <v>0</v>
      </c>
      <c r="J53" s="9">
        <f>WaterData3[[#This Row],[WaterBill]]+WaterData3[[#This Row],[Tax]]</f>
        <v>726.25</v>
      </c>
    </row>
    <row r="54" spans="1:10" hidden="1" x14ac:dyDescent="0.2">
      <c r="A54" t="s">
        <v>11</v>
      </c>
      <c r="B54" t="s">
        <v>5</v>
      </c>
      <c r="C54" t="s">
        <v>24</v>
      </c>
      <c r="D54" t="s">
        <v>24</v>
      </c>
      <c r="E54" s="5">
        <v>2013</v>
      </c>
      <c r="F54" s="7">
        <v>479400</v>
      </c>
      <c r="G54" s="7">
        <f>_xlfn.IFS(WaterData3[[#This Row],[Bill Waived]]="Yes",0,WaterData3[[#This Row],[Gal Used]]&lt;27000,0,TRUE,WaterData3[[#This Row],[Gal Used]])</f>
        <v>479400</v>
      </c>
      <c r="H54" s="9">
        <f>HLOOKUP(WaterData3[[#This Row],[Cust Type]],TypeRate,2,FALSE)*(ROUNDDOWN(WaterData3[[#This Row],[GalBilled]], -3)/1000)</f>
        <v>838.25</v>
      </c>
      <c r="I54" s="9">
        <f>IF(WaterData3[[#This Row],[Taxable]]="Yes",WaterData3[[#This Row],[WaterBill]]*$Q$1,0)</f>
        <v>0</v>
      </c>
      <c r="J54" s="9">
        <f>WaterData3[[#This Row],[WaterBill]]+WaterData3[[#This Row],[Tax]]</f>
        <v>838.25</v>
      </c>
    </row>
    <row r="55" spans="1:10" hidden="1" x14ac:dyDescent="0.2">
      <c r="A55" t="s">
        <v>28</v>
      </c>
      <c r="B55" t="s">
        <v>5</v>
      </c>
      <c r="C55" t="s">
        <v>24</v>
      </c>
      <c r="D55" t="s">
        <v>23</v>
      </c>
      <c r="E55" s="5">
        <v>2013</v>
      </c>
      <c r="F55" s="7">
        <v>73050</v>
      </c>
      <c r="G55" s="7">
        <f>_xlfn.IFS(WaterData3[[#This Row],[Bill Waived]]="Yes",0,WaterData3[[#This Row],[Gal Used]]&lt;27000,0,TRUE,WaterData3[[#This Row],[Gal Used]])</f>
        <v>73050</v>
      </c>
      <c r="H55" s="9">
        <f>HLOOKUP(WaterData3[[#This Row],[Cust Type]],TypeRate,2,FALSE)*(ROUNDDOWN(WaterData3[[#This Row],[GalBilled]], -3)/1000)</f>
        <v>127.75</v>
      </c>
      <c r="I55" s="9">
        <f>IF(WaterData3[[#This Row],[Taxable]]="Yes",WaterData3[[#This Row],[WaterBill]]*$Q$1,0)</f>
        <v>4.4712500000000004</v>
      </c>
      <c r="J55" s="9">
        <f>WaterData3[[#This Row],[WaterBill]]+WaterData3[[#This Row],[Tax]]</f>
        <v>132.22125</v>
      </c>
    </row>
    <row r="56" spans="1:10" hidden="1" x14ac:dyDescent="0.2">
      <c r="A56" t="s">
        <v>67</v>
      </c>
      <c r="B56" t="s">
        <v>5</v>
      </c>
      <c r="C56" t="s">
        <v>24</v>
      </c>
      <c r="D56" t="s">
        <v>24</v>
      </c>
      <c r="E56" s="5">
        <v>2013</v>
      </c>
      <c r="F56" s="7">
        <v>713400</v>
      </c>
      <c r="G56" s="7">
        <f>_xlfn.IFS(WaterData3[[#This Row],[Bill Waived]]="Yes",0,WaterData3[[#This Row],[Gal Used]]&lt;27000,0,TRUE,WaterData3[[#This Row],[Gal Used]])</f>
        <v>713400</v>
      </c>
      <c r="H56" s="9">
        <f>HLOOKUP(WaterData3[[#This Row],[Cust Type]],TypeRate,2,FALSE)*(ROUNDDOWN(WaterData3[[#This Row],[GalBilled]], -3)/1000)</f>
        <v>1247.75</v>
      </c>
      <c r="I56" s="9">
        <f>IF(WaterData3[[#This Row],[Taxable]]="Yes",WaterData3[[#This Row],[WaterBill]]*$Q$1,0)</f>
        <v>0</v>
      </c>
      <c r="J56" s="9">
        <f>WaterData3[[#This Row],[WaterBill]]+WaterData3[[#This Row],[Tax]]</f>
        <v>1247.75</v>
      </c>
    </row>
    <row r="57" spans="1:10" hidden="1" x14ac:dyDescent="0.2">
      <c r="A57" t="s">
        <v>45</v>
      </c>
      <c r="B57" t="s">
        <v>1</v>
      </c>
      <c r="C57" t="s">
        <v>24</v>
      </c>
      <c r="D57" t="s">
        <v>23</v>
      </c>
      <c r="E57" s="5">
        <v>2013</v>
      </c>
      <c r="F57" s="7">
        <v>41830</v>
      </c>
      <c r="G57" s="7">
        <f>_xlfn.IFS(WaterData3[[#This Row],[Bill Waived]]="Yes",0,WaterData3[[#This Row],[Gal Used]]&lt;27000,0,TRUE,WaterData3[[#This Row],[Gal Used]])</f>
        <v>41830</v>
      </c>
      <c r="H57" s="9">
        <f>HLOOKUP(WaterData3[[#This Row],[Cust Type]],TypeRate,2,FALSE)*(ROUNDDOWN(WaterData3[[#This Row],[GalBilled]], -3)/1000)</f>
        <v>123</v>
      </c>
      <c r="I57" s="9">
        <f>IF(WaterData3[[#This Row],[Taxable]]="Yes",WaterData3[[#This Row],[WaterBill]]*$Q$1,0)</f>
        <v>4.3050000000000006</v>
      </c>
      <c r="J57" s="9">
        <f>WaterData3[[#This Row],[WaterBill]]+WaterData3[[#This Row],[Tax]]</f>
        <v>127.30500000000001</v>
      </c>
    </row>
    <row r="58" spans="1:10" hidden="1" x14ac:dyDescent="0.2">
      <c r="A58" t="s">
        <v>22</v>
      </c>
      <c r="B58" t="s">
        <v>1</v>
      </c>
      <c r="C58" t="s">
        <v>24</v>
      </c>
      <c r="D58" t="s">
        <v>23</v>
      </c>
      <c r="E58" s="5">
        <v>2013</v>
      </c>
      <c r="F58" s="7">
        <v>165900</v>
      </c>
      <c r="G58" s="7">
        <f>_xlfn.IFS(WaterData3[[#This Row],[Bill Waived]]="Yes",0,WaterData3[[#This Row],[Gal Used]]&lt;27000,0,TRUE,WaterData3[[#This Row],[Gal Used]])</f>
        <v>165900</v>
      </c>
      <c r="H58" s="9">
        <f>HLOOKUP(WaterData3[[#This Row],[Cust Type]],TypeRate,2,FALSE)*(ROUNDDOWN(WaterData3[[#This Row],[GalBilled]], -3)/1000)</f>
        <v>495</v>
      </c>
      <c r="I58" s="9">
        <f>IF(WaterData3[[#This Row],[Taxable]]="Yes",WaterData3[[#This Row],[WaterBill]]*$Q$1,0)</f>
        <v>17.325000000000003</v>
      </c>
      <c r="J58" s="9">
        <f>WaterData3[[#This Row],[WaterBill]]+WaterData3[[#This Row],[Tax]]</f>
        <v>512.32500000000005</v>
      </c>
    </row>
    <row r="59" spans="1:10" hidden="1" x14ac:dyDescent="0.2">
      <c r="A59" t="s">
        <v>7</v>
      </c>
      <c r="B59" t="s">
        <v>5</v>
      </c>
      <c r="C59" t="s">
        <v>24</v>
      </c>
      <c r="D59" t="s">
        <v>24</v>
      </c>
      <c r="E59" s="5">
        <v>2013</v>
      </c>
      <c r="F59" s="7">
        <v>63200</v>
      </c>
      <c r="G59" s="7">
        <f>_xlfn.IFS(WaterData3[[#This Row],[Bill Waived]]="Yes",0,WaterData3[[#This Row],[Gal Used]]&lt;27000,0,TRUE,WaterData3[[#This Row],[Gal Used]])</f>
        <v>63200</v>
      </c>
      <c r="H59" s="9">
        <f>HLOOKUP(WaterData3[[#This Row],[Cust Type]],TypeRate,2,FALSE)*(ROUNDDOWN(WaterData3[[#This Row],[GalBilled]], -3)/1000)</f>
        <v>110.25</v>
      </c>
      <c r="I59" s="9">
        <f>IF(WaterData3[[#This Row],[Taxable]]="Yes",WaterData3[[#This Row],[WaterBill]]*$Q$1,0)</f>
        <v>0</v>
      </c>
      <c r="J59" s="9">
        <f>WaterData3[[#This Row],[WaterBill]]+WaterData3[[#This Row],[Tax]]</f>
        <v>110.25</v>
      </c>
    </row>
    <row r="60" spans="1:10" hidden="1" x14ac:dyDescent="0.2">
      <c r="A60" t="s">
        <v>63</v>
      </c>
      <c r="B60" t="s">
        <v>5</v>
      </c>
      <c r="C60" t="s">
        <v>24</v>
      </c>
      <c r="D60" t="s">
        <v>24</v>
      </c>
      <c r="E60" s="5">
        <v>2013</v>
      </c>
      <c r="F60" s="7">
        <v>625200</v>
      </c>
      <c r="G60" s="7">
        <f>_xlfn.IFS(WaterData3[[#This Row],[Bill Waived]]="Yes",0,WaterData3[[#This Row],[Gal Used]]&lt;27000,0,TRUE,WaterData3[[#This Row],[Gal Used]])</f>
        <v>625200</v>
      </c>
      <c r="H60" s="9">
        <f>HLOOKUP(WaterData3[[#This Row],[Cust Type]],TypeRate,2,FALSE)*(ROUNDDOWN(WaterData3[[#This Row],[GalBilled]], -3)/1000)</f>
        <v>1093.75</v>
      </c>
      <c r="I60" s="9">
        <f>IF(WaterData3[[#This Row],[Taxable]]="Yes",WaterData3[[#This Row],[WaterBill]]*$Q$1,0)</f>
        <v>0</v>
      </c>
      <c r="J60" s="9">
        <f>WaterData3[[#This Row],[WaterBill]]+WaterData3[[#This Row],[Tax]]</f>
        <v>1093.75</v>
      </c>
    </row>
    <row r="61" spans="1:10" hidden="1" x14ac:dyDescent="0.2">
      <c r="A61" t="s">
        <v>27</v>
      </c>
      <c r="B61" t="s">
        <v>1</v>
      </c>
      <c r="C61" t="s">
        <v>24</v>
      </c>
      <c r="D61" t="s">
        <v>23</v>
      </c>
      <c r="E61" s="5">
        <v>2013</v>
      </c>
      <c r="F61" s="7">
        <v>67270</v>
      </c>
      <c r="G61" s="7">
        <f>_xlfn.IFS(WaterData3[[#This Row],[Bill Waived]]="Yes",0,WaterData3[[#This Row],[Gal Used]]&lt;27000,0,TRUE,WaterData3[[#This Row],[Gal Used]])</f>
        <v>67270</v>
      </c>
      <c r="H61" s="9">
        <f>HLOOKUP(WaterData3[[#This Row],[Cust Type]],TypeRate,2,FALSE)*(ROUNDDOWN(WaterData3[[#This Row],[GalBilled]], -3)/1000)</f>
        <v>201</v>
      </c>
      <c r="I61" s="9">
        <f>IF(WaterData3[[#This Row],[Taxable]]="Yes",WaterData3[[#This Row],[WaterBill]]*$Q$1,0)</f>
        <v>7.035000000000001</v>
      </c>
      <c r="J61" s="9">
        <f>WaterData3[[#This Row],[WaterBill]]+WaterData3[[#This Row],[Tax]]</f>
        <v>208.035</v>
      </c>
    </row>
    <row r="62" spans="1:10" hidden="1" x14ac:dyDescent="0.2">
      <c r="A62" t="s">
        <v>47</v>
      </c>
      <c r="B62" t="s">
        <v>6</v>
      </c>
      <c r="C62" t="s">
        <v>23</v>
      </c>
      <c r="D62" t="s">
        <v>24</v>
      </c>
      <c r="E62" s="5">
        <v>2013</v>
      </c>
      <c r="F62" s="7">
        <v>83270</v>
      </c>
      <c r="G62" s="7">
        <f>_xlfn.IFS(WaterData3[[#This Row],[Bill Waived]]="Yes",0,WaterData3[[#This Row],[Gal Used]]&lt;27000,0,TRUE,WaterData3[[#This Row],[Gal Used]])</f>
        <v>0</v>
      </c>
      <c r="H62" s="9">
        <f>HLOOKUP(WaterData3[[#This Row],[Cust Type]],TypeRate,2,FALSE)*(ROUNDDOWN(WaterData3[[#This Row],[GalBilled]], -3)/1000)</f>
        <v>0</v>
      </c>
      <c r="I62" s="9">
        <f>IF(WaterData3[[#This Row],[Taxable]]="Yes",WaterData3[[#This Row],[WaterBill]]*$Q$1,0)</f>
        <v>0</v>
      </c>
      <c r="J62" s="9">
        <f>WaterData3[[#This Row],[WaterBill]]+WaterData3[[#This Row],[Tax]]</f>
        <v>0</v>
      </c>
    </row>
    <row r="63" spans="1:10" hidden="1" x14ac:dyDescent="0.2">
      <c r="A63" t="s">
        <v>26</v>
      </c>
      <c r="B63" t="s">
        <v>5</v>
      </c>
      <c r="C63" t="s">
        <v>24</v>
      </c>
      <c r="D63" t="s">
        <v>23</v>
      </c>
      <c r="E63" s="5">
        <v>2013</v>
      </c>
      <c r="F63" s="7">
        <v>55000</v>
      </c>
      <c r="G63" s="7">
        <f>_xlfn.IFS(WaterData3[[#This Row],[Bill Waived]]="Yes",0,WaterData3[[#This Row],[Gal Used]]&lt;27000,0,TRUE,WaterData3[[#This Row],[Gal Used]])</f>
        <v>55000</v>
      </c>
      <c r="H63" s="9">
        <f>HLOOKUP(WaterData3[[#This Row],[Cust Type]],TypeRate,2,FALSE)*(ROUNDDOWN(WaterData3[[#This Row],[GalBilled]], -3)/1000)</f>
        <v>96.25</v>
      </c>
      <c r="I63" s="9">
        <f>IF(WaterData3[[#This Row],[Taxable]]="Yes",WaterData3[[#This Row],[WaterBill]]*$Q$1,0)</f>
        <v>3.3687500000000004</v>
      </c>
      <c r="J63" s="9">
        <f>WaterData3[[#This Row],[WaterBill]]+WaterData3[[#This Row],[Tax]]</f>
        <v>99.618750000000006</v>
      </c>
    </row>
    <row r="64" spans="1:10" hidden="1" x14ac:dyDescent="0.2">
      <c r="A64" t="s">
        <v>25</v>
      </c>
      <c r="B64" t="s">
        <v>5</v>
      </c>
      <c r="C64" t="s">
        <v>24</v>
      </c>
      <c r="D64" t="s">
        <v>23</v>
      </c>
      <c r="E64" s="5">
        <v>2013</v>
      </c>
      <c r="F64" s="7">
        <v>56495</v>
      </c>
      <c r="G64" s="7">
        <f>_xlfn.IFS(WaterData3[[#This Row],[Bill Waived]]="Yes",0,WaterData3[[#This Row],[Gal Used]]&lt;27000,0,TRUE,WaterData3[[#This Row],[Gal Used]])</f>
        <v>56495</v>
      </c>
      <c r="H64" s="9">
        <f>HLOOKUP(WaterData3[[#This Row],[Cust Type]],TypeRate,2,FALSE)*(ROUNDDOWN(WaterData3[[#This Row],[GalBilled]], -3)/1000)</f>
        <v>98</v>
      </c>
      <c r="I64" s="9">
        <f>IF(WaterData3[[#This Row],[Taxable]]="Yes",WaterData3[[#This Row],[WaterBill]]*$Q$1,0)</f>
        <v>3.43</v>
      </c>
      <c r="J64" s="9">
        <f>WaterData3[[#This Row],[WaterBill]]+WaterData3[[#This Row],[Tax]]</f>
        <v>101.43</v>
      </c>
    </row>
    <row r="65" spans="1:10" hidden="1" x14ac:dyDescent="0.2">
      <c r="A65" t="s">
        <v>74</v>
      </c>
      <c r="B65" t="s">
        <v>5</v>
      </c>
      <c r="C65" t="s">
        <v>24</v>
      </c>
      <c r="D65" t="s">
        <v>24</v>
      </c>
      <c r="E65" s="5">
        <v>2013</v>
      </c>
      <c r="F65" s="7">
        <v>70600</v>
      </c>
      <c r="G65" s="7">
        <f>_xlfn.IFS(WaterData3[[#This Row],[Bill Waived]]="Yes",0,WaterData3[[#This Row],[Gal Used]]&lt;27000,0,TRUE,WaterData3[[#This Row],[Gal Used]])</f>
        <v>70600</v>
      </c>
      <c r="H65" s="9">
        <f>HLOOKUP(WaterData3[[#This Row],[Cust Type]],TypeRate,2,FALSE)*(ROUNDDOWN(WaterData3[[#This Row],[GalBilled]], -3)/1000)</f>
        <v>122.5</v>
      </c>
      <c r="I65" s="9">
        <f>IF(WaterData3[[#This Row],[Taxable]]="Yes",WaterData3[[#This Row],[WaterBill]]*$Q$1,0)</f>
        <v>0</v>
      </c>
      <c r="J65" s="9">
        <f>WaterData3[[#This Row],[WaterBill]]+WaterData3[[#This Row],[Tax]]</f>
        <v>122.5</v>
      </c>
    </row>
    <row r="66" spans="1:10" hidden="1" x14ac:dyDescent="0.2">
      <c r="A66" t="s">
        <v>10</v>
      </c>
      <c r="B66" t="s">
        <v>6</v>
      </c>
      <c r="C66" t="s">
        <v>23</v>
      </c>
      <c r="D66" t="s">
        <v>24</v>
      </c>
      <c r="E66" s="5">
        <v>2013</v>
      </c>
      <c r="F66" s="7">
        <v>84050</v>
      </c>
      <c r="G66" s="7">
        <f>_xlfn.IFS(WaterData3[[#This Row],[Bill Waived]]="Yes",0,WaterData3[[#This Row],[Gal Used]]&lt;27000,0,TRUE,WaterData3[[#This Row],[Gal Used]])</f>
        <v>0</v>
      </c>
      <c r="H66" s="9">
        <f>HLOOKUP(WaterData3[[#This Row],[Cust Type]],TypeRate,2,FALSE)*(ROUNDDOWN(WaterData3[[#This Row],[GalBilled]], -3)/1000)</f>
        <v>0</v>
      </c>
      <c r="I66" s="9">
        <f>IF(WaterData3[[#This Row],[Taxable]]="Yes",WaterData3[[#This Row],[WaterBill]]*$Q$1,0)</f>
        <v>0</v>
      </c>
      <c r="J66" s="9">
        <f>WaterData3[[#This Row],[WaterBill]]+WaterData3[[#This Row],[Tax]]</f>
        <v>0</v>
      </c>
    </row>
    <row r="67" spans="1:10" hidden="1" x14ac:dyDescent="0.2">
      <c r="A67" t="s">
        <v>70</v>
      </c>
      <c r="B67" t="s">
        <v>6</v>
      </c>
      <c r="C67" t="s">
        <v>23</v>
      </c>
      <c r="D67" t="s">
        <v>24</v>
      </c>
      <c r="E67" s="5">
        <v>2013</v>
      </c>
      <c r="F67" s="7">
        <v>118800</v>
      </c>
      <c r="G67" s="7">
        <f>_xlfn.IFS(WaterData3[[#This Row],[Bill Waived]]="Yes",0,WaterData3[[#This Row],[Gal Used]]&lt;27000,0,TRUE,WaterData3[[#This Row],[Gal Used]])</f>
        <v>0</v>
      </c>
      <c r="H67" s="9">
        <f>HLOOKUP(WaterData3[[#This Row],[Cust Type]],TypeRate,2,FALSE)*(ROUNDDOWN(WaterData3[[#This Row],[GalBilled]], -3)/1000)</f>
        <v>0</v>
      </c>
      <c r="I67" s="9">
        <f>IF(WaterData3[[#This Row],[Taxable]]="Yes",WaterData3[[#This Row],[WaterBill]]*$Q$1,0)</f>
        <v>0</v>
      </c>
      <c r="J67" s="9">
        <f>WaterData3[[#This Row],[WaterBill]]+WaterData3[[#This Row],[Tax]]</f>
        <v>0</v>
      </c>
    </row>
    <row r="68" spans="1:10" hidden="1" x14ac:dyDescent="0.2">
      <c r="A68" t="s">
        <v>32</v>
      </c>
      <c r="B68" t="s">
        <v>1</v>
      </c>
      <c r="C68" t="s">
        <v>24</v>
      </c>
      <c r="D68" t="s">
        <v>23</v>
      </c>
      <c r="E68" s="5">
        <v>2013</v>
      </c>
      <c r="F68" s="7">
        <v>88600</v>
      </c>
      <c r="G68" s="7">
        <f>_xlfn.IFS(WaterData3[[#This Row],[Bill Waived]]="Yes",0,WaterData3[[#This Row],[Gal Used]]&lt;27000,0,TRUE,WaterData3[[#This Row],[Gal Used]])</f>
        <v>88600</v>
      </c>
      <c r="H68" s="9">
        <f>HLOOKUP(WaterData3[[#This Row],[Cust Type]],TypeRate,2,FALSE)*(ROUNDDOWN(WaterData3[[#This Row],[GalBilled]], -3)/1000)</f>
        <v>264</v>
      </c>
      <c r="I68" s="9">
        <f>IF(WaterData3[[#This Row],[Taxable]]="Yes",WaterData3[[#This Row],[WaterBill]]*$Q$1,0)</f>
        <v>9.24</v>
      </c>
      <c r="J68" s="9">
        <f>WaterData3[[#This Row],[WaterBill]]+WaterData3[[#This Row],[Tax]]</f>
        <v>273.24</v>
      </c>
    </row>
    <row r="69" spans="1:10" hidden="1" x14ac:dyDescent="0.2">
      <c r="A69" t="s">
        <v>49</v>
      </c>
      <c r="B69" t="s">
        <v>1</v>
      </c>
      <c r="C69" t="s">
        <v>24</v>
      </c>
      <c r="D69" t="s">
        <v>23</v>
      </c>
      <c r="E69" s="5">
        <v>2013</v>
      </c>
      <c r="F69" s="7">
        <v>204380</v>
      </c>
      <c r="G69" s="7">
        <f>_xlfn.IFS(WaterData3[[#This Row],[Bill Waived]]="Yes",0,WaterData3[[#This Row],[Gal Used]]&lt;27000,0,TRUE,WaterData3[[#This Row],[Gal Used]])</f>
        <v>204380</v>
      </c>
      <c r="H69" s="9">
        <f>HLOOKUP(WaterData3[[#This Row],[Cust Type]],TypeRate,2,FALSE)*(ROUNDDOWN(WaterData3[[#This Row],[GalBilled]], -3)/1000)</f>
        <v>612</v>
      </c>
      <c r="I69" s="9">
        <f>IF(WaterData3[[#This Row],[Taxable]]="Yes",WaterData3[[#This Row],[WaterBill]]*$Q$1,0)</f>
        <v>21.42</v>
      </c>
      <c r="J69" s="9">
        <f>WaterData3[[#This Row],[WaterBill]]+WaterData3[[#This Row],[Tax]]</f>
        <v>633.41999999999996</v>
      </c>
    </row>
    <row r="70" spans="1:10" hidden="1" x14ac:dyDescent="0.2">
      <c r="A70" t="s">
        <v>33</v>
      </c>
      <c r="B70" t="s">
        <v>5</v>
      </c>
      <c r="C70" t="s">
        <v>24</v>
      </c>
      <c r="D70" t="s">
        <v>24</v>
      </c>
      <c r="E70" s="5">
        <v>2013</v>
      </c>
      <c r="F70" s="7">
        <v>122800</v>
      </c>
      <c r="G70" s="7">
        <f>_xlfn.IFS(WaterData3[[#This Row],[Bill Waived]]="Yes",0,WaterData3[[#This Row],[Gal Used]]&lt;27000,0,TRUE,WaterData3[[#This Row],[Gal Used]])</f>
        <v>122800</v>
      </c>
      <c r="H70" s="9">
        <f>HLOOKUP(WaterData3[[#This Row],[Cust Type]],TypeRate,2,FALSE)*(ROUNDDOWN(WaterData3[[#This Row],[GalBilled]], -3)/1000)</f>
        <v>213.5</v>
      </c>
      <c r="I70" s="9">
        <f>IF(WaterData3[[#This Row],[Taxable]]="Yes",WaterData3[[#This Row],[WaterBill]]*$Q$1,0)</f>
        <v>0</v>
      </c>
      <c r="J70" s="9">
        <f>WaterData3[[#This Row],[WaterBill]]+WaterData3[[#This Row],[Tax]]</f>
        <v>213.5</v>
      </c>
    </row>
    <row r="71" spans="1:10" hidden="1" x14ac:dyDescent="0.2">
      <c r="A71" t="s">
        <v>55</v>
      </c>
      <c r="B71" t="s">
        <v>1</v>
      </c>
      <c r="C71" t="s">
        <v>24</v>
      </c>
      <c r="D71" t="s">
        <v>23</v>
      </c>
      <c r="E71" s="5">
        <v>2013</v>
      </c>
      <c r="F71" s="7">
        <v>44320</v>
      </c>
      <c r="G71" s="7">
        <f>_xlfn.IFS(WaterData3[[#This Row],[Bill Waived]]="Yes",0,WaterData3[[#This Row],[Gal Used]]&lt;27000,0,TRUE,WaterData3[[#This Row],[Gal Used]])</f>
        <v>44320</v>
      </c>
      <c r="H71" s="9">
        <f>HLOOKUP(WaterData3[[#This Row],[Cust Type]],TypeRate,2,FALSE)*(ROUNDDOWN(WaterData3[[#This Row],[GalBilled]], -3)/1000)</f>
        <v>132</v>
      </c>
      <c r="I71" s="9">
        <f>IF(WaterData3[[#This Row],[Taxable]]="Yes",WaterData3[[#This Row],[WaterBill]]*$Q$1,0)</f>
        <v>4.62</v>
      </c>
      <c r="J71" s="9">
        <f>WaterData3[[#This Row],[WaterBill]]+WaterData3[[#This Row],[Tax]]</f>
        <v>136.62</v>
      </c>
    </row>
    <row r="72" spans="1:10" hidden="1" x14ac:dyDescent="0.2">
      <c r="A72" t="s">
        <v>17</v>
      </c>
      <c r="B72" t="s">
        <v>5</v>
      </c>
      <c r="C72" t="s">
        <v>24</v>
      </c>
      <c r="D72" t="s">
        <v>24</v>
      </c>
      <c r="E72" s="5">
        <v>2013</v>
      </c>
      <c r="F72" s="7">
        <v>34100</v>
      </c>
      <c r="G72" s="7">
        <f>_xlfn.IFS(WaterData3[[#This Row],[Bill Waived]]="Yes",0,WaterData3[[#This Row],[Gal Used]]&lt;27000,0,TRUE,WaterData3[[#This Row],[Gal Used]])</f>
        <v>34100</v>
      </c>
      <c r="H72" s="9">
        <f>HLOOKUP(WaterData3[[#This Row],[Cust Type]],TypeRate,2,FALSE)*(ROUNDDOWN(WaterData3[[#This Row],[GalBilled]], -3)/1000)</f>
        <v>59.5</v>
      </c>
      <c r="I72" s="9">
        <f>IF(WaterData3[[#This Row],[Taxable]]="Yes",WaterData3[[#This Row],[WaterBill]]*$Q$1,0)</f>
        <v>0</v>
      </c>
      <c r="J72" s="9">
        <f>WaterData3[[#This Row],[WaterBill]]+WaterData3[[#This Row],[Tax]]</f>
        <v>59.5</v>
      </c>
    </row>
    <row r="73" spans="1:10" x14ac:dyDescent="0.2">
      <c r="A73" t="s">
        <v>18</v>
      </c>
      <c r="B73" t="s">
        <v>1</v>
      </c>
      <c r="C73" t="s">
        <v>24</v>
      </c>
      <c r="D73" t="s">
        <v>23</v>
      </c>
      <c r="E73" s="5">
        <v>2013</v>
      </c>
      <c r="F73" s="7">
        <v>2072000</v>
      </c>
      <c r="G73" s="7">
        <f>_xlfn.IFS(WaterData3[[#This Row],[Bill Waived]]="Yes",0,WaterData3[[#This Row],[Gal Used]]&lt;27000,0,TRUE,WaterData3[[#This Row],[Gal Used]])</f>
        <v>2072000</v>
      </c>
      <c r="H73" s="9">
        <f>HLOOKUP(WaterData3[[#This Row],[Cust Type]],TypeRate,2,FALSE)*(ROUNDDOWN(WaterData3[[#This Row],[GalBilled]], -3)/1000)</f>
        <v>6216</v>
      </c>
      <c r="I73" s="9">
        <f>IF(WaterData3[[#This Row],[Taxable]]="Yes",WaterData3[[#This Row],[WaterBill]]*$Q$1,0)</f>
        <v>217.56000000000003</v>
      </c>
      <c r="J73" s="9">
        <f>WaterData3[[#This Row],[WaterBill]]+WaterData3[[#This Row],[Tax]]</f>
        <v>6433.56</v>
      </c>
    </row>
    <row r="74" spans="1:10" x14ac:dyDescent="0.2">
      <c r="A74" t="s">
        <v>96</v>
      </c>
      <c r="E74" s="5"/>
      <c r="F74" s="7">
        <f>SUBTOTAL(109,WaterData3[Gal Used])</f>
        <v>19650500</v>
      </c>
      <c r="G74" s="7">
        <f>SUBTOTAL(109,WaterData3[GalBilled])</f>
        <v>19650500</v>
      </c>
      <c r="H74" s="9"/>
      <c r="I74" s="9">
        <f>SUBTOTAL(109,WaterData3[Tax])</f>
        <v>695.94</v>
      </c>
      <c r="J74" s="9">
        <f>SUBTOTAL(109,WaterData3[TotalBill])</f>
        <v>43363.19</v>
      </c>
    </row>
  </sheetData>
  <conditionalFormatting sqref="J1:J73">
    <cfRule type="top10" dxfId="0" priority="1" percent="1" rank="15"/>
  </conditionalFormatting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9"/>
  <sheetViews>
    <sheetView workbookViewId="0"/>
  </sheetViews>
  <sheetFormatPr defaultRowHeight="12.75" x14ac:dyDescent="0.2"/>
  <cols>
    <col min="2" max="5" width="13.7109375" customWidth="1"/>
  </cols>
  <sheetData>
    <row r="5" spans="2:5" ht="25.5" x14ac:dyDescent="0.2">
      <c r="B5" s="11" t="s">
        <v>97</v>
      </c>
      <c r="C5" s="11" t="s">
        <v>98</v>
      </c>
      <c r="D5" s="11" t="s">
        <v>99</v>
      </c>
      <c r="E5" s="11" t="s">
        <v>100</v>
      </c>
    </row>
    <row r="6" spans="2:5" x14ac:dyDescent="0.2">
      <c r="B6" t="s">
        <v>101</v>
      </c>
      <c r="C6">
        <f>COUNTIF(WaterData[Cust Type],"Com")</f>
        <v>37</v>
      </c>
      <c r="D6" s="7">
        <f>AVERAGEIF(WaterData[Cust Type],"Com",WaterData[Gal Used])</f>
        <v>322436.51351351349</v>
      </c>
      <c r="E6" s="9">
        <f>SUMIF(WaterData[Cust Type],"Com",WaterData[TotalBill])</f>
        <v>36912.240000000005</v>
      </c>
    </row>
    <row r="7" spans="2:5" x14ac:dyDescent="0.2">
      <c r="B7" t="s">
        <v>102</v>
      </c>
      <c r="C7">
        <f>COUNTIF(WaterData[Cust Type],"NPROFIT")</f>
        <v>11</v>
      </c>
      <c r="D7" s="7">
        <f>AVERAGEIF(WaterData[Cust Type],"NPROFIT",WaterData[Gal Used])</f>
        <v>87660.909090909088</v>
      </c>
      <c r="E7" s="9">
        <f>SUMIF(WaterData[Cust Type],"NPROFIT",WaterData[TotalBill])</f>
        <v>223.56</v>
      </c>
    </row>
    <row r="8" spans="2:5" x14ac:dyDescent="0.2">
      <c r="B8" t="s">
        <v>103</v>
      </c>
      <c r="C8" s="12">
        <f>COUNTIF(WaterData[Cust Type],"GOV")</f>
        <v>24</v>
      </c>
      <c r="D8" s="13">
        <f>AVERAGEIF(WaterData[Cust Type],"GOV",WaterData[Gal Used])</f>
        <v>778698.95833333337</v>
      </c>
      <c r="E8" s="14">
        <f>SUMIF(WaterData[Cust Type],"GOV",WaterData[TotalBill])</f>
        <v>32667.985000000001</v>
      </c>
    </row>
    <row r="9" spans="2:5" x14ac:dyDescent="0.2">
      <c r="B9" t="s">
        <v>104</v>
      </c>
      <c r="C9">
        <f>SUM(C6:C8)</f>
        <v>72</v>
      </c>
      <c r="D9" s="7">
        <f>SUM(D6:D8)</f>
        <v>1188796.380937756</v>
      </c>
      <c r="E9" s="9">
        <f>SUM(E6:E8)</f>
        <v>69803.785000000003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defaultRowHeight="12.75" x14ac:dyDescent="0.2"/>
  <cols>
    <col min="3" max="3" width="6.5703125" bestFit="1" customWidth="1"/>
    <col min="4" max="4" width="10.7109375" bestFit="1" customWidth="1"/>
    <col min="5" max="5" width="6.5703125" bestFit="1" customWidth="1"/>
    <col min="7" max="7" width="10.7109375" bestFit="1" customWidth="1"/>
  </cols>
  <sheetData>
    <row r="2" spans="2:5" s="3" customFormat="1" x14ac:dyDescent="0.2">
      <c r="B2" s="2" t="s">
        <v>83</v>
      </c>
      <c r="C2" s="2" t="s">
        <v>86</v>
      </c>
      <c r="D2" s="2" t="s">
        <v>6</v>
      </c>
      <c r="E2" s="2" t="s">
        <v>5</v>
      </c>
    </row>
    <row r="3" spans="2:5" x14ac:dyDescent="0.2">
      <c r="B3" t="s">
        <v>84</v>
      </c>
      <c r="C3" s="4">
        <v>3</v>
      </c>
      <c r="D3" s="4">
        <v>2</v>
      </c>
      <c r="E3" s="4">
        <v>1.75</v>
      </c>
    </row>
    <row r="4" spans="2:5" x14ac:dyDescent="0.2">
      <c r="C4" s="4"/>
    </row>
    <row r="5" spans="2:5" x14ac:dyDescent="0.2">
      <c r="C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2009-10-17T23:27:19Z</outs:dateTime>
      <outs:isPinned>true</outs:isPinned>
    </outs:relatedDate>
    <outs:relatedDate>
      <outs:type>2</outs:type>
      <outs:displayName>Created</outs:displayName>
      <outs:dateTime>2006-03-12T18:44:11Z</outs:dateTime>
      <outs:isPinned>true</outs:isPinned>
    </outs:relatedDate>
    <outs:relatedDate>
      <outs:type>4</outs:type>
      <outs:displayName>Last Printed</outs:displayName>
      <outs:dateTime>2006-05-08T13:44:19Z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1BE0116-6A4D-48D7-89C6-73A700FCD81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Documentation</vt:lpstr>
      <vt:lpstr>QuarterlyData</vt:lpstr>
      <vt:lpstr>Conditional</vt:lpstr>
      <vt:lpstr>BillingSummary</vt:lpstr>
      <vt:lpstr>BillingRate</vt:lpstr>
      <vt:lpstr>TypeRate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Nick Petty</cp:lastModifiedBy>
  <cp:lastPrinted>2006-05-08T13:44:19Z</cp:lastPrinted>
  <dcterms:created xsi:type="dcterms:W3CDTF">2006-03-12T18:44:11Z</dcterms:created>
  <dcterms:modified xsi:type="dcterms:W3CDTF">2016-07-07T03:51:27Z</dcterms:modified>
</cp:coreProperties>
</file>