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 Santana\Dropbox\PROYECTO INCLUSOFT\"/>
    </mc:Choice>
  </mc:AlternateContent>
  <bookViews>
    <workbookView xWindow="0" yWindow="0" windowWidth="21570" windowHeight="8145" tabRatio="920" firstSheet="4" activeTab="12"/>
  </bookViews>
  <sheets>
    <sheet name="Presupuesto Inicial" sheetId="1" r:id="rId1"/>
    <sheet name="Tabla Crecimiento" sheetId="11" r:id="rId2"/>
    <sheet name="Salarios, gastos y costos" sheetId="3" r:id="rId3"/>
    <sheet name="Estado de situacion financiera " sheetId="2" r:id="rId4"/>
    <sheet name="Prestamo" sheetId="14" r:id="rId5"/>
    <sheet name="Estado de resultados PyG - 12 m" sheetId="4" r:id="rId6"/>
    <sheet name="Estado de resultados PyG - 5 añ" sheetId="5" r:id="rId7"/>
    <sheet name="Flujo de caja - 12 meses" sheetId="8" r:id="rId8"/>
    <sheet name="Flujo de caja - 5 años" sheetId="6" r:id="rId9"/>
    <sheet name="Flujo de Caja (Profesor) - 5 añ" sheetId="7" r:id="rId10"/>
    <sheet name="VAN y TIR" sheetId="9" r:id="rId11"/>
    <sheet name="Punto de Equilibrio" sheetId="15" r:id="rId12"/>
    <sheet name="Balance General" sheetId="10" r:id="rId13"/>
    <sheet name="Calculo % Rentabilidad" sheetId="12" r:id="rId14"/>
    <sheet name="Análisis metros cuadrados" sheetId="13" r:id="rId15"/>
  </sheets>
  <calcPr calcId="152511"/>
</workbook>
</file>

<file path=xl/calcChain.xml><?xml version="1.0" encoding="utf-8"?>
<calcChain xmlns="http://schemas.openxmlformats.org/spreadsheetml/2006/main">
  <c r="BD169" i="3" l="1"/>
  <c r="BD168" i="3"/>
  <c r="BD167" i="3"/>
  <c r="BD166" i="3"/>
  <c r="BD165" i="3"/>
  <c r="BD164" i="3"/>
  <c r="BD170" i="3" s="1"/>
  <c r="D7" i="4" l="1"/>
  <c r="D6" i="4"/>
  <c r="D5" i="4"/>
  <c r="D9" i="4"/>
  <c r="C9" i="4"/>
  <c r="B9" i="4"/>
  <c r="Z13" i="10"/>
  <c r="X13" i="10"/>
  <c r="C8" i="10"/>
  <c r="C7" i="10"/>
  <c r="C6" i="10"/>
  <c r="I5" i="4"/>
  <c r="I6" i="4"/>
  <c r="I7" i="4"/>
  <c r="Q9" i="4"/>
  <c r="O9" i="4"/>
  <c r="M9" i="4"/>
  <c r="K9" i="4"/>
  <c r="I9" i="4"/>
  <c r="I10" i="4"/>
  <c r="E7" i="3"/>
  <c r="K11" i="3"/>
  <c r="K2" i="3"/>
  <c r="I4" i="4" l="1"/>
  <c r="M14" i="1"/>
  <c r="B11" i="3"/>
  <c r="B12" i="3" s="1"/>
  <c r="K12" i="3" l="1"/>
  <c r="B14" i="1"/>
  <c r="I2" i="11"/>
  <c r="E50" i="3" l="1"/>
  <c r="I3" i="11"/>
  <c r="F23" i="11" s="1"/>
  <c r="F11" i="11"/>
  <c r="F12" i="11" l="1"/>
  <c r="F30" i="11"/>
  <c r="F7" i="11"/>
  <c r="F29" i="11"/>
  <c r="F8" i="11"/>
  <c r="F22" i="11"/>
  <c r="F28" i="11"/>
  <c r="F6" i="11"/>
  <c r="F35" i="11"/>
  <c r="F27" i="11"/>
  <c r="F5" i="11"/>
  <c r="F34" i="11"/>
  <c r="F26" i="11"/>
  <c r="F9" i="11"/>
  <c r="F2" i="11"/>
  <c r="F4" i="11"/>
  <c r="F33" i="11"/>
  <c r="F25" i="11"/>
  <c r="F3" i="11"/>
  <c r="F10" i="11"/>
  <c r="F32" i="11"/>
  <c r="F24" i="11"/>
  <c r="F31" i="11"/>
  <c r="C47" i="9"/>
  <c r="C48" i="9"/>
  <c r="C49" i="9"/>
  <c r="C50" i="9"/>
  <c r="C51" i="9"/>
  <c r="V12" i="4"/>
  <c r="V13" i="4"/>
  <c r="C10" i="6"/>
  <c r="B11" i="6" s="1"/>
  <c r="AC8" i="8"/>
  <c r="AC12" i="8"/>
  <c r="O7" i="8"/>
  <c r="G41" i="3"/>
  <c r="G10" i="4"/>
  <c r="AA7" i="8"/>
  <c r="Y7" i="8"/>
  <c r="W7" i="8"/>
  <c r="U7" i="8"/>
  <c r="S7" i="8"/>
  <c r="Q7" i="8"/>
  <c r="B10" i="6" l="1"/>
  <c r="B12" i="6"/>
  <c r="N18" i="5"/>
  <c r="E60" i="3"/>
  <c r="B10" i="1"/>
  <c r="B10" i="11" l="1"/>
  <c r="B11" i="11"/>
  <c r="B12" i="11"/>
  <c r="B13" i="11"/>
  <c r="B9" i="11"/>
  <c r="B4" i="11"/>
  <c r="B5" i="11"/>
  <c r="B6" i="11"/>
  <c r="B7" i="11"/>
  <c r="B8" i="11"/>
  <c r="B3" i="11"/>
  <c r="I18" i="4" l="1"/>
  <c r="L22" i="7"/>
  <c r="J22" i="7"/>
  <c r="H22" i="7"/>
  <c r="F22" i="7"/>
  <c r="S18" i="4"/>
  <c r="E49" i="3"/>
  <c r="E51" i="3"/>
  <c r="E52" i="3"/>
  <c r="J17" i="1"/>
  <c r="M15" i="1" s="1"/>
  <c r="M16" i="1" s="1"/>
  <c r="I24" i="1"/>
  <c r="J24" i="1" s="1"/>
  <c r="I17" i="1"/>
  <c r="E54" i="3" l="1"/>
  <c r="D23" i="1"/>
  <c r="S10" i="4"/>
  <c r="Q10" i="4"/>
  <c r="O10" i="4"/>
  <c r="M10" i="4"/>
  <c r="K10" i="4"/>
  <c r="G42" i="3"/>
  <c r="G40" i="3"/>
  <c r="G39" i="3"/>
  <c r="G38" i="3"/>
  <c r="I7" i="8" s="1"/>
  <c r="G37" i="3"/>
  <c r="G7" i="8" s="1"/>
  <c r="G43" i="3" l="1"/>
  <c r="E10" i="4"/>
  <c r="K7" i="8"/>
  <c r="F10" i="4"/>
  <c r="M7" i="8"/>
  <c r="AC7" i="8" s="1"/>
  <c r="C6" i="8"/>
  <c r="C6" i="6"/>
  <c r="C8" i="13" l="1"/>
  <c r="B8" i="13"/>
  <c r="D7" i="13"/>
  <c r="D6" i="13"/>
  <c r="D5" i="13"/>
  <c r="D4" i="13"/>
  <c r="D3" i="13"/>
  <c r="D2" i="13"/>
  <c r="D8" i="13" s="1"/>
  <c r="E5" i="12"/>
  <c r="E7" i="12" s="1"/>
  <c r="E4" i="12"/>
  <c r="D4" i="12"/>
  <c r="D5" i="12" s="1"/>
  <c r="D7" i="12" s="1"/>
  <c r="C4" i="12"/>
  <c r="C5" i="12" s="1"/>
  <c r="C7" i="12" s="1"/>
  <c r="B4" i="12"/>
  <c r="B5" i="12" s="1"/>
  <c r="B7" i="12" s="1"/>
  <c r="F7" i="12" s="1"/>
  <c r="M18" i="4"/>
  <c r="K18" i="4"/>
  <c r="H7" i="9"/>
  <c r="O10" i="8"/>
  <c r="M10" i="8"/>
  <c r="K10" i="8"/>
  <c r="I10" i="8"/>
  <c r="G10" i="8"/>
  <c r="E10" i="8"/>
  <c r="AA4" i="8"/>
  <c r="U4" i="8"/>
  <c r="E4" i="8"/>
  <c r="O22" i="7"/>
  <c r="P22" i="7" s="1"/>
  <c r="Q22" i="7" s="1"/>
  <c r="R22" i="7" s="1"/>
  <c r="S22" i="7" s="1"/>
  <c r="O18" i="5"/>
  <c r="P18" i="5" s="1"/>
  <c r="Q18" i="5" s="1"/>
  <c r="R18" i="5" s="1"/>
  <c r="G18" i="5"/>
  <c r="E18" i="5"/>
  <c r="Q18" i="4"/>
  <c r="O18" i="4"/>
  <c r="G2" i="4"/>
  <c r="F2" i="4"/>
  <c r="E2" i="4"/>
  <c r="D2" i="4"/>
  <c r="C2" i="4"/>
  <c r="B2" i="4"/>
  <c r="N29" i="3"/>
  <c r="B27" i="3"/>
  <c r="Q3" i="8" s="1"/>
  <c r="N11" i="3"/>
  <c r="Y4" i="8"/>
  <c r="E27" i="3"/>
  <c r="B9" i="2"/>
  <c r="D9" i="2" s="1"/>
  <c r="C10" i="2" s="1"/>
  <c r="D21" i="1"/>
  <c r="O4" i="10" s="1"/>
  <c r="J20" i="1"/>
  <c r="B19" i="1"/>
  <c r="B25" i="1" s="1"/>
  <c r="B3" i="1" s="1"/>
  <c r="B2" i="1" s="1"/>
  <c r="B6" i="1"/>
  <c r="C8" i="6" l="1"/>
  <c r="B15" i="1"/>
  <c r="E61" i="3"/>
  <c r="E62" i="3" s="1"/>
  <c r="E3" i="14" s="1"/>
  <c r="C8" i="8"/>
  <c r="L7" i="7"/>
  <c r="L17" i="7" s="1"/>
  <c r="H7" i="7"/>
  <c r="H17" i="7" s="1"/>
  <c r="F7" i="7"/>
  <c r="F17" i="7" s="1"/>
  <c r="E7" i="5"/>
  <c r="E56" i="3"/>
  <c r="E59" i="3" s="1"/>
  <c r="K6" i="8"/>
  <c r="E28" i="3"/>
  <c r="C5" i="4"/>
  <c r="G6" i="8"/>
  <c r="E5" i="4"/>
  <c r="I6" i="8"/>
  <c r="O6" i="8"/>
  <c r="Y6" i="8"/>
  <c r="F5" i="7"/>
  <c r="E5" i="5"/>
  <c r="H5" i="7"/>
  <c r="W6" i="8"/>
  <c r="U6" i="8"/>
  <c r="S6" i="8"/>
  <c r="Q6" i="8"/>
  <c r="L5" i="7"/>
  <c r="J5" i="7"/>
  <c r="AA6" i="8"/>
  <c r="Q5" i="4"/>
  <c r="I5" i="5"/>
  <c r="O5" i="4"/>
  <c r="K5" i="5"/>
  <c r="M5" i="4"/>
  <c r="K5" i="4"/>
  <c r="G5" i="5"/>
  <c r="B18" i="9"/>
  <c r="B5" i="4"/>
  <c r="S5" i="4"/>
  <c r="G5" i="4"/>
  <c r="H6" i="7"/>
  <c r="L6" i="7"/>
  <c r="F6" i="7"/>
  <c r="J6" i="7"/>
  <c r="K6" i="5"/>
  <c r="I6" i="5"/>
  <c r="E4" i="14"/>
  <c r="E5" i="14" s="1"/>
  <c r="G6" i="5"/>
  <c r="E6" i="5"/>
  <c r="E6" i="10"/>
  <c r="Q4" i="10" s="1"/>
  <c r="I3" i="8"/>
  <c r="M6" i="8"/>
  <c r="K4" i="8"/>
  <c r="M4" i="8"/>
  <c r="F5" i="4"/>
  <c r="S4" i="8"/>
  <c r="E6" i="8"/>
  <c r="O7" i="4"/>
  <c r="I7" i="5"/>
  <c r="S7" i="4"/>
  <c r="Q7" i="4"/>
  <c r="K7" i="5"/>
  <c r="E7" i="4"/>
  <c r="C7" i="4"/>
  <c r="F7" i="4"/>
  <c r="G7" i="5"/>
  <c r="K7" i="4"/>
  <c r="J7" i="7"/>
  <c r="J17" i="7" s="1"/>
  <c r="G7" i="4"/>
  <c r="B7" i="4"/>
  <c r="M7" i="4"/>
  <c r="I18" i="5"/>
  <c r="K18" i="5"/>
  <c r="U3" i="8"/>
  <c r="W3" i="8"/>
  <c r="S3" i="8"/>
  <c r="Y3" i="8"/>
  <c r="AA3" i="8"/>
  <c r="G6" i="4"/>
  <c r="O6" i="4"/>
  <c r="K3" i="8"/>
  <c r="M3" i="8"/>
  <c r="B6" i="4"/>
  <c r="C6" i="4"/>
  <c r="Q6" i="4"/>
  <c r="E3" i="8"/>
  <c r="E6" i="4"/>
  <c r="G3" i="8"/>
  <c r="O3" i="8"/>
  <c r="K6" i="4"/>
  <c r="S6" i="4"/>
  <c r="D4" i="4"/>
  <c r="D8" i="4" s="1"/>
  <c r="M6" i="4"/>
  <c r="F6" i="4"/>
  <c r="G4" i="8"/>
  <c r="O4" i="8"/>
  <c r="W4" i="8"/>
  <c r="I4" i="8"/>
  <c r="Q4" i="8"/>
  <c r="E63" i="3" l="1"/>
  <c r="G66" i="3"/>
  <c r="AC4" i="8"/>
  <c r="AC6" i="8"/>
  <c r="I6" i="6" s="1"/>
  <c r="G11" i="10" s="1"/>
  <c r="W13" i="10" s="1"/>
  <c r="C4" i="4"/>
  <c r="C8" i="4" s="1"/>
  <c r="G6" i="6"/>
  <c r="E11" i="10" s="1"/>
  <c r="Y3" i="10" s="1"/>
  <c r="E6" i="6"/>
  <c r="M6" i="6"/>
  <c r="C10" i="8"/>
  <c r="B18" i="7"/>
  <c r="B19" i="7" s="1"/>
  <c r="B1" i="9"/>
  <c r="B23" i="9" s="1"/>
  <c r="O6" i="10"/>
  <c r="O5" i="10"/>
  <c r="H4" i="7"/>
  <c r="F5" i="15"/>
  <c r="F14" i="15"/>
  <c r="E5" i="15"/>
  <c r="E14" i="15"/>
  <c r="F4" i="7"/>
  <c r="G14" i="15"/>
  <c r="G5" i="15"/>
  <c r="AC3" i="8"/>
  <c r="H14" i="15"/>
  <c r="H5" i="15"/>
  <c r="G6" i="10"/>
  <c r="O14" i="10" s="1"/>
  <c r="K3" i="6"/>
  <c r="I13" i="10" s="1"/>
  <c r="Y15" i="10" s="1"/>
  <c r="X15" i="10" s="1"/>
  <c r="E4" i="4"/>
  <c r="E8" i="4" s="1"/>
  <c r="B4" i="4"/>
  <c r="B8" i="4" s="1"/>
  <c r="F4" i="4"/>
  <c r="F8" i="4" s="1"/>
  <c r="G4" i="4"/>
  <c r="G8" i="4" s="1"/>
  <c r="E7" i="10"/>
  <c r="M3" i="6"/>
  <c r="K13" i="10" s="1"/>
  <c r="AA15" i="10" s="1"/>
  <c r="Z15" i="10" s="1"/>
  <c r="J4" i="7"/>
  <c r="O4" i="4"/>
  <c r="G4" i="5"/>
  <c r="I3" i="6"/>
  <c r="G13" i="10" s="1"/>
  <c r="W15" i="10" s="1"/>
  <c r="G3" i="6"/>
  <c r="E13" i="10" s="1"/>
  <c r="Y5" i="10" s="1"/>
  <c r="E4" i="5"/>
  <c r="M4" i="4"/>
  <c r="S4" i="4"/>
  <c r="O3" i="11" l="1"/>
  <c r="O5" i="11"/>
  <c r="K6" i="6"/>
  <c r="I11" i="10" s="1"/>
  <c r="Y13" i="10" s="1"/>
  <c r="H1" i="9"/>
  <c r="J1" i="9"/>
  <c r="C12" i="8"/>
  <c r="B12" i="8" s="1"/>
  <c r="B11" i="8"/>
  <c r="B10" i="8"/>
  <c r="E8" i="10"/>
  <c r="Q6" i="10" s="1"/>
  <c r="Q5" i="10"/>
  <c r="I6" i="10"/>
  <c r="Q14" i="10" s="1"/>
  <c r="K4" i="5"/>
  <c r="G7" i="10"/>
  <c r="K4" i="4"/>
  <c r="Q4" i="4"/>
  <c r="I4" i="5"/>
  <c r="K11" i="10"/>
  <c r="AA13" i="10" s="1"/>
  <c r="L4" i="7"/>
  <c r="I20" i="4" l="1"/>
  <c r="I3" i="4" s="1"/>
  <c r="C7" i="11"/>
  <c r="C8" i="11"/>
  <c r="C10" i="11"/>
  <c r="C9" i="11"/>
  <c r="F23" i="7"/>
  <c r="C3" i="11"/>
  <c r="C12" i="11"/>
  <c r="E19" i="5"/>
  <c r="C6" i="11"/>
  <c r="C13" i="11"/>
  <c r="C11" i="11"/>
  <c r="C4" i="11"/>
  <c r="C5" i="11"/>
  <c r="G8" i="10"/>
  <c r="O16" i="10" s="1"/>
  <c r="O15" i="10"/>
  <c r="K6" i="10"/>
  <c r="S14" i="10" s="1"/>
  <c r="I7" i="10"/>
  <c r="L3" i="7" l="1"/>
  <c r="J3" i="7"/>
  <c r="H3" i="7"/>
  <c r="F3" i="7"/>
  <c r="E3" i="5"/>
  <c r="G3" i="5"/>
  <c r="H3" i="5"/>
  <c r="J3" i="5"/>
  <c r="K3" i="5"/>
  <c r="F3" i="5"/>
  <c r="I3" i="5"/>
  <c r="K3" i="4"/>
  <c r="M3" i="4"/>
  <c r="S3" i="4"/>
  <c r="O3" i="4"/>
  <c r="Q3" i="4"/>
  <c r="I8" i="10"/>
  <c r="Q16" i="10" s="1"/>
  <c r="Q15" i="10"/>
  <c r="K7" i="10"/>
  <c r="C11" i="10"/>
  <c r="AA11" i="8" l="1"/>
  <c r="S2" i="4"/>
  <c r="E6" i="15"/>
  <c r="F2" i="7"/>
  <c r="F8" i="7" s="1"/>
  <c r="I2" i="4"/>
  <c r="Q11" i="8"/>
  <c r="U3" i="4"/>
  <c r="W11" i="8"/>
  <c r="O2" i="4"/>
  <c r="M2" i="4"/>
  <c r="U11" i="8"/>
  <c r="K11" i="6"/>
  <c r="I4" i="10"/>
  <c r="Q13" i="10" s="1"/>
  <c r="I2" i="5"/>
  <c r="F6" i="15"/>
  <c r="H2" i="7"/>
  <c r="G4" i="10"/>
  <c r="G2" i="5"/>
  <c r="I11" i="6"/>
  <c r="G11" i="6"/>
  <c r="E2" i="5"/>
  <c r="E4" i="10"/>
  <c r="G6" i="15"/>
  <c r="J2" i="7"/>
  <c r="K2" i="4"/>
  <c r="S11" i="8"/>
  <c r="Q2" i="4"/>
  <c r="Y11" i="8"/>
  <c r="M11" i="6"/>
  <c r="K4" i="10"/>
  <c r="S13" i="10" s="1"/>
  <c r="K2" i="5"/>
  <c r="L2" i="7"/>
  <c r="H6" i="15"/>
  <c r="W3" i="10"/>
  <c r="K8" i="10"/>
  <c r="S16" i="10" s="1"/>
  <c r="S15" i="10"/>
  <c r="I2" i="10"/>
  <c r="Q17" i="10" s="1"/>
  <c r="G5" i="7" l="1"/>
  <c r="G13" i="7"/>
  <c r="G6" i="7"/>
  <c r="G17" i="7"/>
  <c r="G4" i="7"/>
  <c r="G18" i="7"/>
  <c r="H8" i="7"/>
  <c r="G8" i="7" s="1"/>
  <c r="G12" i="7"/>
  <c r="G7" i="7"/>
  <c r="K17" i="7"/>
  <c r="K18" i="7"/>
  <c r="K6" i="7"/>
  <c r="K4" i="7"/>
  <c r="K7" i="7"/>
  <c r="L8" i="7"/>
  <c r="K8" i="7" s="1"/>
  <c r="K13" i="7"/>
  <c r="K12" i="7"/>
  <c r="K5" i="7"/>
  <c r="C3" i="5"/>
  <c r="D3" i="7"/>
  <c r="H13" i="5"/>
  <c r="H12" i="5"/>
  <c r="H6" i="5"/>
  <c r="H7" i="5"/>
  <c r="I8" i="5"/>
  <c r="H8" i="5" s="1"/>
  <c r="H4" i="5"/>
  <c r="H5" i="5"/>
  <c r="D13" i="5"/>
  <c r="D4" i="5"/>
  <c r="D7" i="5"/>
  <c r="D6" i="5"/>
  <c r="E8" i="5"/>
  <c r="D8" i="5" s="1"/>
  <c r="D12" i="5"/>
  <c r="D5" i="5"/>
  <c r="Y10" i="8"/>
  <c r="X10" i="8" s="1"/>
  <c r="G10" i="6"/>
  <c r="F10" i="6" s="1"/>
  <c r="K10" i="6"/>
  <c r="J10" i="6" s="1"/>
  <c r="J11" i="6"/>
  <c r="Q10" i="8"/>
  <c r="P10" i="8" s="1"/>
  <c r="I10" i="6"/>
  <c r="H10" i="6" s="1"/>
  <c r="U10" i="8"/>
  <c r="T10" i="8" s="1"/>
  <c r="J8" i="7"/>
  <c r="I8" i="7" s="1"/>
  <c r="I13" i="7"/>
  <c r="I18" i="7"/>
  <c r="I7" i="7"/>
  <c r="I4" i="7"/>
  <c r="I17" i="7"/>
  <c r="I6" i="7"/>
  <c r="I12" i="7"/>
  <c r="I5" i="7"/>
  <c r="P6" i="4"/>
  <c r="P13" i="4"/>
  <c r="P5" i="4"/>
  <c r="P12" i="4"/>
  <c r="P10" i="4"/>
  <c r="P7" i="4"/>
  <c r="P4" i="4"/>
  <c r="Q8" i="4"/>
  <c r="P8" i="4" s="1"/>
  <c r="S10" i="8"/>
  <c r="R10" i="8" s="1"/>
  <c r="F4" i="5"/>
  <c r="F13" i="5"/>
  <c r="F12" i="5"/>
  <c r="F7" i="5"/>
  <c r="F5" i="5"/>
  <c r="G8" i="5"/>
  <c r="F8" i="5" s="1"/>
  <c r="F6" i="5"/>
  <c r="L12" i="4"/>
  <c r="L10" i="4"/>
  <c r="L5" i="4"/>
  <c r="L4" i="4"/>
  <c r="M8" i="4"/>
  <c r="L8" i="4" s="1"/>
  <c r="L13" i="4"/>
  <c r="L6" i="4"/>
  <c r="L7" i="4"/>
  <c r="R4" i="4"/>
  <c r="R13" i="4"/>
  <c r="R5" i="4"/>
  <c r="R6" i="4"/>
  <c r="R12" i="4"/>
  <c r="R10" i="4"/>
  <c r="S8" i="4"/>
  <c r="R8" i="4" s="1"/>
  <c r="R7" i="4"/>
  <c r="W10" i="8"/>
  <c r="V10" i="8" s="1"/>
  <c r="J5" i="5"/>
  <c r="K8" i="5"/>
  <c r="J8" i="5" s="1"/>
  <c r="J12" i="5"/>
  <c r="J4" i="5"/>
  <c r="J6" i="5"/>
  <c r="J13" i="5"/>
  <c r="J7" i="5"/>
  <c r="Q3" i="10"/>
  <c r="E2" i="10"/>
  <c r="D4" i="10" s="1"/>
  <c r="P3" i="10" s="1"/>
  <c r="M10" i="6"/>
  <c r="L10" i="6" s="1"/>
  <c r="I8" i="4"/>
  <c r="H8" i="4" s="1"/>
  <c r="H12" i="4"/>
  <c r="H7" i="4"/>
  <c r="H13" i="4"/>
  <c r="H4" i="4"/>
  <c r="H10" i="4"/>
  <c r="H6" i="4"/>
  <c r="H5" i="4"/>
  <c r="U2" i="4"/>
  <c r="J6" i="4"/>
  <c r="J5" i="4"/>
  <c r="J10" i="4"/>
  <c r="J7" i="4"/>
  <c r="J13" i="4"/>
  <c r="J12" i="4"/>
  <c r="K8" i="4"/>
  <c r="J8" i="4" s="1"/>
  <c r="J4" i="4"/>
  <c r="O13" i="10"/>
  <c r="G2" i="10"/>
  <c r="O8" i="4"/>
  <c r="N8" i="4" s="1"/>
  <c r="N13" i="4"/>
  <c r="N4" i="4"/>
  <c r="N6" i="4"/>
  <c r="N7" i="4"/>
  <c r="N12" i="4"/>
  <c r="N5" i="4"/>
  <c r="N10" i="4"/>
  <c r="AA10" i="8"/>
  <c r="AC11" i="8"/>
  <c r="Z11" i="8"/>
  <c r="H4" i="10"/>
  <c r="P13" i="10" s="1"/>
  <c r="H2" i="10"/>
  <c r="H3" i="10"/>
  <c r="H6" i="10"/>
  <c r="P14" i="10" s="1"/>
  <c r="H7" i="10"/>
  <c r="P15" i="10" s="1"/>
  <c r="H8" i="10"/>
  <c r="P16" i="10" s="1"/>
  <c r="K2" i="10"/>
  <c r="T11" i="8" l="1"/>
  <c r="U8" i="4"/>
  <c r="F11" i="6"/>
  <c r="U12" i="4"/>
  <c r="U6" i="4"/>
  <c r="U10" i="4"/>
  <c r="H11" i="6"/>
  <c r="X11" i="8"/>
  <c r="D2" i="7"/>
  <c r="D6" i="15"/>
  <c r="L11" i="6"/>
  <c r="Q7" i="10"/>
  <c r="D6" i="10"/>
  <c r="P4" i="10" s="1"/>
  <c r="D2" i="10"/>
  <c r="D8" i="10"/>
  <c r="P6" i="10" s="1"/>
  <c r="D7" i="10"/>
  <c r="P5" i="10" s="1"/>
  <c r="C2" i="5"/>
  <c r="B12" i="5" s="1"/>
  <c r="C4" i="10"/>
  <c r="C2" i="10" s="1"/>
  <c r="E11" i="6"/>
  <c r="U5" i="4"/>
  <c r="U4" i="4"/>
  <c r="Z10" i="8"/>
  <c r="AC10" i="8"/>
  <c r="U13" i="4"/>
  <c r="V11" i="8"/>
  <c r="P11" i="8"/>
  <c r="F8" i="10"/>
  <c r="N16" i="10" s="1"/>
  <c r="F2" i="10"/>
  <c r="R17" i="10" s="1"/>
  <c r="F6" i="10"/>
  <c r="N14" i="10" s="1"/>
  <c r="F7" i="10"/>
  <c r="N15" i="10" s="1"/>
  <c r="F4" i="10"/>
  <c r="N13" i="10" s="1"/>
  <c r="O17" i="10"/>
  <c r="U7" i="4"/>
  <c r="R11" i="8"/>
  <c r="J8" i="10"/>
  <c r="R16" i="10" s="1"/>
  <c r="S17" i="10"/>
  <c r="J2" i="10"/>
  <c r="J6" i="10"/>
  <c r="R14" i="10" s="1"/>
  <c r="J4" i="10"/>
  <c r="R13" i="10" s="1"/>
  <c r="J7" i="10"/>
  <c r="R15" i="10" s="1"/>
  <c r="X3" i="10" l="1"/>
  <c r="X5" i="10"/>
  <c r="V13" i="10"/>
  <c r="V15" i="10"/>
  <c r="C7" i="5"/>
  <c r="B7" i="5" s="1"/>
  <c r="D7" i="7"/>
  <c r="D17" i="7" s="1"/>
  <c r="D13" i="7"/>
  <c r="C13" i="7" s="1"/>
  <c r="C13" i="5"/>
  <c r="B13" i="5" s="1"/>
  <c r="C5" i="5"/>
  <c r="D5" i="7"/>
  <c r="O3" i="10"/>
  <c r="E10" i="6"/>
  <c r="D10" i="6" s="1"/>
  <c r="P7" i="10"/>
  <c r="P17" i="10"/>
  <c r="L10" i="7"/>
  <c r="G10" i="5"/>
  <c r="J10" i="7"/>
  <c r="K10" i="5"/>
  <c r="E10" i="5"/>
  <c r="D10" i="7"/>
  <c r="F10" i="7"/>
  <c r="E7" i="15" s="1"/>
  <c r="C10" i="5"/>
  <c r="H10" i="7"/>
  <c r="I10" i="5"/>
  <c r="C12" i="7"/>
  <c r="C18" i="7"/>
  <c r="C6" i="5"/>
  <c r="D6" i="7"/>
  <c r="D14" i="15" l="1"/>
  <c r="D11" i="6"/>
  <c r="I7" i="6"/>
  <c r="F10" i="5"/>
  <c r="N5" i="7"/>
  <c r="C5" i="7"/>
  <c r="D4" i="7"/>
  <c r="G7" i="15"/>
  <c r="I10" i="7"/>
  <c r="O7" i="10"/>
  <c r="V3" i="10" s="1"/>
  <c r="B6" i="10"/>
  <c r="N4" i="10" s="1"/>
  <c r="B8" i="10"/>
  <c r="N6" i="10" s="1"/>
  <c r="B2" i="10"/>
  <c r="B7" i="10"/>
  <c r="N5" i="10" s="1"/>
  <c r="B11" i="10"/>
  <c r="E7" i="6"/>
  <c r="B10" i="5"/>
  <c r="C6" i="7"/>
  <c r="D5" i="15"/>
  <c r="F7" i="15"/>
  <c r="G10" i="7"/>
  <c r="B5" i="5"/>
  <c r="C4" i="5"/>
  <c r="C10" i="7"/>
  <c r="D7" i="15"/>
  <c r="B6" i="5"/>
  <c r="E3" i="6"/>
  <c r="C13" i="10" s="1"/>
  <c r="G7" i="6"/>
  <c r="D10" i="5"/>
  <c r="C7" i="7"/>
  <c r="C17" i="7"/>
  <c r="K7" i="6"/>
  <c r="H10" i="5"/>
  <c r="K10" i="7"/>
  <c r="H7" i="15"/>
  <c r="E9" i="15"/>
  <c r="E8" i="15"/>
  <c r="M7" i="6"/>
  <c r="J10" i="5"/>
  <c r="B4" i="10"/>
  <c r="N3" i="10" s="1"/>
  <c r="E4" i="7"/>
  <c r="E10" i="7"/>
  <c r="E5" i="7"/>
  <c r="E18" i="7"/>
  <c r="E12" i="7"/>
  <c r="E6" i="7"/>
  <c r="E7" i="7"/>
  <c r="E13" i="7"/>
  <c r="E17" i="7"/>
  <c r="E8" i="7"/>
  <c r="G9" i="15" l="1"/>
  <c r="G8" i="15"/>
  <c r="C8" i="5"/>
  <c r="B8" i="5" s="1"/>
  <c r="B4" i="5"/>
  <c r="F8" i="15"/>
  <c r="F9" i="15"/>
  <c r="N7" i="10"/>
  <c r="N17" i="10"/>
  <c r="D8" i="7"/>
  <c r="C8" i="7" s="1"/>
  <c r="N4" i="7"/>
  <c r="C4" i="7"/>
  <c r="H8" i="15"/>
  <c r="H9" i="15"/>
  <c r="W5" i="10"/>
  <c r="V5" i="10" s="1"/>
  <c r="B13" i="10"/>
  <c r="D9" i="15"/>
  <c r="D8" i="15"/>
  <c r="H9" i="4"/>
  <c r="B17" i="9"/>
  <c r="B16" i="9" s="1"/>
  <c r="I11" i="4"/>
  <c r="H11" i="4" l="1"/>
  <c r="I14" i="4"/>
  <c r="H14" i="4"/>
  <c r="B3" i="6"/>
  <c r="B6" i="6"/>
  <c r="L7" i="6"/>
  <c r="F2" i="8"/>
  <c r="F9" i="8"/>
  <c r="L5" i="8"/>
  <c r="Y5" i="8"/>
  <c r="L8" i="8"/>
  <c r="L6" i="8"/>
  <c r="M5" i="8"/>
  <c r="M2" i="8"/>
  <c r="L9" i="8" s="1"/>
  <c r="L4" i="8"/>
  <c r="W5" i="8"/>
  <c r="Q5" i="8"/>
  <c r="S5" i="8"/>
  <c r="H4" i="8"/>
  <c r="I5" i="8"/>
  <c r="I2" i="8"/>
  <c r="O5" i="8"/>
  <c r="K5" i="8"/>
  <c r="F9" i="4"/>
  <c r="F11" i="4" s="1"/>
  <c r="F14" i="4" s="1"/>
  <c r="U5" i="8"/>
  <c r="F5" i="8"/>
  <c r="G5" i="8"/>
  <c r="G2" i="8"/>
  <c r="F3" i="8" s="1"/>
  <c r="E5" i="8"/>
  <c r="E2" i="8"/>
  <c r="D4" i="8" s="1"/>
  <c r="J9" i="4"/>
  <c r="K11" i="4"/>
  <c r="P9" i="4"/>
  <c r="Q11" i="4"/>
  <c r="P11" i="4" s="1"/>
  <c r="C11" i="4"/>
  <c r="C14" i="4" s="1"/>
  <c r="C15" i="4" s="1"/>
  <c r="AA5" i="8"/>
  <c r="S9" i="4"/>
  <c r="R9" i="4" s="1"/>
  <c r="E5" i="6"/>
  <c r="G5" i="6" s="1"/>
  <c r="I5" i="6" s="1"/>
  <c r="G9" i="4"/>
  <c r="G11" i="4" s="1"/>
  <c r="G14" i="4" s="1"/>
  <c r="G15" i="4" s="1"/>
  <c r="N9" i="4"/>
  <c r="O11" i="4"/>
  <c r="N11" i="4" s="1"/>
  <c r="E9" i="4"/>
  <c r="E11" i="4" s="1"/>
  <c r="E14" i="4" s="1"/>
  <c r="E15" i="4" s="1"/>
  <c r="C5" i="8"/>
  <c r="C5" i="6"/>
  <c r="B5" i="6" s="1"/>
  <c r="C2" i="6"/>
  <c r="B9" i="6" s="1"/>
  <c r="C13" i="6"/>
  <c r="B11" i="4"/>
  <c r="D11" i="4"/>
  <c r="D14" i="4" s="1"/>
  <c r="G16" i="4" l="1"/>
  <c r="S11" i="4"/>
  <c r="I15" i="4"/>
  <c r="H15" i="4" s="1"/>
  <c r="Q9" i="8"/>
  <c r="Q2" i="8" s="1"/>
  <c r="B14" i="4"/>
  <c r="K5" i="6"/>
  <c r="D15" i="4"/>
  <c r="D16" i="4"/>
  <c r="E16" i="4"/>
  <c r="C2" i="8"/>
  <c r="B5" i="8"/>
  <c r="O14" i="4"/>
  <c r="C16" i="4"/>
  <c r="F15" i="4"/>
  <c r="F16" i="4" s="1"/>
  <c r="D5" i="8"/>
  <c r="O2" i="8"/>
  <c r="N5" i="8"/>
  <c r="L9" i="4"/>
  <c r="U9" i="4" s="1"/>
  <c r="D9" i="7" s="1"/>
  <c r="M11" i="4"/>
  <c r="J5" i="8"/>
  <c r="K2" i="8"/>
  <c r="AC5" i="8"/>
  <c r="H8" i="8"/>
  <c r="H6" i="8"/>
  <c r="H2" i="8"/>
  <c r="H9" i="8"/>
  <c r="H3" i="8"/>
  <c r="D9" i="8"/>
  <c r="D6" i="8"/>
  <c r="D8" i="8"/>
  <c r="D3" i="8"/>
  <c r="D2" i="8"/>
  <c r="K14" i="4"/>
  <c r="J11" i="4"/>
  <c r="H5" i="8"/>
  <c r="L3" i="8"/>
  <c r="F8" i="8"/>
  <c r="B8" i="6"/>
  <c r="L2" i="8"/>
  <c r="F4" i="8"/>
  <c r="B7" i="6"/>
  <c r="F6" i="8"/>
  <c r="D7" i="6"/>
  <c r="Q14" i="4"/>
  <c r="J7" i="6"/>
  <c r="H7" i="6"/>
  <c r="B4" i="6"/>
  <c r="B2" i="6"/>
  <c r="F7" i="6"/>
  <c r="I16" i="4" l="1"/>
  <c r="H16" i="4" s="1"/>
  <c r="R11" i="4"/>
  <c r="S14" i="4"/>
  <c r="P5" i="8"/>
  <c r="P9" i="8"/>
  <c r="P3" i="8"/>
  <c r="P6" i="8"/>
  <c r="P2" i="8"/>
  <c r="P8" i="8"/>
  <c r="P4" i="8"/>
  <c r="E9" i="5"/>
  <c r="I9" i="5"/>
  <c r="C9" i="5"/>
  <c r="J9" i="7"/>
  <c r="K9" i="5"/>
  <c r="Y6" i="4"/>
  <c r="H9" i="7"/>
  <c r="G9" i="5"/>
  <c r="F9" i="7"/>
  <c r="L9" i="7"/>
  <c r="O15" i="4"/>
  <c r="O16" i="4" s="1"/>
  <c r="N16" i="4" s="1"/>
  <c r="N14" i="4"/>
  <c r="Z7" i="8"/>
  <c r="L7" i="8"/>
  <c r="D7" i="8"/>
  <c r="B9" i="8"/>
  <c r="R7" i="8"/>
  <c r="B3" i="8"/>
  <c r="X7" i="8"/>
  <c r="V7" i="8"/>
  <c r="B8" i="8"/>
  <c r="H7" i="8"/>
  <c r="F7" i="8"/>
  <c r="B2" i="8"/>
  <c r="P7" i="8"/>
  <c r="N7" i="8"/>
  <c r="J7" i="8"/>
  <c r="T7" i="8"/>
  <c r="B4" i="8"/>
  <c r="B6" i="8"/>
  <c r="B7" i="8"/>
  <c r="C13" i="8"/>
  <c r="E13" i="8" s="1"/>
  <c r="G13" i="8" s="1"/>
  <c r="I13" i="8" s="1"/>
  <c r="K13" i="8" s="1"/>
  <c r="M13" i="8" s="1"/>
  <c r="O13" i="8" s="1"/>
  <c r="Q13" i="8" s="1"/>
  <c r="M5" i="6"/>
  <c r="Q15" i="4"/>
  <c r="P14" i="4"/>
  <c r="J14" i="4"/>
  <c r="K15" i="4"/>
  <c r="L11" i="4"/>
  <c r="U11" i="4" s="1"/>
  <c r="M14" i="4"/>
  <c r="B15" i="4"/>
  <c r="B16" i="4"/>
  <c r="N8" i="8"/>
  <c r="N9" i="8"/>
  <c r="N3" i="8"/>
  <c r="N2" i="8"/>
  <c r="N4" i="8"/>
  <c r="N6" i="8"/>
  <c r="J8" i="8"/>
  <c r="J3" i="8"/>
  <c r="J6" i="8"/>
  <c r="J9" i="8"/>
  <c r="J4" i="8"/>
  <c r="J2" i="8"/>
  <c r="V11" i="4"/>
  <c r="R14" i="4" l="1"/>
  <c r="S15" i="4"/>
  <c r="C9" i="7"/>
  <c r="D11" i="7"/>
  <c r="P15" i="4"/>
  <c r="Y9" i="8"/>
  <c r="I9" i="7"/>
  <c r="J11" i="7"/>
  <c r="L11" i="7"/>
  <c r="K9" i="7"/>
  <c r="B9" i="5"/>
  <c r="E4" i="6"/>
  <c r="C11" i="5"/>
  <c r="F11" i="7"/>
  <c r="E9" i="7"/>
  <c r="H9" i="5"/>
  <c r="K4" i="6"/>
  <c r="I11" i="5"/>
  <c r="N15" i="4"/>
  <c r="W9" i="8"/>
  <c r="I4" i="6"/>
  <c r="F9" i="5"/>
  <c r="G11" i="5"/>
  <c r="D9" i="5"/>
  <c r="G4" i="6"/>
  <c r="E11" i="5"/>
  <c r="M4" i="6"/>
  <c r="J9" i="5"/>
  <c r="K11" i="5"/>
  <c r="Q16" i="4"/>
  <c r="P16" i="4" s="1"/>
  <c r="L14" i="4"/>
  <c r="U14" i="4" s="1"/>
  <c r="M15" i="4"/>
  <c r="M16" i="4" s="1"/>
  <c r="L16" i="4" s="1"/>
  <c r="V14" i="4"/>
  <c r="V15" i="4" s="1"/>
  <c r="J15" i="4"/>
  <c r="S9" i="8"/>
  <c r="K16" i="4"/>
  <c r="J16" i="4" s="1"/>
  <c r="G9" i="7"/>
  <c r="H11" i="7"/>
  <c r="S16" i="4" l="1"/>
  <c r="R16" i="4" s="1"/>
  <c r="AA9" i="8"/>
  <c r="AA2" i="8" s="1"/>
  <c r="Z9" i="8" s="1"/>
  <c r="R15" i="4"/>
  <c r="U16" i="4"/>
  <c r="I11" i="7"/>
  <c r="J14" i="7"/>
  <c r="G12" i="15"/>
  <c r="G15" i="15" s="1"/>
  <c r="E14" i="5"/>
  <c r="D11" i="5"/>
  <c r="E14" i="10"/>
  <c r="C14" i="5"/>
  <c r="B11" i="5"/>
  <c r="G14" i="5"/>
  <c r="F11" i="5"/>
  <c r="E12" i="15"/>
  <c r="E15" i="15" s="1"/>
  <c r="E11" i="7"/>
  <c r="F14" i="7"/>
  <c r="C11" i="7"/>
  <c r="D14" i="7"/>
  <c r="D12" i="15"/>
  <c r="D15" i="15" s="1"/>
  <c r="J11" i="5"/>
  <c r="K14" i="5"/>
  <c r="U9" i="8"/>
  <c r="L15" i="4"/>
  <c r="U15" i="4" s="1"/>
  <c r="H11" i="5"/>
  <c r="I14" i="5"/>
  <c r="H14" i="7"/>
  <c r="G11" i="7"/>
  <c r="F12" i="15"/>
  <c r="F15" i="15" s="1"/>
  <c r="I14" i="10"/>
  <c r="C14" i="10"/>
  <c r="Y2" i="8"/>
  <c r="X9" i="8" s="1"/>
  <c r="G14" i="10"/>
  <c r="S2" i="8"/>
  <c r="R9" i="8" s="1"/>
  <c r="K14" i="10"/>
  <c r="W2" i="8"/>
  <c r="Z2" i="8"/>
  <c r="Z3" i="8"/>
  <c r="Z8" i="8"/>
  <c r="Z6" i="8"/>
  <c r="Z5" i="8"/>
  <c r="K11" i="7"/>
  <c r="L14" i="7"/>
  <c r="H12" i="15"/>
  <c r="H15" i="15" s="1"/>
  <c r="Z4" i="8" l="1"/>
  <c r="C15" i="5"/>
  <c r="D15" i="7"/>
  <c r="D16" i="7" s="1"/>
  <c r="V3" i="8"/>
  <c r="V4" i="8"/>
  <c r="V2" i="8"/>
  <c r="V8" i="8"/>
  <c r="V6" i="8"/>
  <c r="V5" i="8"/>
  <c r="Y16" i="10"/>
  <c r="X16" i="10" s="1"/>
  <c r="U2" i="8"/>
  <c r="AC9" i="8"/>
  <c r="K14" i="7"/>
  <c r="L15" i="7"/>
  <c r="K15" i="7" s="1"/>
  <c r="J14" i="5"/>
  <c r="K15" i="5"/>
  <c r="AA16" i="10"/>
  <c r="Z16" i="10" s="1"/>
  <c r="J15" i="7"/>
  <c r="I15" i="7" s="1"/>
  <c r="I14" i="7"/>
  <c r="E15" i="5"/>
  <c r="E16" i="5" s="1"/>
  <c r="D16" i="5" s="1"/>
  <c r="D14" i="5"/>
  <c r="F14" i="5"/>
  <c r="G15" i="5"/>
  <c r="G16" i="5" s="1"/>
  <c r="F16" i="5" s="1"/>
  <c r="W6" i="10"/>
  <c r="V6" i="10" s="1"/>
  <c r="B14" i="10"/>
  <c r="C14" i="7"/>
  <c r="B14" i="5"/>
  <c r="C16" i="5"/>
  <c r="B16" i="5" s="1"/>
  <c r="F15" i="7"/>
  <c r="E15" i="7" s="1"/>
  <c r="E14" i="7"/>
  <c r="Y6" i="10"/>
  <c r="X6" i="10" s="1"/>
  <c r="W16" i="10"/>
  <c r="V16" i="10" s="1"/>
  <c r="V9" i="8"/>
  <c r="X6" i="8"/>
  <c r="X2" i="8"/>
  <c r="X3" i="8"/>
  <c r="X4" i="8"/>
  <c r="X8" i="8"/>
  <c r="X5" i="8"/>
  <c r="G14" i="7"/>
  <c r="H15" i="7"/>
  <c r="G15" i="7" s="1"/>
  <c r="R6" i="8"/>
  <c r="R5" i="8"/>
  <c r="R4" i="8"/>
  <c r="R8" i="8"/>
  <c r="R2" i="8"/>
  <c r="R3" i="8"/>
  <c r="S13" i="8"/>
  <c r="U13" i="8" s="1"/>
  <c r="W13" i="8" s="1"/>
  <c r="Y13" i="8" s="1"/>
  <c r="AA13" i="8" s="1"/>
  <c r="AC13" i="8" s="1"/>
  <c r="H14" i="5"/>
  <c r="I15" i="5"/>
  <c r="J16" i="7" l="1"/>
  <c r="F16" i="7"/>
  <c r="F19" i="7" s="1"/>
  <c r="J19" i="7"/>
  <c r="I16" i="7"/>
  <c r="K9" i="6"/>
  <c r="H15" i="5"/>
  <c r="L16" i="7"/>
  <c r="E16" i="7"/>
  <c r="I16" i="5"/>
  <c r="H16" i="5" s="1"/>
  <c r="F15" i="5"/>
  <c r="I9" i="6"/>
  <c r="T4" i="8"/>
  <c r="T2" i="8"/>
  <c r="T3" i="8"/>
  <c r="T6" i="8"/>
  <c r="T8" i="8"/>
  <c r="T5" i="8"/>
  <c r="AC2" i="8"/>
  <c r="E9" i="6"/>
  <c r="B15" i="5"/>
  <c r="C25" i="5"/>
  <c r="H16" i="7"/>
  <c r="M9" i="6"/>
  <c r="J15" i="5"/>
  <c r="T9" i="8"/>
  <c r="D19" i="7"/>
  <c r="C16" i="7"/>
  <c r="D15" i="5"/>
  <c r="G9" i="6"/>
  <c r="K16" i="5"/>
  <c r="J16" i="5" s="1"/>
  <c r="C15" i="7"/>
  <c r="D30" i="7"/>
  <c r="D31" i="7" s="1"/>
  <c r="D23" i="9" l="1"/>
  <c r="E19" i="7"/>
  <c r="J3" i="9"/>
  <c r="K12" i="10"/>
  <c r="M2" i="6"/>
  <c r="E12" i="10"/>
  <c r="G2" i="6"/>
  <c r="F9" i="6" s="1"/>
  <c r="C12" i="10"/>
  <c r="C9" i="10" s="1"/>
  <c r="E2" i="6"/>
  <c r="H19" i="7"/>
  <c r="G16" i="7"/>
  <c r="K16" i="7"/>
  <c r="L19" i="7"/>
  <c r="G23" i="9" s="1"/>
  <c r="I12" i="10"/>
  <c r="K2" i="6"/>
  <c r="J9" i="6" s="1"/>
  <c r="G12" i="10"/>
  <c r="I2" i="6"/>
  <c r="J2" i="9"/>
  <c r="C19" i="7"/>
  <c r="C23" i="9"/>
  <c r="D20" i="7"/>
  <c r="F20" i="7" s="1"/>
  <c r="I19" i="7"/>
  <c r="F23" i="9"/>
  <c r="J5" i="9"/>
  <c r="E23" i="9" l="1"/>
  <c r="J4" i="9"/>
  <c r="G19" i="7"/>
  <c r="J10" i="9" a="1"/>
  <c r="L3" i="6"/>
  <c r="L2" i="6"/>
  <c r="L6" i="6"/>
  <c r="L8" i="6"/>
  <c r="L5" i="6"/>
  <c r="L4" i="6"/>
  <c r="C26" i="9"/>
  <c r="J6" i="9"/>
  <c r="M51" i="9" s="1"/>
  <c r="K19" i="7"/>
  <c r="H8" i="6"/>
  <c r="H2" i="6"/>
  <c r="H6" i="6"/>
  <c r="H3" i="6"/>
  <c r="H5" i="6"/>
  <c r="H4" i="6"/>
  <c r="G9" i="10"/>
  <c r="F12" i="10" s="1"/>
  <c r="W14" i="10"/>
  <c r="V14" i="10" s="1"/>
  <c r="D8" i="6"/>
  <c r="D3" i="6"/>
  <c r="D2" i="6"/>
  <c r="D6" i="6"/>
  <c r="D5" i="6"/>
  <c r="E13" i="6"/>
  <c r="D4" i="6"/>
  <c r="W4" i="10"/>
  <c r="V4" i="10" s="1"/>
  <c r="B12" i="10"/>
  <c r="V7" i="10" s="1"/>
  <c r="D9" i="6"/>
  <c r="Y4" i="10"/>
  <c r="X4" i="10" s="1"/>
  <c r="E9" i="10"/>
  <c r="D12" i="10" s="1"/>
  <c r="L9" i="6"/>
  <c r="H9" i="6"/>
  <c r="K9" i="10"/>
  <c r="J12" i="10" s="1"/>
  <c r="AA14" i="10"/>
  <c r="Z14" i="10" s="1"/>
  <c r="J3" i="6"/>
  <c r="J2" i="6"/>
  <c r="J8" i="6"/>
  <c r="J6" i="6"/>
  <c r="J5" i="6"/>
  <c r="J4" i="6"/>
  <c r="I9" i="10"/>
  <c r="H12" i="10" s="1"/>
  <c r="Y14" i="10"/>
  <c r="X14" i="10" s="1"/>
  <c r="F3" i="6"/>
  <c r="F2" i="6"/>
  <c r="F8" i="6"/>
  <c r="F6" i="6"/>
  <c r="F5" i="6"/>
  <c r="F4" i="6"/>
  <c r="M39" i="9" l="1"/>
  <c r="M56" i="9"/>
  <c r="M9" i="9"/>
  <c r="E33" i="9"/>
  <c r="C27" i="9"/>
  <c r="M29" i="9"/>
  <c r="M50" i="9"/>
  <c r="M11" i="9"/>
  <c r="M65" i="9"/>
  <c r="B32" i="9"/>
  <c r="E32" i="9" s="1"/>
  <c r="B39" i="9" s="1"/>
  <c r="M24" i="9"/>
  <c r="M46" i="9"/>
  <c r="M59" i="9"/>
  <c r="M40" i="9"/>
  <c r="M30" i="9"/>
  <c r="M60" i="9"/>
  <c r="M66" i="9"/>
  <c r="M44" i="9"/>
  <c r="M8" i="9"/>
  <c r="M10" i="9"/>
  <c r="M53" i="9"/>
  <c r="M22" i="9"/>
  <c r="M18" i="9"/>
  <c r="M34" i="9"/>
  <c r="M16" i="9"/>
  <c r="M15" i="9"/>
  <c r="M49" i="9"/>
  <c r="M52" i="9"/>
  <c r="M17" i="9"/>
  <c r="M57" i="9"/>
  <c r="M6" i="9"/>
  <c r="M14" i="9"/>
  <c r="M35" i="9"/>
  <c r="M37" i="9"/>
  <c r="M43" i="9"/>
  <c r="M61" i="9"/>
  <c r="M27" i="9"/>
  <c r="M64" i="9"/>
  <c r="M23" i="9"/>
  <c r="M62" i="9"/>
  <c r="M48" i="9"/>
  <c r="M32" i="9"/>
  <c r="M13" i="9"/>
  <c r="M25" i="9"/>
  <c r="M47" i="9"/>
  <c r="M36" i="9"/>
  <c r="J11" i="9"/>
  <c r="M63" i="9"/>
  <c r="M42" i="9"/>
  <c r="J10" i="9"/>
  <c r="M55" i="9"/>
  <c r="M21" i="9"/>
  <c r="M20" i="9"/>
  <c r="J9" i="10"/>
  <c r="AA17" i="10"/>
  <c r="K16" i="10"/>
  <c r="J13" i="10"/>
  <c r="J11" i="10"/>
  <c r="J14" i="10"/>
  <c r="B9" i="10"/>
  <c r="C16" i="10"/>
  <c r="W7" i="10"/>
  <c r="I16" i="10"/>
  <c r="H11" i="10"/>
  <c r="H13" i="10"/>
  <c r="Y17" i="10"/>
  <c r="H9" i="10"/>
  <c r="H14" i="10"/>
  <c r="Y7" i="10"/>
  <c r="D9" i="10"/>
  <c r="D13" i="10"/>
  <c r="D11" i="10"/>
  <c r="E16" i="10"/>
  <c r="D14" i="10"/>
  <c r="G13" i="6"/>
  <c r="B6" i="9"/>
  <c r="B4" i="9"/>
  <c r="H2" i="9"/>
  <c r="F11" i="10"/>
  <c r="W17" i="10"/>
  <c r="G16" i="10"/>
  <c r="F9" i="10"/>
  <c r="F13" i="10"/>
  <c r="F14" i="10"/>
  <c r="M12" i="9"/>
  <c r="M26" i="9"/>
  <c r="M33" i="9"/>
  <c r="M28" i="9"/>
  <c r="M54" i="9"/>
  <c r="M41" i="9"/>
  <c r="M7" i="9"/>
  <c r="M58" i="9"/>
  <c r="M31" i="9"/>
  <c r="M19" i="9"/>
  <c r="M45" i="9"/>
  <c r="M38" i="9"/>
  <c r="B34" i="9" l="1"/>
  <c r="X7" i="10"/>
  <c r="V17" i="10"/>
  <c r="C15" i="10"/>
  <c r="B38" i="9"/>
  <c r="B40" i="9" s="1"/>
  <c r="B41" i="9" s="1"/>
  <c r="E34" i="9"/>
  <c r="C28" i="9" s="1"/>
  <c r="Z17" i="10"/>
  <c r="E15" i="10"/>
  <c r="D15" i="10" s="1"/>
  <c r="Y8" i="10"/>
  <c r="G15" i="10"/>
  <c r="X17" i="10"/>
  <c r="K15" i="10"/>
  <c r="J16" i="10"/>
  <c r="C4" i="9"/>
  <c r="I13" i="6"/>
  <c r="C6" i="9"/>
  <c r="H3" i="9"/>
  <c r="Y18" i="10"/>
  <c r="I15" i="10"/>
  <c r="H15" i="10" s="1"/>
  <c r="D16" i="10" l="1"/>
  <c r="Y19" i="10"/>
  <c r="X18" i="10"/>
  <c r="X19" i="10" s="1"/>
  <c r="Y9" i="10"/>
  <c r="X8" i="10"/>
  <c r="X9" i="10"/>
  <c r="F15" i="10"/>
  <c r="W18" i="10"/>
  <c r="W8" i="10"/>
  <c r="B15" i="10"/>
  <c r="D4" i="9"/>
  <c r="D6" i="9"/>
  <c r="K13" i="6"/>
  <c r="H4" i="9"/>
  <c r="F16" i="10"/>
  <c r="B16" i="10"/>
  <c r="H16" i="10"/>
  <c r="J15" i="10"/>
  <c r="AA18" i="10"/>
  <c r="W19" i="10" l="1"/>
  <c r="V18" i="10"/>
  <c r="V19" i="10" s="1"/>
  <c r="AA19" i="10"/>
  <c r="Z18" i="10"/>
  <c r="Z19" i="10" s="1"/>
  <c r="W9" i="10"/>
  <c r="V8" i="10"/>
  <c r="V9" i="10" s="1"/>
  <c r="E4" i="9"/>
  <c r="M13" i="6"/>
  <c r="H5" i="9"/>
  <c r="E6" i="9"/>
  <c r="F4" i="9" l="1"/>
  <c r="B5" i="9" s="1"/>
  <c r="F6" i="9"/>
  <c r="B7" i="9" s="1"/>
  <c r="H6" i="9"/>
  <c r="H10" i="9" s="1" a="1"/>
  <c r="H10" i="9" s="1"/>
  <c r="H11" i="9"/>
</calcChain>
</file>

<file path=xl/comments1.xml><?xml version="1.0" encoding="utf-8"?>
<comments xmlns="http://schemas.openxmlformats.org/spreadsheetml/2006/main">
  <authors>
    <author/>
  </authors>
  <commentList>
    <comment ref="E2" authorId="0" shapeId="0">
      <text>
        <r>
          <rPr>
            <sz val="10"/>
            <color rgb="FF000000"/>
            <rFont val="Arial"/>
          </rPr>
          <t>Todo Incluido
	-Harold Cuestas González</t>
        </r>
      </text>
    </comment>
  </commentList>
</comments>
</file>

<file path=xl/sharedStrings.xml><?xml version="1.0" encoding="utf-8"?>
<sst xmlns="http://schemas.openxmlformats.org/spreadsheetml/2006/main" count="540" uniqueCount="307">
  <si>
    <t xml:space="preserve">Concepto
</t>
  </si>
  <si>
    <t>Valor</t>
  </si>
  <si>
    <t>Observaciones</t>
  </si>
  <si>
    <t>Depreciación</t>
  </si>
  <si>
    <t xml:space="preserve">Años
</t>
  </si>
  <si>
    <t>Meses</t>
  </si>
  <si>
    <t>Depreciación por mes</t>
  </si>
  <si>
    <t>Estado de situación Financiera Inicial</t>
  </si>
  <si>
    <t>Salarios Durante Desarrollo</t>
  </si>
  <si>
    <t>Servicios</t>
  </si>
  <si>
    <t>Servicios Digitales</t>
  </si>
  <si>
    <t>Arriendo</t>
  </si>
  <si>
    <t>Otros insumos</t>
  </si>
  <si>
    <t>Gerente</t>
  </si>
  <si>
    <t>Activos</t>
  </si>
  <si>
    <t>Pasivo</t>
  </si>
  <si>
    <t>Efectivo y sus equivalentes</t>
  </si>
  <si>
    <t>Servidores</t>
  </si>
  <si>
    <t>Papelería</t>
  </si>
  <si>
    <t>Jefe de desarrollo</t>
  </si>
  <si>
    <t>Administración</t>
  </si>
  <si>
    <t>Varios oficina</t>
  </si>
  <si>
    <t>Contador</t>
  </si>
  <si>
    <t>Capital autorizado</t>
  </si>
  <si>
    <t>Total salarios</t>
  </si>
  <si>
    <t>Total servicios</t>
  </si>
  <si>
    <t>Total Pasivo</t>
  </si>
  <si>
    <t>Total Servicios digitales</t>
  </si>
  <si>
    <t>Total Arriendo</t>
  </si>
  <si>
    <t>Total otros insumos</t>
  </si>
  <si>
    <t>contador</t>
  </si>
  <si>
    <t>Salarios Después Desarrollo</t>
  </si>
  <si>
    <t>Computadores y equipos de comunicacion</t>
  </si>
  <si>
    <t>Año</t>
  </si>
  <si>
    <t>Inflación</t>
  </si>
  <si>
    <t>Patrimonio</t>
  </si>
  <si>
    <t>Capital Autorizado</t>
  </si>
  <si>
    <t>Fuente:</t>
  </si>
  <si>
    <t>http://www.banrep.gov.co/es/ipc</t>
  </si>
  <si>
    <t>Capital suscrito</t>
  </si>
  <si>
    <t>Registro de la empresa en Camara de Comercio</t>
  </si>
  <si>
    <t>Total Activos</t>
  </si>
  <si>
    <t>TOTAL</t>
  </si>
  <si>
    <t>Matrícula primer año</t>
  </si>
  <si>
    <t>Si se vincula a los beneficios de la ley 1429</t>
  </si>
  <si>
    <t>Apertura cuenta de banco</t>
  </si>
  <si>
    <t>Certificados originales de existencia y representación legal</t>
  </si>
  <si>
    <t xml:space="preserve">
</t>
  </si>
  <si>
    <t xml:space="preserve">Trámites ante la DIAN
</t>
  </si>
  <si>
    <t>Inscripción de libros</t>
  </si>
  <si>
    <t xml:space="preserve">
Papelería y transporte</t>
  </si>
  <si>
    <t>Total Patrimonio</t>
  </si>
  <si>
    <t xml:space="preserve">Equipo de computo
</t>
  </si>
  <si>
    <t>Total pasivos y patrimonio</t>
  </si>
  <si>
    <t>Dominios, servidores y suscripciones</t>
  </si>
  <si>
    <t>Mes 1</t>
  </si>
  <si>
    <t>Impresora</t>
  </si>
  <si>
    <t xml:space="preserve">GRAN TOTAL
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</si>
  <si>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</si>
  <si>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</si>
  <si>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</si>
  <si>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</si>
  <si>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</si>
  <si>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</si>
  <si>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</si>
  <si>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</si>
  <si>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</si>
  <si>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</si>
  <si>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</si>
  <si>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Ingresos Operacionales</t>
  </si>
  <si>
    <t>Año 1</t>
  </si>
  <si>
    <t>Año 2</t>
  </si>
  <si>
    <t>Año 3</t>
  </si>
  <si>
    <t>Año 0</t>
  </si>
  <si>
    <t>Año 4</t>
  </si>
  <si>
    <t>Año 5</t>
  </si>
  <si>
    <t xml:space="preserve">EGRESOS
</t>
  </si>
  <si>
    <t>Gastos de personal</t>
  </si>
  <si>
    <t xml:space="preserve">(+) Ventas
</t>
  </si>
  <si>
    <t>Arrendamientos</t>
  </si>
  <si>
    <t>Costo de ventas</t>
  </si>
  <si>
    <t>Servicios públicos</t>
  </si>
  <si>
    <t>(-) Costos fijos de producción</t>
  </si>
  <si>
    <t>Pagos a provedores</t>
  </si>
  <si>
    <t>(-) Mano de obra</t>
  </si>
  <si>
    <t>Gastos diversos</t>
  </si>
  <si>
    <t xml:space="preserve">(-) Depreciación y diferidos
</t>
  </si>
  <si>
    <t>Impuestos</t>
  </si>
  <si>
    <t>Utilidad Bruta</t>
  </si>
  <si>
    <t xml:space="preserve">INGRESOS
</t>
  </si>
  <si>
    <t>(-) Gastos de Administración</t>
  </si>
  <si>
    <t>Ventas</t>
  </si>
  <si>
    <t>(-) Gastos de Ventas</t>
  </si>
  <si>
    <t>Inversiones</t>
  </si>
  <si>
    <t>EFECTIVO</t>
  </si>
  <si>
    <t>Utilidad Operacional</t>
  </si>
  <si>
    <t>(+) Ingresos No Operacionales</t>
  </si>
  <si>
    <t>(-) Gastos No Operacionales</t>
  </si>
  <si>
    <t>Utilidad Antes de Impuestos</t>
  </si>
  <si>
    <t>(-) Impuesto sobre la renta</t>
  </si>
  <si>
    <t>Utilidad Neta</t>
  </si>
  <si>
    <t>Tasa crecimiento</t>
  </si>
  <si>
    <t>Valor Dolar</t>
  </si>
  <si>
    <t>% recaudo</t>
  </si>
  <si>
    <t>Mes 0</t>
  </si>
  <si>
    <t>Usuarios x Mes</t>
  </si>
  <si>
    <t>Indice crec</t>
  </si>
  <si>
    <t>% Recaudo</t>
  </si>
  <si>
    <t>Inversion</t>
  </si>
  <si>
    <t>(+) Depreciación y diferidos</t>
  </si>
  <si>
    <t>VAN</t>
  </si>
  <si>
    <t>Tabla para graficar TIO</t>
  </si>
  <si>
    <t>(+) Inversión</t>
  </si>
  <si>
    <t>Flujo de caja</t>
  </si>
  <si>
    <t>TIR</t>
  </si>
  <si>
    <t>Flujo de caja secuencia</t>
  </si>
  <si>
    <t>Flujo de caja neto</t>
  </si>
  <si>
    <t>Punto de equilibrio</t>
  </si>
  <si>
    <t>Costos Fijos</t>
  </si>
  <si>
    <t>Costos Variables Unitario</t>
  </si>
  <si>
    <t>Costo de venta unitario</t>
  </si>
  <si>
    <t>Corte de tiempo</t>
  </si>
  <si>
    <t>Número de usuarios</t>
  </si>
  <si>
    <t>ACTIVO</t>
  </si>
  <si>
    <t>Ediciones Físicas de Coleccionista</t>
  </si>
  <si>
    <t>Edición Física estándar</t>
  </si>
  <si>
    <t>Código físico</t>
  </si>
  <si>
    <t>Código Digital</t>
  </si>
  <si>
    <t>Costo de Compra</t>
  </si>
  <si>
    <t>Mes</t>
  </si>
  <si>
    <t>Poblacion</t>
  </si>
  <si>
    <t>Parametros</t>
  </si>
  <si>
    <t>Mes 1-6</t>
  </si>
  <si>
    <t>Costo de importación</t>
  </si>
  <si>
    <t>Maximo de usuarios</t>
  </si>
  <si>
    <t>Costo de Recaudo</t>
  </si>
  <si>
    <t>Valor medio</t>
  </si>
  <si>
    <t>Activo Corriente</t>
  </si>
  <si>
    <t>Costo Final</t>
  </si>
  <si>
    <t>Pendiente</t>
  </si>
  <si>
    <t>Valor Esperado de Venta</t>
  </si>
  <si>
    <t>Porcentaje de Rentabilidad</t>
  </si>
  <si>
    <t>Caja</t>
  </si>
  <si>
    <t>Valor arriendo</t>
  </si>
  <si>
    <t>Metros cuadrados</t>
  </si>
  <si>
    <t>Valor metro cuadrado</t>
  </si>
  <si>
    <t>Inmueble 1</t>
  </si>
  <si>
    <t>Inmueble 2</t>
  </si>
  <si>
    <t>Inmueble 3</t>
  </si>
  <si>
    <t>Inmueble 4</t>
  </si>
  <si>
    <t>Activo No Corriente</t>
  </si>
  <si>
    <t>Inmueble 5</t>
  </si>
  <si>
    <t>Inmueble 6</t>
  </si>
  <si>
    <t>Promedio</t>
  </si>
  <si>
    <t>Equipo de computación</t>
  </si>
  <si>
    <t>Depreciación Acumulada</t>
  </si>
  <si>
    <t>Total propiedad, planta y equipo</t>
  </si>
  <si>
    <t>PASIVO</t>
  </si>
  <si>
    <t>Pasivo corriente</t>
  </si>
  <si>
    <t>PATRIMONIO</t>
  </si>
  <si>
    <t>Capital Social</t>
  </si>
  <si>
    <t>Costos consitucion de empresa</t>
  </si>
  <si>
    <t>Constitucion de sociedad comercial</t>
  </si>
  <si>
    <t>Impuesto de registro (con cuantia) base capital suscrito</t>
  </si>
  <si>
    <t>matricula persona natural o juridica</t>
  </si>
  <si>
    <t>beneficio matricula ley 1780</t>
  </si>
  <si>
    <t>formularios registro mercantil</t>
  </si>
  <si>
    <t xml:space="preserve">2 computadores de 1.500.000
</t>
  </si>
  <si>
    <t>Agente Comercial</t>
  </si>
  <si>
    <t>Tecnico Sistemas</t>
  </si>
  <si>
    <t>Psicologo</t>
  </si>
  <si>
    <t>% Clientes Potenciales</t>
  </si>
  <si>
    <t># Poblacion Objetivo</t>
  </si>
  <si>
    <t>Escenario Ideal</t>
  </si>
  <si>
    <t>Escenario Optimo</t>
  </si>
  <si>
    <t>Escenario Menos Optimo</t>
  </si>
  <si>
    <t>1 Año</t>
  </si>
  <si>
    <t>2 Año</t>
  </si>
  <si>
    <t>3 Año</t>
  </si>
  <si>
    <t>4 Año</t>
  </si>
  <si>
    <t>5 Año</t>
  </si>
  <si>
    <t>Valor Producto</t>
  </si>
  <si>
    <t>Promoción</t>
  </si>
  <si>
    <t>Tiempo aproximado de duración</t>
  </si>
  <si>
    <t xml:space="preserve">Objetivo </t>
  </si>
  <si>
    <t>Cantidad</t>
  </si>
  <si>
    <t>Se requieren</t>
  </si>
  <si>
    <t>Costo Unitario</t>
  </si>
  <si>
    <t>Costo total</t>
  </si>
  <si>
    <t>Proveedor</t>
  </si>
  <si>
    <t>Tarjetas de presentación</t>
  </si>
  <si>
    <t>6 meses</t>
  </si>
  <si>
    <t xml:space="preserve">Generar 100 nuevos contactos </t>
  </si>
  <si>
    <t>1.000 unidades</t>
  </si>
  <si>
    <t xml:space="preserve">Mas publicidad </t>
  </si>
  <si>
    <t>Etiquetas</t>
  </si>
  <si>
    <t xml:space="preserve">Publicidad Visual </t>
  </si>
  <si>
    <t>500 unidades</t>
  </si>
  <si>
    <t>Stickers</t>
  </si>
  <si>
    <t>1000 unidades</t>
  </si>
  <si>
    <t>Banner 1x2 mts</t>
  </si>
  <si>
    <t>12 meses</t>
  </si>
  <si>
    <t>1 unidad</t>
  </si>
  <si>
    <t>Facebook</t>
  </si>
  <si>
    <t>7 meses</t>
  </si>
  <si>
    <t xml:space="preserve">Posicionamiento de marca </t>
  </si>
  <si>
    <t>Es por click</t>
  </si>
  <si>
    <t xml:space="preserve">Adwords </t>
  </si>
  <si>
    <t xml:space="preserve">oferta </t>
  </si>
  <si>
    <t>Google</t>
  </si>
  <si>
    <t>Total</t>
  </si>
  <si>
    <t>Mano de Obra</t>
  </si>
  <si>
    <t>Equipos</t>
  </si>
  <si>
    <t>TOTAL COSTO AÑO DE PRODUCCION</t>
  </si>
  <si>
    <t>ESTRATEGIAS DE COMERCIALIZACION</t>
  </si>
  <si>
    <t>Total salarios (x mes)</t>
  </si>
  <si>
    <t>Total Salario (anual)</t>
  </si>
  <si>
    <t>Concepto</t>
  </si>
  <si>
    <t>Materiales (MP Basicas)</t>
  </si>
  <si>
    <t>Personal Dirección</t>
  </si>
  <si>
    <t>Personal Diseño y Desarrollo</t>
  </si>
  <si>
    <t>Personal Managment</t>
  </si>
  <si>
    <t>Personal Mercadeo y Atencion al Cliente</t>
  </si>
  <si>
    <t>Horas Extras</t>
  </si>
  <si>
    <t>Total Costos Directos</t>
  </si>
  <si>
    <t>Costos Directos</t>
  </si>
  <si>
    <t>Servicios Publicos</t>
  </si>
  <si>
    <t>Depreciación Maq y Equipos</t>
  </si>
  <si>
    <t>Depreciación de Vehículo</t>
  </si>
  <si>
    <t>Depreciación Mobiliario Planta prodc.</t>
  </si>
  <si>
    <t>Total Costos Indirectos</t>
  </si>
  <si>
    <t>Costos Indirectos</t>
  </si>
  <si>
    <t>Presupuesto Costos de Operación</t>
  </si>
  <si>
    <t>Tramites Intangibles</t>
  </si>
  <si>
    <t>Total Costos de Arranque</t>
  </si>
  <si>
    <t>Costos de arranque</t>
  </si>
  <si>
    <t>Capital pagado</t>
  </si>
  <si>
    <t>Nivel de Ingresos</t>
  </si>
  <si>
    <t>Inversion  Inicial</t>
  </si>
  <si>
    <t>Total Costos de Operación</t>
  </si>
  <si>
    <t>Total Costos Arranque</t>
  </si>
  <si>
    <t>Capital de Trabajo</t>
  </si>
  <si>
    <t>Inversion Intagible o de Gastos de Arrange</t>
  </si>
  <si>
    <t>Arriendo (6 meses)</t>
  </si>
  <si>
    <t>Inversion Activos Fijos Arranque</t>
  </si>
  <si>
    <t>Operacionales (arriendo + servidor + Equipos)</t>
  </si>
  <si>
    <t>IPC</t>
  </si>
  <si>
    <t>Numero de Ventas</t>
  </si>
  <si>
    <t>Publicidad</t>
  </si>
  <si>
    <t xml:space="preserve">Pagos a provedores </t>
  </si>
  <si>
    <t>pagos a provedores: pago de alojomiento de la aplicación</t>
  </si>
  <si>
    <t>Provedores (Alojamiento Servidor)</t>
  </si>
  <si>
    <t>Impuestos, gravámenes y tasas (Impuesto Renta)</t>
  </si>
  <si>
    <t>Obligaciones laborales (Nomina)</t>
  </si>
  <si>
    <t>Otros pasivos (Arriendo)</t>
  </si>
  <si>
    <t>Flujo de Caja Neto</t>
  </si>
  <si>
    <t>VPN</t>
  </si>
  <si>
    <t>Incremento IPC</t>
  </si>
  <si>
    <t>IPC + 1</t>
  </si>
  <si>
    <t>Columna1</t>
  </si>
  <si>
    <t>Columna2</t>
  </si>
  <si>
    <t>Columna3</t>
  </si>
  <si>
    <t>Columna4</t>
  </si>
  <si>
    <t>Columna5</t>
  </si>
  <si>
    <t>Columna6</t>
  </si>
  <si>
    <t>Columna7</t>
  </si>
  <si>
    <t>I1</t>
  </si>
  <si>
    <t>I2</t>
  </si>
  <si>
    <t>VPN 1</t>
  </si>
  <si>
    <t>VPN 2</t>
  </si>
  <si>
    <t>VPN 2+</t>
  </si>
  <si>
    <t>VPN 1+</t>
  </si>
  <si>
    <t>VPN con Tasa de interes</t>
  </si>
  <si>
    <t>Tasa de interes de oportunidad</t>
  </si>
  <si>
    <t>vpn</t>
  </si>
  <si>
    <t># Precio Aplicación sin IVA</t>
  </si>
  <si>
    <t>% Utilidad</t>
  </si>
  <si>
    <t>-</t>
  </si>
  <si>
    <t>VALOR</t>
  </si>
  <si>
    <t>CONCEPTO</t>
  </si>
  <si>
    <t>Pago de alojamiento servidor</t>
  </si>
  <si>
    <t>Punto de Equilibrio</t>
  </si>
  <si>
    <t>Ingresos Totales</t>
  </si>
  <si>
    <t xml:space="preserve">Costos Variables </t>
  </si>
  <si>
    <t>PE capacidad instalada</t>
  </si>
  <si>
    <t>Sueldos</t>
  </si>
  <si>
    <t>Depreciacion</t>
  </si>
  <si>
    <t>Capacidad Instalada</t>
  </si>
  <si>
    <t>Capacidad a Producir</t>
  </si>
  <si>
    <t>Precio Unitario Promedio</t>
  </si>
  <si>
    <t>Costo Variable Unitario</t>
  </si>
  <si>
    <t>Costos Totales</t>
  </si>
  <si>
    <t>Pasivo Corriente</t>
  </si>
  <si>
    <t>Total anual</t>
  </si>
  <si>
    <t>Total Arriendo Anual</t>
  </si>
  <si>
    <t>Arriendo Espacio ( 1 mes)</t>
  </si>
  <si>
    <t>Agua</t>
  </si>
  <si>
    <t>Luz</t>
  </si>
  <si>
    <t>Teléfono</t>
  </si>
  <si>
    <t>Aseo</t>
  </si>
  <si>
    <t>Gas</t>
  </si>
  <si>
    <t>Depreciacion mensual</t>
  </si>
  <si>
    <t>Depreciacion anual</t>
  </si>
  <si>
    <t>Descripcion</t>
  </si>
  <si>
    <t>Total Servicios Digitales Anual</t>
  </si>
  <si>
    <t>ACTIVOS</t>
  </si>
  <si>
    <t>PASIVOS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</si>
</sst>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&quot;$&quot;#,##0.00"/>
    <numFmt numFmtId="165" formatCode="0.0%"/>
    <numFmt numFmtId="166" formatCode="[$$-240A]\ #,##0.00"/>
    <numFmt numFmtId="167" formatCode="[$$-240A]\ #,##0"/>
    <numFmt numFmtId="168" formatCode="&quot;$&quot;#,##0"/>
    <numFmt numFmtId="169" formatCode="0.0000"/>
    <numFmt numFmtId="170" formatCode="_-[$$-240A]\ * #,##0.00_-;\-[$$-240A]\ * #,##0.00_-;_-[$$-240A]\ * &quot;-&quot;??_-;_-@_-"/>
    <numFmt numFmtId="171" formatCode="_-[$$-240A]\ * #,##0.000_-;\-[$$-240A]\ * #,##0.000_-;_-[$$-240A]\ * &quot;-&quot;??_-;_-@_-"/>
    <numFmt numFmtId="172" formatCode="_-[$$-240A]\ * #,##0.000_-;\-[$$-240A]\ * #,##0.000_-;_-[$$-240A]\ * &quot;-&quot;???_-;_-@_-"/>
    <numFmt numFmtId="173" formatCode="_-[$$-240A]\ * #,##0_-;\-[$$-240A]\ * #,##0_-;_-[$$-240A]\ * &quot;-&quot;??_-;_-@_-"/>
    <numFmt numFmtId="174" formatCode="0.0"/>
  </numFmts>
  <fonts count="37">
    <font>
      <sz val="10"/>
      <color rgb="FF000000"/>
      <name val="Arial"/>
    </font>
    <font>
      <b/>
      <sz val="8"/>
      <name val="Libre Baskerville"/>
    </font>
    <font>
      <b/>
      <sz val="10"/>
      <name val="Libre Baskerville"/>
    </font>
    <font>
      <sz val="10"/>
      <name val="Libre Baskerville"/>
    </font>
    <font>
      <sz val="10"/>
      <name val="Arial"/>
    </font>
    <font>
      <sz val="8"/>
      <color rgb="FF000000"/>
      <name val="'Libre Baskerville'"/>
    </font>
    <font>
      <b/>
      <sz val="10"/>
      <name val="Arial"/>
    </font>
    <font>
      <sz val="8"/>
      <name val="Libre Baskerville"/>
    </font>
    <font>
      <b/>
      <sz val="8"/>
      <color rgb="FF000000"/>
      <name val="'Libre Baskerville'"/>
    </font>
    <font>
      <u/>
      <sz val="10"/>
      <color rgb="FF0000FF"/>
      <name val="Arial"/>
    </font>
    <font>
      <sz val="7"/>
      <name val="Libre Baskerville"/>
    </font>
    <font>
      <b/>
      <sz val="7"/>
      <name val="Libre Baskerville"/>
    </font>
    <font>
      <b/>
      <sz val="8"/>
      <color rgb="FF000000"/>
      <name val="Libre Baskerville"/>
    </font>
    <font>
      <sz val="8"/>
      <color rgb="FF000000"/>
      <name val="Libre Baskerville"/>
    </font>
    <font>
      <b/>
      <sz val="8"/>
      <color rgb="FFFF0000"/>
      <name val="'Libre Baskerville'"/>
    </font>
    <font>
      <sz val="11"/>
      <color rgb="FF000000"/>
      <name val="Inconsolata"/>
    </font>
    <font>
      <sz val="7"/>
      <name val="Arial"/>
    </font>
    <font>
      <sz val="10"/>
      <color rgb="FF000000"/>
      <name val="Arial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8"/>
      <color theme="1"/>
      <name val="'Libre Baskerville'"/>
    </font>
    <font>
      <b/>
      <sz val="10"/>
      <name val="Arial"/>
      <family val="2"/>
    </font>
    <font>
      <sz val="10"/>
      <color theme="1"/>
      <name val="Arial"/>
    </font>
    <font>
      <sz val="11"/>
      <color rgb="FFFF0000"/>
      <name val="Calibri"/>
      <family val="2"/>
      <scheme val="minor"/>
    </font>
    <font>
      <b/>
      <sz val="11"/>
      <color rgb="FF3F3F3F"/>
      <name val="Libre Baskerville"/>
    </font>
    <font>
      <b/>
      <sz val="9"/>
      <color rgb="FF3F3F3F"/>
      <name val="Libre Baskerville"/>
    </font>
    <font>
      <sz val="9"/>
      <name val="Libre Baskerville"/>
    </font>
    <font>
      <b/>
      <sz val="9"/>
      <name val="Libre Baskerville"/>
    </font>
    <font>
      <b/>
      <sz val="10"/>
      <color rgb="FFFF0000"/>
      <name val="Arial"/>
      <family val="2"/>
    </font>
    <font>
      <b/>
      <sz val="9"/>
      <color theme="0"/>
      <name val="Calibri"/>
      <family val="2"/>
      <scheme val="minor"/>
    </font>
    <font>
      <b/>
      <sz val="9"/>
      <color rgb="FF000000"/>
      <name val="Libre Baskerville"/>
    </font>
    <font>
      <b/>
      <sz val="9"/>
      <color rgb="FF000000"/>
      <name val="Arial"/>
      <family val="2"/>
    </font>
    <font>
      <sz val="9"/>
      <color rgb="FF000000"/>
      <name val="Libre Baskerville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theme="0" tint="-0.14999847407452621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3F3F3F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7">
    <xf numFmtId="0" fontId="0" fillId="0" borderId="0"/>
    <xf numFmtId="44" fontId="17" fillId="0" borderId="0" applyFont="0" applyFill="0" applyBorder="0" applyAlignment="0" applyProtection="0"/>
    <xf numFmtId="0" fontId="18" fillId="3" borderId="11" applyNumberFormat="0" applyAlignment="0" applyProtection="0"/>
    <xf numFmtId="0" fontId="19" fillId="4" borderId="12" applyNumberFormat="0" applyAlignment="0" applyProtection="0"/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34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1" fillId="0" borderId="1" xfId="0" applyFont="1" applyBorder="1" applyAlignment="1"/>
    <xf numFmtId="0" fontId="6" fillId="0" borderId="0" xfId="0" applyFont="1" applyAlignment="1"/>
    <xf numFmtId="0" fontId="7" fillId="0" borderId="1" xfId="0" applyFont="1" applyBorder="1" applyAlignment="1"/>
    <xf numFmtId="164" fontId="7" fillId="0" borderId="1" xfId="0" applyNumberFormat="1" applyFont="1" applyBorder="1" applyAlignment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0" fontId="4" fillId="0" borderId="0" xfId="0" applyFont="1" applyAlignment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164" fontId="1" fillId="0" borderId="1" xfId="0" applyNumberFormat="1" applyFont="1" applyBorder="1"/>
    <xf numFmtId="0" fontId="7" fillId="0" borderId="1" xfId="0" applyFont="1" applyBorder="1"/>
    <xf numFmtId="164" fontId="7" fillId="0" borderId="1" xfId="0" applyNumberFormat="1" applyFont="1" applyBorder="1"/>
    <xf numFmtId="164" fontId="3" fillId="0" borderId="0" xfId="0" applyNumberFormat="1" applyFont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64" fontId="3" fillId="0" borderId="0" xfId="0" applyNumberFormat="1" applyFont="1"/>
    <xf numFmtId="164" fontId="5" fillId="0" borderId="1" xfId="0" applyNumberFormat="1" applyFont="1" applyBorder="1" applyAlignment="1">
      <alignment horizontal="right"/>
    </xf>
    <xf numFmtId="0" fontId="8" fillId="0" borderId="1" xfId="0" applyFont="1" applyBorder="1" applyAlignment="1"/>
    <xf numFmtId="164" fontId="8" fillId="0" borderId="1" xfId="0" applyNumberFormat="1" applyFont="1" applyBorder="1" applyAlignment="1">
      <alignment horizontal="right"/>
    </xf>
    <xf numFmtId="164" fontId="4" fillId="0" borderId="0" xfId="0" applyNumberFormat="1" applyFont="1"/>
    <xf numFmtId="0" fontId="8" fillId="0" borderId="0" xfId="0" applyFont="1" applyAlignment="1"/>
    <xf numFmtId="0" fontId="10" fillId="0" borderId="1" xfId="0" applyFont="1" applyBorder="1"/>
    <xf numFmtId="164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2" xfId="0" applyFont="1" applyBorder="1" applyAlignment="1"/>
    <xf numFmtId="0" fontId="11" fillId="0" borderId="2" xfId="0" applyFont="1" applyBorder="1" applyAlignment="1"/>
    <xf numFmtId="165" fontId="12" fillId="0" borderId="2" xfId="0" applyNumberFormat="1" applyFont="1" applyBorder="1" applyAlignment="1">
      <alignment horizontal="right"/>
    </xf>
    <xf numFmtId="165" fontId="11" fillId="0" borderId="2" xfId="0" applyNumberFormat="1" applyFont="1" applyBorder="1" applyAlignment="1">
      <alignment horizontal="right"/>
    </xf>
    <xf numFmtId="164" fontId="11" fillId="0" borderId="4" xfId="0" applyNumberFormat="1" applyFont="1" applyBorder="1" applyAlignment="1"/>
    <xf numFmtId="164" fontId="8" fillId="0" borderId="4" xfId="0" applyNumberFormat="1" applyFont="1" applyBorder="1" applyAlignment="1">
      <alignment horizontal="right"/>
    </xf>
    <xf numFmtId="165" fontId="8" fillId="0" borderId="2" xfId="0" applyNumberFormat="1" applyFont="1" applyBorder="1" applyAlignment="1">
      <alignment horizontal="right"/>
    </xf>
    <xf numFmtId="164" fontId="8" fillId="0" borderId="3" xfId="0" applyNumberFormat="1" applyFont="1" applyBorder="1" applyAlignment="1">
      <alignment horizontal="right"/>
    </xf>
    <xf numFmtId="164" fontId="11" fillId="0" borderId="3" xfId="0" applyNumberFormat="1" applyFont="1" applyBorder="1" applyAlignment="1"/>
    <xf numFmtId="164" fontId="11" fillId="0" borderId="0" xfId="0" applyNumberFormat="1" applyFont="1" applyAlignment="1"/>
    <xf numFmtId="0" fontId="10" fillId="0" borderId="2" xfId="0" applyFont="1" applyBorder="1" applyAlignment="1"/>
    <xf numFmtId="165" fontId="10" fillId="0" borderId="2" xfId="0" applyNumberFormat="1" applyFont="1" applyBorder="1" applyAlignment="1">
      <alignment horizontal="right"/>
    </xf>
    <xf numFmtId="164" fontId="10" fillId="0" borderId="4" xfId="0" applyNumberFormat="1" applyFont="1" applyBorder="1" applyAlignment="1"/>
    <xf numFmtId="164" fontId="10" fillId="0" borderId="4" xfId="0" applyNumberFormat="1" applyFont="1" applyBorder="1"/>
    <xf numFmtId="164" fontId="4" fillId="0" borderId="0" xfId="0" applyNumberFormat="1" applyFont="1"/>
    <xf numFmtId="164" fontId="8" fillId="0" borderId="0" xfId="0" applyNumberFormat="1" applyFont="1" applyAlignment="1">
      <alignment horizontal="right"/>
    </xf>
    <xf numFmtId="164" fontId="10" fillId="0" borderId="3" xfId="0" applyNumberFormat="1" applyFont="1" applyBorder="1"/>
    <xf numFmtId="165" fontId="13" fillId="0" borderId="2" xfId="0" applyNumberFormat="1" applyFont="1" applyBorder="1" applyAlignment="1">
      <alignment horizontal="right"/>
    </xf>
    <xf numFmtId="164" fontId="10" fillId="0" borderId="0" xfId="0" applyNumberFormat="1" applyFont="1"/>
    <xf numFmtId="164" fontId="5" fillId="0" borderId="4" xfId="0" applyNumberFormat="1" applyFont="1" applyBorder="1" applyAlignment="1">
      <alignment horizontal="right"/>
    </xf>
    <xf numFmtId="0" fontId="5" fillId="0" borderId="2" xfId="0" applyFont="1" applyBorder="1" applyAlignment="1"/>
    <xf numFmtId="165" fontId="5" fillId="0" borderId="2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4" fontId="10" fillId="0" borderId="3" xfId="0" applyNumberFormat="1" applyFont="1" applyBorder="1" applyAlignment="1"/>
    <xf numFmtId="164" fontId="10" fillId="0" borderId="0" xfId="0" applyNumberFormat="1" applyFont="1" applyAlignment="1"/>
    <xf numFmtId="164" fontId="14" fillId="0" borderId="0" xfId="0" applyNumberFormat="1" applyFont="1" applyAlignment="1">
      <alignment horizontal="right"/>
    </xf>
    <xf numFmtId="0" fontId="5" fillId="0" borderId="2" xfId="0" applyFont="1" applyBorder="1" applyAlignment="1"/>
    <xf numFmtId="164" fontId="11" fillId="0" borderId="2" xfId="0" applyNumberFormat="1" applyFont="1" applyBorder="1"/>
    <xf numFmtId="164" fontId="11" fillId="0" borderId="4" xfId="0" applyNumberFormat="1" applyFont="1" applyBorder="1"/>
    <xf numFmtId="164" fontId="11" fillId="0" borderId="3" xfId="0" applyNumberFormat="1" applyFont="1" applyBorder="1"/>
    <xf numFmtId="164" fontId="11" fillId="0" borderId="0" xfId="0" applyNumberFormat="1" applyFont="1"/>
    <xf numFmtId="3" fontId="4" fillId="0" borderId="0" xfId="0" applyNumberFormat="1" applyFont="1"/>
    <xf numFmtId="165" fontId="11" fillId="0" borderId="2" xfId="0" applyNumberFormat="1" applyFont="1" applyBorder="1" applyAlignment="1"/>
    <xf numFmtId="165" fontId="10" fillId="0" borderId="2" xfId="0" applyNumberFormat="1" applyFont="1" applyBorder="1" applyAlignment="1"/>
    <xf numFmtId="3" fontId="4" fillId="0" borderId="0" xfId="0" applyNumberFormat="1" applyFont="1" applyAlignment="1"/>
    <xf numFmtId="164" fontId="4" fillId="0" borderId="0" xfId="0" applyNumberFormat="1" applyFont="1" applyAlignment="1"/>
    <xf numFmtId="4" fontId="15" fillId="2" borderId="0" xfId="0" applyNumberFormat="1" applyFont="1" applyFill="1"/>
    <xf numFmtId="165" fontId="8" fillId="0" borderId="8" xfId="0" applyNumberFormat="1" applyFont="1" applyBorder="1" applyAlignment="1">
      <alignment horizontal="right"/>
    </xf>
    <xf numFmtId="164" fontId="15" fillId="2" borderId="0" xfId="0" applyNumberFormat="1" applyFont="1" applyFill="1"/>
    <xf numFmtId="164" fontId="7" fillId="0" borderId="4" xfId="0" applyNumberFormat="1" applyFont="1" applyBorder="1"/>
    <xf numFmtId="164" fontId="7" fillId="0" borderId="4" xfId="0" applyNumberFormat="1" applyFont="1" applyBorder="1" applyAlignment="1"/>
    <xf numFmtId="0" fontId="15" fillId="2" borderId="0" xfId="0" applyFont="1" applyFill="1"/>
    <xf numFmtId="164" fontId="1" fillId="0" borderId="4" xfId="0" applyNumberFormat="1" applyFont="1" applyBorder="1"/>
    <xf numFmtId="9" fontId="4" fillId="0" borderId="0" xfId="0" applyNumberFormat="1" applyFont="1"/>
    <xf numFmtId="165" fontId="10" fillId="0" borderId="8" xfId="0" applyNumberFormat="1" applyFont="1" applyBorder="1" applyAlignment="1"/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5" fontId="11" fillId="0" borderId="2" xfId="0" applyNumberFormat="1" applyFont="1" applyBorder="1"/>
    <xf numFmtId="0" fontId="11" fillId="0" borderId="1" xfId="0" applyFont="1" applyBorder="1" applyAlignment="1"/>
    <xf numFmtId="164" fontId="11" fillId="0" borderId="4" xfId="0" applyNumberFormat="1" applyFont="1" applyBorder="1"/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4" fillId="0" borderId="10" xfId="0" applyFont="1" applyBorder="1" applyAlignment="1">
      <alignment vertical="top"/>
    </xf>
    <xf numFmtId="0" fontId="10" fillId="0" borderId="4" xfId="0" applyFont="1" applyBorder="1"/>
    <xf numFmtId="165" fontId="16" fillId="0" borderId="2" xfId="0" applyNumberFormat="1" applyFont="1" applyBorder="1" applyAlignment="1"/>
    <xf numFmtId="165" fontId="10" fillId="0" borderId="2" xfId="0" applyNumberFormat="1" applyFont="1" applyBorder="1"/>
    <xf numFmtId="164" fontId="10" fillId="0" borderId="4" xfId="0" applyNumberFormat="1" applyFont="1" applyBorder="1"/>
    <xf numFmtId="0" fontId="1" fillId="0" borderId="1" xfId="0" applyFont="1" applyBorder="1" applyAlignment="1">
      <alignment horizontal="right"/>
    </xf>
    <xf numFmtId="164" fontId="10" fillId="0" borderId="3" xfId="0" applyNumberFormat="1" applyFont="1" applyBorder="1"/>
    <xf numFmtId="0" fontId="1" fillId="0" borderId="1" xfId="0" applyFont="1" applyBorder="1"/>
    <xf numFmtId="0" fontId="7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20" fillId="0" borderId="0" xfId="0" applyFont="1" applyAlignment="1"/>
    <xf numFmtId="10" fontId="0" fillId="0" borderId="0" xfId="0" applyNumberFormat="1" applyFont="1" applyAlignment="1"/>
    <xf numFmtId="0" fontId="21" fillId="0" borderId="0" xfId="0" applyFont="1" applyAlignment="1"/>
    <xf numFmtId="0" fontId="0" fillId="0" borderId="13" xfId="0" applyFont="1" applyBorder="1" applyAlignment="1"/>
    <xf numFmtId="0" fontId="8" fillId="0" borderId="13" xfId="0" applyFont="1" applyBorder="1" applyAlignment="1"/>
    <xf numFmtId="0" fontId="5" fillId="0" borderId="13" xfId="0" applyFont="1" applyBorder="1" applyAlignment="1"/>
    <xf numFmtId="4" fontId="0" fillId="0" borderId="0" xfId="0" applyNumberFormat="1" applyFont="1" applyAlignment="1"/>
    <xf numFmtId="0" fontId="20" fillId="0" borderId="13" xfId="0" applyFont="1" applyBorder="1" applyAlignment="1">
      <alignment wrapText="1"/>
    </xf>
    <xf numFmtId="0" fontId="20" fillId="0" borderId="13" xfId="0" applyFont="1" applyBorder="1" applyAlignment="1"/>
    <xf numFmtId="0" fontId="22" fillId="0" borderId="13" xfId="0" applyFont="1" applyBorder="1" applyAlignment="1"/>
    <xf numFmtId="0" fontId="9" fillId="0" borderId="0" xfId="0" applyFont="1" applyAlignment="1">
      <alignment wrapText="1"/>
    </xf>
    <xf numFmtId="0" fontId="13" fillId="0" borderId="0" xfId="0" applyFont="1" applyAlignment="1"/>
    <xf numFmtId="167" fontId="0" fillId="0" borderId="13" xfId="1" applyNumberFormat="1" applyFont="1" applyBorder="1" applyAlignment="1"/>
    <xf numFmtId="0" fontId="19" fillId="4" borderId="12" xfId="3" applyAlignment="1">
      <alignment horizontal="center" wrapText="1"/>
    </xf>
    <xf numFmtId="164" fontId="7" fillId="0" borderId="13" xfId="0" applyNumberFormat="1" applyFont="1" applyBorder="1"/>
    <xf numFmtId="164" fontId="1" fillId="0" borderId="13" xfId="0" applyNumberFormat="1" applyFont="1" applyBorder="1"/>
    <xf numFmtId="0" fontId="22" fillId="0" borderId="13" xfId="0" applyFont="1" applyBorder="1" applyAlignment="1">
      <alignment horizontal="center"/>
    </xf>
    <xf numFmtId="0" fontId="19" fillId="4" borderId="12" xfId="3" applyAlignment="1">
      <alignment horizontal="center"/>
    </xf>
    <xf numFmtId="166" fontId="10" fillId="0" borderId="1" xfId="0" applyNumberFormat="1" applyFont="1" applyBorder="1" applyAlignment="1">
      <alignment horizontal="right"/>
    </xf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5" xfId="0" applyFont="1" applyBorder="1" applyAlignment="1"/>
    <xf numFmtId="0" fontId="7" fillId="0" borderId="13" xfId="0" applyFont="1" applyFill="1" applyBorder="1" applyAlignment="1"/>
    <xf numFmtId="168" fontId="1" fillId="0" borderId="1" xfId="0" applyNumberFormat="1" applyFont="1" applyBorder="1"/>
    <xf numFmtId="168" fontId="7" fillId="0" borderId="1" xfId="0" applyNumberFormat="1" applyFont="1" applyBorder="1"/>
    <xf numFmtId="168" fontId="7" fillId="0" borderId="1" xfId="0" applyNumberFormat="1" applyFont="1" applyBorder="1" applyAlignment="1"/>
    <xf numFmtId="168" fontId="7" fillId="0" borderId="5" xfId="0" applyNumberFormat="1" applyFont="1" applyBorder="1" applyAlignment="1"/>
    <xf numFmtId="168" fontId="13" fillId="0" borderId="13" xfId="0" applyNumberFormat="1" applyFont="1" applyBorder="1" applyAlignment="1"/>
    <xf numFmtId="0" fontId="19" fillId="4" borderId="12" xfId="3" applyAlignment="1"/>
    <xf numFmtId="168" fontId="19" fillId="4" borderId="12" xfId="3" applyNumberFormat="1"/>
    <xf numFmtId="164" fontId="8" fillId="0" borderId="13" xfId="0" applyNumberFormat="1" applyFont="1" applyBorder="1" applyAlignment="1">
      <alignment horizontal="center"/>
    </xf>
    <xf numFmtId="0" fontId="22" fillId="0" borderId="0" xfId="0" applyFont="1" applyAlignment="1"/>
    <xf numFmtId="164" fontId="24" fillId="0" borderId="0" xfId="0" applyNumberFormat="1" applyFont="1"/>
    <xf numFmtId="166" fontId="8" fillId="0" borderId="13" xfId="0" applyNumberFormat="1" applyFont="1" applyBorder="1" applyAlignment="1">
      <alignment horizontal="right"/>
    </xf>
    <xf numFmtId="166" fontId="12" fillId="0" borderId="4" xfId="0" applyNumberFormat="1" applyFont="1" applyBorder="1" applyAlignment="1">
      <alignment horizontal="right"/>
    </xf>
    <xf numFmtId="166" fontId="8" fillId="0" borderId="4" xfId="0" applyNumberFormat="1" applyFont="1" applyBorder="1" applyAlignment="1">
      <alignment horizontal="right"/>
    </xf>
    <xf numFmtId="166" fontId="12" fillId="0" borderId="2" xfId="0" applyNumberFormat="1" applyFont="1" applyBorder="1" applyAlignment="1">
      <alignment horizontal="right"/>
    </xf>
    <xf numFmtId="166" fontId="8" fillId="0" borderId="3" xfId="0" applyNumberFormat="1" applyFont="1" applyBorder="1" applyAlignment="1">
      <alignment horizontal="right"/>
    </xf>
    <xf numFmtId="166" fontId="5" fillId="0" borderId="13" xfId="0" applyNumberFormat="1" applyFont="1" applyBorder="1" applyAlignment="1">
      <alignment horizontal="right"/>
    </xf>
    <xf numFmtId="166" fontId="13" fillId="0" borderId="4" xfId="0" applyNumberFormat="1" applyFont="1" applyBorder="1" applyAlignment="1">
      <alignment horizontal="right"/>
    </xf>
    <xf numFmtId="166" fontId="5" fillId="0" borderId="4" xfId="0" applyNumberFormat="1" applyFont="1" applyBorder="1" applyAlignment="1">
      <alignment horizontal="right"/>
    </xf>
    <xf numFmtId="166" fontId="13" fillId="0" borderId="2" xfId="0" applyNumberFormat="1" applyFont="1" applyBorder="1" applyAlignment="1">
      <alignment horizontal="right"/>
    </xf>
    <xf numFmtId="166" fontId="5" fillId="0" borderId="3" xfId="0" applyNumberFormat="1" applyFont="1" applyBorder="1" applyAlignment="1">
      <alignment horizontal="right"/>
    </xf>
    <xf numFmtId="166" fontId="14" fillId="0" borderId="13" xfId="0" applyNumberFormat="1" applyFont="1" applyBorder="1" applyAlignment="1">
      <alignment horizontal="right"/>
    </xf>
    <xf numFmtId="166" fontId="8" fillId="0" borderId="13" xfId="0" applyNumberFormat="1" applyFont="1" applyBorder="1" applyAlignment="1"/>
    <xf numFmtId="166" fontId="5" fillId="0" borderId="13" xfId="0" applyNumberFormat="1" applyFont="1" applyBorder="1" applyAlignment="1"/>
    <xf numFmtId="166" fontId="23" fillId="0" borderId="4" xfId="0" applyNumberFormat="1" applyFont="1" applyBorder="1" applyAlignment="1">
      <alignment horizontal="right"/>
    </xf>
    <xf numFmtId="0" fontId="22" fillId="0" borderId="0" xfId="0" applyFont="1" applyAlignment="1">
      <alignment horizontal="center"/>
    </xf>
    <xf numFmtId="9" fontId="0" fillId="0" borderId="0" xfId="4" applyFont="1" applyAlignment="1"/>
    <xf numFmtId="165" fontId="0" fillId="0" borderId="0" xfId="4" applyNumberFormat="1" applyFont="1" applyAlignment="1"/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8" fontId="4" fillId="0" borderId="0" xfId="0" applyNumberFormat="1" applyFont="1"/>
    <xf numFmtId="168" fontId="11" fillId="0" borderId="4" xfId="0" applyNumberFormat="1" applyFont="1" applyBorder="1" applyAlignment="1"/>
    <xf numFmtId="168" fontId="10" fillId="0" borderId="4" xfId="0" applyNumberFormat="1" applyFont="1" applyBorder="1"/>
    <xf numFmtId="168" fontId="10" fillId="0" borderId="4" xfId="0" applyNumberFormat="1" applyFont="1" applyBorder="1" applyAlignment="1"/>
    <xf numFmtId="0" fontId="18" fillId="3" borderId="11" xfId="2" applyAlignment="1"/>
    <xf numFmtId="164" fontId="18" fillId="3" borderId="11" xfId="2" applyNumberFormat="1"/>
    <xf numFmtId="168" fontId="18" fillId="3" borderId="11" xfId="2" applyNumberFormat="1"/>
    <xf numFmtId="0" fontId="18" fillId="3" borderId="11" xfId="2"/>
    <xf numFmtId="166" fontId="22" fillId="0" borderId="0" xfId="0" applyNumberFormat="1" applyFont="1" applyAlignment="1"/>
    <xf numFmtId="166" fontId="0" fillId="0" borderId="0" xfId="0" applyNumberFormat="1" applyFont="1" applyAlignment="1"/>
    <xf numFmtId="164" fontId="8" fillId="0" borderId="16" xfId="0" applyNumberFormat="1" applyFont="1" applyBorder="1" applyAlignment="1">
      <alignment horizontal="right"/>
    </xf>
    <xf numFmtId="164" fontId="5" fillId="0" borderId="16" xfId="0" applyNumberFormat="1" applyFont="1" applyBorder="1" applyAlignment="1">
      <alignment horizontal="right"/>
    </xf>
    <xf numFmtId="164" fontId="7" fillId="0" borderId="16" xfId="0" applyNumberFormat="1" applyFont="1" applyBorder="1"/>
    <xf numFmtId="164" fontId="7" fillId="0" borderId="16" xfId="0" applyNumberFormat="1" applyFont="1" applyBorder="1" applyAlignment="1"/>
    <xf numFmtId="164" fontId="1" fillId="0" borderId="16" xfId="0" applyNumberFormat="1" applyFont="1" applyBorder="1"/>
    <xf numFmtId="164" fontId="11" fillId="0" borderId="16" xfId="0" applyNumberFormat="1" applyFont="1" applyBorder="1"/>
    <xf numFmtId="0" fontId="10" fillId="0" borderId="16" xfId="0" applyFont="1" applyBorder="1"/>
    <xf numFmtId="164" fontId="10" fillId="0" borderId="16" xfId="0" applyNumberFormat="1" applyFont="1" applyBorder="1"/>
    <xf numFmtId="164" fontId="10" fillId="0" borderId="16" xfId="0" applyNumberFormat="1" applyFont="1" applyBorder="1" applyAlignment="1"/>
    <xf numFmtId="167" fontId="0" fillId="0" borderId="0" xfId="0" applyNumberFormat="1" applyFont="1" applyAlignment="1"/>
    <xf numFmtId="10" fontId="0" fillId="0" borderId="0" xfId="4" applyNumberFormat="1" applyFont="1" applyAlignment="1"/>
    <xf numFmtId="169" fontId="0" fillId="0" borderId="0" xfId="4" applyNumberFormat="1" applyFont="1" applyAlignment="1"/>
    <xf numFmtId="170" fontId="0" fillId="0" borderId="0" xfId="0" applyNumberFormat="1" applyFont="1" applyAlignment="1">
      <alignment horizontal="center"/>
    </xf>
    <xf numFmtId="171" fontId="0" fillId="0" borderId="0" xfId="0" applyNumberFormat="1" applyFont="1" applyAlignment="1">
      <alignment horizontal="center"/>
    </xf>
    <xf numFmtId="172" fontId="0" fillId="0" borderId="0" xfId="0" applyNumberFormat="1" applyFont="1" applyAlignment="1">
      <alignment horizontal="center"/>
    </xf>
    <xf numFmtId="43" fontId="25" fillId="5" borderId="0" xfId="5" applyFont="1" applyFill="1" applyAlignment="1">
      <alignment horizontal="center"/>
    </xf>
    <xf numFmtId="170" fontId="0" fillId="0" borderId="0" xfId="1" applyNumberFormat="1" applyFont="1" applyAlignment="1">
      <alignment horizontal="center"/>
    </xf>
    <xf numFmtId="170" fontId="19" fillId="4" borderId="12" xfId="1" applyNumberFormat="1" applyFont="1" applyFill="1" applyBorder="1" applyAlignment="1"/>
    <xf numFmtId="173" fontId="19" fillId="4" borderId="12" xfId="1" applyNumberFormat="1" applyFont="1" applyFill="1" applyBorder="1" applyAlignment="1"/>
    <xf numFmtId="2" fontId="0" fillId="0" borderId="0" xfId="0" applyNumberFormat="1" applyFont="1" applyAlignment="1"/>
    <xf numFmtId="174" fontId="0" fillId="0" borderId="0" xfId="0" applyNumberFormat="1" applyFont="1" applyAlignment="1"/>
    <xf numFmtId="1" fontId="0" fillId="0" borderId="0" xfId="0" applyNumberFormat="1" applyFont="1" applyAlignment="1"/>
    <xf numFmtId="170" fontId="0" fillId="0" borderId="0" xfId="1" applyNumberFormat="1" applyFont="1" applyAlignment="1"/>
    <xf numFmtId="0" fontId="20" fillId="0" borderId="0" xfId="0" applyFont="1" applyAlignment="1">
      <alignment horizontal="center"/>
    </xf>
    <xf numFmtId="0" fontId="20" fillId="0" borderId="0" xfId="0" applyFont="1" applyBorder="1" applyAlignment="1"/>
    <xf numFmtId="0" fontId="20" fillId="0" borderId="25" xfId="0" applyFont="1" applyBorder="1" applyAlignment="1"/>
    <xf numFmtId="0" fontId="0" fillId="0" borderId="0" xfId="0" applyFont="1" applyBorder="1" applyAlignment="1"/>
    <xf numFmtId="170" fontId="0" fillId="0" borderId="0" xfId="1" applyNumberFormat="1" applyFont="1" applyBorder="1" applyAlignment="1"/>
    <xf numFmtId="170" fontId="0" fillId="0" borderId="25" xfId="1" applyNumberFormat="1" applyFont="1" applyBorder="1" applyAlignment="1"/>
    <xf numFmtId="9" fontId="0" fillId="0" borderId="0" xfId="4" applyFont="1" applyBorder="1" applyAlignment="1"/>
    <xf numFmtId="9" fontId="0" fillId="0" borderId="25" xfId="4" applyFont="1" applyBorder="1" applyAlignment="1"/>
    <xf numFmtId="0" fontId="0" fillId="0" borderId="25" xfId="0" applyFont="1" applyBorder="1" applyAlignment="1"/>
    <xf numFmtId="170" fontId="0" fillId="0" borderId="0" xfId="0" applyNumberFormat="1" applyFont="1" applyBorder="1" applyAlignment="1"/>
    <xf numFmtId="170" fontId="0" fillId="0" borderId="25" xfId="0" applyNumberFormat="1" applyFont="1" applyBorder="1" applyAlignment="1"/>
    <xf numFmtId="170" fontId="26" fillId="0" borderId="28" xfId="6" applyNumberFormat="1" applyBorder="1" applyAlignment="1"/>
    <xf numFmtId="170" fontId="26" fillId="0" borderId="29" xfId="6" applyNumberFormat="1" applyBorder="1" applyAlignment="1"/>
    <xf numFmtId="9" fontId="4" fillId="0" borderId="0" xfId="4" applyFont="1"/>
    <xf numFmtId="164" fontId="0" fillId="0" borderId="0" xfId="0" applyNumberFormat="1" applyFont="1" applyAlignment="1"/>
    <xf numFmtId="0" fontId="27" fillId="3" borderId="13" xfId="2" applyFont="1" applyBorder="1"/>
    <xf numFmtId="0" fontId="27" fillId="3" borderId="13" xfId="2" applyFont="1" applyBorder="1" applyAlignment="1"/>
    <xf numFmtId="0" fontId="18" fillId="3" borderId="13" xfId="2" applyBorder="1" applyAlignment="1"/>
    <xf numFmtId="0" fontId="7" fillId="0" borderId="13" xfId="0" applyFont="1" applyBorder="1" applyAlignment="1"/>
    <xf numFmtId="165" fontId="12" fillId="0" borderId="4" xfId="0" applyNumberFormat="1" applyFont="1" applyBorder="1" applyAlignment="1">
      <alignment horizontal="right"/>
    </xf>
    <xf numFmtId="165" fontId="13" fillId="0" borderId="4" xfId="0" applyNumberFormat="1" applyFont="1" applyBorder="1" applyAlignment="1">
      <alignment horizontal="right"/>
    </xf>
    <xf numFmtId="165" fontId="12" fillId="0" borderId="31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164" fontId="7" fillId="0" borderId="13" xfId="0" applyNumberFormat="1" applyFont="1" applyBorder="1" applyAlignment="1"/>
    <xf numFmtId="0" fontId="1" fillId="0" borderId="13" xfId="0" applyFont="1" applyBorder="1" applyAlignment="1"/>
    <xf numFmtId="0" fontId="28" fillId="3" borderId="13" xfId="2" applyFont="1" applyBorder="1" applyAlignment="1"/>
    <xf numFmtId="164" fontId="0" fillId="0" borderId="0" xfId="0" applyNumberFormat="1" applyFont="1" applyBorder="1" applyAlignment="1"/>
    <xf numFmtId="0" fontId="27" fillId="3" borderId="30" xfId="2" applyFont="1" applyBorder="1" applyAlignment="1"/>
    <xf numFmtId="0" fontId="12" fillId="0" borderId="0" xfId="0" applyFont="1" applyBorder="1" applyAlignment="1"/>
    <xf numFmtId="165" fontId="22" fillId="0" borderId="0" xfId="0" applyNumberFormat="1" applyFont="1" applyBorder="1" applyAlignment="1"/>
    <xf numFmtId="164" fontId="22" fillId="0" borderId="0" xfId="0" applyNumberFormat="1" applyFont="1" applyBorder="1" applyAlignment="1"/>
    <xf numFmtId="4" fontId="0" fillId="0" borderId="0" xfId="0" applyNumberFormat="1" applyFont="1" applyBorder="1" applyAlignment="1"/>
    <xf numFmtId="165" fontId="0" fillId="0" borderId="28" xfId="0" applyNumberFormat="1" applyFont="1" applyBorder="1" applyAlignment="1"/>
    <xf numFmtId="164" fontId="0" fillId="0" borderId="28" xfId="0" applyNumberFormat="1" applyFont="1" applyBorder="1" applyAlignment="1"/>
    <xf numFmtId="0" fontId="7" fillId="0" borderId="28" xfId="0" applyFont="1" applyFill="1" applyBorder="1" applyAlignment="1"/>
    <xf numFmtId="0" fontId="30" fillId="0" borderId="0" xfId="0" applyFont="1" applyBorder="1" applyAlignment="1"/>
    <xf numFmtId="165" fontId="0" fillId="0" borderId="0" xfId="0" applyNumberFormat="1" applyFont="1" applyAlignment="1"/>
    <xf numFmtId="0" fontId="1" fillId="0" borderId="5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170" fontId="12" fillId="0" borderId="13" xfId="0" applyNumberFormat="1" applyFont="1" applyBorder="1" applyAlignment="1"/>
    <xf numFmtId="170" fontId="7" fillId="0" borderId="1" xfId="0" applyNumberFormat="1" applyFont="1" applyBorder="1" applyAlignment="1">
      <alignment horizontal="center"/>
    </xf>
    <xf numFmtId="170" fontId="7" fillId="0" borderId="1" xfId="0" applyNumberFormat="1" applyFont="1" applyBorder="1" applyAlignment="1">
      <alignment horizontal="right"/>
    </xf>
    <xf numFmtId="170" fontId="1" fillId="0" borderId="1" xfId="0" applyNumberFormat="1" applyFont="1" applyBorder="1" applyAlignment="1">
      <alignment horizontal="center"/>
    </xf>
    <xf numFmtId="0" fontId="31" fillId="0" borderId="13" xfId="0" applyFont="1" applyBorder="1" applyAlignment="1">
      <alignment wrapText="1"/>
    </xf>
    <xf numFmtId="167" fontId="31" fillId="0" borderId="13" xfId="1" applyNumberFormat="1" applyFont="1" applyBorder="1" applyAlignment="1"/>
    <xf numFmtId="0" fontId="7" fillId="0" borderId="13" xfId="0" applyFont="1" applyBorder="1" applyAlignment="1">
      <alignment vertical="center" wrapText="1"/>
    </xf>
    <xf numFmtId="0" fontId="7" fillId="0" borderId="13" xfId="0" applyFont="1" applyBorder="1" applyAlignment="1">
      <alignment vertical="center"/>
    </xf>
    <xf numFmtId="170" fontId="7" fillId="0" borderId="13" xfId="0" applyNumberFormat="1" applyFont="1" applyBorder="1" applyAlignment="1">
      <alignment vertical="center"/>
    </xf>
    <xf numFmtId="0" fontId="13" fillId="0" borderId="13" xfId="0" applyFont="1" applyBorder="1" applyAlignment="1"/>
    <xf numFmtId="170" fontId="13" fillId="0" borderId="13" xfId="0" applyNumberFormat="1" applyFont="1" applyBorder="1" applyAlignment="1"/>
    <xf numFmtId="0" fontId="13" fillId="0" borderId="13" xfId="0" applyFont="1" applyFill="1" applyBorder="1" applyAlignment="1"/>
    <xf numFmtId="0" fontId="12" fillId="0" borderId="13" xfId="0" applyFont="1" applyBorder="1" applyAlignment="1"/>
    <xf numFmtId="0" fontId="32" fillId="4" borderId="12" xfId="3" applyFont="1" applyAlignment="1">
      <alignment horizontal="center"/>
    </xf>
    <xf numFmtId="170" fontId="7" fillId="0" borderId="13" xfId="0" applyNumberFormat="1" applyFont="1" applyBorder="1" applyAlignment="1">
      <alignment horizontal="center"/>
    </xf>
    <xf numFmtId="170" fontId="7" fillId="0" borderId="13" xfId="0" applyNumberFormat="1" applyFont="1" applyBorder="1" applyAlignment="1">
      <alignment horizontal="right"/>
    </xf>
    <xf numFmtId="170" fontId="1" fillId="0" borderId="13" xfId="0" applyNumberFormat="1" applyFont="1" applyBorder="1" applyAlignment="1">
      <alignment horizontal="center"/>
    </xf>
    <xf numFmtId="170" fontId="1" fillId="0" borderId="13" xfId="0" applyNumberFormat="1" applyFont="1" applyBorder="1" applyAlignment="1">
      <alignment horizontal="right"/>
    </xf>
    <xf numFmtId="2" fontId="7" fillId="0" borderId="1" xfId="5" applyNumberFormat="1" applyFont="1" applyBorder="1" applyAlignment="1">
      <alignment horizontal="right"/>
    </xf>
    <xf numFmtId="2" fontId="1" fillId="0" borderId="1" xfId="5" applyNumberFormat="1" applyFont="1" applyBorder="1" applyAlignment="1">
      <alignment horizontal="right"/>
    </xf>
    <xf numFmtId="43" fontId="1" fillId="0" borderId="5" xfId="5" applyFont="1" applyBorder="1" applyAlignment="1">
      <alignment horizontal="center"/>
    </xf>
    <xf numFmtId="43" fontId="12" fillId="0" borderId="13" xfId="5" applyFont="1" applyBorder="1" applyAlignment="1"/>
    <xf numFmtId="10" fontId="0" fillId="0" borderId="0" xfId="0" applyNumberFormat="1" applyFont="1" applyBorder="1" applyAlignment="1"/>
    <xf numFmtId="10" fontId="0" fillId="0" borderId="28" xfId="0" applyNumberFormat="1" applyFont="1" applyBorder="1" applyAlignment="1"/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1" fillId="0" borderId="13" xfId="0" applyFont="1" applyBorder="1" applyAlignment="1">
      <alignment horizontal="center"/>
    </xf>
    <xf numFmtId="0" fontId="3" fillId="0" borderId="13" xfId="0" applyFont="1" applyBorder="1"/>
    <xf numFmtId="167" fontId="0" fillId="0" borderId="0" xfId="0" applyNumberFormat="1" applyFont="1" applyAlignment="1">
      <alignment horizontal="center"/>
    </xf>
    <xf numFmtId="0" fontId="19" fillId="4" borderId="12" xfId="3" applyAlignment="1">
      <alignment horizontal="center"/>
    </xf>
    <xf numFmtId="0" fontId="0" fillId="0" borderId="13" xfId="0" applyFont="1" applyBorder="1" applyAlignment="1">
      <alignment horizontal="center"/>
    </xf>
    <xf numFmtId="0" fontId="18" fillId="3" borderId="11" xfId="2" applyAlignment="1">
      <alignment horizontal="center" wrapText="1"/>
    </xf>
    <xf numFmtId="167" fontId="19" fillId="4" borderId="12" xfId="3" applyNumberFormat="1" applyAlignment="1">
      <alignment horizontal="center"/>
    </xf>
    <xf numFmtId="0" fontId="2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7" fontId="0" fillId="0" borderId="14" xfId="1" applyNumberFormat="1" applyFont="1" applyBorder="1" applyAlignment="1">
      <alignment horizontal="center"/>
    </xf>
    <xf numFmtId="167" fontId="0" fillId="0" borderId="0" xfId="1" applyNumberFormat="1" applyFont="1" applyAlignment="1">
      <alignment horizontal="center"/>
    </xf>
    <xf numFmtId="170" fontId="19" fillId="4" borderId="12" xfId="1" applyNumberFormat="1" applyFont="1" applyFill="1" applyBorder="1" applyAlignment="1">
      <alignment horizontal="center"/>
    </xf>
    <xf numFmtId="0" fontId="19" fillId="4" borderId="12" xfId="3"/>
    <xf numFmtId="164" fontId="19" fillId="4" borderId="12" xfId="3" applyNumberFormat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5" xfId="0" applyFont="1" applyBorder="1" applyAlignment="1"/>
    <xf numFmtId="0" fontId="4" fillId="0" borderId="6" xfId="0" applyFont="1" applyBorder="1"/>
    <xf numFmtId="0" fontId="4" fillId="0" borderId="7" xfId="0" applyFont="1" applyBorder="1"/>
    <xf numFmtId="164" fontId="5" fillId="0" borderId="5" xfId="0" applyNumberFormat="1" applyFont="1" applyBorder="1" applyAlignment="1">
      <alignment horizontal="right"/>
    </xf>
    <xf numFmtId="0" fontId="19" fillId="4" borderId="13" xfId="3" applyBorder="1" applyAlignment="1">
      <alignment horizontal="center"/>
    </xf>
    <xf numFmtId="167" fontId="19" fillId="4" borderId="13" xfId="3" applyNumberFormat="1" applyBorder="1" applyAlignment="1">
      <alignment horizontal="center"/>
    </xf>
    <xf numFmtId="167" fontId="0" fillId="0" borderId="13" xfId="1" applyNumberFormat="1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166" fontId="0" fillId="0" borderId="13" xfId="1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164" fontId="8" fillId="0" borderId="8" xfId="0" applyNumberFormat="1" applyFont="1" applyBorder="1" applyAlignment="1">
      <alignment horizontal="center"/>
    </xf>
    <xf numFmtId="0" fontId="4" fillId="0" borderId="9" xfId="0" applyFont="1" applyBorder="1"/>
    <xf numFmtId="0" fontId="18" fillId="3" borderId="11" xfId="2" applyAlignment="1">
      <alignment horizontal="center"/>
    </xf>
    <xf numFmtId="0" fontId="18" fillId="3" borderId="11" xfId="2"/>
    <xf numFmtId="0" fontId="11" fillId="0" borderId="2" xfId="0" applyFont="1" applyBorder="1" applyAlignment="1">
      <alignment horizontal="center"/>
    </xf>
    <xf numFmtId="0" fontId="4" fillId="0" borderId="15" xfId="0" applyFont="1" applyBorder="1"/>
    <xf numFmtId="164" fontId="5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20" fillId="0" borderId="2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8" fillId="3" borderId="22" xfId="2" applyBorder="1" applyAlignment="1">
      <alignment horizontal="center"/>
    </xf>
    <xf numFmtId="0" fontId="18" fillId="3" borderId="11" xfId="2" applyBorder="1" applyAlignment="1">
      <alignment horizontal="center"/>
    </xf>
    <xf numFmtId="0" fontId="18" fillId="3" borderId="23" xfId="2" applyBorder="1" applyAlignment="1">
      <alignment horizontal="center"/>
    </xf>
    <xf numFmtId="0" fontId="19" fillId="4" borderId="19" xfId="3" applyBorder="1" applyAlignment="1">
      <alignment horizontal="center"/>
    </xf>
    <xf numFmtId="0" fontId="19" fillId="4" borderId="20" xfId="3" applyBorder="1" applyAlignment="1">
      <alignment horizontal="center"/>
    </xf>
    <xf numFmtId="0" fontId="19" fillId="4" borderId="21" xfId="3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26" fillId="0" borderId="27" xfId="6" applyBorder="1" applyAlignment="1">
      <alignment horizontal="center"/>
    </xf>
    <xf numFmtId="0" fontId="26" fillId="0" borderId="28" xfId="6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18" fillId="3" borderId="13" xfId="2" applyBorder="1" applyAlignment="1">
      <alignment horizontal="center"/>
    </xf>
    <xf numFmtId="0" fontId="27" fillId="3" borderId="13" xfId="2" applyFont="1" applyBorder="1" applyAlignment="1">
      <alignment horizontal="center"/>
    </xf>
    <xf numFmtId="0" fontId="27" fillId="3" borderId="30" xfId="2" applyFont="1" applyBorder="1" applyAlignment="1">
      <alignment horizontal="center"/>
    </xf>
    <xf numFmtId="0" fontId="27" fillId="3" borderId="30" xfId="2" applyFont="1" applyBorder="1"/>
    <xf numFmtId="0" fontId="27" fillId="3" borderId="13" xfId="2" applyFont="1" applyBorder="1"/>
    <xf numFmtId="0" fontId="18" fillId="3" borderId="17" xfId="2" applyBorder="1"/>
    <xf numFmtId="0" fontId="31" fillId="0" borderId="13" xfId="0" applyFont="1" applyBorder="1" applyAlignment="1"/>
    <xf numFmtId="0" fontId="19" fillId="4" borderId="12" xfId="3" applyAlignment="1">
      <alignment horizontal="center" vertical="center"/>
    </xf>
    <xf numFmtId="0" fontId="19" fillId="4" borderId="12" xfId="3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13" xfId="0" applyFont="1" applyBorder="1" applyAlignment="1">
      <alignment vertical="center" wrapText="1"/>
    </xf>
    <xf numFmtId="167" fontId="0" fillId="0" borderId="13" xfId="1" applyNumberFormat="1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8" fillId="3" borderId="13" xfId="2" applyFont="1" applyBorder="1" applyAlignment="1">
      <alignment wrapText="1"/>
    </xf>
    <xf numFmtId="0" fontId="30" fillId="0" borderId="0" xfId="0" applyFont="1" applyBorder="1" applyAlignment="1">
      <alignment wrapText="1"/>
    </xf>
    <xf numFmtId="0" fontId="29" fillId="0" borderId="0" xfId="0" applyFont="1" applyBorder="1" applyAlignment="1">
      <alignment wrapText="1"/>
    </xf>
    <xf numFmtId="0" fontId="30" fillId="0" borderId="28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28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7" fillId="0" borderId="28" xfId="0" applyFont="1" applyFill="1" applyBorder="1" applyAlignment="1">
      <alignment wrapText="1"/>
    </xf>
    <xf numFmtId="165" fontId="33" fillId="0" borderId="0" xfId="0" applyNumberFormat="1" applyFont="1" applyBorder="1" applyAlignment="1"/>
    <xf numFmtId="164" fontId="33" fillId="0" borderId="0" xfId="0" applyNumberFormat="1" applyFont="1" applyBorder="1" applyAlignment="1"/>
    <xf numFmtId="165" fontId="35" fillId="0" borderId="0" xfId="0" applyNumberFormat="1" applyFont="1" applyBorder="1" applyAlignment="1"/>
    <xf numFmtId="164" fontId="35" fillId="0" borderId="0" xfId="0" applyNumberFormat="1" applyFont="1" applyBorder="1" applyAlignment="1"/>
    <xf numFmtId="165" fontId="33" fillId="0" borderId="28" xfId="0" applyNumberFormat="1" applyFont="1" applyBorder="1" applyAlignment="1"/>
    <xf numFmtId="164" fontId="33" fillId="0" borderId="28" xfId="0" applyNumberFormat="1" applyFont="1" applyBorder="1" applyAlignment="1"/>
    <xf numFmtId="10" fontId="36" fillId="0" borderId="0" xfId="0" applyNumberFormat="1" applyFont="1" applyBorder="1" applyAlignment="1">
      <alignment horizontal="right"/>
    </xf>
    <xf numFmtId="164" fontId="36" fillId="0" borderId="0" xfId="0" applyNumberFormat="1" applyFont="1" applyBorder="1" applyAlignment="1">
      <alignment horizontal="right"/>
    </xf>
    <xf numFmtId="165" fontId="36" fillId="0" borderId="0" xfId="0" applyNumberFormat="1" applyFont="1" applyBorder="1" applyAlignment="1">
      <alignment horizontal="right"/>
    </xf>
    <xf numFmtId="165" fontId="36" fillId="0" borderId="28" xfId="0" applyNumberFormat="1" applyFont="1" applyBorder="1" applyAlignment="1">
      <alignment horizontal="right"/>
    </xf>
    <xf numFmtId="164" fontId="36" fillId="0" borderId="28" xfId="0" applyNumberFormat="1" applyFont="1" applyBorder="1" applyAlignment="1">
      <alignment horizontal="right"/>
    </xf>
    <xf numFmtId="10" fontId="36" fillId="0" borderId="28" xfId="0" applyNumberFormat="1" applyFont="1" applyBorder="1" applyAlignment="1">
      <alignment horizontal="right"/>
    </xf>
    <xf numFmtId="165" fontId="34" fillId="0" borderId="0" xfId="0" applyNumberFormat="1" applyFont="1" applyBorder="1" applyAlignment="1">
      <alignment horizontal="right"/>
    </xf>
    <xf numFmtId="164" fontId="34" fillId="0" borderId="0" xfId="0" applyNumberFormat="1" applyFont="1" applyBorder="1" applyAlignment="1">
      <alignment horizontal="right"/>
    </xf>
    <xf numFmtId="9" fontId="34" fillId="0" borderId="0" xfId="4" applyFont="1" applyBorder="1" applyAlignment="1">
      <alignment horizontal="right"/>
    </xf>
    <xf numFmtId="9" fontId="36" fillId="0" borderId="0" xfId="4" applyFont="1" applyBorder="1" applyAlignment="1">
      <alignment horizontal="right"/>
    </xf>
    <xf numFmtId="4" fontId="36" fillId="0" borderId="0" xfId="0" applyNumberFormat="1" applyFont="1" applyBorder="1" applyAlignment="1">
      <alignment horizontal="right"/>
    </xf>
    <xf numFmtId="165" fontId="36" fillId="0" borderId="0" xfId="0" applyNumberFormat="1" applyFont="1" applyFill="1" applyBorder="1" applyAlignment="1">
      <alignment horizontal="right"/>
    </xf>
    <xf numFmtId="165" fontId="33" fillId="0" borderId="0" xfId="0" applyNumberFormat="1" applyFont="1" applyBorder="1" applyAlignment="1">
      <alignment horizontal="right"/>
    </xf>
    <xf numFmtId="164" fontId="33" fillId="0" borderId="0" xfId="0" applyNumberFormat="1" applyFont="1" applyBorder="1" applyAlignment="1">
      <alignment horizontal="right"/>
    </xf>
    <xf numFmtId="165" fontId="35" fillId="0" borderId="0" xfId="0" applyNumberFormat="1" applyFont="1" applyBorder="1" applyAlignment="1">
      <alignment horizontal="right"/>
    </xf>
    <xf numFmtId="164" fontId="35" fillId="0" borderId="0" xfId="0" applyNumberFormat="1" applyFont="1" applyBorder="1" applyAlignment="1">
      <alignment horizontal="right"/>
    </xf>
    <xf numFmtId="165" fontId="33" fillId="0" borderId="28" xfId="0" applyNumberFormat="1" applyFont="1" applyBorder="1" applyAlignment="1">
      <alignment horizontal="right"/>
    </xf>
    <xf numFmtId="164" fontId="33" fillId="0" borderId="28" xfId="0" applyNumberFormat="1" applyFont="1" applyBorder="1" applyAlignment="1">
      <alignment horizontal="right"/>
    </xf>
    <xf numFmtId="165" fontId="34" fillId="0" borderId="28" xfId="0" applyNumberFormat="1" applyFont="1" applyBorder="1" applyAlignment="1">
      <alignment horizontal="right"/>
    </xf>
    <xf numFmtId="164" fontId="34" fillId="0" borderId="28" xfId="0" applyNumberFormat="1" applyFont="1" applyBorder="1" applyAlignment="1">
      <alignment horizontal="right"/>
    </xf>
  </cellXfs>
  <cellStyles count="7">
    <cellStyle name="Celda de comprobación" xfId="3" builtinId="23"/>
    <cellStyle name="Millares" xfId="5" builtinId="3"/>
    <cellStyle name="Moneda" xfId="1" builtinId="4"/>
    <cellStyle name="Normal" xfId="0" builtinId="0"/>
    <cellStyle name="Porcentaje" xfId="4" builtinId="5"/>
    <cellStyle name="Salida" xfId="2" builtinId="21"/>
    <cellStyle name="Texto de advertencia" xfId="6" builtinId="11"/>
  </cellStyles>
  <dxfs count="77"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f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C53929"/>
      </font>
      <fill>
        <patternFill patternType="none"/>
      </fill>
      <border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167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[$$-240A]\ #,##0"/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9" formatCode="0.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numFmt numFmtId="167" formatCode="[$$-240A]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70" formatCode="_-[$$-240A]\ * #,##0.00_-;\-[$$-240A]\ * #,##0.00_-;_-[$$-240A]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167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[$$-240A]\ 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Proyeccion de Ventas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Proyeccion de 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 Crecimiento'!$A$2:$A$13</c:f>
              <c:strCache>
                <c:ptCount val="12"/>
                <c:pt idx="0">
                  <c:v>Mes 1-6</c:v>
                </c:pt>
                <c:pt idx="1">
                  <c:v>Mes 7</c:v>
                </c:pt>
                <c:pt idx="2">
                  <c:v>Mes 8</c:v>
                </c:pt>
                <c:pt idx="3">
                  <c:v>Mes 9</c:v>
                </c:pt>
                <c:pt idx="4">
                  <c:v>Mes 10</c:v>
                </c:pt>
                <c:pt idx="5">
                  <c:v>Mes 11</c:v>
                </c:pt>
                <c:pt idx="6">
                  <c:v>Mes 12</c:v>
                </c:pt>
                <c:pt idx="7">
                  <c:v>Año 1</c:v>
                </c:pt>
                <c:pt idx="8">
                  <c:v>Año 2</c:v>
                </c:pt>
                <c:pt idx="9">
                  <c:v>Año 3</c:v>
                </c:pt>
                <c:pt idx="10">
                  <c:v>Año 4</c:v>
                </c:pt>
                <c:pt idx="11">
                  <c:v>Año 5</c:v>
                </c:pt>
              </c:strCache>
            </c:strRef>
          </c:cat>
          <c:val>
            <c:numRef>
              <c:f>'Tabla Crecimiento'!$B$2:$B$13</c:f>
              <c:numCache>
                <c:formatCode>#,##0</c:formatCode>
                <c:ptCount val="12"/>
                <c:pt idx="0">
                  <c:v>0</c:v>
                </c:pt>
                <c:pt idx="1">
                  <c:v>3252.8577359756564</c:v>
                </c:pt>
                <c:pt idx="2">
                  <c:v>4097.8788914930747</c:v>
                </c:pt>
                <c:pt idx="3">
                  <c:v>5150.3451169723749</c:v>
                </c:pt>
                <c:pt idx="4">
                  <c:v>6454.3186472262878</c:v>
                </c:pt>
                <c:pt idx="5">
                  <c:v>8059.4342902610779</c:v>
                </c:pt>
                <c:pt idx="6">
                  <c:v>10019.503746304383</c:v>
                </c:pt>
                <c:pt idx="7">
                  <c:v>10019.503746304383</c:v>
                </c:pt>
                <c:pt idx="8">
                  <c:v>65175.619953865986</c:v>
                </c:pt>
                <c:pt idx="9">
                  <c:v>94322.751322401688</c:v>
                </c:pt>
                <c:pt idx="10">
                  <c:v>96751.601360591376</c:v>
                </c:pt>
                <c:pt idx="11">
                  <c:v>96891.657618714249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7345888"/>
        <c:axId val="297341184"/>
      </c:barChart>
      <c:catAx>
        <c:axId val="297345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7341184"/>
        <c:crosses val="autoZero"/>
        <c:auto val="1"/>
        <c:lblAlgn val="ctr"/>
        <c:lblOffset val="100"/>
        <c:noMultiLvlLbl val="0"/>
      </c:catAx>
      <c:valAx>
        <c:axId val="29734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Numero de Licencias Vendidas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734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Proyeccion</a:t>
            </a:r>
            <a:r>
              <a:rPr lang="en-US" baseline="0"/>
              <a:t> de Ingresos * Ventas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Proyeccion 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 Crecimiento'!$A$2:$A$13</c:f>
              <c:strCache>
                <c:ptCount val="12"/>
                <c:pt idx="0">
                  <c:v>Mes 1-6</c:v>
                </c:pt>
                <c:pt idx="1">
                  <c:v>Mes 7</c:v>
                </c:pt>
                <c:pt idx="2">
                  <c:v>Mes 8</c:v>
                </c:pt>
                <c:pt idx="3">
                  <c:v>Mes 9</c:v>
                </c:pt>
                <c:pt idx="4">
                  <c:v>Mes 10</c:v>
                </c:pt>
                <c:pt idx="5">
                  <c:v>Mes 11</c:v>
                </c:pt>
                <c:pt idx="6">
                  <c:v>Mes 12</c:v>
                </c:pt>
                <c:pt idx="7">
                  <c:v>Año 1</c:v>
                </c:pt>
                <c:pt idx="8">
                  <c:v>Año 2</c:v>
                </c:pt>
                <c:pt idx="9">
                  <c:v>Año 3</c:v>
                </c:pt>
                <c:pt idx="10">
                  <c:v>Año 4</c:v>
                </c:pt>
                <c:pt idx="11">
                  <c:v>Año 5</c:v>
                </c:pt>
              </c:strCache>
            </c:strRef>
          </c:cat>
          <c:val>
            <c:numRef>
              <c:f>'Tabla Crecimiento'!$C$2:$C$13</c:f>
              <c:numCache>
                <c:formatCode>[$$-240A]\ #,##0.00</c:formatCode>
                <c:ptCount val="12"/>
                <c:pt idx="0">
                  <c:v>0</c:v>
                </c:pt>
                <c:pt idx="1">
                  <c:v>17561259.741141878</c:v>
                </c:pt>
                <c:pt idx="2">
                  <c:v>22123290.178157054</c:v>
                </c:pt>
                <c:pt idx="3">
                  <c:v>27805257.929162167</c:v>
                </c:pt>
                <c:pt idx="4">
                  <c:v>34845042.549037121</c:v>
                </c:pt>
                <c:pt idx="5">
                  <c:v>43510608.340665355</c:v>
                </c:pt>
                <c:pt idx="6">
                  <c:v>54092469.46774932</c:v>
                </c:pt>
                <c:pt idx="7">
                  <c:v>54092469.46774932</c:v>
                </c:pt>
                <c:pt idx="8">
                  <c:v>351864755.14782721</c:v>
                </c:pt>
                <c:pt idx="9">
                  <c:v>509221881.16382653</c:v>
                </c:pt>
                <c:pt idx="10">
                  <c:v>522334556.18837321</c:v>
                </c:pt>
                <c:pt idx="11">
                  <c:v>523090680.34961951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7341968"/>
        <c:axId val="297346280"/>
      </c:barChart>
      <c:catAx>
        <c:axId val="29734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 en meses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7346280"/>
        <c:crosses val="autoZero"/>
        <c:auto val="1"/>
        <c:lblAlgn val="ctr"/>
        <c:lblOffset val="100"/>
        <c:noMultiLvlLbl val="0"/>
      </c:catAx>
      <c:valAx>
        <c:axId val="29734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Millones de Pesos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[$$-240A]\ 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734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"/>
              <a:t>Flujo de Caja primer año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Efectivo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'Flujo de caja - 12 meses'!$B$1:$AA$1</c:f>
              <c:strCache>
                <c:ptCount val="25"/>
                <c:pt idx="0">
                  <c:v>Mes 0</c:v>
                </c:pt>
                <c:pt idx="2">
                  <c:v>Mes 1</c:v>
                </c:pt>
                <c:pt idx="4">
                  <c:v>Mes 2</c:v>
                </c:pt>
                <c:pt idx="6">
                  <c:v>Mes 3</c:v>
                </c:pt>
                <c:pt idx="8">
                  <c:v>Mes 4</c:v>
                </c:pt>
                <c:pt idx="10">
                  <c:v>Mes 5</c:v>
                </c:pt>
                <c:pt idx="12">
                  <c:v>Mes 6</c:v>
                </c:pt>
                <c:pt idx="14">
                  <c:v>Mes 7</c:v>
                </c:pt>
                <c:pt idx="16">
                  <c:v>Mes 8</c:v>
                </c:pt>
                <c:pt idx="18">
                  <c:v>Mes 9</c:v>
                </c:pt>
                <c:pt idx="20">
                  <c:v>Mes 10</c:v>
                </c:pt>
                <c:pt idx="22">
                  <c:v>Mes 11</c:v>
                </c:pt>
                <c:pt idx="24">
                  <c:v>Mes 12</c:v>
                </c:pt>
              </c:strCache>
            </c:strRef>
          </c:cat>
          <c:val>
            <c:numRef>
              <c:f>'Flujo de caja - 12 meses'!$C$13:$AA$13</c:f>
              <c:numCache>
                <c:formatCode>"$"#,##0.00</c:formatCode>
                <c:ptCount val="25"/>
                <c:pt idx="0">
                  <c:v>68778500</c:v>
                </c:pt>
                <c:pt idx="2">
                  <c:v>59172797</c:v>
                </c:pt>
                <c:pt idx="4" formatCode="&quot;$&quot;#,##0">
                  <c:v>49457094</c:v>
                </c:pt>
                <c:pt idx="6" formatCode="&quot;$&quot;#,##0">
                  <c:v>39711391</c:v>
                </c:pt>
                <c:pt idx="8" formatCode="&quot;$&quot;#,##0">
                  <c:v>30065688</c:v>
                </c:pt>
                <c:pt idx="10">
                  <c:v>20419985</c:v>
                </c:pt>
                <c:pt idx="12">
                  <c:v>10249282</c:v>
                </c:pt>
                <c:pt idx="14">
                  <c:v>16613549.782486973</c:v>
                </c:pt>
                <c:pt idx="16">
                  <c:v>25988757.65340396</c:v>
                </c:pt>
                <c:pt idx="18">
                  <c:v>39114064.239984326</c:v>
                </c:pt>
                <c:pt idx="20">
                  <c:v>56885628.675682157</c:v>
                </c:pt>
                <c:pt idx="22">
                  <c:v>80376466.533854634</c:v>
                </c:pt>
                <c:pt idx="24">
                  <c:v>110851332.73590252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7346672"/>
        <c:axId val="29734275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Meses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'Flujo de caja - 12 meses'!$B$1:$AA$1</c15:sqref>
                        </c15:formulaRef>
                      </c:ext>
                    </c:extLst>
                    <c:strCache>
                      <c:ptCount val="25"/>
                      <c:pt idx="0">
                        <c:v>Mes 0</c:v>
                      </c:pt>
                      <c:pt idx="2">
                        <c:v>Mes 1</c:v>
                      </c:pt>
                      <c:pt idx="4">
                        <c:v>Mes 2</c:v>
                      </c:pt>
                      <c:pt idx="6">
                        <c:v>Mes 3</c:v>
                      </c:pt>
                      <c:pt idx="8">
                        <c:v>Mes 4</c:v>
                      </c:pt>
                      <c:pt idx="10">
                        <c:v>Mes 5</c:v>
                      </c:pt>
                      <c:pt idx="12">
                        <c:v>Mes 6</c:v>
                      </c:pt>
                      <c:pt idx="14">
                        <c:v>Mes 7</c:v>
                      </c:pt>
                      <c:pt idx="16">
                        <c:v>Mes 8</c:v>
                      </c:pt>
                      <c:pt idx="18">
                        <c:v>Mes 9</c:v>
                      </c:pt>
                      <c:pt idx="20">
                        <c:v>Mes 10</c:v>
                      </c:pt>
                      <c:pt idx="22">
                        <c:v>Mes 11</c:v>
                      </c:pt>
                      <c:pt idx="24">
                        <c:v>Mes 12</c:v>
                      </c:pt>
                    </c:strCache>
                  </c:strRef>
                </c:cat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</c15:ser>
            </c15:filteredBarSeries>
          </c:ext>
        </c:extLst>
      </c:barChart>
      <c:catAx>
        <c:axId val="297346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7342752"/>
        <c:crosses val="autoZero"/>
        <c:auto val="1"/>
        <c:lblAlgn val="ctr"/>
        <c:lblOffset val="100"/>
        <c:noMultiLvlLbl val="0"/>
      </c:catAx>
      <c:valAx>
        <c:axId val="29734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 en Pesos  en caja</a:t>
                </a:r>
              </a:p>
            </c:rich>
          </c:tx>
          <c:layout>
            <c:manualLayout>
              <c:xMode val="edge"/>
              <c:yMode val="edge"/>
              <c:x val="1.9399687299814877E-2"/>
              <c:y val="0.376322314529084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734667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r>
              <a:rPr lang="es-ES" b="1">
                <a:latin typeface="LM Roman 10" panose="00000500000000000000" pitchFamily="50" charset="0"/>
              </a:rPr>
              <a:t>Gráfica T.I.O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LM Roman 10" panose="00000500000000000000" pitchFamily="50" charset="0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'VAN y TIR'!$L$6:$L$42</c:f>
              <c:numCache>
                <c:formatCode>General</c:formatCode>
                <c:ptCount val="3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</c:numCache>
            </c:numRef>
          </c:cat>
          <c:val>
            <c:numRef>
              <c:f>'VAN y TIR'!$M$6:$M$42</c:f>
              <c:numCache>
                <c:formatCode>"$"#,##0.00</c:formatCode>
                <c:ptCount val="37"/>
                <c:pt idx="0">
                  <c:v>929841901.88463783</c:v>
                </c:pt>
                <c:pt idx="1">
                  <c:v>770161579.67833078</c:v>
                </c:pt>
                <c:pt idx="2">
                  <c:v>643766884.82809055</c:v>
                </c:pt>
                <c:pt idx="3">
                  <c:v>542415420.90610313</c:v>
                </c:pt>
                <c:pt idx="4">
                  <c:v>460182772.99224061</c:v>
                </c:pt>
                <c:pt idx="5">
                  <c:v>392741700.94054955</c:v>
                </c:pt>
                <c:pt idx="6">
                  <c:v>336884785.61377382</c:v>
                </c:pt>
                <c:pt idx="7">
                  <c:v>290202359.15658456</c:v>
                </c:pt>
                <c:pt idx="8">
                  <c:v>250861458.63641775</c:v>
                </c:pt>
                <c:pt idx="9">
                  <c:v>217451707.40003425</c:v>
                </c:pt>
                <c:pt idx="10">
                  <c:v>188876284.9944829</c:v>
                </c:pt>
                <c:pt idx="11">
                  <c:v>164273747.3669534</c:v>
                </c:pt>
                <c:pt idx="12">
                  <c:v>142961261.12277284</c:v>
                </c:pt>
                <c:pt idx="13">
                  <c:v>124392902.17436546</c:v>
                </c:pt>
                <c:pt idx="14">
                  <c:v>108128685.04361105</c:v>
                </c:pt>
                <c:pt idx="15">
                  <c:v>93811325.556419224</c:v>
                </c:pt>
                <c:pt idx="16">
                  <c:v>81148638.145063311</c:v>
                </c:pt>
                <c:pt idx="17">
                  <c:v>69900080.94056204</c:v>
                </c:pt>
                <c:pt idx="18">
                  <c:v>59866383.801602229</c:v>
                </c:pt>
                <c:pt idx="19">
                  <c:v>50881488.755326763</c:v>
                </c:pt>
                <c:pt idx="20">
                  <c:v>42806239.86902903</c:v>
                </c:pt>
                <c:pt idx="21">
                  <c:v>35523407.428351298</c:v>
                </c:pt>
                <c:pt idx="22">
                  <c:v>28933737.658540115</c:v>
                </c:pt>
                <c:pt idx="23">
                  <c:v>22952796.441843018</c:v>
                </c:pt>
                <c:pt idx="24">
                  <c:v>17508432.032229528</c:v>
                </c:pt>
                <c:pt idx="25">
                  <c:v>12538723.524176732</c:v>
                </c:pt>
                <c:pt idx="26">
                  <c:v>7990312.908029452</c:v>
                </c:pt>
                <c:pt idx="27">
                  <c:v>3817041.8455630243</c:v>
                </c:pt>
                <c:pt idx="28">
                  <c:v>-21168.104144319892</c:v>
                </c:pt>
                <c:pt idx="29">
                  <c:v>-3559239.6993254572</c:v>
                </c:pt>
                <c:pt idx="30">
                  <c:v>-6827706.3226677552</c:v>
                </c:pt>
                <c:pt idx="31">
                  <c:v>-9853350.1487485394</c:v>
                </c:pt>
                <c:pt idx="32">
                  <c:v>-12659735.832125455</c:v>
                </c:pt>
                <c:pt idx="33">
                  <c:v>-15267658.61849156</c:v>
                </c:pt>
                <c:pt idx="34">
                  <c:v>-17695522.054369494</c:v>
                </c:pt>
                <c:pt idx="35">
                  <c:v>-19959657.536172695</c:v>
                </c:pt>
                <c:pt idx="36">
                  <c:v>-22074595.61704766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340792"/>
        <c:axId val="297343536"/>
      </c:lineChart>
      <c:catAx>
        <c:axId val="297340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r>
                  <a:rPr lang="es-ES" b="1">
                    <a:latin typeface="LM Roman 10" panose="00000500000000000000" pitchFamily="50" charset="0"/>
                  </a:rPr>
                  <a:t>Tasa de descuento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s-ES"/>
          </a:p>
        </c:txPr>
        <c:crossAx val="297343536"/>
        <c:crosses val="autoZero"/>
        <c:auto val="1"/>
        <c:lblAlgn val="ctr"/>
        <c:lblOffset val="100"/>
        <c:noMultiLvlLbl val="1"/>
      </c:catAx>
      <c:valAx>
        <c:axId val="2973435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r>
                  <a:rPr lang="es-ES" b="1">
                    <a:latin typeface="LM Roman 10" panose="00000500000000000000" pitchFamily="50" charset="0"/>
                  </a:rPr>
                  <a:t>Valor presente neto ($)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0"/>
                  <a:ea typeface="+mn-ea"/>
                  <a:cs typeface="+mn-cs"/>
                </a:defRPr>
              </a:pPr>
              <a:endParaRPr lang="es-E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s-ES"/>
          </a:p>
        </c:txPr>
        <c:crossAx val="297340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838199</xdr:colOff>
      <xdr:row>10</xdr:row>
      <xdr:rowOff>185736</xdr:rowOff>
    </xdr:from>
    <xdr:to>
      <xdr:col>12</xdr:col>
      <xdr:colOff>923924</xdr:colOff>
      <xdr:row>27</xdr:row>
      <xdr:rowOff>66674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995361</xdr:colOff>
      <xdr:row>28</xdr:row>
      <xdr:rowOff>157162</xdr:rowOff>
    </xdr:from>
    <xdr:to>
      <xdr:col>12</xdr:col>
      <xdr:colOff>879474</xdr:colOff>
      <xdr:row>43</xdr:row>
      <xdr:rowOff>104775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462813</xdr:colOff>
      <xdr:row>17</xdr:row>
      <xdr:rowOff>96659</xdr:rowOff>
    </xdr:from>
    <xdr:to>
      <xdr:col>12</xdr:col>
      <xdr:colOff>696057</xdr:colOff>
      <xdr:row>37</xdr:row>
      <xdr:rowOff>190500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4</xdr:row>
      <xdr:rowOff>171450</xdr:rowOff>
    </xdr:from>
    <xdr:to>
      <xdr:col>19</xdr:col>
      <xdr:colOff>38100</xdr:colOff>
      <xdr:row>22</xdr:row>
      <xdr:rowOff>104775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ables/table1.xml><?xml version="1.0" encoding="utf-8"?>
<table xmlns="http://schemas.openxmlformats.org/spreadsheetml/2006/main" id="1" name="PUBLICIDAD" displayName="PUBLICIDAD" ref="A36:H43" totalsRowCount="1" headerRowDxfId="76" totalsRowDxfId="75" headerRowCellStyle="Celda de comprobación">
  <tableColumns count="8">
    <tableColumn id="1" name="Promoción" dataDxfId="74"/>
    <tableColumn id="2" name="Tiempo aproximado de duración" dataDxfId="73" totalsRowDxfId="72"/>
    <tableColumn id="3" name="Objetivo " dataDxfId="71" totalsRowDxfId="70"/>
    <tableColumn id="4" name="Cantidad" dataDxfId="69" totalsRowDxfId="68"/>
    <tableColumn id="5" name="Se requieren" dataDxfId="67" totalsRowDxfId="66"/>
    <tableColumn id="6" name="Costo Unitario" totalsRowLabel="Total anual" dataDxfId="65" totalsRowDxfId="64" dataCellStyle="Moneda"/>
    <tableColumn id="7" name="Costo total" totalsRowFunction="sum" dataDxfId="63" totalsRowDxfId="62" dataCellStyle="Moneda">
      <calculatedColumnFormula>F37*E37</calculatedColumnFormula>
    </tableColumn>
    <tableColumn id="8" name="Proveedor" dataDxfId="61" totalsRowDxfId="6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9" name="PUBLICIDAD10" displayName="PUBLICIDAD10" ref="AX163:BE170" totalsRowCount="1" headerRowDxfId="29" dataDxfId="30" totalsRowDxfId="31" headerRowCellStyle="Celda de comprobación">
  <tableColumns count="8">
    <tableColumn id="1" name="Promoción" dataDxfId="47" totalsRowDxfId="46"/>
    <tableColumn id="2" name="Tiempo aproximado de duración" dataDxfId="45" totalsRowDxfId="44"/>
    <tableColumn id="3" name="Objetivo " dataDxfId="43" totalsRowDxfId="42"/>
    <tableColumn id="4" name="Cantidad" dataDxfId="41" totalsRowDxfId="40"/>
    <tableColumn id="5" name="Se requieren" dataDxfId="39" totalsRowDxfId="38"/>
    <tableColumn id="6" name="Costo Unitario" totalsRowLabel="Total anual" dataDxfId="37" totalsRowDxfId="36" dataCellStyle="Moneda"/>
    <tableColumn id="7" name="Costo total" totalsRowFunction="sum" dataDxfId="35" totalsRowDxfId="34" dataCellStyle="Moneda">
      <calculatedColumnFormula>BC164*BB164</calculatedColumnFormula>
    </tableColumn>
    <tableColumn id="8" name="Proveedor" dataDxfId="33" totalsRowDxfId="3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21:G23" totalsRowShown="0" headerRowDxfId="59">
  <autoFilter ref="A21:G23"/>
  <tableColumns count="7">
    <tableColumn id="1" name="Columna1"/>
    <tableColumn id="2" name="Columna2" dataDxfId="58"/>
    <tableColumn id="3" name="Columna3">
      <calculatedColumnFormula>'Flujo de Caja (Profesor) - 5 añ'!D18</calculatedColumnFormula>
    </tableColumn>
    <tableColumn id="4" name="Columna4">
      <calculatedColumnFormula>'Flujo de Caja (Profesor) - 5 añ'!F18</calculatedColumnFormula>
    </tableColumn>
    <tableColumn id="5" name="Columna5">
      <calculatedColumnFormula>'Flujo de Caja (Profesor) - 5 añ'!H18</calculatedColumnFormula>
    </tableColumn>
    <tableColumn id="6" name="Columna6">
      <calculatedColumnFormula>'Flujo de Caja (Profesor) - 5 añ'!J18</calculatedColumnFormula>
    </tableColumn>
    <tableColumn id="7" name="Columna7">
      <calculatedColumnFormula>'Flujo de Caja (Profesor) - 5 añ'!L18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5" name="Tabla5" displayName="Tabla5" ref="A31:B34" totalsRowShown="0">
  <autoFilter ref="A31:B34"/>
  <tableColumns count="2">
    <tableColumn id="1" name="Columna1" dataDxfId="57"/>
    <tableColumn id="2" name="Columna2">
      <calculatedColumnFormula>B31*2</calculatedColumnFormula>
    </tableColumn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6" name="Tabla6" displayName="Tabla6" ref="A36:B41" totalsRowShown="0">
  <autoFilter ref="A36:B41"/>
  <tableColumns count="2">
    <tableColumn id="1" name="Columna1" dataDxfId="56"/>
    <tableColumn id="2" name="Columna2" dataDxfId="55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4" name="Tabla4" displayName="Tabla4" ref="A25:C28" totalsRowShown="0">
  <autoFilter ref="A25:C28"/>
  <tableColumns count="3">
    <tableColumn id="1" name="Columna1" dataDxfId="54"/>
    <tableColumn id="2" name="Columna2" dataDxfId="53"/>
    <tableColumn id="3" name="Columna3" dataDxfId="52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2" name="Tabla2" displayName="Tabla2" ref="A45:C51" totalsRowShown="0">
  <autoFilter ref="A45:C51"/>
  <tableColumns count="3">
    <tableColumn id="1" name="Columna1" dataDxfId="51"/>
    <tableColumn id="2" name="Columna2" dataDxfId="50" dataCellStyle="Porcentaje"/>
    <tableColumn id="3" name="Columna3" dataDxfId="49" dataCellStyle="Porcentaje">
      <calculatedColumnFormula xml:space="preserve"> 1 +B46</calculatedColumnFormula>
    </tableColumn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7" name="Tabla7" displayName="Tabla7" ref="G9:J11" totalsRowShown="0">
  <autoFilter ref="G9:J11"/>
  <tableColumns count="4">
    <tableColumn id="1" name="CONCEPTO" dataDxfId="48"/>
    <tableColumn id="2" name="Columna2"/>
    <tableColumn id="3" name="-"/>
    <tableColumn id="4" name="VALOR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nrep.gov.co/es/ipc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F1" zoomScale="130" zoomScaleNormal="130" workbookViewId="0">
      <selection activeCell="L11" sqref="L11"/>
    </sheetView>
  </sheetViews>
  <sheetFormatPr baseColWidth="10" defaultColWidth="14.42578125" defaultRowHeight="15.75" customHeight="1"/>
  <cols>
    <col min="1" max="1" width="49.5703125" customWidth="1"/>
    <col min="2" max="2" width="16.85546875" customWidth="1"/>
    <col min="3" max="3" width="37.42578125" customWidth="1"/>
    <col min="4" max="4" width="18.7109375" customWidth="1"/>
    <col min="5" max="5" width="15.85546875" customWidth="1"/>
    <col min="7" max="7" width="36.85546875" bestFit="1" customWidth="1"/>
    <col min="8" max="8" width="42" customWidth="1"/>
    <col min="10" max="10" width="19.28515625" bestFit="1" customWidth="1"/>
    <col min="11" max="11" width="21.85546875" customWidth="1"/>
    <col min="12" max="12" width="21.85546875" bestFit="1" customWidth="1"/>
  </cols>
  <sheetData>
    <row r="1" spans="1:14" ht="12" customHeight="1" thickTop="1" thickBot="1">
      <c r="A1" s="110" t="s">
        <v>0</v>
      </c>
      <c r="B1" s="110" t="s">
        <v>1</v>
      </c>
      <c r="C1" s="2" t="s">
        <v>2</v>
      </c>
    </row>
    <row r="2" spans="1:14" ht="13.5" thickTop="1">
      <c r="A2" s="5" t="s">
        <v>242</v>
      </c>
      <c r="B2" s="116">
        <f>SUM(B3:B9
)</f>
        <v>116700</v>
      </c>
      <c r="C2" s="3"/>
    </row>
    <row r="3" spans="1:14" ht="12.75">
      <c r="A3" s="7" t="s">
        <v>40</v>
      </c>
      <c r="B3" s="117">
        <f>B25</f>
        <v>51000</v>
      </c>
      <c r="C3" s="4"/>
    </row>
    <row r="4" spans="1:14" ht="12.75">
      <c r="A4" s="7" t="s">
        <v>43</v>
      </c>
      <c r="B4" s="118">
        <v>0</v>
      </c>
      <c r="C4" s="4" t="s">
        <v>44</v>
      </c>
    </row>
    <row r="5" spans="1:14" ht="12.75">
      <c r="A5" s="7" t="s">
        <v>45</v>
      </c>
      <c r="B5" s="118">
        <v>0</v>
      </c>
      <c r="C5" s="3"/>
    </row>
    <row r="6" spans="1:14" ht="12.75">
      <c r="A6" s="7" t="s">
        <v>46</v>
      </c>
      <c r="B6" s="118">
        <f>5400</f>
        <v>5400</v>
      </c>
      <c r="C6" s="4" t="s">
        <v>47</v>
      </c>
    </row>
    <row r="7" spans="1:14" ht="12.75">
      <c r="A7" s="7" t="s">
        <v>48</v>
      </c>
      <c r="B7" s="118">
        <v>0</v>
      </c>
      <c r="C7" s="3"/>
    </row>
    <row r="8" spans="1:14" ht="12.75">
      <c r="A8" s="7" t="s">
        <v>49</v>
      </c>
      <c r="B8" s="118">
        <v>10300</v>
      </c>
      <c r="C8" s="3"/>
    </row>
    <row r="9" spans="1:14" ht="12.75">
      <c r="A9" s="7" t="s">
        <v>50</v>
      </c>
      <c r="B9" s="118">
        <v>50000</v>
      </c>
      <c r="C9" s="3"/>
    </row>
    <row r="10" spans="1:14" ht="13.5" thickBot="1">
      <c r="A10" s="5" t="s">
        <v>244</v>
      </c>
      <c r="B10" s="116">
        <f>SUM(B11:B14
)</f>
        <v>3892810</v>
      </c>
      <c r="C10" s="3"/>
    </row>
    <row r="11" spans="1:14" ht="14.25" thickTop="1" thickBot="1">
      <c r="A11" s="7" t="s">
        <v>54</v>
      </c>
      <c r="B11" s="118">
        <v>60800</v>
      </c>
      <c r="C11" s="4"/>
      <c r="L11" s="230" t="s">
        <v>303</v>
      </c>
      <c r="M11" s="230" t="s">
        <v>1</v>
      </c>
    </row>
    <row r="12" spans="1:14" ht="23.25" thickTop="1">
      <c r="A12" s="91" t="s">
        <v>167</v>
      </c>
      <c r="B12" s="118">
        <v>3000000</v>
      </c>
      <c r="L12" s="223" t="s">
        <v>167</v>
      </c>
      <c r="M12" s="225">
        <v>3000000</v>
      </c>
    </row>
    <row r="13" spans="1:14" ht="12.75">
      <c r="A13" s="114" t="s">
        <v>56</v>
      </c>
      <c r="B13" s="119">
        <v>500000</v>
      </c>
      <c r="C13" s="4"/>
      <c r="L13" s="224" t="s">
        <v>56</v>
      </c>
      <c r="M13" s="225">
        <v>500000</v>
      </c>
    </row>
    <row r="14" spans="1:14" ht="13.5" thickBot="1">
      <c r="A14" s="115" t="s">
        <v>243</v>
      </c>
      <c r="B14" s="120">
        <f>'Salarios, gastos y costos'!K11</f>
        <v>332010</v>
      </c>
      <c r="C14" s="3"/>
      <c r="L14" s="226" t="s">
        <v>210</v>
      </c>
      <c r="M14" s="227">
        <f>SUM(M12:M13)</f>
        <v>3500000</v>
      </c>
    </row>
    <row r="15" spans="1:14" ht="16.5" thickTop="1" thickBot="1">
      <c r="A15" s="121" t="s">
        <v>57</v>
      </c>
      <c r="B15" s="122">
        <f>B10+B2</f>
        <v>4009510</v>
      </c>
      <c r="L15" s="228" t="s">
        <v>301</v>
      </c>
      <c r="M15" s="227">
        <f>J17</f>
        <v>58333.333333333336</v>
      </c>
    </row>
    <row r="16" spans="1:14" ht="13.5" thickTop="1">
      <c r="D16" s="3"/>
      <c r="E16" s="3"/>
      <c r="F16" s="3"/>
      <c r="G16" s="4" t="s">
        <v>3</v>
      </c>
      <c r="H16" s="92" t="s">
        <v>4</v>
      </c>
      <c r="I16" s="92" t="s">
        <v>5</v>
      </c>
      <c r="J16" s="4" t="s">
        <v>6</v>
      </c>
      <c r="L16" s="229" t="s">
        <v>302</v>
      </c>
      <c r="M16" s="217">
        <f>M15*12</f>
        <v>700000</v>
      </c>
      <c r="N16" s="93"/>
    </row>
    <row r="17" spans="1:10" ht="12.75">
      <c r="A17" s="11"/>
      <c r="D17" s="4" t="s">
        <v>23</v>
      </c>
      <c r="E17" s="17">
        <v>1500000</v>
      </c>
      <c r="F17" s="3"/>
      <c r="G17" s="4" t="s">
        <v>32</v>
      </c>
      <c r="H17" s="4">
        <v>5</v>
      </c>
      <c r="I17" s="3">
        <f>H17*12</f>
        <v>60</v>
      </c>
      <c r="J17" s="20">
        <f>SUM(B12,B13)/I17</f>
        <v>58333.333333333336</v>
      </c>
    </row>
    <row r="18" spans="1:10" ht="12.75">
      <c r="A18" s="102" t="s">
        <v>161</v>
      </c>
      <c r="B18" s="109" t="s">
        <v>1</v>
      </c>
      <c r="D18" s="4" t="s">
        <v>39</v>
      </c>
      <c r="E18" s="20">
        <v>975000</v>
      </c>
      <c r="F18" s="3"/>
    </row>
    <row r="19" spans="1:10" ht="15.75" customHeight="1">
      <c r="A19" s="96" t="s">
        <v>162</v>
      </c>
      <c r="B19" s="107">
        <f>39000</f>
        <v>39000</v>
      </c>
      <c r="D19" s="3"/>
      <c r="E19" s="3"/>
      <c r="F19" s="3"/>
      <c r="G19" s="3"/>
      <c r="H19" s="3"/>
      <c r="I19" s="3"/>
      <c r="J19" s="3"/>
    </row>
    <row r="20" spans="1:10" ht="15.75" customHeight="1">
      <c r="A20" s="96" t="s">
        <v>163</v>
      </c>
      <c r="B20" s="107">
        <v>4760</v>
      </c>
      <c r="D20" s="11" t="s">
        <v>52</v>
      </c>
      <c r="E20" s="3"/>
      <c r="F20" s="3"/>
      <c r="G20" s="3"/>
      <c r="H20" s="3"/>
      <c r="I20" s="4" t="s">
        <v>42</v>
      </c>
      <c r="J20" s="20">
        <f>SUM(J17:J19
)</f>
        <v>58333.333333333336</v>
      </c>
    </row>
    <row r="21" spans="1:10" ht="15.75" customHeight="1">
      <c r="A21" s="96" t="s">
        <v>163</v>
      </c>
      <c r="B21" s="107">
        <v>2040</v>
      </c>
      <c r="D21" s="24">
        <f>SUM(B12:B13
)</f>
        <v>3500000</v>
      </c>
    </row>
    <row r="22" spans="1:10" ht="15.75" customHeight="1">
      <c r="A22" s="96" t="s">
        <v>164</v>
      </c>
      <c r="B22" s="107">
        <v>39000</v>
      </c>
    </row>
    <row r="23" spans="1:10" ht="15.75" customHeight="1">
      <c r="A23" s="96" t="s">
        <v>165</v>
      </c>
      <c r="B23" s="107">
        <v>-39000</v>
      </c>
      <c r="D23" s="17">
        <f>SUM(B11:B13
)</f>
        <v>3560800</v>
      </c>
    </row>
    <row r="24" spans="1:10" ht="15.75" customHeight="1">
      <c r="A24" s="96" t="s">
        <v>166</v>
      </c>
      <c r="B24" s="107">
        <v>5200</v>
      </c>
      <c r="G24" s="4" t="s">
        <v>32</v>
      </c>
      <c r="H24" s="4">
        <v>1</v>
      </c>
      <c r="I24" s="3">
        <f>H24*12</f>
        <v>12</v>
      </c>
      <c r="J24" s="20">
        <f>SUM($B$12,$B$13)/I24</f>
        <v>291666.66666666669</v>
      </c>
    </row>
    <row r="25" spans="1:10" ht="15.75" customHeight="1">
      <c r="A25" s="102" t="s">
        <v>42</v>
      </c>
      <c r="B25" s="108">
        <f>SUM(B19:B24)</f>
        <v>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zoomScaleNormal="100" workbookViewId="0">
      <selection activeCell="C8" sqref="C8"/>
    </sheetView>
  </sheetViews>
  <sheetFormatPr baseColWidth="10" defaultColWidth="14.42578125" defaultRowHeight="15.75" customHeight="1"/>
  <cols>
    <col min="2" max="2" width="18.140625" customWidth="1"/>
    <col min="8" max="8" width="17.7109375" customWidth="1"/>
    <col min="14" max="14" width="23.85546875" bestFit="1" customWidth="1"/>
    <col min="15" max="15" width="19.140625" customWidth="1"/>
  </cols>
  <sheetData>
    <row r="1" spans="1:15" ht="15.75" customHeight="1">
      <c r="A1" s="75" t="s">
        <v>121</v>
      </c>
      <c r="B1" s="75" t="s">
        <v>122</v>
      </c>
      <c r="C1" s="79" t="s">
        <v>237</v>
      </c>
      <c r="E1" t="s">
        <v>129</v>
      </c>
      <c r="F1" t="s">
        <v>130</v>
      </c>
      <c r="H1" t="s">
        <v>131</v>
      </c>
    </row>
    <row r="2" spans="1:15" ht="15.75" customHeight="1">
      <c r="A2" s="81" t="s">
        <v>132</v>
      </c>
      <c r="B2" s="82">
        <v>0</v>
      </c>
      <c r="C2" s="111">
        <v>0</v>
      </c>
      <c r="E2">
        <v>6</v>
      </c>
      <c r="F2">
        <f>$I$2/(1+EXP((-1)*$I$4*(E2-$I$3)))</f>
        <v>2577.2486775983025</v>
      </c>
      <c r="H2" t="s">
        <v>134</v>
      </c>
      <c r="I2">
        <f>O2*L4</f>
        <v>96900</v>
      </c>
      <c r="K2" t="s">
        <v>171</v>
      </c>
      <c r="N2" t="s">
        <v>172</v>
      </c>
      <c r="O2">
        <v>190000</v>
      </c>
    </row>
    <row r="3" spans="1:15" ht="15.75" customHeight="1">
      <c r="A3" s="81" t="s">
        <v>63</v>
      </c>
      <c r="B3" s="82">
        <f t="shared" ref="B3:B8" si="0">F3</f>
        <v>3252.8577359756564</v>
      </c>
      <c r="C3" s="111">
        <f>B3*($O$3+($O$3*0.19))</f>
        <v>17561259.741141878</v>
      </c>
      <c r="E3">
        <v>7</v>
      </c>
      <c r="F3">
        <f>$I$2/(1+EXP((-1)*$I$4*(E3-$I$3)))</f>
        <v>3252.8577359756564</v>
      </c>
      <c r="H3" t="s">
        <v>136</v>
      </c>
      <c r="I3">
        <f>AVERAGE(E2:E12)</f>
        <v>21</v>
      </c>
      <c r="K3" t="s">
        <v>173</v>
      </c>
      <c r="L3" s="94">
        <v>0.32</v>
      </c>
      <c r="N3" t="s">
        <v>275</v>
      </c>
      <c r="O3" s="175">
        <f>('Salarios, gastos y costos'!G66/F30)+(('Salarios, gastos y costos'!G66/F30*O4))</f>
        <v>4536.7373321611567</v>
      </c>
    </row>
    <row r="4" spans="1:15" ht="15.75" customHeight="1">
      <c r="A4" s="81" t="s">
        <v>64</v>
      </c>
      <c r="B4" s="82">
        <f t="shared" si="0"/>
        <v>4097.8788914930747</v>
      </c>
      <c r="C4" s="111">
        <f t="shared" ref="C4:C13" si="1">B4*($O$3+($O$3*0.19))</f>
        <v>22123290.178157054</v>
      </c>
      <c r="E4">
        <v>8</v>
      </c>
      <c r="F4">
        <f t="shared" ref="F4:F12" si="2">$I$2/(1+EXP((-1)*$I$4*(E4-$I$3)))</f>
        <v>4097.8788914930747</v>
      </c>
      <c r="H4" t="s">
        <v>139</v>
      </c>
      <c r="I4">
        <v>0.24</v>
      </c>
      <c r="K4" t="s">
        <v>174</v>
      </c>
      <c r="L4" s="94">
        <v>0.51</v>
      </c>
      <c r="N4" s="93" t="s">
        <v>276</v>
      </c>
      <c r="O4" s="142">
        <v>0.62350000000000005</v>
      </c>
    </row>
    <row r="5" spans="1:15" ht="15.75" customHeight="1">
      <c r="A5" s="81" t="s">
        <v>65</v>
      </c>
      <c r="B5" s="82">
        <f t="shared" si="0"/>
        <v>5150.3451169723749</v>
      </c>
      <c r="C5" s="111">
        <f>B5*($O$3+($O$3*0.19))</f>
        <v>27805257.929162167</v>
      </c>
      <c r="E5">
        <v>9</v>
      </c>
      <c r="F5">
        <f t="shared" si="2"/>
        <v>5150.3451169723749</v>
      </c>
      <c r="K5" t="s">
        <v>175</v>
      </c>
      <c r="L5" s="94">
        <v>0.16</v>
      </c>
      <c r="O5" s="174">
        <f>('Salarios, gastos y costos'!G66/F29)</f>
        <v>3218.6715090860262</v>
      </c>
    </row>
    <row r="6" spans="1:15" ht="15.75" customHeight="1">
      <c r="A6" s="81" t="s">
        <v>66</v>
      </c>
      <c r="B6" s="82">
        <f t="shared" si="0"/>
        <v>6454.3186472262878</v>
      </c>
      <c r="C6" s="111">
        <f t="shared" si="1"/>
        <v>34845042.549037121</v>
      </c>
      <c r="E6">
        <v>10</v>
      </c>
      <c r="F6">
        <f t="shared" si="2"/>
        <v>6454.3186472262878</v>
      </c>
    </row>
    <row r="7" spans="1:15" ht="15.75" customHeight="1">
      <c r="A7" s="81" t="s">
        <v>67</v>
      </c>
      <c r="B7" s="82">
        <f t="shared" si="0"/>
        <v>8059.4342902610779</v>
      </c>
      <c r="C7" s="111">
        <f t="shared" si="1"/>
        <v>43510608.340665355</v>
      </c>
      <c r="E7">
        <v>11</v>
      </c>
      <c r="F7">
        <f t="shared" si="2"/>
        <v>8059.4342902610779</v>
      </c>
    </row>
    <row r="8" spans="1:15" ht="15.75" customHeight="1">
      <c r="A8" s="81" t="s">
        <v>68</v>
      </c>
      <c r="B8" s="82">
        <f t="shared" si="0"/>
        <v>10019.503746304383</v>
      </c>
      <c r="C8" s="111">
        <f t="shared" si="1"/>
        <v>54092469.46774932</v>
      </c>
      <c r="D8" t="s">
        <v>176</v>
      </c>
      <c r="E8">
        <v>12</v>
      </c>
      <c r="F8">
        <f t="shared" si="2"/>
        <v>10019.503746304383</v>
      </c>
    </row>
    <row r="9" spans="1:15" ht="15.75" customHeight="1">
      <c r="A9" s="81" t="s">
        <v>70</v>
      </c>
      <c r="B9" s="82">
        <f>F8</f>
        <v>10019.503746304383</v>
      </c>
      <c r="C9" s="111">
        <f t="shared" si="1"/>
        <v>54092469.46774932</v>
      </c>
      <c r="D9" t="s">
        <v>177</v>
      </c>
      <c r="E9">
        <v>24</v>
      </c>
      <c r="F9">
        <f t="shared" si="2"/>
        <v>65175.619953865986</v>
      </c>
    </row>
    <row r="10" spans="1:15" ht="15.75" customHeight="1">
      <c r="A10" s="81" t="s">
        <v>71</v>
      </c>
      <c r="B10" s="82">
        <f>F9</f>
        <v>65175.619953865986</v>
      </c>
      <c r="C10" s="111">
        <f t="shared" si="1"/>
        <v>351864755.14782721</v>
      </c>
      <c r="D10" t="s">
        <v>178</v>
      </c>
      <c r="E10">
        <v>36</v>
      </c>
      <c r="F10">
        <f>$I$2/(1+EXP((-1)*$I$4*(E10-$I$3)))</f>
        <v>94322.751322401688</v>
      </c>
    </row>
    <row r="11" spans="1:15" ht="15.75" customHeight="1">
      <c r="A11" s="81" t="s">
        <v>72</v>
      </c>
      <c r="B11" s="82">
        <f>F10</f>
        <v>94322.751322401688</v>
      </c>
      <c r="C11" s="111">
        <f t="shared" si="1"/>
        <v>509221881.16382653</v>
      </c>
      <c r="D11" t="s">
        <v>179</v>
      </c>
      <c r="E11">
        <v>48</v>
      </c>
      <c r="F11">
        <f t="shared" si="2"/>
        <v>96751.601360591376</v>
      </c>
    </row>
    <row r="12" spans="1:15" ht="15.75" customHeight="1">
      <c r="A12" s="81" t="s">
        <v>74</v>
      </c>
      <c r="B12" s="82">
        <f>F11</f>
        <v>96751.601360591376</v>
      </c>
      <c r="C12" s="111">
        <f t="shared" si="1"/>
        <v>522334556.18837321</v>
      </c>
      <c r="D12" t="s">
        <v>180</v>
      </c>
      <c r="E12">
        <v>60</v>
      </c>
      <c r="F12">
        <f t="shared" si="2"/>
        <v>96891.657618714249</v>
      </c>
    </row>
    <row r="13" spans="1:15" ht="15.75" customHeight="1">
      <c r="A13" s="81" t="s">
        <v>75</v>
      </c>
      <c r="B13" s="82">
        <f>F12</f>
        <v>96891.657618714249</v>
      </c>
      <c r="C13" s="111">
        <f t="shared" si="1"/>
        <v>523090680.34961951</v>
      </c>
    </row>
    <row r="14" spans="1:15" ht="15.75" customHeight="1">
      <c r="A14" s="11"/>
    </row>
    <row r="15" spans="1:15" ht="15.75" customHeight="1">
      <c r="A15" s="11"/>
    </row>
    <row r="22" spans="5:6" ht="15.75" customHeight="1">
      <c r="E22">
        <v>12</v>
      </c>
      <c r="F22" s="176">
        <f>$I$2/(1+EXP((-1)*$I$4*(E22-$I$3)))</f>
        <v>10019.503746304383</v>
      </c>
    </row>
    <row r="23" spans="5:6" ht="15.75" customHeight="1">
      <c r="E23">
        <v>13</v>
      </c>
      <c r="F23" s="176">
        <f t="shared" ref="F23:F35" si="3">$I$2/(1+EXP((-1)*$I$4*(E23-$I$3)))</f>
        <v>12389.78577631898</v>
      </c>
    </row>
    <row r="24" spans="5:6" ht="15.75" customHeight="1">
      <c r="E24">
        <v>14</v>
      </c>
      <c r="F24" s="176">
        <f t="shared" si="3"/>
        <v>15222.55093500037</v>
      </c>
    </row>
    <row r="25" spans="5:6" ht="15.75" customHeight="1">
      <c r="E25">
        <v>15</v>
      </c>
      <c r="F25" s="176">
        <f t="shared" si="3"/>
        <v>18560.744275606201</v>
      </c>
    </row>
    <row r="26" spans="5:6" ht="15.75" customHeight="1">
      <c r="E26">
        <v>16</v>
      </c>
      <c r="F26" s="176">
        <f t="shared" si="3"/>
        <v>22429.948478945193</v>
      </c>
    </row>
    <row r="27" spans="5:6" ht="15.75" customHeight="1">
      <c r="E27">
        <v>17</v>
      </c>
      <c r="F27" s="176">
        <f t="shared" si="3"/>
        <v>26829.497083446626</v>
      </c>
    </row>
    <row r="28" spans="5:6" ht="15.75" customHeight="1">
      <c r="E28">
        <v>18</v>
      </c>
      <c r="F28" s="176">
        <f t="shared" si="3"/>
        <v>31724.380046134014</v>
      </c>
    </row>
    <row r="29" spans="5:6" ht="15.75" customHeight="1">
      <c r="E29">
        <v>19</v>
      </c>
      <c r="F29" s="176">
        <f t="shared" si="3"/>
        <v>37040.23093485977</v>
      </c>
    </row>
    <row r="30" spans="5:6" ht="15.75" customHeight="1">
      <c r="E30">
        <v>20</v>
      </c>
      <c r="F30" s="176">
        <f t="shared" si="3"/>
        <v>42663.747386009003</v>
      </c>
    </row>
    <row r="31" spans="5:6" ht="15.75" customHeight="1">
      <c r="E31">
        <v>21</v>
      </c>
      <c r="F31" s="176">
        <f t="shared" si="3"/>
        <v>48450</v>
      </c>
    </row>
    <row r="32" spans="5:6" ht="15.75" customHeight="1">
      <c r="E32">
        <v>22</v>
      </c>
      <c r="F32" s="176">
        <f t="shared" si="3"/>
        <v>54236.252613990997</v>
      </c>
    </row>
    <row r="33" spans="5:6" ht="15.75" customHeight="1">
      <c r="E33">
        <v>23</v>
      </c>
      <c r="F33" s="176">
        <f t="shared" si="3"/>
        <v>59859.769065140223</v>
      </c>
    </row>
    <row r="34" spans="5:6" ht="15.75" customHeight="1">
      <c r="E34">
        <v>24</v>
      </c>
      <c r="F34" s="176">
        <f t="shared" si="3"/>
        <v>65175.619953865986</v>
      </c>
    </row>
    <row r="35" spans="5:6" ht="15.75" customHeight="1">
      <c r="E35">
        <v>25</v>
      </c>
      <c r="F35" s="176">
        <f t="shared" si="3"/>
        <v>70070.502916553378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70"/>
  <sheetViews>
    <sheetView topLeftCell="AQ145" zoomScale="115" zoomScaleNormal="115" workbookViewId="0">
      <selection activeCell="BE163" sqref="BE163"/>
    </sheetView>
  </sheetViews>
  <sheetFormatPr baseColWidth="10" defaultColWidth="14.42578125" defaultRowHeight="15.75" customHeight="1"/>
  <cols>
    <col min="1" max="1" width="21.5703125" bestFit="1" customWidth="1"/>
    <col min="2" max="2" width="14.28515625" bestFit="1" customWidth="1"/>
    <col min="3" max="3" width="27.140625" bestFit="1" customWidth="1"/>
    <col min="4" max="4" width="24.85546875" bestFit="1" customWidth="1"/>
    <col min="5" max="5" width="12.85546875" bestFit="1" customWidth="1"/>
    <col min="6" max="6" width="13.7109375" customWidth="1"/>
    <col min="7" max="7" width="15.42578125" bestFit="1" customWidth="1"/>
    <col min="10" max="10" width="19.140625" bestFit="1" customWidth="1"/>
    <col min="13" max="13" width="17.28515625" customWidth="1"/>
    <col min="51" max="51" width="16.28515625" customWidth="1"/>
    <col min="52" max="52" width="27.140625" bestFit="1" customWidth="1"/>
    <col min="53" max="53" width="13.5703125" bestFit="1" customWidth="1"/>
    <col min="54" max="54" width="9.85546875" customWidth="1"/>
    <col min="55" max="55" width="10.7109375" customWidth="1"/>
    <col min="56" max="56" width="11.85546875" customWidth="1"/>
    <col min="57" max="57" width="12.85546875" customWidth="1"/>
  </cols>
  <sheetData>
    <row r="1" spans="1:14" ht="15.75" customHeight="1">
      <c r="A1" s="241" t="s">
        <v>8</v>
      </c>
      <c r="B1" s="242"/>
      <c r="D1" s="241" t="s">
        <v>9</v>
      </c>
      <c r="E1" s="242"/>
      <c r="J1" s="241" t="s">
        <v>11</v>
      </c>
      <c r="K1" s="242"/>
      <c r="M1" s="6" t="s">
        <v>12</v>
      </c>
    </row>
    <row r="2" spans="1:14" ht="15.75" customHeight="1">
      <c r="A2" s="7" t="s">
        <v>13</v>
      </c>
      <c r="B2" s="8">
        <v>3066667</v>
      </c>
      <c r="D2" s="218" t="s">
        <v>296</v>
      </c>
      <c r="E2" s="235">
        <v>0</v>
      </c>
      <c r="J2" s="9" t="s">
        <v>295</v>
      </c>
      <c r="K2" s="10">
        <f>((279000*0.19)+279000)</f>
        <v>332010</v>
      </c>
      <c r="M2" s="11" t="s">
        <v>18</v>
      </c>
      <c r="N2" s="11">
        <v>20000</v>
      </c>
    </row>
    <row r="3" spans="1:14" ht="15.75" customHeight="1">
      <c r="A3" s="7" t="s">
        <v>19</v>
      </c>
      <c r="B3" s="8">
        <v>2039963</v>
      </c>
      <c r="D3" s="218" t="s">
        <v>297</v>
      </c>
      <c r="E3" s="235">
        <v>0</v>
      </c>
      <c r="J3" s="9" t="s">
        <v>20</v>
      </c>
      <c r="K3" s="10">
        <v>0</v>
      </c>
      <c r="M3" s="11" t="s">
        <v>21</v>
      </c>
      <c r="N3" s="11">
        <v>10000</v>
      </c>
    </row>
    <row r="4" spans="1:14" ht="15.75" customHeight="1">
      <c r="A4" s="7" t="s">
        <v>22</v>
      </c>
      <c r="B4" s="8">
        <v>200000</v>
      </c>
      <c r="D4" s="218" t="s">
        <v>298</v>
      </c>
      <c r="E4" s="235">
        <v>0</v>
      </c>
      <c r="J4" s="12"/>
      <c r="K4" s="13"/>
    </row>
    <row r="5" spans="1:14" ht="15.75" customHeight="1">
      <c r="A5" s="7" t="s">
        <v>168</v>
      </c>
      <c r="B5" s="8">
        <v>1416857</v>
      </c>
      <c r="D5" s="218" t="s">
        <v>299</v>
      </c>
      <c r="E5" s="235">
        <v>0</v>
      </c>
      <c r="J5" s="12"/>
      <c r="K5" s="13"/>
    </row>
    <row r="6" spans="1:14" ht="15.75" customHeight="1">
      <c r="A6" s="7" t="s">
        <v>169</v>
      </c>
      <c r="B6" s="8">
        <v>1244703</v>
      </c>
      <c r="D6" s="218" t="s">
        <v>300</v>
      </c>
      <c r="E6" s="235">
        <v>0</v>
      </c>
      <c r="J6" s="12"/>
      <c r="K6" s="13"/>
    </row>
    <row r="7" spans="1:14" ht="15.75" customHeight="1">
      <c r="A7" s="7" t="s">
        <v>170</v>
      </c>
      <c r="B7" s="8">
        <v>1244703</v>
      </c>
      <c r="D7" s="220" t="s">
        <v>25</v>
      </c>
      <c r="E7" s="236">
        <f>E2+E3+E4+E5+E6</f>
        <v>0</v>
      </c>
      <c r="J7" s="12"/>
      <c r="K7" s="13"/>
    </row>
    <row r="8" spans="1:14" ht="15.75" customHeight="1">
      <c r="A8" s="7"/>
      <c r="B8" s="8"/>
      <c r="D8" s="220" t="s">
        <v>293</v>
      </c>
      <c r="E8" s="236">
        <v>0</v>
      </c>
      <c r="J8" s="12"/>
      <c r="K8" s="13"/>
    </row>
    <row r="9" spans="1:14" ht="15.75" customHeight="1">
      <c r="A9" s="15"/>
      <c r="B9" s="16"/>
      <c r="D9" s="218"/>
      <c r="E9" s="219"/>
      <c r="J9" s="12"/>
      <c r="K9" s="13"/>
    </row>
    <row r="10" spans="1:14" ht="15.75" customHeight="1">
      <c r="A10" s="15"/>
      <c r="B10" s="16"/>
      <c r="D10" s="218"/>
      <c r="E10" s="219"/>
      <c r="J10" s="12"/>
      <c r="K10" s="13"/>
    </row>
    <row r="11" spans="1:14" ht="15.75" customHeight="1">
      <c r="A11" s="5" t="s">
        <v>215</v>
      </c>
      <c r="B11" s="16">
        <f>SUM(B2:B10)</f>
        <v>9212893</v>
      </c>
      <c r="J11" s="215" t="s">
        <v>28</v>
      </c>
      <c r="K11" s="237">
        <f>K2+K3</f>
        <v>332010</v>
      </c>
      <c r="M11" s="6" t="s">
        <v>29</v>
      </c>
      <c r="N11">
        <f>SUM(N2:N10)</f>
        <v>30000</v>
      </c>
    </row>
    <row r="12" spans="1:14" ht="15.75" customHeight="1">
      <c r="A12" s="104" t="s">
        <v>216</v>
      </c>
      <c r="B12" s="16">
        <f>B11*12</f>
        <v>110554716</v>
      </c>
      <c r="J12" s="216" t="s">
        <v>294</v>
      </c>
      <c r="K12" s="238">
        <f>K11*12</f>
        <v>3984120</v>
      </c>
    </row>
    <row r="13" spans="1:14" ht="15.75" customHeight="1">
      <c r="A13" s="11" t="s">
        <v>30</v>
      </c>
      <c r="B13" s="11">
        <v>100</v>
      </c>
    </row>
    <row r="17" spans="1:14" ht="15.75" customHeight="1">
      <c r="A17" s="241" t="s">
        <v>31</v>
      </c>
      <c r="B17" s="242"/>
      <c r="D17" s="243" t="s">
        <v>10</v>
      </c>
      <c r="E17" s="244"/>
      <c r="M17" s="11" t="s">
        <v>33</v>
      </c>
      <c r="N17" s="11" t="s">
        <v>34</v>
      </c>
    </row>
    <row r="18" spans="1:14" ht="15.75" customHeight="1">
      <c r="A18" s="7" t="s">
        <v>13</v>
      </c>
      <c r="B18" s="8">
        <v>1600000</v>
      </c>
      <c r="D18" s="231" t="s">
        <v>17</v>
      </c>
      <c r="E18" s="232">
        <v>60800</v>
      </c>
      <c r="M18" s="11">
        <v>2006</v>
      </c>
      <c r="N18" s="11">
        <v>4.4800000000000004</v>
      </c>
    </row>
    <row r="19" spans="1:14" ht="15.75" customHeight="1">
      <c r="A19" s="7" t="s">
        <v>19</v>
      </c>
      <c r="B19" s="8">
        <v>2039963</v>
      </c>
      <c r="D19" s="231"/>
      <c r="E19" s="232"/>
      <c r="M19" s="11">
        <v>2007</v>
      </c>
      <c r="N19" s="11">
        <v>5.69</v>
      </c>
    </row>
    <row r="20" spans="1:14" ht="15.75" customHeight="1">
      <c r="A20" s="7" t="s">
        <v>22</v>
      </c>
      <c r="B20" s="8">
        <v>200000</v>
      </c>
      <c r="D20" s="231"/>
      <c r="E20" s="232"/>
      <c r="M20" s="11">
        <v>2008</v>
      </c>
      <c r="N20" s="11">
        <v>7.67</v>
      </c>
    </row>
    <row r="21" spans="1:14" ht="15.75" customHeight="1">
      <c r="A21" s="7" t="s">
        <v>168</v>
      </c>
      <c r="B21" s="8">
        <v>1416857</v>
      </c>
      <c r="D21" s="231"/>
      <c r="E21" s="232"/>
      <c r="M21" s="11">
        <v>2009</v>
      </c>
      <c r="N21" s="11">
        <v>2</v>
      </c>
    </row>
    <row r="22" spans="1:14" ht="15.75" customHeight="1">
      <c r="A22" s="7" t="s">
        <v>169</v>
      </c>
      <c r="B22" s="8">
        <v>1244703</v>
      </c>
      <c r="D22" s="231"/>
      <c r="E22" s="232"/>
      <c r="M22" s="11">
        <v>2010</v>
      </c>
      <c r="N22" s="11">
        <v>3.17</v>
      </c>
    </row>
    <row r="23" spans="1:14" ht="15.75" customHeight="1">
      <c r="A23" s="7" t="s">
        <v>170</v>
      </c>
      <c r="B23" s="8">
        <v>1244703</v>
      </c>
      <c r="D23" s="231"/>
      <c r="E23" s="232"/>
      <c r="M23" s="11">
        <v>2011</v>
      </c>
      <c r="N23" s="11">
        <v>3.73</v>
      </c>
    </row>
    <row r="24" spans="1:14" ht="15.75" customHeight="1">
      <c r="A24" s="7"/>
      <c r="B24" s="8"/>
      <c r="D24" s="231"/>
      <c r="E24" s="232"/>
      <c r="M24" s="11">
        <v>2012</v>
      </c>
      <c r="N24" s="11">
        <v>2.44</v>
      </c>
    </row>
    <row r="25" spans="1:14" ht="12.75">
      <c r="A25" s="15"/>
      <c r="B25" s="16"/>
      <c r="D25" s="231"/>
      <c r="E25" s="232"/>
      <c r="M25" s="11">
        <v>2013</v>
      </c>
      <c r="N25" s="11">
        <v>1.94</v>
      </c>
    </row>
    <row r="26" spans="1:14" ht="12.75">
      <c r="A26" s="15"/>
      <c r="B26" s="16"/>
      <c r="D26" s="231"/>
      <c r="E26" s="232"/>
      <c r="M26" s="11">
        <v>2014</v>
      </c>
      <c r="N26" s="11">
        <v>3.66</v>
      </c>
    </row>
    <row r="27" spans="1:14" ht="12.75">
      <c r="A27" s="5" t="s">
        <v>24</v>
      </c>
      <c r="B27" s="16">
        <f>SUM(B18:B26)</f>
        <v>7746226</v>
      </c>
      <c r="D27" s="233" t="s">
        <v>27</v>
      </c>
      <c r="E27" s="234">
        <f>SUM(E18:E26)</f>
        <v>60800</v>
      </c>
      <c r="M27" s="11">
        <v>2015</v>
      </c>
      <c r="N27" s="11">
        <v>6.77</v>
      </c>
    </row>
    <row r="28" spans="1:14" ht="12.75">
      <c r="D28" s="216" t="s">
        <v>304</v>
      </c>
      <c r="E28" s="217">
        <f>E27*12</f>
        <v>729600</v>
      </c>
      <c r="M28" s="11">
        <v>2016</v>
      </c>
      <c r="N28" s="11">
        <v>5.75</v>
      </c>
    </row>
    <row r="29" spans="1:14" ht="12.75">
      <c r="N29">
        <f>AVERAGE(N18:N28)</f>
        <v>4.3000000000000007</v>
      </c>
    </row>
    <row r="31" spans="1:14" ht="41.25" customHeight="1">
      <c r="M31" s="11" t="s">
        <v>37</v>
      </c>
      <c r="N31" s="103" t="s">
        <v>38</v>
      </c>
    </row>
    <row r="33" spans="1:8" ht="15.75" customHeight="1" thickBot="1"/>
    <row r="34" spans="1:8" ht="15.75" customHeight="1" thickTop="1" thickBot="1">
      <c r="A34" s="246" t="s">
        <v>214</v>
      </c>
      <c r="B34" s="246"/>
      <c r="C34" s="246"/>
      <c r="D34" s="246"/>
      <c r="E34" s="246"/>
      <c r="F34" s="246"/>
      <c r="G34" s="246"/>
      <c r="H34" s="246"/>
    </row>
    <row r="35" spans="1:8" ht="15.75" customHeight="1" thickTop="1" thickBot="1">
      <c r="A35" s="247"/>
      <c r="B35" s="247"/>
      <c r="C35" s="247"/>
      <c r="D35" s="247"/>
      <c r="E35" s="247"/>
      <c r="F35" s="247"/>
      <c r="G35" s="247"/>
      <c r="H35" s="247"/>
    </row>
    <row r="36" spans="1:8" ht="46.5" customHeight="1" thickTop="1" thickBot="1">
      <c r="A36" s="106" t="s">
        <v>182</v>
      </c>
      <c r="B36" s="106" t="s">
        <v>183</v>
      </c>
      <c r="C36" s="106" t="s">
        <v>184</v>
      </c>
      <c r="D36" s="106" t="s">
        <v>185</v>
      </c>
      <c r="E36" s="106" t="s">
        <v>186</v>
      </c>
      <c r="F36" s="106" t="s">
        <v>187</v>
      </c>
      <c r="G36" s="106" t="s">
        <v>188</v>
      </c>
      <c r="H36" s="106" t="s">
        <v>189</v>
      </c>
    </row>
    <row r="37" spans="1:8" ht="15.75" customHeight="1" thickTop="1">
      <c r="A37" s="96" t="s">
        <v>190</v>
      </c>
      <c r="B37" s="96" t="s">
        <v>191</v>
      </c>
      <c r="C37" s="96" t="s">
        <v>192</v>
      </c>
      <c r="D37" s="96" t="s">
        <v>193</v>
      </c>
      <c r="E37" s="96">
        <v>2</v>
      </c>
      <c r="F37" s="105">
        <v>55000</v>
      </c>
      <c r="G37" s="105">
        <f>F37*E37</f>
        <v>110000</v>
      </c>
      <c r="H37" s="96" t="s">
        <v>194</v>
      </c>
    </row>
    <row r="38" spans="1:8" ht="15.75" customHeight="1">
      <c r="A38" s="96" t="s">
        <v>195</v>
      </c>
      <c r="B38" s="96" t="s">
        <v>191</v>
      </c>
      <c r="C38" s="96" t="s">
        <v>196</v>
      </c>
      <c r="D38" s="96" t="s">
        <v>197</v>
      </c>
      <c r="E38" s="96">
        <v>1</v>
      </c>
      <c r="F38" s="105">
        <v>140000</v>
      </c>
      <c r="G38" s="105">
        <f t="shared" ref="G38:G42" si="0">F38*E38</f>
        <v>140000</v>
      </c>
      <c r="H38" s="96" t="s">
        <v>194</v>
      </c>
    </row>
    <row r="39" spans="1:8" ht="15.75" customHeight="1">
      <c r="A39" s="96" t="s">
        <v>198</v>
      </c>
      <c r="B39" s="96" t="s">
        <v>191</v>
      </c>
      <c r="C39" s="96" t="s">
        <v>196</v>
      </c>
      <c r="D39" s="96" t="s">
        <v>199</v>
      </c>
      <c r="E39" s="96">
        <v>1</v>
      </c>
      <c r="F39" s="105">
        <v>40000</v>
      </c>
      <c r="G39" s="105">
        <f t="shared" si="0"/>
        <v>40000</v>
      </c>
      <c r="H39" s="96" t="s">
        <v>194</v>
      </c>
    </row>
    <row r="40" spans="1:8" ht="15.75" customHeight="1">
      <c r="A40" s="96" t="s">
        <v>200</v>
      </c>
      <c r="B40" s="96" t="s">
        <v>201</v>
      </c>
      <c r="C40" s="96" t="s">
        <v>196</v>
      </c>
      <c r="D40" s="96" t="s">
        <v>202</v>
      </c>
      <c r="E40" s="96">
        <v>1</v>
      </c>
      <c r="F40" s="105">
        <v>40000</v>
      </c>
      <c r="G40" s="105">
        <f t="shared" si="0"/>
        <v>40000</v>
      </c>
      <c r="H40" s="96" t="s">
        <v>194</v>
      </c>
    </row>
    <row r="41" spans="1:8" ht="15.75" customHeight="1">
      <c r="A41" s="96" t="s">
        <v>203</v>
      </c>
      <c r="B41" s="96" t="s">
        <v>204</v>
      </c>
      <c r="C41" s="96" t="s">
        <v>205</v>
      </c>
      <c r="D41" s="96" t="s">
        <v>206</v>
      </c>
      <c r="E41" s="96">
        <v>7</v>
      </c>
      <c r="F41" s="105">
        <v>485000</v>
      </c>
      <c r="G41" s="105">
        <f>F41*E41</f>
        <v>3395000</v>
      </c>
      <c r="H41" s="96" t="s">
        <v>203</v>
      </c>
    </row>
    <row r="42" spans="1:8" ht="15.75" customHeight="1">
      <c r="A42" s="96" t="s">
        <v>207</v>
      </c>
      <c r="B42" s="96" t="s">
        <v>204</v>
      </c>
      <c r="C42" s="96" t="s">
        <v>205</v>
      </c>
      <c r="D42" s="96" t="s">
        <v>208</v>
      </c>
      <c r="E42" s="96">
        <v>7</v>
      </c>
      <c r="F42" s="105">
        <v>80000</v>
      </c>
      <c r="G42" s="105">
        <f t="shared" si="0"/>
        <v>560000</v>
      </c>
      <c r="H42" s="96" t="s">
        <v>209</v>
      </c>
    </row>
    <row r="43" spans="1:8" ht="15.75" customHeight="1">
      <c r="B43" s="100"/>
      <c r="C43" s="100"/>
      <c r="D43" s="100"/>
      <c r="E43" s="100"/>
      <c r="F43" s="221" t="s">
        <v>293</v>
      </c>
      <c r="G43" s="222">
        <f>SUBTOTAL(109,PUBLICIDAD[Costo total])</f>
        <v>4285000</v>
      </c>
      <c r="H43" s="101"/>
    </row>
    <row r="45" spans="1:8" ht="15.75" customHeight="1" thickBot="1"/>
    <row r="46" spans="1:8" ht="15.75" customHeight="1" thickTop="1" thickBot="1">
      <c r="A46" s="246" t="s">
        <v>232</v>
      </c>
      <c r="B46" s="246"/>
      <c r="C46" s="246"/>
      <c r="D46" s="246"/>
      <c r="E46" s="246"/>
      <c r="F46" s="246"/>
    </row>
    <row r="47" spans="1:8" ht="15.75" customHeight="1" thickTop="1">
      <c r="A47" s="248" t="s">
        <v>217</v>
      </c>
      <c r="B47" s="248"/>
      <c r="C47" s="248"/>
      <c r="D47" s="248"/>
      <c r="E47" s="248" t="s">
        <v>70</v>
      </c>
      <c r="F47" s="248"/>
    </row>
    <row r="48" spans="1:8" ht="15.75" customHeight="1">
      <c r="A48" s="250" t="s">
        <v>225</v>
      </c>
      <c r="B48" s="251"/>
      <c r="C48" s="254" t="s">
        <v>218</v>
      </c>
      <c r="D48" s="255"/>
      <c r="E48" s="245">
        <v>0</v>
      </c>
      <c r="F48" s="245"/>
    </row>
    <row r="49" spans="1:6" ht="15.75" customHeight="1">
      <c r="A49" s="251"/>
      <c r="B49" s="251"/>
      <c r="C49" s="254" t="s">
        <v>219</v>
      </c>
      <c r="D49" s="255"/>
      <c r="E49" s="245">
        <f>B2*12</f>
        <v>36800004</v>
      </c>
      <c r="F49" s="245"/>
    </row>
    <row r="50" spans="1:6" ht="15.75" customHeight="1">
      <c r="A50" s="251"/>
      <c r="B50" s="251"/>
      <c r="C50" s="254" t="s">
        <v>220</v>
      </c>
      <c r="D50" s="255"/>
      <c r="E50" s="245">
        <f>(B19*12+B22*12)</f>
        <v>39415992</v>
      </c>
      <c r="F50" s="245"/>
    </row>
    <row r="51" spans="1:6" ht="15.75" customHeight="1">
      <c r="A51" s="251"/>
      <c r="B51" s="251"/>
      <c r="C51" s="254" t="s">
        <v>221</v>
      </c>
      <c r="D51" s="254"/>
      <c r="E51" s="245">
        <f>B4*12</f>
        <v>2400000</v>
      </c>
      <c r="F51" s="245"/>
    </row>
    <row r="52" spans="1:6" ht="15.75" customHeight="1">
      <c r="A52" s="251"/>
      <c r="B52" s="251"/>
      <c r="C52" s="254" t="s">
        <v>222</v>
      </c>
      <c r="D52" s="255"/>
      <c r="E52" s="245">
        <f>(B21+B23)*12</f>
        <v>31938720</v>
      </c>
      <c r="F52" s="245"/>
    </row>
    <row r="53" spans="1:6" ht="15.75" customHeight="1" thickBot="1">
      <c r="A53" s="251"/>
      <c r="B53" s="251"/>
      <c r="C53" s="254" t="s">
        <v>223</v>
      </c>
      <c r="D53" s="255"/>
      <c r="E53" s="245">
        <v>0</v>
      </c>
      <c r="F53" s="245"/>
    </row>
    <row r="54" spans="1:6" ht="15.75" customHeight="1" thickTop="1" thickBot="1">
      <c r="A54" s="251"/>
      <c r="B54" s="251"/>
      <c r="C54" s="246" t="s">
        <v>224</v>
      </c>
      <c r="D54" s="246"/>
      <c r="E54" s="249">
        <f>SUM(E48:F53)</f>
        <v>110554716</v>
      </c>
      <c r="F54" s="249"/>
    </row>
    <row r="55" spans="1:6" ht="15.75" customHeight="1" thickTop="1">
      <c r="A55" s="250" t="s">
        <v>231</v>
      </c>
      <c r="B55" s="251"/>
      <c r="C55" s="252" t="s">
        <v>226</v>
      </c>
      <c r="D55" s="253"/>
      <c r="E55" s="256">
        <v>0</v>
      </c>
      <c r="F55" s="256"/>
    </row>
    <row r="56" spans="1:6" ht="15.75" customHeight="1">
      <c r="A56" s="251"/>
      <c r="B56" s="251"/>
      <c r="C56" s="254" t="s">
        <v>227</v>
      </c>
      <c r="D56" s="255"/>
      <c r="E56" s="257">
        <f>'Presupuesto Inicial'!J20*12</f>
        <v>700000</v>
      </c>
      <c r="F56" s="257"/>
    </row>
    <row r="57" spans="1:6" ht="15.75" customHeight="1">
      <c r="A57" s="251"/>
      <c r="B57" s="251"/>
      <c r="C57" s="254" t="s">
        <v>228</v>
      </c>
      <c r="D57" s="255"/>
      <c r="E57" s="257">
        <v>0</v>
      </c>
      <c r="F57" s="257"/>
    </row>
    <row r="58" spans="1:6" ht="15.75" customHeight="1" thickBot="1">
      <c r="A58" s="251"/>
      <c r="B58" s="251"/>
      <c r="C58" s="254" t="s">
        <v>229</v>
      </c>
      <c r="D58" s="255"/>
      <c r="E58" s="257">
        <v>0</v>
      </c>
      <c r="F58" s="257"/>
    </row>
    <row r="59" spans="1:6" ht="15.75" customHeight="1" thickTop="1" thickBot="1">
      <c r="A59" s="251"/>
      <c r="B59" s="251"/>
      <c r="C59" s="246" t="s">
        <v>230</v>
      </c>
      <c r="D59" s="246"/>
      <c r="E59" s="249">
        <f>SUM(E55:F58)</f>
        <v>700000</v>
      </c>
      <c r="F59" s="246"/>
    </row>
    <row r="60" spans="1:6" ht="15.75" customHeight="1" thickTop="1">
      <c r="A60" s="250" t="s">
        <v>235</v>
      </c>
      <c r="B60" s="250"/>
      <c r="C60" s="252" t="s">
        <v>245</v>
      </c>
      <c r="D60" s="252"/>
      <c r="E60" s="256">
        <f>('Presupuesto Inicial'!B12+'Presupuesto Inicial'!B13)+('Presupuesto Inicial'!B11*6)+('Salarios, gastos y costos'!K11*12)</f>
        <v>7848920</v>
      </c>
      <c r="F60" s="256"/>
    </row>
    <row r="61" spans="1:6" ht="15.75" customHeight="1" thickBot="1">
      <c r="A61" s="250"/>
      <c r="B61" s="250"/>
      <c r="C61" s="254" t="s">
        <v>233</v>
      </c>
      <c r="D61" s="254"/>
      <c r="E61" s="257">
        <f>'Presupuesto Inicial'!B2</f>
        <v>116700</v>
      </c>
      <c r="F61" s="257"/>
    </row>
    <row r="62" spans="1:6" ht="15.75" customHeight="1" thickTop="1" thickBot="1">
      <c r="A62" s="250"/>
      <c r="B62" s="250"/>
      <c r="C62" s="246" t="s">
        <v>234</v>
      </c>
      <c r="D62" s="246"/>
      <c r="E62" s="249">
        <f>E60+E61</f>
        <v>7965620</v>
      </c>
      <c r="F62" s="249"/>
    </row>
    <row r="63" spans="1:6" ht="15.75" customHeight="1" thickTop="1" thickBot="1">
      <c r="A63" s="246" t="s">
        <v>239</v>
      </c>
      <c r="B63" s="246"/>
      <c r="C63" s="246"/>
      <c r="D63" s="246"/>
      <c r="E63" s="258">
        <f>E54+E59+E62</f>
        <v>119220336</v>
      </c>
      <c r="F63" s="258"/>
    </row>
    <row r="64" spans="1:6" ht="15.75" customHeight="1" thickTop="1"/>
    <row r="65" spans="7:8" ht="15.75" customHeight="1" thickBot="1"/>
    <row r="66" spans="7:8" ht="15.75" customHeight="1" thickTop="1" thickBot="1">
      <c r="G66" s="173">
        <f>E54+E59+E62</f>
        <v>119220336</v>
      </c>
      <c r="H66" s="172"/>
    </row>
    <row r="67" spans="7:8" ht="15.75" customHeight="1" thickTop="1"/>
    <row r="160" ht="15.75" customHeight="1" thickBot="1"/>
    <row r="161" spans="50:57" ht="15.75" customHeight="1" thickTop="1" thickBot="1">
      <c r="AX161" s="246" t="s">
        <v>214</v>
      </c>
      <c r="AY161" s="246"/>
      <c r="AZ161" s="246"/>
      <c r="BA161" s="246"/>
      <c r="BB161" s="246"/>
      <c r="BC161" s="246"/>
      <c r="BD161" s="246"/>
      <c r="BE161" s="246"/>
    </row>
    <row r="162" spans="50:57" ht="15.75" customHeight="1" thickTop="1" thickBot="1">
      <c r="AX162" s="247"/>
      <c r="AY162" s="247"/>
      <c r="AZ162" s="247"/>
      <c r="BA162" s="247"/>
      <c r="BB162" s="247"/>
      <c r="BC162" s="247"/>
      <c r="BD162" s="247"/>
      <c r="BE162" s="247"/>
    </row>
    <row r="163" spans="50:57" s="304" customFormat="1" ht="50.25" customHeight="1" thickTop="1" thickBot="1">
      <c r="AX163" s="302" t="s">
        <v>182</v>
      </c>
      <c r="AY163" s="303" t="s">
        <v>183</v>
      </c>
      <c r="AZ163" s="302" t="s">
        <v>184</v>
      </c>
      <c r="BA163" s="302" t="s">
        <v>185</v>
      </c>
      <c r="BB163" s="303" t="s">
        <v>186</v>
      </c>
      <c r="BC163" s="303" t="s">
        <v>187</v>
      </c>
      <c r="BD163" s="303" t="s">
        <v>188</v>
      </c>
      <c r="BE163" s="302" t="s">
        <v>189</v>
      </c>
    </row>
    <row r="164" spans="50:57" s="307" customFormat="1" ht="27.75" customHeight="1" thickTop="1">
      <c r="AX164" s="305" t="s">
        <v>190</v>
      </c>
      <c r="AY164" s="305" t="s">
        <v>191</v>
      </c>
      <c r="AZ164" s="305" t="s">
        <v>192</v>
      </c>
      <c r="BA164" s="305" t="s">
        <v>193</v>
      </c>
      <c r="BB164" s="305">
        <v>2</v>
      </c>
      <c r="BC164" s="306">
        <v>55000</v>
      </c>
      <c r="BD164" s="306">
        <f>BC164*BB164</f>
        <v>110000</v>
      </c>
      <c r="BE164" s="305" t="s">
        <v>194</v>
      </c>
    </row>
    <row r="165" spans="50:57" ht="15.75" customHeight="1">
      <c r="AX165" s="96" t="s">
        <v>195</v>
      </c>
      <c r="AY165" s="96" t="s">
        <v>191</v>
      </c>
      <c r="AZ165" s="96" t="s">
        <v>196</v>
      </c>
      <c r="BA165" s="96" t="s">
        <v>197</v>
      </c>
      <c r="BB165" s="96">
        <v>1</v>
      </c>
      <c r="BC165" s="105">
        <v>140000</v>
      </c>
      <c r="BD165" s="105">
        <f t="shared" ref="BD165:BD169" si="1">BC165*BB165</f>
        <v>140000</v>
      </c>
      <c r="BE165" s="96" t="s">
        <v>194</v>
      </c>
    </row>
    <row r="166" spans="50:57" ht="15.75" customHeight="1">
      <c r="AX166" s="96" t="s">
        <v>198</v>
      </c>
      <c r="AY166" s="96" t="s">
        <v>191</v>
      </c>
      <c r="AZ166" s="96" t="s">
        <v>196</v>
      </c>
      <c r="BA166" s="96" t="s">
        <v>199</v>
      </c>
      <c r="BB166" s="96">
        <v>1</v>
      </c>
      <c r="BC166" s="105">
        <v>40000</v>
      </c>
      <c r="BD166" s="105">
        <f t="shared" si="1"/>
        <v>40000</v>
      </c>
      <c r="BE166" s="96" t="s">
        <v>194</v>
      </c>
    </row>
    <row r="167" spans="50:57" ht="15.75" customHeight="1">
      <c r="AX167" s="96" t="s">
        <v>200</v>
      </c>
      <c r="AY167" s="96" t="s">
        <v>201</v>
      </c>
      <c r="AZ167" s="96" t="s">
        <v>196</v>
      </c>
      <c r="BA167" s="96" t="s">
        <v>202</v>
      </c>
      <c r="BB167" s="96">
        <v>1</v>
      </c>
      <c r="BC167" s="105">
        <v>40000</v>
      </c>
      <c r="BD167" s="105">
        <f t="shared" si="1"/>
        <v>40000</v>
      </c>
      <c r="BE167" s="96" t="s">
        <v>194</v>
      </c>
    </row>
    <row r="168" spans="50:57" ht="15.75" customHeight="1">
      <c r="AX168" s="96" t="s">
        <v>203</v>
      </c>
      <c r="AY168" s="96" t="s">
        <v>204</v>
      </c>
      <c r="AZ168" s="96" t="s">
        <v>205</v>
      </c>
      <c r="BA168" s="96" t="s">
        <v>206</v>
      </c>
      <c r="BB168" s="96">
        <v>7</v>
      </c>
      <c r="BC168" s="105">
        <v>485000</v>
      </c>
      <c r="BD168" s="105">
        <f>BC168*BB168</f>
        <v>3395000</v>
      </c>
      <c r="BE168" s="96" t="s">
        <v>203</v>
      </c>
    </row>
    <row r="169" spans="50:57" ht="15.75" customHeight="1">
      <c r="AX169" s="96" t="s">
        <v>207</v>
      </c>
      <c r="AY169" s="96" t="s">
        <v>204</v>
      </c>
      <c r="AZ169" s="96" t="s">
        <v>205</v>
      </c>
      <c r="BA169" s="96" t="s">
        <v>208</v>
      </c>
      <c r="BB169" s="96">
        <v>7</v>
      </c>
      <c r="BC169" s="105">
        <v>80000</v>
      </c>
      <c r="BD169" s="105">
        <f t="shared" ref="BD169:BD170" si="2">BC169*BB169</f>
        <v>560000</v>
      </c>
      <c r="BE169" s="96" t="s">
        <v>209</v>
      </c>
    </row>
    <row r="170" spans="50:57" ht="15.75" customHeight="1">
      <c r="AY170" s="101"/>
      <c r="AZ170" s="101"/>
      <c r="BA170" s="101"/>
      <c r="BB170" s="101"/>
      <c r="BC170" s="301" t="s">
        <v>293</v>
      </c>
      <c r="BD170" s="222">
        <f>SUBTOTAL(109,PUBLICIDAD10[Costo total])</f>
        <v>4285000</v>
      </c>
      <c r="BE170" s="101"/>
    </row>
  </sheetData>
  <mergeCells count="47">
    <mergeCell ref="AX161:BE161"/>
    <mergeCell ref="AX162:BE162"/>
    <mergeCell ref="A63:D63"/>
    <mergeCell ref="E63:F63"/>
    <mergeCell ref="C60:D60"/>
    <mergeCell ref="C61:D61"/>
    <mergeCell ref="E60:F60"/>
    <mergeCell ref="E61:F61"/>
    <mergeCell ref="A60:B62"/>
    <mergeCell ref="C62:D62"/>
    <mergeCell ref="E62:F62"/>
    <mergeCell ref="C57:D57"/>
    <mergeCell ref="C58:D58"/>
    <mergeCell ref="C59:D59"/>
    <mergeCell ref="E55:F55"/>
    <mergeCell ref="E56:F56"/>
    <mergeCell ref="E57:F57"/>
    <mergeCell ref="E58:F58"/>
    <mergeCell ref="E59:F59"/>
    <mergeCell ref="C54:D54"/>
    <mergeCell ref="E54:F54"/>
    <mergeCell ref="A48:B54"/>
    <mergeCell ref="C55:D55"/>
    <mergeCell ref="C56:D56"/>
    <mergeCell ref="A55:B59"/>
    <mergeCell ref="E53:F53"/>
    <mergeCell ref="C48:D48"/>
    <mergeCell ref="C49:D49"/>
    <mergeCell ref="C50:D50"/>
    <mergeCell ref="C51:D51"/>
    <mergeCell ref="C52:D52"/>
    <mergeCell ref="C53:D53"/>
    <mergeCell ref="E48:F48"/>
    <mergeCell ref="E49:F49"/>
    <mergeCell ref="E50:F50"/>
    <mergeCell ref="E51:F51"/>
    <mergeCell ref="E52:F52"/>
    <mergeCell ref="A34:H34"/>
    <mergeCell ref="A35:H35"/>
    <mergeCell ref="A47:D47"/>
    <mergeCell ref="E47:F47"/>
    <mergeCell ref="A46:F46"/>
    <mergeCell ref="A1:B1"/>
    <mergeCell ref="A17:B17"/>
    <mergeCell ref="D1:E1"/>
    <mergeCell ref="D17:E17"/>
    <mergeCell ref="J1:K1"/>
  </mergeCells>
  <hyperlinks>
    <hyperlink ref="N31" r:id="rId1"/>
  </hyperlinks>
  <pageMargins left="0.7" right="0.7" top="0.75" bottom="0.75" header="0.3" footer="0.3"/>
  <pageSetup paperSize="9" orientation="portrait" r:id="rId2"/>
  <drawing r:id="rId3"/>
  <legacyDrawing r:id="rId4"/>
  <tableParts count="2"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90" zoomScaleNormal="190" workbookViewId="0">
      <selection activeCell="A2" sqref="A2:D10"/>
    </sheetView>
  </sheetViews>
  <sheetFormatPr baseColWidth="10" defaultColWidth="14.42578125" defaultRowHeight="15.75" customHeight="1"/>
  <cols>
    <col min="1" max="1" width="20.85546875" customWidth="1"/>
    <col min="3" max="3" width="21.7109375" customWidth="1"/>
  </cols>
  <sheetData>
    <row r="1" spans="1:4" ht="15.75" customHeight="1" thickBot="1"/>
    <row r="2" spans="1:4" ht="15.75" customHeight="1" thickTop="1" thickBot="1">
      <c r="A2" s="246" t="s">
        <v>7</v>
      </c>
      <c r="B2" s="259"/>
      <c r="C2" s="259"/>
      <c r="D2" s="259"/>
    </row>
    <row r="3" spans="1:4" ht="15.75" customHeight="1" thickTop="1">
      <c r="A3" s="261" t="s">
        <v>14</v>
      </c>
      <c r="B3" s="242"/>
      <c r="C3" s="261" t="s">
        <v>15</v>
      </c>
      <c r="D3" s="242"/>
    </row>
    <row r="4" spans="1:4" ht="15.75" customHeight="1">
      <c r="A4" s="262" t="s">
        <v>16</v>
      </c>
      <c r="B4" s="265">
        <v>1500000</v>
      </c>
      <c r="C4" s="18" t="s">
        <v>26</v>
      </c>
      <c r="D4" s="19">
        <v>0</v>
      </c>
    </row>
    <row r="5" spans="1:4" ht="15.75" customHeight="1">
      <c r="A5" s="263"/>
      <c r="B5" s="263"/>
      <c r="C5" s="261" t="s">
        <v>35</v>
      </c>
      <c r="D5" s="242"/>
    </row>
    <row r="6" spans="1:4" ht="15.75" customHeight="1">
      <c r="A6" s="263"/>
      <c r="B6" s="263"/>
      <c r="C6" s="18" t="s">
        <v>36</v>
      </c>
      <c r="D6" s="21">
        <v>1500000</v>
      </c>
    </row>
    <row r="7" spans="1:4" ht="15.75" customHeight="1">
      <c r="A7" s="263"/>
      <c r="B7" s="263"/>
      <c r="C7" s="18" t="s">
        <v>39</v>
      </c>
      <c r="D7" s="21">
        <v>975000</v>
      </c>
    </row>
    <row r="8" spans="1:4" ht="15.75" customHeight="1">
      <c r="A8" s="264"/>
      <c r="B8" s="264"/>
      <c r="C8" s="18" t="s">
        <v>236</v>
      </c>
      <c r="D8" s="21">
        <v>525000</v>
      </c>
    </row>
    <row r="9" spans="1:4" ht="15.75" customHeight="1" thickBot="1">
      <c r="A9" s="22" t="s">
        <v>41</v>
      </c>
      <c r="B9" s="23">
        <f>B4</f>
        <v>1500000</v>
      </c>
      <c r="C9" s="22" t="s">
        <v>51</v>
      </c>
      <c r="D9" s="23">
        <f>B9</f>
        <v>1500000</v>
      </c>
    </row>
    <row r="10" spans="1:4" ht="15.75" customHeight="1" thickTop="1" thickBot="1">
      <c r="A10" s="246" t="s">
        <v>53</v>
      </c>
      <c r="B10" s="259"/>
      <c r="C10" s="260">
        <f>D4+D9</f>
        <v>1500000</v>
      </c>
      <c r="D10" s="259"/>
    </row>
    <row r="11" spans="1:4" ht="15.75" customHeight="1" thickTop="1"/>
    <row r="12" spans="1:4" ht="15.75" customHeight="1">
      <c r="A12" s="11"/>
    </row>
  </sheetData>
  <mergeCells count="8">
    <mergeCell ref="A10:B10"/>
    <mergeCell ref="C10:D10"/>
    <mergeCell ref="A2:D2"/>
    <mergeCell ref="A3:B3"/>
    <mergeCell ref="C3:D3"/>
    <mergeCell ref="A4:A8"/>
    <mergeCell ref="B4:B8"/>
    <mergeCell ref="C5:D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zoomScale="160" zoomScaleNormal="160" workbookViewId="0">
      <selection activeCell="E3" sqref="E3:F3"/>
    </sheetView>
  </sheetViews>
  <sheetFormatPr baseColWidth="10" defaultRowHeight="12.75"/>
  <cols>
    <col min="5" max="5" width="11.7109375" bestFit="1" customWidth="1"/>
  </cols>
  <sheetData>
    <row r="2" spans="2:6" ht="15">
      <c r="B2" s="266" t="s">
        <v>238</v>
      </c>
      <c r="C2" s="266"/>
      <c r="D2" s="266"/>
      <c r="E2" s="266"/>
      <c r="F2" s="266"/>
    </row>
    <row r="3" spans="2:6">
      <c r="B3" s="247" t="s">
        <v>240</v>
      </c>
      <c r="C3" s="247"/>
      <c r="D3" s="247"/>
      <c r="E3" s="268">
        <f>'Salarios, gastos y costos'!E62:F62</f>
        <v>7965620</v>
      </c>
      <c r="F3" s="268"/>
    </row>
    <row r="4" spans="2:6">
      <c r="B4" s="269" t="s">
        <v>241</v>
      </c>
      <c r="C4" s="247"/>
      <c r="D4" s="247"/>
      <c r="E4" s="270">
        <f>'Salarios, gastos y costos'!B11*7</f>
        <v>64490251</v>
      </c>
      <c r="F4" s="270"/>
    </row>
    <row r="5" spans="2:6" ht="15">
      <c r="B5" s="266" t="s">
        <v>210</v>
      </c>
      <c r="C5" s="266"/>
      <c r="D5" s="266"/>
      <c r="E5" s="267">
        <f>SUM(E3:F4)</f>
        <v>72455871</v>
      </c>
      <c r="F5" s="267"/>
    </row>
  </sheetData>
  <mergeCells count="7">
    <mergeCell ref="B5:D5"/>
    <mergeCell ref="E5:F5"/>
    <mergeCell ref="B2:F2"/>
    <mergeCell ref="B3:D3"/>
    <mergeCell ref="E3:F3"/>
    <mergeCell ref="B4:D4"/>
    <mergeCell ref="E4:F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24"/>
  <sheetViews>
    <sheetView topLeftCell="A3" zoomScale="175" zoomScaleNormal="175" workbookViewId="0">
      <pane xSplit="1" topLeftCell="B1" activePane="topRight" state="frozen"/>
      <selection pane="topRight" activeCell="F113" sqref="F113"/>
    </sheetView>
  </sheetViews>
  <sheetFormatPr baseColWidth="10" defaultColWidth="14.42578125" defaultRowHeight="15.75" customHeight="1"/>
  <cols>
    <col min="1" max="1" width="23.140625" customWidth="1"/>
    <col min="2" max="2" width="16.42578125" customWidth="1"/>
    <col min="3" max="7" width="14.5703125" customWidth="1"/>
    <col min="8" max="8" width="7.85546875" customWidth="1"/>
    <col min="9" max="9" width="14.5703125" bestFit="1" customWidth="1"/>
    <col min="10" max="10" width="8" customWidth="1"/>
    <col min="11" max="11" width="14.5703125" bestFit="1" customWidth="1"/>
    <col min="12" max="12" width="8.28515625" customWidth="1"/>
    <col min="13" max="13" width="14.7109375" bestFit="1" customWidth="1"/>
    <col min="14" max="14" width="8.28515625" customWidth="1"/>
    <col min="15" max="15" width="14.7109375" bestFit="1" customWidth="1"/>
    <col min="16" max="16" width="7.42578125" customWidth="1"/>
    <col min="17" max="17" width="14.7109375" bestFit="1" customWidth="1"/>
    <col min="18" max="18" width="8.28515625" customWidth="1"/>
    <col min="19" max="19" width="14.7109375" bestFit="1" customWidth="1"/>
    <col min="21" max="21" width="16.7109375" bestFit="1" customWidth="1"/>
    <col min="22" max="22" width="15.7109375" bestFit="1" customWidth="1"/>
    <col min="24" max="24" width="35.85546875" bestFit="1" customWidth="1"/>
    <col min="52" max="52" width="14.42578125" customWidth="1"/>
    <col min="61" max="61" width="14.42578125" customWidth="1"/>
  </cols>
  <sheetData>
    <row r="1" spans="1:25" ht="12.75">
      <c r="A1" s="97"/>
      <c r="B1" s="123" t="s">
        <v>55</v>
      </c>
      <c r="C1" s="123" t="s">
        <v>58</v>
      </c>
      <c r="D1" s="123" t="s">
        <v>59</v>
      </c>
      <c r="E1" s="123" t="s">
        <v>60</v>
      </c>
      <c r="F1" s="123" t="s">
        <v>61</v>
      </c>
      <c r="G1" s="123" t="s">
        <v>62</v>
      </c>
      <c r="H1" s="272" t="s">
        <v>63</v>
      </c>
      <c r="I1" s="242"/>
      <c r="J1" s="271" t="s">
        <v>64</v>
      </c>
      <c r="K1" s="242"/>
      <c r="L1" s="271" t="s">
        <v>65</v>
      </c>
      <c r="M1" s="242"/>
      <c r="N1" s="271" t="s">
        <v>66</v>
      </c>
      <c r="O1" s="242"/>
      <c r="P1" s="271" t="s">
        <v>67</v>
      </c>
      <c r="Q1" s="242"/>
      <c r="R1" s="271" t="s">
        <v>68</v>
      </c>
      <c r="S1" s="242"/>
      <c r="U1" s="140" t="s">
        <v>70</v>
      </c>
    </row>
    <row r="2" spans="1:25" ht="12.75">
      <c r="A2" s="97" t="s">
        <v>69</v>
      </c>
      <c r="B2" s="126">
        <f t="shared" ref="B2:G2" si="0">B3</f>
        <v>0</v>
      </c>
      <c r="C2" s="126">
        <f t="shared" si="0"/>
        <v>0</v>
      </c>
      <c r="D2" s="126">
        <f t="shared" si="0"/>
        <v>0</v>
      </c>
      <c r="E2" s="126">
        <f t="shared" si="0"/>
        <v>0</v>
      </c>
      <c r="F2" s="126">
        <f t="shared" si="0"/>
        <v>0</v>
      </c>
      <c r="G2" s="126">
        <f t="shared" si="0"/>
        <v>0</v>
      </c>
      <c r="H2" s="127">
        <v>1</v>
      </c>
      <c r="I2" s="128">
        <f>I3</f>
        <v>17561259.741141878</v>
      </c>
      <c r="J2" s="129">
        <v>1</v>
      </c>
      <c r="K2" s="128">
        <f>K3</f>
        <v>22123290.178157054</v>
      </c>
      <c r="L2" s="129">
        <v>1</v>
      </c>
      <c r="M2" s="128">
        <f>M3</f>
        <v>27805257.929162167</v>
      </c>
      <c r="N2" s="129">
        <v>1</v>
      </c>
      <c r="O2" s="128">
        <f>O3</f>
        <v>34845042.549037121</v>
      </c>
      <c r="P2" s="129">
        <v>1</v>
      </c>
      <c r="Q2" s="128">
        <f>Q3</f>
        <v>43510608.340665355</v>
      </c>
      <c r="R2" s="129">
        <v>1</v>
      </c>
      <c r="S2" s="130">
        <f>S3</f>
        <v>54092469.46774932</v>
      </c>
      <c r="U2" s="43">
        <f t="shared" ref="U2:U15" si="1">SUM(B2:S2)</f>
        <v>199937934.20591292</v>
      </c>
    </row>
    <row r="3" spans="1:25" ht="15.75" customHeight="1">
      <c r="A3" s="98" t="s">
        <v>78</v>
      </c>
      <c r="B3" s="131">
        <v>0</v>
      </c>
      <c r="C3" s="131">
        <v>0</v>
      </c>
      <c r="D3" s="131">
        <v>0</v>
      </c>
      <c r="E3" s="131">
        <v>0</v>
      </c>
      <c r="F3" s="131">
        <v>0</v>
      </c>
      <c r="G3" s="131">
        <v>0</v>
      </c>
      <c r="H3" s="132">
        <v>1</v>
      </c>
      <c r="I3" s="133">
        <f>I18*$I$20</f>
        <v>17561259.741141878</v>
      </c>
      <c r="J3" s="134">
        <v>1</v>
      </c>
      <c r="K3" s="133">
        <f>K18*$I$20</f>
        <v>22123290.178157054</v>
      </c>
      <c r="L3" s="134">
        <v>1</v>
      </c>
      <c r="M3" s="133">
        <f>M18*$I$20</f>
        <v>27805257.929162167</v>
      </c>
      <c r="N3" s="134">
        <v>1</v>
      </c>
      <c r="O3" s="133">
        <f>O18*$I$20</f>
        <v>34845042.549037121</v>
      </c>
      <c r="P3" s="134">
        <v>1</v>
      </c>
      <c r="Q3" s="133">
        <f>Q18*$I$20</f>
        <v>43510608.340665355</v>
      </c>
      <c r="R3" s="134">
        <v>1</v>
      </c>
      <c r="S3" s="135">
        <f>S18*$I$20</f>
        <v>54092469.46774932</v>
      </c>
      <c r="U3" s="43">
        <f>SUM(B3:S3)</f>
        <v>199937934.20591292</v>
      </c>
    </row>
    <row r="4" spans="1:25" ht="12.75">
      <c r="A4" s="97" t="s">
        <v>80</v>
      </c>
      <c r="B4" s="126">
        <f>SUM(B5:B7)</f>
        <v>9332026.333333334</v>
      </c>
      <c r="C4" s="126">
        <f t="shared" ref="C4:G4" si="2">SUM(C5:C7)</f>
        <v>9332026.333333334</v>
      </c>
      <c r="D4" s="126">
        <f t="shared" si="2"/>
        <v>9332026.333333334</v>
      </c>
      <c r="E4" s="126">
        <f t="shared" si="2"/>
        <v>9332026.333333334</v>
      </c>
      <c r="F4" s="126">
        <f t="shared" si="2"/>
        <v>9332026.333333334</v>
      </c>
      <c r="G4" s="126">
        <f t="shared" si="2"/>
        <v>9332026.333333334</v>
      </c>
      <c r="H4" s="127">
        <f t="shared" ref="H4:H16" si="3">(I4)/$I$2</f>
        <v>0.53139845722289525</v>
      </c>
      <c r="I4" s="128">
        <f>SUM(I5:I7)</f>
        <v>9332026.333333334</v>
      </c>
      <c r="J4" s="129">
        <f t="shared" ref="J4:J16" si="4">(K4)/$K$2</f>
        <v>0.42181909915673871</v>
      </c>
      <c r="K4" s="128">
        <f>SUM(K5:K7)</f>
        <v>9332026.333333334</v>
      </c>
      <c r="L4" s="129">
        <f t="shared" ref="L4:L16" si="5">(M4)/$M$2</f>
        <v>0.3356209231041119</v>
      </c>
      <c r="M4" s="128">
        <f>SUM(M5:M7)</f>
        <v>9332026.333333334</v>
      </c>
      <c r="N4" s="129">
        <f t="shared" ref="N4:N16" si="6">(O4)/$O$2</f>
        <v>0.26781503624799585</v>
      </c>
      <c r="O4" s="128">
        <f>SUM(O5:O7)</f>
        <v>9332026.333333334</v>
      </c>
      <c r="P4" s="129">
        <f t="shared" ref="P4:P16" si="7">(Q4)/$Q$2</f>
        <v>0.21447703650264868</v>
      </c>
      <c r="Q4" s="128">
        <f>SUM(Q5:Q7)</f>
        <v>9332026.333333334</v>
      </c>
      <c r="R4" s="129">
        <f t="shared" ref="R4:R16" si="8">(S4)/$S$2</f>
        <v>0.17251987984939784</v>
      </c>
      <c r="S4" s="130">
        <f>SUM(S5:S7)</f>
        <v>9332026.333333334</v>
      </c>
      <c r="U4" s="43">
        <f t="shared" si="1"/>
        <v>111984317.94365042</v>
      </c>
    </row>
    <row r="5" spans="1:25" ht="12.75">
      <c r="A5" s="98" t="s">
        <v>82</v>
      </c>
      <c r="B5" s="131">
        <f>'Salarios, gastos y costos'!$E$27</f>
        <v>60800</v>
      </c>
      <c r="C5" s="131">
        <f>'Salarios, gastos y costos'!$E$27</f>
        <v>60800</v>
      </c>
      <c r="D5" s="131">
        <f>'Salarios, gastos y costos'!$E$27</f>
        <v>60800</v>
      </c>
      <c r="E5" s="131">
        <f>'Salarios, gastos y costos'!$E$27</f>
        <v>60800</v>
      </c>
      <c r="F5" s="131">
        <f>'Salarios, gastos y costos'!$E$27</f>
        <v>60800</v>
      </c>
      <c r="G5" s="131">
        <f>'Salarios, gastos y costos'!$E$27</f>
        <v>60800</v>
      </c>
      <c r="H5" s="132">
        <f t="shared" si="3"/>
        <v>3.462166205398123E-3</v>
      </c>
      <c r="I5" s="133">
        <f>'Salarios, gastos y costos'!$E$27</f>
        <v>60800</v>
      </c>
      <c r="J5" s="134">
        <f t="shared" si="4"/>
        <v>2.7482349826984391E-3</v>
      </c>
      <c r="K5" s="133">
        <f>'Salarios, gastos y costos'!$E$27</f>
        <v>60800</v>
      </c>
      <c r="L5" s="134">
        <f t="shared" si="5"/>
        <v>2.1866367920375567E-3</v>
      </c>
      <c r="M5" s="133">
        <f>'Salarios, gastos y costos'!$E$27</f>
        <v>60800</v>
      </c>
      <c r="N5" s="134">
        <f t="shared" si="6"/>
        <v>1.74486800853914E-3</v>
      </c>
      <c r="O5" s="133">
        <f>'Salarios, gastos y costos'!$E$27</f>
        <v>60800</v>
      </c>
      <c r="P5" s="134">
        <f t="shared" si="7"/>
        <v>1.3973603752898082E-3</v>
      </c>
      <c r="Q5" s="133">
        <f>'Salarios, gastos y costos'!$E$27</f>
        <v>60800</v>
      </c>
      <c r="R5" s="134">
        <f t="shared" si="8"/>
        <v>1.1240011890425857E-3</v>
      </c>
      <c r="S5" s="135">
        <f>'Salarios, gastos y costos'!$E$27</f>
        <v>60800</v>
      </c>
      <c r="U5" s="43">
        <f>SUM(B5:S5)</f>
        <v>729600.01266326755</v>
      </c>
    </row>
    <row r="6" spans="1:25" ht="12.75">
      <c r="A6" s="98" t="s">
        <v>84</v>
      </c>
      <c r="B6" s="131">
        <f>'Salarios, gastos y costos'!$B$11</f>
        <v>9212893</v>
      </c>
      <c r="C6" s="131">
        <f>'Salarios, gastos y costos'!$B$11</f>
        <v>9212893</v>
      </c>
      <c r="D6" s="131">
        <f>'Salarios, gastos y costos'!$B$11</f>
        <v>9212893</v>
      </c>
      <c r="E6" s="131">
        <f>'Salarios, gastos y costos'!$B$11</f>
        <v>9212893</v>
      </c>
      <c r="F6" s="131">
        <f>'Salarios, gastos y costos'!$B$11</f>
        <v>9212893</v>
      </c>
      <c r="G6" s="131">
        <f>'Salarios, gastos y costos'!$B$11</f>
        <v>9212893</v>
      </c>
      <c r="H6" s="132">
        <f t="shared" si="3"/>
        <v>0.52461458550244955</v>
      </c>
      <c r="I6" s="133">
        <f>'Salarios, gastos y costos'!$B$11</f>
        <v>9212893</v>
      </c>
      <c r="J6" s="134">
        <f t="shared" si="4"/>
        <v>0.41643412556673637</v>
      </c>
      <c r="K6" s="133">
        <f>'Salarios, gastos y costos'!$B$11</f>
        <v>9212893</v>
      </c>
      <c r="L6" s="134">
        <f t="shared" si="5"/>
        <v>0.33133636175831022</v>
      </c>
      <c r="M6" s="133">
        <f>'Salarios, gastos y costos'!$B$11</f>
        <v>9212893</v>
      </c>
      <c r="N6" s="134">
        <f t="shared" si="6"/>
        <v>0.26439608983214119</v>
      </c>
      <c r="O6" s="133">
        <f>'Salarios, gastos y costos'!$B$11</f>
        <v>9212893</v>
      </c>
      <c r="P6" s="134">
        <f t="shared" si="7"/>
        <v>0.21173900690764552</v>
      </c>
      <c r="Q6" s="133">
        <f>'Salarios, gastos y costos'!$B$11</f>
        <v>9212893</v>
      </c>
      <c r="R6" s="134">
        <f t="shared" si="8"/>
        <v>0.1703174783967453</v>
      </c>
      <c r="S6" s="135">
        <f>'Salarios, gastos y costos'!$B$11</f>
        <v>9212893</v>
      </c>
      <c r="U6" s="43">
        <f t="shared" si="1"/>
        <v>110554717.91883764</v>
      </c>
      <c r="V6" s="93" t="s">
        <v>211</v>
      </c>
      <c r="X6" s="93" t="s">
        <v>213</v>
      </c>
      <c r="Y6" s="99">
        <f>U6+U7+U9+U10</f>
        <v>119523838.11781409</v>
      </c>
    </row>
    <row r="7" spans="1:25" ht="12.75">
      <c r="A7" s="98" t="s">
        <v>86</v>
      </c>
      <c r="B7" s="131">
        <f>'Presupuesto Inicial'!$J$20</f>
        <v>58333.333333333336</v>
      </c>
      <c r="C7" s="131">
        <f>'Presupuesto Inicial'!$J$20</f>
        <v>58333.333333333336</v>
      </c>
      <c r="D7" s="131">
        <f>'Presupuesto Inicial'!$J$20</f>
        <v>58333.333333333336</v>
      </c>
      <c r="E7" s="131">
        <f>'Presupuesto Inicial'!$J$20</f>
        <v>58333.333333333336</v>
      </c>
      <c r="F7" s="131">
        <f>'Presupuesto Inicial'!$J$20</f>
        <v>58333.333333333336</v>
      </c>
      <c r="G7" s="131">
        <f>'Presupuesto Inicial'!$J$20</f>
        <v>58333.333333333336</v>
      </c>
      <c r="H7" s="132">
        <f t="shared" si="3"/>
        <v>3.3217055150475414E-3</v>
      </c>
      <c r="I7" s="133">
        <f>'Presupuesto Inicial'!$J$20</f>
        <v>58333.333333333336</v>
      </c>
      <c r="J7" s="134">
        <f t="shared" si="4"/>
        <v>2.6367386073038756E-3</v>
      </c>
      <c r="K7" s="133">
        <f>'Presupuesto Inicial'!$J$20</f>
        <v>58333.333333333336</v>
      </c>
      <c r="L7" s="134">
        <f t="shared" si="5"/>
        <v>2.0979245537641033E-3</v>
      </c>
      <c r="M7" s="133">
        <f>'Presupuesto Inicial'!$J$20</f>
        <v>58333.333333333336</v>
      </c>
      <c r="N7" s="134">
        <f t="shared" si="6"/>
        <v>1.6740784073155128E-3</v>
      </c>
      <c r="O7" s="133">
        <f>'Presupuesto Inicial'!$J$20</f>
        <v>58333.333333333336</v>
      </c>
      <c r="P7" s="134">
        <f t="shared" si="7"/>
        <v>1.3406692197133578E-3</v>
      </c>
      <c r="Q7" s="133">
        <f>'Presupuesto Inicial'!$J$20</f>
        <v>58333.333333333336</v>
      </c>
      <c r="R7" s="134">
        <f t="shared" si="8"/>
        <v>1.078400263609937E-3</v>
      </c>
      <c r="S7" s="135">
        <f>'Presupuesto Inicial'!$J$20</f>
        <v>58333.333333333336</v>
      </c>
      <c r="U7" s="43">
        <f t="shared" si="1"/>
        <v>700000.01214951661</v>
      </c>
      <c r="V7" s="93" t="s">
        <v>212</v>
      </c>
    </row>
    <row r="8" spans="1:25" s="124" customFormat="1" ht="12.75">
      <c r="A8" s="97" t="s">
        <v>88</v>
      </c>
      <c r="B8" s="136">
        <f>B2-B4</f>
        <v>-9332026.333333334</v>
      </c>
      <c r="C8" s="136">
        <f t="shared" ref="C8:G8" si="9">C2-C4</f>
        <v>-9332026.333333334</v>
      </c>
      <c r="D8" s="137">
        <f t="shared" si="9"/>
        <v>-9332026.333333334</v>
      </c>
      <c r="E8" s="137">
        <f t="shared" si="9"/>
        <v>-9332026.333333334</v>
      </c>
      <c r="F8" s="137">
        <f t="shared" si="9"/>
        <v>-9332026.333333334</v>
      </c>
      <c r="G8" s="137">
        <f t="shared" si="9"/>
        <v>-9332026.333333334</v>
      </c>
      <c r="H8" s="127">
        <f t="shared" si="3"/>
        <v>0.46860154277710481</v>
      </c>
      <c r="I8" s="128">
        <f>I2-I4</f>
        <v>8229233.4078085441</v>
      </c>
      <c r="J8" s="129">
        <f t="shared" si="4"/>
        <v>0.57818090084326124</v>
      </c>
      <c r="K8" s="128">
        <f>K2-K4</f>
        <v>12791263.84482372</v>
      </c>
      <c r="L8" s="129">
        <f t="shared" si="5"/>
        <v>0.66437907689588804</v>
      </c>
      <c r="M8" s="128">
        <f>M2-M4</f>
        <v>18473231.595828831</v>
      </c>
      <c r="N8" s="129">
        <f t="shared" si="6"/>
        <v>0.73218496375200415</v>
      </c>
      <c r="O8" s="128">
        <f>O2-O4</f>
        <v>25513016.215703785</v>
      </c>
      <c r="P8" s="129">
        <f t="shared" si="7"/>
        <v>0.78552296349735129</v>
      </c>
      <c r="Q8" s="128">
        <f>Q2-Q4</f>
        <v>34178582.00733202</v>
      </c>
      <c r="R8" s="129">
        <f t="shared" si="8"/>
        <v>0.82748012015060213</v>
      </c>
      <c r="S8" s="130">
        <f>S2-S4</f>
        <v>44760443.134415984</v>
      </c>
      <c r="U8" s="125">
        <f t="shared" si="1"/>
        <v>87953616.262262434</v>
      </c>
    </row>
    <row r="9" spans="1:25" ht="12.75">
      <c r="A9" s="98" t="s">
        <v>90</v>
      </c>
      <c r="B9" s="131">
        <f>'Salarios, gastos y costos'!$E$7+'Salarios, gastos y costos'!$K$11</f>
        <v>332010</v>
      </c>
      <c r="C9" s="131">
        <f>'Salarios, gastos y costos'!$E$7+'Salarios, gastos y costos'!$K$11</f>
        <v>332010</v>
      </c>
      <c r="D9" s="138">
        <f>'Salarios, gastos y costos'!$E$7+'Salarios, gastos y costos'!$K$11</f>
        <v>332010</v>
      </c>
      <c r="E9" s="138">
        <f>'Salarios, gastos y costos'!$E$7+'Salarios, gastos y costos'!$K$11</f>
        <v>332010</v>
      </c>
      <c r="F9" s="138">
        <f>'Salarios, gastos y costos'!$E$7+'Salarios, gastos y costos'!$K$11</f>
        <v>332010</v>
      </c>
      <c r="G9" s="138">
        <f>'Salarios, gastos y costos'!$E$7+'Salarios, gastos y costos'!$K$11</f>
        <v>332010</v>
      </c>
      <c r="H9" s="132">
        <f t="shared" si="3"/>
        <v>1.8905819109444586E-2</v>
      </c>
      <c r="I9" s="133">
        <f>'Salarios, gastos y costos'!K11+'Salarios, gastos y costos'!E7</f>
        <v>332010</v>
      </c>
      <c r="J9" s="134">
        <f t="shared" si="4"/>
        <v>1.5007261457330737E-2</v>
      </c>
      <c r="K9" s="133">
        <f>'Salarios, gastos y costos'!$E$7+'Salarios, gastos y costos'!$K$11</f>
        <v>332010</v>
      </c>
      <c r="L9" s="134">
        <f t="shared" si="5"/>
        <v>1.194054739020377E-2</v>
      </c>
      <c r="M9" s="133">
        <f>'Salarios, gastos y costos'!$E$7+'Salarios, gastos y costos'!$K$11</f>
        <v>332010</v>
      </c>
      <c r="N9" s="134">
        <f t="shared" si="6"/>
        <v>9.5281846630769721E-3</v>
      </c>
      <c r="O9" s="133">
        <f>'Salarios, gastos y costos'!$E$7+'Salarios, gastos y costos'!$K$11</f>
        <v>332010</v>
      </c>
      <c r="P9" s="134">
        <f t="shared" si="7"/>
        <v>7.630552930920546E-3</v>
      </c>
      <c r="Q9" s="133">
        <f>'Salarios, gastos y costos'!$E$7+'Salarios, gastos y costos'!$K$11</f>
        <v>332010</v>
      </c>
      <c r="R9" s="134">
        <f t="shared" si="8"/>
        <v>6.1378229403623169E-3</v>
      </c>
      <c r="S9" s="135">
        <f>'Salarios, gastos y costos'!$E$7+'Salarios, gastos y costos'!$K$11</f>
        <v>332010</v>
      </c>
      <c r="U9" s="43">
        <f t="shared" si="1"/>
        <v>3984120.0691501889</v>
      </c>
      <c r="V9" s="93" t="s">
        <v>11</v>
      </c>
    </row>
    <row r="10" spans="1:25" ht="12.75">
      <c r="A10" s="98" t="s">
        <v>92</v>
      </c>
      <c r="B10" s="131">
        <v>0</v>
      </c>
      <c r="C10" s="131">
        <v>0</v>
      </c>
      <c r="D10" s="138">
        <v>0</v>
      </c>
      <c r="E10" s="138">
        <f>'Salarios, gastos y costos'!G39+'Salarios, gastos y costos'!G37</f>
        <v>150000</v>
      </c>
      <c r="F10" s="138">
        <f>'Salarios, gastos y costos'!G40+'Salarios, gastos y costos'!G38</f>
        <v>180000</v>
      </c>
      <c r="G10" s="138">
        <f>'Salarios, gastos y costos'!$F$41+'Salarios, gastos y costos'!$F$42</f>
        <v>565000</v>
      </c>
      <c r="H10" s="132">
        <f t="shared" si="3"/>
        <v>3.2173090560031897E-2</v>
      </c>
      <c r="I10" s="133">
        <f>'Salarios, gastos y costos'!$F$41+'Salarios, gastos y costos'!$F$42</f>
        <v>565000</v>
      </c>
      <c r="J10" s="134">
        <f t="shared" si="4"/>
        <v>2.5538696796457535E-2</v>
      </c>
      <c r="K10" s="133">
        <f>'Salarios, gastos y costos'!$F$41+'Salarios, gastos y costos'!$F$42</f>
        <v>565000</v>
      </c>
      <c r="L10" s="134">
        <f t="shared" si="5"/>
        <v>2.0319897820743744E-2</v>
      </c>
      <c r="M10" s="133">
        <f>'Salarios, gastos y costos'!$F$41+'Salarios, gastos y costos'!$F$42</f>
        <v>565000</v>
      </c>
      <c r="N10" s="134">
        <f t="shared" si="6"/>
        <v>1.621464514514168E-2</v>
      </c>
      <c r="O10" s="133">
        <f>'Salarios, gastos y costos'!$F$41+'Salarios, gastos y costos'!$F$42</f>
        <v>565000</v>
      </c>
      <c r="P10" s="134">
        <f t="shared" si="7"/>
        <v>1.2985339013795092E-2</v>
      </c>
      <c r="Q10" s="133">
        <f>'Salarios, gastos y costos'!$F$41+'Salarios, gastos y costos'!$F$42</f>
        <v>565000</v>
      </c>
      <c r="R10" s="134">
        <f t="shared" si="8"/>
        <v>1.0445076838964819E-2</v>
      </c>
      <c r="S10" s="135">
        <f>'Salarios, gastos y costos'!$F$41+'Salarios, gastos y costos'!$F$42</f>
        <v>565000</v>
      </c>
      <c r="U10" s="43">
        <f t="shared" si="1"/>
        <v>4285000.1176767461</v>
      </c>
      <c r="V10" s="93" t="s">
        <v>248</v>
      </c>
    </row>
    <row r="11" spans="1:25" s="124" customFormat="1" ht="12.75">
      <c r="A11" s="97" t="s">
        <v>95</v>
      </c>
      <c r="B11" s="136">
        <f t="shared" ref="B11:G11" si="10">B8-B9-B10</f>
        <v>-9664036.333333334</v>
      </c>
      <c r="C11" s="136">
        <f>C8-C9-C10</f>
        <v>-9664036.333333334</v>
      </c>
      <c r="D11" s="137">
        <f t="shared" si="10"/>
        <v>-9664036.333333334</v>
      </c>
      <c r="E11" s="137">
        <f t="shared" si="10"/>
        <v>-9814036.333333334</v>
      </c>
      <c r="F11" s="137">
        <f t="shared" si="10"/>
        <v>-9844036.333333334</v>
      </c>
      <c r="G11" s="137">
        <f t="shared" si="10"/>
        <v>-10229036.333333334</v>
      </c>
      <c r="H11" s="127">
        <f t="shared" si="3"/>
        <v>0.41752263310762833</v>
      </c>
      <c r="I11" s="139">
        <f>I8-I9-I10</f>
        <v>7332223.4078085441</v>
      </c>
      <c r="J11" s="129">
        <f t="shared" si="4"/>
        <v>0.53763494258947297</v>
      </c>
      <c r="K11" s="139">
        <f>K8-K9-K10</f>
        <v>11894253.84482372</v>
      </c>
      <c r="L11" s="129">
        <f t="shared" si="5"/>
        <v>0.63211863168494054</v>
      </c>
      <c r="M11" s="139">
        <f>M8-M9-M10</f>
        <v>17576221.595828831</v>
      </c>
      <c r="N11" s="129">
        <f t="shared" si="6"/>
        <v>0.70644213394378541</v>
      </c>
      <c r="O11" s="139">
        <f>O8-O9-O10</f>
        <v>24616006.215703785</v>
      </c>
      <c r="P11" s="129">
        <f t="shared" si="7"/>
        <v>0.7649070715526356</v>
      </c>
      <c r="Q11" s="128">
        <f>Q8-Q9-Q10</f>
        <v>33281572.00733202</v>
      </c>
      <c r="R11" s="129">
        <f t="shared" si="8"/>
        <v>0.81089722037127498</v>
      </c>
      <c r="S11" s="130">
        <f>S8-S9-S10</f>
        <v>43863433.134415984</v>
      </c>
      <c r="U11" s="125">
        <f t="shared" si="1"/>
        <v>79684496.075435504</v>
      </c>
      <c r="V11" s="153">
        <f>S11+Q11+O11+M11+K11+I11</f>
        <v>138563710.20591289</v>
      </c>
    </row>
    <row r="12" spans="1:25" ht="12.75">
      <c r="A12" s="98" t="s">
        <v>96</v>
      </c>
      <c r="B12" s="131">
        <v>0</v>
      </c>
      <c r="C12" s="131">
        <v>0</v>
      </c>
      <c r="D12" s="138">
        <v>0</v>
      </c>
      <c r="E12" s="138">
        <v>0</v>
      </c>
      <c r="F12" s="138">
        <v>0</v>
      </c>
      <c r="G12" s="138">
        <v>0</v>
      </c>
      <c r="H12" s="132">
        <f t="shared" si="3"/>
        <v>0</v>
      </c>
      <c r="I12" s="133">
        <v>0</v>
      </c>
      <c r="J12" s="134">
        <f t="shared" si="4"/>
        <v>0</v>
      </c>
      <c r="K12" s="133">
        <v>0</v>
      </c>
      <c r="L12" s="134">
        <f t="shared" si="5"/>
        <v>0</v>
      </c>
      <c r="M12" s="133">
        <v>0</v>
      </c>
      <c r="N12" s="134">
        <f t="shared" si="6"/>
        <v>0</v>
      </c>
      <c r="O12" s="133">
        <v>0</v>
      </c>
      <c r="P12" s="134">
        <f t="shared" si="7"/>
        <v>0</v>
      </c>
      <c r="Q12" s="133">
        <v>0</v>
      </c>
      <c r="R12" s="134">
        <f t="shared" si="8"/>
        <v>0</v>
      </c>
      <c r="S12" s="133">
        <v>0</v>
      </c>
      <c r="U12" s="43">
        <f t="shared" si="1"/>
        <v>0</v>
      </c>
      <c r="V12" s="153">
        <f t="shared" ref="V12:V14" si="11">S12+Q12+O12+M12+K12+I12</f>
        <v>0</v>
      </c>
    </row>
    <row r="13" spans="1:25" ht="12.75">
      <c r="A13" s="98" t="s">
        <v>97</v>
      </c>
      <c r="B13" s="131">
        <v>0</v>
      </c>
      <c r="C13" s="131">
        <v>0</v>
      </c>
      <c r="D13" s="138">
        <v>0</v>
      </c>
      <c r="E13" s="138">
        <v>0</v>
      </c>
      <c r="F13" s="138">
        <v>0</v>
      </c>
      <c r="G13" s="138">
        <v>0</v>
      </c>
      <c r="H13" s="132">
        <f t="shared" si="3"/>
        <v>0</v>
      </c>
      <c r="I13" s="133">
        <v>0</v>
      </c>
      <c r="J13" s="134">
        <f t="shared" si="4"/>
        <v>0</v>
      </c>
      <c r="K13" s="133">
        <v>0</v>
      </c>
      <c r="L13" s="134">
        <f t="shared" si="5"/>
        <v>0</v>
      </c>
      <c r="M13" s="133">
        <v>0</v>
      </c>
      <c r="N13" s="134">
        <f t="shared" si="6"/>
        <v>0</v>
      </c>
      <c r="O13" s="133">
        <v>0</v>
      </c>
      <c r="P13" s="134">
        <f t="shared" si="7"/>
        <v>0</v>
      </c>
      <c r="Q13" s="133">
        <v>0</v>
      </c>
      <c r="R13" s="134">
        <f t="shared" si="8"/>
        <v>0</v>
      </c>
      <c r="S13" s="135">
        <v>0</v>
      </c>
      <c r="U13" s="43">
        <f t="shared" si="1"/>
        <v>0</v>
      </c>
      <c r="V13" s="153">
        <f t="shared" si="11"/>
        <v>0</v>
      </c>
    </row>
    <row r="14" spans="1:25" s="124" customFormat="1" ht="12.75">
      <c r="A14" s="97" t="s">
        <v>98</v>
      </c>
      <c r="B14" s="136">
        <f t="shared" ref="B14:G14" si="12">B11+B12-B13</f>
        <v>-9664036.333333334</v>
      </c>
      <c r="C14" s="136">
        <f>C11+C12-C13</f>
        <v>-9664036.333333334</v>
      </c>
      <c r="D14" s="137">
        <f t="shared" si="12"/>
        <v>-9664036.333333334</v>
      </c>
      <c r="E14" s="137">
        <f t="shared" si="12"/>
        <v>-9814036.333333334</v>
      </c>
      <c r="F14" s="137">
        <f t="shared" si="12"/>
        <v>-9844036.333333334</v>
      </c>
      <c r="G14" s="137">
        <f t="shared" si="12"/>
        <v>-10229036.333333334</v>
      </c>
      <c r="H14" s="127">
        <f t="shared" si="3"/>
        <v>0.41752263310762833</v>
      </c>
      <c r="I14" s="139">
        <f>I11+I12-I13</f>
        <v>7332223.4078085441</v>
      </c>
      <c r="J14" s="129">
        <f t="shared" si="4"/>
        <v>0.53763494258947297</v>
      </c>
      <c r="K14" s="139">
        <f>K11+K12-K13</f>
        <v>11894253.84482372</v>
      </c>
      <c r="L14" s="129">
        <f t="shared" si="5"/>
        <v>0.63211863168494054</v>
      </c>
      <c r="M14" s="139">
        <f>M11+M12-M13</f>
        <v>17576221.595828831</v>
      </c>
      <c r="N14" s="129">
        <f t="shared" si="6"/>
        <v>0.70644213394378541</v>
      </c>
      <c r="O14" s="139">
        <f>O11+O12-O13</f>
        <v>24616006.215703785</v>
      </c>
      <c r="P14" s="129">
        <f t="shared" si="7"/>
        <v>0.7649070715526356</v>
      </c>
      <c r="Q14" s="128">
        <f>Q11+Q12-Q13</f>
        <v>33281572.00733202</v>
      </c>
      <c r="R14" s="129">
        <f t="shared" si="8"/>
        <v>0.81089722037127498</v>
      </c>
      <c r="S14" s="130">
        <f>S11+S12-S13</f>
        <v>43863433.134415984</v>
      </c>
      <c r="U14" s="125">
        <f t="shared" si="1"/>
        <v>79684496.075435504</v>
      </c>
      <c r="V14" s="153">
        <f t="shared" si="11"/>
        <v>138563710.20591289</v>
      </c>
    </row>
    <row r="15" spans="1:25" ht="12.75">
      <c r="A15" s="98" t="s">
        <v>99</v>
      </c>
      <c r="B15" s="138">
        <f t="shared" ref="B15:F15" si="13">IF(B14&gt;0, B14*0.34, 0)</f>
        <v>0</v>
      </c>
      <c r="C15" s="138">
        <f t="shared" si="13"/>
        <v>0</v>
      </c>
      <c r="D15" s="138">
        <f t="shared" si="13"/>
        <v>0</v>
      </c>
      <c r="E15" s="138">
        <f t="shared" si="13"/>
        <v>0</v>
      </c>
      <c r="F15" s="138">
        <f t="shared" si="13"/>
        <v>0</v>
      </c>
      <c r="G15" s="138">
        <f>IF(G14&gt;0, G14*0.34, 0)</f>
        <v>0</v>
      </c>
      <c r="H15" s="132">
        <f t="shared" si="3"/>
        <v>0.14195769525659363</v>
      </c>
      <c r="I15" s="133">
        <f>IF(I14&gt;0, I14*0.34, 0)</f>
        <v>2492955.9586549052</v>
      </c>
      <c r="J15" s="134">
        <f t="shared" si="4"/>
        <v>0.18279588048042084</v>
      </c>
      <c r="K15" s="133">
        <f>IF(K14&gt;0, K14*0.34, 0)</f>
        <v>4044046.3072400652</v>
      </c>
      <c r="L15" s="134">
        <f t="shared" si="5"/>
        <v>0.21492033477287978</v>
      </c>
      <c r="M15" s="133">
        <f>IF(M14&gt;0, M14*0.34, 0)</f>
        <v>5975915.342581803</v>
      </c>
      <c r="N15" s="134">
        <f t="shared" si="6"/>
        <v>0.24019032554088707</v>
      </c>
      <c r="O15" s="133">
        <f>IF(O14&gt;0, O14*0.34, 0)</f>
        <v>8369442.1133392872</v>
      </c>
      <c r="P15" s="134">
        <f t="shared" si="7"/>
        <v>0.26006840432789613</v>
      </c>
      <c r="Q15" s="133">
        <f>IF(Q14&gt;0, Q14*0.34, 0)</f>
        <v>11315734.482492888</v>
      </c>
      <c r="R15" s="134">
        <f t="shared" si="8"/>
        <v>0.27570505492623354</v>
      </c>
      <c r="S15" s="135">
        <f>IF(S14&gt;0, S14*0.34, 0)</f>
        <v>14913567.265701436</v>
      </c>
      <c r="U15" s="43">
        <f t="shared" si="1"/>
        <v>47111662.785648078</v>
      </c>
      <c r="V15" s="154">
        <f>V14*0.34</f>
        <v>47111661.470010385</v>
      </c>
    </row>
    <row r="16" spans="1:25" s="124" customFormat="1" ht="12.75">
      <c r="A16" s="97" t="s">
        <v>100</v>
      </c>
      <c r="B16" s="136">
        <f t="shared" ref="B16:G16" si="14">B14-B15</f>
        <v>-9664036.333333334</v>
      </c>
      <c r="C16" s="136">
        <f t="shared" si="14"/>
        <v>-9664036.333333334</v>
      </c>
      <c r="D16" s="137">
        <f t="shared" si="14"/>
        <v>-9664036.333333334</v>
      </c>
      <c r="E16" s="137">
        <f t="shared" si="14"/>
        <v>-9814036.333333334</v>
      </c>
      <c r="F16" s="137">
        <f t="shared" si="14"/>
        <v>-9844036.333333334</v>
      </c>
      <c r="G16" s="137">
        <f t="shared" si="14"/>
        <v>-10229036.333333334</v>
      </c>
      <c r="H16" s="127">
        <f t="shared" si="3"/>
        <v>0.2755649378510347</v>
      </c>
      <c r="I16" s="139">
        <f>I14-I15</f>
        <v>4839267.4491536394</v>
      </c>
      <c r="J16" s="129">
        <f t="shared" si="4"/>
        <v>0.35483906210905219</v>
      </c>
      <c r="K16" s="139">
        <f>K14-K15</f>
        <v>7850207.5375836547</v>
      </c>
      <c r="L16" s="129">
        <f t="shared" si="5"/>
        <v>0.41719829691206073</v>
      </c>
      <c r="M16" s="139">
        <f>M14-M15</f>
        <v>11600306.253247028</v>
      </c>
      <c r="N16" s="129">
        <f t="shared" si="6"/>
        <v>0.46625180840289843</v>
      </c>
      <c r="O16" s="139">
        <f>O14-O15</f>
        <v>16246564.102364499</v>
      </c>
      <c r="P16" s="129">
        <f t="shared" si="7"/>
        <v>0.50483866722473947</v>
      </c>
      <c r="Q16" s="128">
        <f>Q14-Q15</f>
        <v>21965837.524839133</v>
      </c>
      <c r="R16" s="129">
        <f t="shared" si="8"/>
        <v>0.53519216544504145</v>
      </c>
      <c r="S16" s="130">
        <f>S14-S15</f>
        <v>28949865.868714549</v>
      </c>
      <c r="U16" s="125">
        <f>SUM(B16:S16)</f>
        <v>32572833.289787441</v>
      </c>
    </row>
    <row r="18" spans="7:19" ht="12.75">
      <c r="G18" s="11" t="s">
        <v>105</v>
      </c>
      <c r="H18" s="11"/>
      <c r="I18" s="64">
        <f>'Tabla Crecimiento'!B3</f>
        <v>3252.8577359756564</v>
      </c>
      <c r="J18" s="11"/>
      <c r="K18" s="64">
        <f>'Tabla Crecimiento'!B4</f>
        <v>4097.8788914930747</v>
      </c>
      <c r="L18" s="11"/>
      <c r="M18" s="64">
        <f>'Tabla Crecimiento'!B5</f>
        <v>5150.3451169723749</v>
      </c>
      <c r="N18" s="11"/>
      <c r="O18" s="64">
        <f>'Tabla Crecimiento'!B6</f>
        <v>6454.3186472262878</v>
      </c>
      <c r="P18" s="11"/>
      <c r="Q18" s="64">
        <f>'Tabla Crecimiento'!B7</f>
        <v>8059.4342902610779</v>
      </c>
      <c r="R18" s="11"/>
      <c r="S18" s="64">
        <f>'Tabla Crecimiento'!B8</f>
        <v>10019.503746304383</v>
      </c>
    </row>
    <row r="19" spans="7:19" ht="12.75">
      <c r="G19" s="11" t="s">
        <v>106</v>
      </c>
      <c r="H19" s="11"/>
      <c r="I19" s="11">
        <v>1.2</v>
      </c>
    </row>
    <row r="20" spans="7:19" ht="12.75">
      <c r="G20" s="95" t="s">
        <v>181</v>
      </c>
      <c r="H20" s="11"/>
      <c r="I20" s="11">
        <f>('Tabla Crecimiento'!O3+('Tabla Crecimiento'!O3*0.19))</f>
        <v>5398.7174252717768</v>
      </c>
    </row>
    <row r="21" spans="7:19" ht="12.75">
      <c r="G21" s="11" t="s">
        <v>107</v>
      </c>
      <c r="H21" s="11"/>
      <c r="I21" s="11"/>
    </row>
    <row r="24" spans="7:19" ht="12.75">
      <c r="I24" s="11">
        <v>2860</v>
      </c>
    </row>
  </sheetData>
  <mergeCells count="6">
    <mergeCell ref="R1:S1"/>
    <mergeCell ref="H1:I1"/>
    <mergeCell ref="J1:K1"/>
    <mergeCell ref="L1:M1"/>
    <mergeCell ref="N1:O1"/>
    <mergeCell ref="P1:Q1"/>
  </mergeCells>
  <conditionalFormatting sqref="B1:S7 B17:S994 B8:C14 H8:S16 B16:C16">
    <cfRule type="cellIs" dxfId="22" priority="15" operator="lessThan">
      <formula>0</formula>
    </cfRule>
  </conditionalFormatting>
  <conditionalFormatting sqref="I8">
    <cfRule type="cellIs" dxfId="21" priority="13" operator="lessThan">
      <formula>0</formula>
    </cfRule>
    <cfRule type="cellIs" dxfId="20" priority="14" operator="lessThan">
      <formula>0</formula>
    </cfRule>
  </conditionalFormatting>
  <conditionalFormatting sqref="H2:S16">
    <cfRule type="cellIs" dxfId="19" priority="7" operator="greaterThan">
      <formula>0</formula>
    </cfRule>
  </conditionalFormatting>
  <conditionalFormatting sqref="D2:G14 D16:G16 B15:G15">
    <cfRule type="cellIs" dxfId="18" priority="5" operator="lessThan">
      <formula>0</formula>
    </cfRule>
  </conditionalFormatting>
  <conditionalFormatting sqref="B8:C8">
    <cfRule type="cellIs" dxfId="17" priority="4" operator="lessThan">
      <formula>0</formula>
    </cfRule>
  </conditionalFormatting>
  <conditionalFormatting sqref="B11:C11">
    <cfRule type="cellIs" dxfId="16" priority="3" operator="lessThan">
      <formula>0</formula>
    </cfRule>
  </conditionalFormatting>
  <conditionalFormatting sqref="B14:C14">
    <cfRule type="cellIs" dxfId="15" priority="2" operator="lessThan">
      <formula>0</formula>
    </cfRule>
  </conditionalFormatting>
  <conditionalFormatting sqref="B16:C16">
    <cfRule type="cellIs" dxfId="14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zoomScale="145" zoomScaleNormal="145" workbookViewId="0">
      <selection activeCell="B2" sqref="B1:E1048576"/>
    </sheetView>
  </sheetViews>
  <sheetFormatPr baseColWidth="10" defaultColWidth="14.42578125" defaultRowHeight="15.75" customHeight="1"/>
  <cols>
    <col min="1" max="1" width="23.140625" customWidth="1"/>
    <col min="2" max="2" width="9.5703125" customWidth="1"/>
    <col min="3" max="3" width="15.42578125" bestFit="1" customWidth="1"/>
    <col min="4" max="4" width="7.42578125" customWidth="1"/>
    <col min="5" max="5" width="14.7109375" bestFit="1" customWidth="1"/>
    <col min="6" max="6" width="7" customWidth="1"/>
    <col min="8" max="8" width="7.28515625" customWidth="1"/>
    <col min="10" max="10" width="7.42578125" customWidth="1"/>
  </cols>
  <sheetData>
    <row r="1" spans="1:18" ht="12.75">
      <c r="A1" s="25"/>
      <c r="B1" s="271" t="s">
        <v>70</v>
      </c>
      <c r="C1" s="242"/>
      <c r="D1" s="271" t="s">
        <v>71</v>
      </c>
      <c r="E1" s="242"/>
      <c r="F1" s="271" t="s">
        <v>72</v>
      </c>
      <c r="G1" s="242"/>
      <c r="H1" s="271" t="s">
        <v>74</v>
      </c>
      <c r="I1" s="242"/>
      <c r="J1" s="273" t="s">
        <v>75</v>
      </c>
      <c r="K1" s="274"/>
      <c r="L1" s="27"/>
      <c r="M1" s="27"/>
      <c r="N1" s="27"/>
      <c r="O1" s="27"/>
      <c r="P1" s="27"/>
      <c r="Q1" s="27"/>
      <c r="R1" s="27"/>
    </row>
    <row r="2" spans="1:18" ht="12.75">
      <c r="A2" s="29" t="s">
        <v>69</v>
      </c>
      <c r="B2" s="31">
        <v>1</v>
      </c>
      <c r="C2" s="34">
        <f>C3</f>
        <v>199937934.20591292</v>
      </c>
      <c r="D2" s="35">
        <v>1</v>
      </c>
      <c r="E2" s="34">
        <f>E3</f>
        <v>351864755.14782721</v>
      </c>
      <c r="F2" s="35">
        <v>1</v>
      </c>
      <c r="G2" s="34">
        <f>G3</f>
        <v>509221881.16382653</v>
      </c>
      <c r="H2" s="35">
        <v>1</v>
      </c>
      <c r="I2" s="34">
        <f>I3</f>
        <v>522334556.18837321</v>
      </c>
      <c r="J2" s="35">
        <v>1</v>
      </c>
      <c r="K2" s="36">
        <f>K3</f>
        <v>523090680.34961951</v>
      </c>
      <c r="L2" s="44"/>
      <c r="M2" s="44"/>
      <c r="N2" s="44"/>
      <c r="O2" s="44"/>
      <c r="P2" s="44"/>
      <c r="Q2" s="44"/>
      <c r="R2" s="44"/>
    </row>
    <row r="3" spans="1:18" ht="15.75" customHeight="1">
      <c r="A3" s="49" t="s">
        <v>78</v>
      </c>
      <c r="B3" s="46">
        <v>1</v>
      </c>
      <c r="C3" s="48">
        <f>'Estado de resultados PyG - 12 m'!U3</f>
        <v>199937934.20591292</v>
      </c>
      <c r="D3" s="50">
        <v>1</v>
      </c>
      <c r="E3" s="48">
        <f>E18*$E$19</f>
        <v>351864755.14782721</v>
      </c>
      <c r="F3" s="48">
        <f t="shared" ref="F3:K3" si="0">F18*$E$19</f>
        <v>0</v>
      </c>
      <c r="G3" s="48">
        <f>G18*$E$19</f>
        <v>509221881.16382653</v>
      </c>
      <c r="H3" s="48">
        <f t="shared" si="0"/>
        <v>0</v>
      </c>
      <c r="I3" s="48">
        <f t="shared" si="0"/>
        <v>522334556.18837321</v>
      </c>
      <c r="J3" s="48">
        <f t="shared" si="0"/>
        <v>0</v>
      </c>
      <c r="K3" s="48">
        <f t="shared" si="0"/>
        <v>523090680.34961951</v>
      </c>
      <c r="L3" s="52"/>
      <c r="M3" s="52"/>
      <c r="N3" s="52"/>
      <c r="O3" s="52"/>
      <c r="P3" s="52"/>
      <c r="Q3" s="52"/>
      <c r="R3" s="52"/>
    </row>
    <row r="4" spans="1:18" ht="12.75">
      <c r="A4" s="29" t="s">
        <v>80</v>
      </c>
      <c r="B4" s="31">
        <f t="shared" ref="B4:B16" si="1">(C4)/$C$2</f>
        <v>0.56009540354818088</v>
      </c>
      <c r="C4" s="34">
        <f>SUM(C5:C7)</f>
        <v>111984317.94365042</v>
      </c>
      <c r="D4" s="50">
        <f>(E4)/$E$2</f>
        <v>0.28721652135219278</v>
      </c>
      <c r="E4" s="34">
        <f>SUM(E5:E7)</f>
        <v>101061370.95999999</v>
      </c>
      <c r="F4" s="35">
        <f t="shared" ref="F4:F16" si="2">(G4)/$G$2</f>
        <v>0.19955503936270877</v>
      </c>
      <c r="G4" s="34">
        <f>SUM(G5:G7)</f>
        <v>101617792.54000001</v>
      </c>
      <c r="H4" s="35">
        <f t="shared" ref="H4:H16" si="3">(I4)/$I$2</f>
        <v>0.19561067310115357</v>
      </c>
      <c r="I4" s="34">
        <f>SUM(I5:I7)</f>
        <v>102174214.12</v>
      </c>
      <c r="J4" s="35">
        <f t="shared" ref="J4:J16" si="4">(K4)/$K$2</f>
        <v>0.19575340681573755</v>
      </c>
      <c r="K4" s="36">
        <f>SUM(K5:K7)</f>
        <v>102396782.752</v>
      </c>
      <c r="L4" s="44"/>
      <c r="M4" s="44"/>
      <c r="N4" s="44"/>
      <c r="O4" s="44"/>
      <c r="P4" s="44"/>
      <c r="Q4" s="44"/>
      <c r="R4" s="44"/>
    </row>
    <row r="5" spans="1:18" ht="12.75">
      <c r="A5" s="49" t="s">
        <v>82</v>
      </c>
      <c r="B5" s="46">
        <f t="shared" si="1"/>
        <v>3.6491324948464457E-3</v>
      </c>
      <c r="C5" s="48">
        <f>'Estado de resultados PyG - 12 m'!U5</f>
        <v>729600.01266326755</v>
      </c>
      <c r="D5" s="50">
        <f>(E5)/E2</f>
        <v>2.197935396158349E-3</v>
      </c>
      <c r="E5" s="48">
        <f>('Salarios, gastos y costos'!$E$27*12)+('Salarios, gastos y costos'!$E$27*12*E21)</f>
        <v>773376</v>
      </c>
      <c r="F5" s="50">
        <f t="shared" si="2"/>
        <v>1.5259045786173049E-3</v>
      </c>
      <c r="G5" s="48">
        <f>('Salarios, gastos y costos'!$E$27*12)+('Salarios, gastos y costos'!$E$27*12*G21)</f>
        <v>777024</v>
      </c>
      <c r="H5" s="50">
        <f t="shared" si="3"/>
        <v>1.4945823337762488E-3</v>
      </c>
      <c r="I5" s="48">
        <f>('Salarios, gastos y costos'!$E$27*12)+('Salarios, gastos y costos'!$E$27*12*I21)</f>
        <v>780672</v>
      </c>
      <c r="J5" s="50">
        <f t="shared" si="4"/>
        <v>1.4952114984676172E-3</v>
      </c>
      <c r="K5" s="51">
        <f>('Salarios, gastos y costos'!$E$27*12)+('Salarios, gastos y costos'!$E$27*12*K21)</f>
        <v>782131.19999999995</v>
      </c>
      <c r="L5" s="52"/>
      <c r="M5" s="52"/>
      <c r="N5" s="52"/>
      <c r="O5" s="52"/>
      <c r="P5" s="52"/>
      <c r="Q5" s="52"/>
      <c r="R5" s="52"/>
    </row>
    <row r="6" spans="1:18" ht="12.75">
      <c r="A6" s="49" t="s">
        <v>84</v>
      </c>
      <c r="B6" s="46">
        <f t="shared" si="1"/>
        <v>0.55294518450400254</v>
      </c>
      <c r="C6" s="48">
        <f>'Estado de resultados PyG - 12 m'!U6</f>
        <v>110554717.91883764</v>
      </c>
      <c r="D6" s="50">
        <f t="shared" ref="D6:D16" si="5">E6/$E$2</f>
        <v>0.28302918522817261</v>
      </c>
      <c r="E6" s="48">
        <f>('Salarios, gastos y costos'!$B$27)*12+(('Salarios, gastos y costos'!B11*12)*E21)</f>
        <v>99587994.959999993</v>
      </c>
      <c r="F6" s="50">
        <f t="shared" si="2"/>
        <v>0.19665448843464522</v>
      </c>
      <c r="G6" s="48">
        <f>('Salarios, gastos y costos'!$B$27)*12+(('Salarios, gastos y costos'!B11*12)*G21)</f>
        <v>100140768.54000001</v>
      </c>
      <c r="H6" s="50">
        <f t="shared" si="3"/>
        <v>0.19277595350916468</v>
      </c>
      <c r="I6" s="48">
        <f>('Salarios, gastos y costos'!$B$27)*12+('Salarios, gastos y costos'!B11*12)*I21</f>
        <v>100693542.12</v>
      </c>
      <c r="J6" s="50">
        <f t="shared" si="4"/>
        <v>0.19291999521870931</v>
      </c>
      <c r="K6" s="51">
        <f>('Salarios, gastos y costos'!$B$27)*12+('Salarios, gastos y costos'!B11*12)*K21</f>
        <v>100914651.552</v>
      </c>
      <c r="L6" s="52"/>
      <c r="M6" s="52"/>
      <c r="N6" s="52"/>
      <c r="O6" s="52"/>
      <c r="P6" s="52"/>
      <c r="Q6" s="52"/>
      <c r="R6" s="52"/>
    </row>
    <row r="7" spans="1:18" ht="12.75">
      <c r="A7" s="49" t="s">
        <v>86</v>
      </c>
      <c r="B7" s="46">
        <f t="shared" si="1"/>
        <v>3.5010865493318426E-3</v>
      </c>
      <c r="C7" s="48">
        <f>'Estado de resultados PyG - 12 m'!U7</f>
        <v>700000.01214951661</v>
      </c>
      <c r="D7" s="50">
        <f t="shared" si="5"/>
        <v>1.9894007278617957E-3</v>
      </c>
      <c r="E7" s="48">
        <f>('Presupuesto Inicial'!$J$20)*12</f>
        <v>700000</v>
      </c>
      <c r="F7" s="50">
        <f t="shared" si="2"/>
        <v>1.3746463494462378E-3</v>
      </c>
      <c r="G7" s="48">
        <f>('Presupuesto Inicial'!$J$20)*12</f>
        <v>700000</v>
      </c>
      <c r="H7" s="50">
        <f t="shared" si="3"/>
        <v>1.340137258212635E-3</v>
      </c>
      <c r="I7" s="48">
        <f>('Presupuesto Inicial'!$J$20)*12</f>
        <v>700000</v>
      </c>
      <c r="J7" s="50">
        <f t="shared" si="4"/>
        <v>1.3382000985606151E-3</v>
      </c>
      <c r="K7" s="51">
        <f>('Presupuesto Inicial'!$J$20)*12</f>
        <v>700000</v>
      </c>
      <c r="L7" s="52"/>
      <c r="M7" s="52"/>
      <c r="N7" s="52"/>
      <c r="O7" s="52"/>
      <c r="P7" s="52"/>
      <c r="Q7" s="52"/>
      <c r="R7" s="52"/>
    </row>
    <row r="8" spans="1:18" ht="12.75">
      <c r="A8" s="29" t="s">
        <v>88</v>
      </c>
      <c r="B8" s="31">
        <f t="shared" si="1"/>
        <v>0.43990459645181917</v>
      </c>
      <c r="C8" s="34">
        <f>C2-C4</f>
        <v>87953616.262262493</v>
      </c>
      <c r="D8" s="35">
        <f t="shared" si="5"/>
        <v>0.71278347864780722</v>
      </c>
      <c r="E8" s="34">
        <f>E2-E4</f>
        <v>250803384.18782723</v>
      </c>
      <c r="F8" s="35">
        <f t="shared" si="2"/>
        <v>0.8004449606372912</v>
      </c>
      <c r="G8" s="34">
        <f>G2-G4</f>
        <v>407604088.6238265</v>
      </c>
      <c r="H8" s="35">
        <f t="shared" si="3"/>
        <v>0.80438932689884646</v>
      </c>
      <c r="I8" s="34">
        <f>I2-I4</f>
        <v>420160342.0683732</v>
      </c>
      <c r="J8" s="35">
        <f t="shared" si="4"/>
        <v>0.8042465931842625</v>
      </c>
      <c r="K8" s="36">
        <f>K2-K4</f>
        <v>420693897.59761953</v>
      </c>
      <c r="L8" s="55"/>
      <c r="M8" s="44"/>
      <c r="N8" s="44"/>
      <c r="O8" s="44"/>
      <c r="P8" s="44"/>
      <c r="Q8" s="44"/>
      <c r="R8" s="44"/>
    </row>
    <row r="9" spans="1:18" ht="12.75">
      <c r="A9" s="56" t="s">
        <v>90</v>
      </c>
      <c r="B9" s="46">
        <f t="shared" si="1"/>
        <v>1.9926784204177116E-2</v>
      </c>
      <c r="C9" s="48">
        <f>'Estado de resultados PyG - 12 m'!U9</f>
        <v>3984120.0691501889</v>
      </c>
      <c r="D9" s="50">
        <f t="shared" si="5"/>
        <v>1.2002245781976492E-2</v>
      </c>
      <c r="E9" s="48">
        <f>'Estado de resultados PyG - 12 m'!U9+('Estado de resultados PyG - 12 m'!U9*$E$21)</f>
        <v>4223167.2732992005</v>
      </c>
      <c r="F9" s="50">
        <f t="shared" si="2"/>
        <v>8.3324932226937574E-3</v>
      </c>
      <c r="G9" s="48">
        <f>'Estado de resultados PyG - 12 m'!U9+('Estado de resultados PyG - 12 m'!U9*G21)</f>
        <v>4243087.8736449508</v>
      </c>
      <c r="H9" s="50">
        <f t="shared" si="3"/>
        <v>8.1614521258158972E-3</v>
      </c>
      <c r="I9" s="48">
        <f>'Estado de resultados PyG - 12 m'!U9+('Estado de resultados PyG - 12 m'!U9*I21)</f>
        <v>4263008.4739907021</v>
      </c>
      <c r="J9" s="50">
        <f t="shared" si="4"/>
        <v>8.1648877997107482E-3</v>
      </c>
      <c r="K9" s="51">
        <f>'Estado de resultados PyG - 12 m'!U9+('Estado de resultados PyG - 12 m'!U9*K21)</f>
        <v>4270976.7141290028</v>
      </c>
      <c r="L9" s="52"/>
      <c r="M9" s="52"/>
      <c r="N9" s="52"/>
      <c r="O9" s="52"/>
      <c r="P9" s="52"/>
      <c r="Q9" s="52"/>
      <c r="R9" s="52"/>
    </row>
    <row r="10" spans="1:18" ht="12.75">
      <c r="A10" s="49" t="s">
        <v>92</v>
      </c>
      <c r="B10" s="46">
        <f t="shared" si="1"/>
        <v>2.1431651450713161E-2</v>
      </c>
      <c r="C10" s="48">
        <f>'Estado de resultados PyG - 12 m'!$U$10</f>
        <v>4285000.1176767461</v>
      </c>
      <c r="D10" s="50">
        <f t="shared" si="5"/>
        <v>1.2908653277390915E-2</v>
      </c>
      <c r="E10" s="48">
        <f>('Estado de resultados PyG - 12 m'!$U$10)+('Estado de resultados PyG - 12 m'!$U$10*E21)</f>
        <v>4542100.1247373512</v>
      </c>
      <c r="F10" s="50">
        <f t="shared" si="2"/>
        <v>8.9617616487645789E-3</v>
      </c>
      <c r="G10" s="48">
        <f>('Estado de resultados PyG - 12 m'!$U$10)+('Estado de resultados PyG - 12 m'!$U$10*G21)</f>
        <v>4563525.1253257347</v>
      </c>
      <c r="H10" s="50">
        <f t="shared" si="3"/>
        <v>8.7778035582631742E-3</v>
      </c>
      <c r="I10" s="48">
        <f>('Estado de resultados PyG - 12 m'!$U$10)+('Estado de resultados PyG - 12 m'!$U$10*I21)</f>
        <v>4584950.1259141183</v>
      </c>
      <c r="J10" s="50">
        <f t="shared" si="4"/>
        <v>8.7814986936477022E-3</v>
      </c>
      <c r="K10" s="51">
        <f>('Estado de resultados PyG - 12 m'!$U$10)+('Estado de resultados PyG - 12 m'!$U$10*K21)</f>
        <v>4593520.1261494718</v>
      </c>
      <c r="L10" s="52"/>
      <c r="M10" s="52"/>
      <c r="N10" s="52"/>
      <c r="O10" s="52"/>
      <c r="P10" s="52"/>
      <c r="Q10" s="52"/>
      <c r="R10" s="52"/>
    </row>
    <row r="11" spans="1:18" ht="12.75">
      <c r="A11" s="29" t="s">
        <v>95</v>
      </c>
      <c r="B11" s="31">
        <f t="shared" si="1"/>
        <v>0.39854616079692884</v>
      </c>
      <c r="C11" s="34">
        <f>C8-C9-C10</f>
        <v>79684496.075435549</v>
      </c>
      <c r="D11" s="35">
        <f t="shared" si="5"/>
        <v>0.68787257958843995</v>
      </c>
      <c r="E11" s="34">
        <f>E8-E9-E10</f>
        <v>242038116.78979069</v>
      </c>
      <c r="F11" s="35">
        <f t="shared" si="2"/>
        <v>0.7831507057658329</v>
      </c>
      <c r="G11" s="34">
        <f>G8-G9-G10</f>
        <v>398797475.62485582</v>
      </c>
      <c r="H11" s="35">
        <f t="shared" si="3"/>
        <v>0.7874500712147674</v>
      </c>
      <c r="I11" s="34">
        <f>I8-I9-I10</f>
        <v>411312383.46846843</v>
      </c>
      <c r="J11" s="35">
        <f t="shared" si="4"/>
        <v>0.78730020669090395</v>
      </c>
      <c r="K11" s="36">
        <f>K8-K9-K10</f>
        <v>411829400.75734103</v>
      </c>
      <c r="L11" s="55"/>
      <c r="M11" s="55"/>
      <c r="N11" s="55"/>
      <c r="O11" s="55"/>
      <c r="P11" s="44"/>
      <c r="Q11" s="44"/>
      <c r="R11" s="44"/>
    </row>
    <row r="12" spans="1:18" ht="12.75">
      <c r="A12" s="56" t="s">
        <v>96</v>
      </c>
      <c r="B12" s="46">
        <f t="shared" si="1"/>
        <v>0</v>
      </c>
      <c r="C12" s="48">
        <v>0</v>
      </c>
      <c r="D12" s="50">
        <f t="shared" si="5"/>
        <v>0</v>
      </c>
      <c r="E12" s="48">
        <v>0</v>
      </c>
      <c r="F12" s="50">
        <f t="shared" si="2"/>
        <v>0</v>
      </c>
      <c r="G12" s="48">
        <v>0</v>
      </c>
      <c r="H12" s="50">
        <f t="shared" si="3"/>
        <v>0</v>
      </c>
      <c r="I12" s="48">
        <v>0</v>
      </c>
      <c r="J12" s="50">
        <f t="shared" si="4"/>
        <v>0</v>
      </c>
      <c r="K12" s="51">
        <v>0</v>
      </c>
      <c r="L12" s="52"/>
      <c r="M12" s="52"/>
      <c r="N12" s="52"/>
      <c r="O12" s="52"/>
      <c r="P12" s="52"/>
      <c r="Q12" s="52"/>
      <c r="R12" s="52"/>
    </row>
    <row r="13" spans="1:18" ht="12.75">
      <c r="A13" s="49" t="s">
        <v>97</v>
      </c>
      <c r="B13" s="46">
        <f t="shared" si="1"/>
        <v>0</v>
      </c>
      <c r="C13" s="48">
        <f>'Estado de resultados PyG - 12 m'!U13</f>
        <v>0</v>
      </c>
      <c r="D13" s="50">
        <f t="shared" si="5"/>
        <v>0</v>
      </c>
      <c r="E13" s="48">
        <v>0</v>
      </c>
      <c r="F13" s="50">
        <f t="shared" si="2"/>
        <v>0</v>
      </c>
      <c r="G13" s="48">
        <v>0</v>
      </c>
      <c r="H13" s="50">
        <f t="shared" si="3"/>
        <v>0</v>
      </c>
      <c r="I13" s="48">
        <v>0</v>
      </c>
      <c r="J13" s="50">
        <f t="shared" si="4"/>
        <v>0</v>
      </c>
      <c r="K13" s="51">
        <v>0</v>
      </c>
      <c r="L13" s="52"/>
      <c r="M13" s="52"/>
      <c r="N13" s="52"/>
      <c r="O13" s="52"/>
      <c r="P13" s="52"/>
      <c r="Q13" s="52"/>
      <c r="R13" s="52"/>
    </row>
    <row r="14" spans="1:18" ht="12.75">
      <c r="A14" s="29" t="s">
        <v>98</v>
      </c>
      <c r="B14" s="31">
        <f t="shared" si="1"/>
        <v>0.39854616079692884</v>
      </c>
      <c r="C14" s="34">
        <f>C11+C12-C13</f>
        <v>79684496.075435549</v>
      </c>
      <c r="D14" s="35">
        <f t="shared" si="5"/>
        <v>0.68787257958843995</v>
      </c>
      <c r="E14" s="34">
        <f>E11+E12-E13</f>
        <v>242038116.78979069</v>
      </c>
      <c r="F14" s="35">
        <f t="shared" si="2"/>
        <v>0.7831507057658329</v>
      </c>
      <c r="G14" s="34">
        <f>G11+G12-G13</f>
        <v>398797475.62485582</v>
      </c>
      <c r="H14" s="35">
        <f t="shared" si="3"/>
        <v>0.7874500712147674</v>
      </c>
      <c r="I14" s="34">
        <f>I11+I12-I13</f>
        <v>411312383.46846843</v>
      </c>
      <c r="J14" s="35">
        <f t="shared" si="4"/>
        <v>0.78730020669090395</v>
      </c>
      <c r="K14" s="36">
        <f>K11+K12-K13</f>
        <v>411829400.75734103</v>
      </c>
      <c r="L14" s="55"/>
      <c r="M14" s="55"/>
      <c r="N14" s="55"/>
      <c r="O14" s="55"/>
      <c r="P14" s="44"/>
      <c r="Q14" s="44"/>
      <c r="R14" s="44"/>
    </row>
    <row r="15" spans="1:18" ht="12.75">
      <c r="A15" s="49" t="s">
        <v>99</v>
      </c>
      <c r="B15" s="46">
        <f t="shared" si="1"/>
        <v>0.23563143718954563</v>
      </c>
      <c r="C15" s="48">
        <f>'Estado de resultados PyG - 12 m'!U15</f>
        <v>47111662.785648078</v>
      </c>
      <c r="D15" s="50">
        <f t="shared" si="5"/>
        <v>0.23387667706006959</v>
      </c>
      <c r="E15" s="48">
        <f>IF(E14&gt;0, E14*0.34, 0)</f>
        <v>82292959.708528847</v>
      </c>
      <c r="F15" s="50">
        <f t="shared" si="2"/>
        <v>0.26627123996038315</v>
      </c>
      <c r="G15" s="48">
        <f>IF(G14&gt;0, G14*0.34, 0)</f>
        <v>135591141.71245098</v>
      </c>
      <c r="H15" s="50">
        <f t="shared" si="3"/>
        <v>0.26773302421302098</v>
      </c>
      <c r="I15" s="48">
        <f>IF(I14&gt;0, I14*0.34, 0)</f>
        <v>139846210.37927929</v>
      </c>
      <c r="J15" s="50">
        <f t="shared" si="4"/>
        <v>0.26768207027490737</v>
      </c>
      <c r="K15" s="51">
        <f>IF(K14&gt;0, K14*0.34, 0)</f>
        <v>140021996.25749597</v>
      </c>
      <c r="L15" s="52"/>
      <c r="M15" s="52"/>
      <c r="N15" s="52"/>
      <c r="O15" s="52"/>
      <c r="P15" s="52"/>
      <c r="Q15" s="52"/>
      <c r="R15" s="52"/>
    </row>
    <row r="16" spans="1:18" ht="12.75">
      <c r="A16" s="29" t="s">
        <v>100</v>
      </c>
      <c r="B16" s="31">
        <f t="shared" si="1"/>
        <v>0.16291472360738321</v>
      </c>
      <c r="C16" s="34">
        <f>C14-C15</f>
        <v>32572833.289787471</v>
      </c>
      <c r="D16" s="35">
        <f t="shared" si="5"/>
        <v>0.4539959025283703</v>
      </c>
      <c r="E16" s="34">
        <f>E14-E15</f>
        <v>159745157.08126184</v>
      </c>
      <c r="F16" s="35">
        <f t="shared" si="2"/>
        <v>0.51687946580544963</v>
      </c>
      <c r="G16" s="34">
        <f>G14-G15</f>
        <v>263206333.91240484</v>
      </c>
      <c r="H16" s="35">
        <f t="shared" si="3"/>
        <v>0.51971704700174648</v>
      </c>
      <c r="I16" s="34">
        <f>I14-I15</f>
        <v>271466173.08918917</v>
      </c>
      <c r="J16" s="35">
        <f t="shared" si="4"/>
        <v>0.51961813641599652</v>
      </c>
      <c r="K16" s="36">
        <f>K14-K15</f>
        <v>271807404.49984503</v>
      </c>
      <c r="L16" s="55"/>
      <c r="M16" s="55"/>
      <c r="N16" s="55"/>
      <c r="O16" s="55"/>
      <c r="P16" s="44"/>
      <c r="Q16" s="44"/>
      <c r="R16" s="44"/>
    </row>
    <row r="18" spans="2:18" ht="12.75">
      <c r="B18" s="11"/>
      <c r="C18" s="95" t="s">
        <v>247</v>
      </c>
      <c r="E18" s="61">
        <f>'Tabla Crecimiento'!B10</f>
        <v>65175.619953865986</v>
      </c>
      <c r="G18" s="61">
        <f>'Tabla Crecimiento'!B11</f>
        <v>94322.751322401688</v>
      </c>
      <c r="I18" s="61">
        <f>'Tabla Crecimiento'!B12</f>
        <v>96751.601360591376</v>
      </c>
      <c r="K18" s="61">
        <f>'Tabla Crecimiento'!B13</f>
        <v>96891.657618714249</v>
      </c>
      <c r="M18" s="11">
        <v>1621</v>
      </c>
      <c r="N18" s="11">
        <f>M18*$M$19</f>
        <v>4863</v>
      </c>
      <c r="O18" s="11">
        <f>N18*$M$19</f>
        <v>14589</v>
      </c>
      <c r="P18" s="11">
        <f>O18*$M$19</f>
        <v>43767</v>
      </c>
      <c r="Q18" s="11">
        <f>P18*$M$19</f>
        <v>131301</v>
      </c>
      <c r="R18" s="11">
        <f>Q18*$M$19</f>
        <v>393903</v>
      </c>
    </row>
    <row r="19" spans="2:18" ht="12.75">
      <c r="C19" s="93" t="s">
        <v>181</v>
      </c>
      <c r="E19">
        <f>('Tabla Crecimiento'!O3+('Tabla Crecimiento'!O3*0.19))</f>
        <v>5398.7174252717768</v>
      </c>
      <c r="L19" s="11" t="s">
        <v>101</v>
      </c>
      <c r="M19" s="11">
        <v>3</v>
      </c>
    </row>
    <row r="20" spans="2:18" ht="12.75">
      <c r="L20" s="11" t="s">
        <v>102</v>
      </c>
      <c r="M20" s="11">
        <v>2860</v>
      </c>
    </row>
    <row r="21" spans="2:18" ht="12.75">
      <c r="C21" s="93" t="s">
        <v>246</v>
      </c>
      <c r="D21">
        <v>5.75</v>
      </c>
      <c r="E21" s="141">
        <v>0.06</v>
      </c>
      <c r="G21" s="142">
        <v>6.5000000000000002E-2</v>
      </c>
      <c r="I21" s="141">
        <v>7.0000000000000007E-2</v>
      </c>
      <c r="K21" s="142">
        <v>7.1999999999999995E-2</v>
      </c>
      <c r="L21" s="11" t="s">
        <v>103</v>
      </c>
      <c r="M21" s="11">
        <v>0.03</v>
      </c>
    </row>
    <row r="25" spans="2:18" ht="15.75" customHeight="1">
      <c r="C25" s="43">
        <f>C5+C6+C9+C10+C13+C15</f>
        <v>166665100.90397593</v>
      </c>
    </row>
  </sheetData>
  <mergeCells count="5">
    <mergeCell ref="D1:E1"/>
    <mergeCell ref="B1:C1"/>
    <mergeCell ref="F1:G1"/>
    <mergeCell ref="H1:I1"/>
    <mergeCell ref="J1:K1"/>
  </mergeCells>
  <conditionalFormatting sqref="A1:K16">
    <cfRule type="cellIs" dxfId="13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opLeftCell="A13" zoomScale="130" zoomScaleNormal="130" workbookViewId="0">
      <pane xSplit="1" topLeftCell="B1" activePane="topRight" state="frozen"/>
      <selection pane="topRight" activeCell="C13" sqref="C13"/>
    </sheetView>
  </sheetViews>
  <sheetFormatPr baseColWidth="10" defaultColWidth="14.42578125" defaultRowHeight="15.75" customHeight="1"/>
  <cols>
    <col min="1" max="1" width="17.140625" customWidth="1"/>
    <col min="2" max="2" width="8.140625" customWidth="1"/>
    <col min="3" max="3" width="15.28515625" customWidth="1"/>
    <col min="4" max="4" width="8.5703125" customWidth="1"/>
    <col min="5" max="5" width="15.28515625" customWidth="1"/>
    <col min="6" max="6" width="9.140625" customWidth="1"/>
    <col min="7" max="7" width="14.5703125" customWidth="1"/>
    <col min="8" max="8" width="8.85546875" customWidth="1"/>
    <col min="9" max="9" width="14.42578125" customWidth="1"/>
    <col min="10" max="10" width="9.5703125" customWidth="1"/>
    <col min="11" max="11" width="14.5703125" customWidth="1"/>
    <col min="12" max="12" width="9.42578125" customWidth="1"/>
    <col min="13" max="13" width="15.28515625" customWidth="1"/>
    <col min="14" max="14" width="8.140625" customWidth="1"/>
    <col min="15" max="15" width="14.5703125" customWidth="1"/>
    <col min="16" max="16" width="8.28515625" customWidth="1"/>
    <col min="17" max="17" width="15.28515625" customWidth="1"/>
    <col min="18" max="18" width="8.28515625" customWidth="1"/>
    <col min="19" max="19" width="17.28515625" customWidth="1"/>
    <col min="20" max="20" width="8.42578125" customWidth="1"/>
    <col min="21" max="21" width="16.5703125" bestFit="1" customWidth="1"/>
    <col min="22" max="22" width="9" customWidth="1"/>
    <col min="23" max="23" width="16.5703125" bestFit="1" customWidth="1"/>
    <col min="24" max="24" width="9.42578125" customWidth="1"/>
    <col min="25" max="25" width="16.5703125" bestFit="1" customWidth="1"/>
    <col min="26" max="26" width="9" customWidth="1"/>
    <col min="27" max="27" width="16.5703125" bestFit="1" customWidth="1"/>
    <col min="29" max="29" width="19" bestFit="1" customWidth="1"/>
  </cols>
  <sheetData>
    <row r="1" spans="1:29" s="149" customFormat="1" ht="15.75" customHeight="1">
      <c r="A1" s="152"/>
      <c r="B1" s="275" t="s">
        <v>104</v>
      </c>
      <c r="C1" s="276"/>
      <c r="D1" s="275" t="s">
        <v>55</v>
      </c>
      <c r="E1" s="276"/>
      <c r="F1" s="275" t="s">
        <v>58</v>
      </c>
      <c r="G1" s="276"/>
      <c r="H1" s="275" t="s">
        <v>59</v>
      </c>
      <c r="I1" s="276"/>
      <c r="J1" s="275" t="s">
        <v>60</v>
      </c>
      <c r="K1" s="276"/>
      <c r="L1" s="275" t="s">
        <v>61</v>
      </c>
      <c r="M1" s="276"/>
      <c r="N1" s="275" t="s">
        <v>62</v>
      </c>
      <c r="O1" s="276"/>
      <c r="P1" s="275" t="s">
        <v>63</v>
      </c>
      <c r="Q1" s="276"/>
      <c r="R1" s="275" t="s">
        <v>64</v>
      </c>
      <c r="S1" s="276"/>
      <c r="T1" s="275" t="s">
        <v>65</v>
      </c>
      <c r="U1" s="276"/>
      <c r="V1" s="275" t="s">
        <v>66</v>
      </c>
      <c r="W1" s="276"/>
      <c r="X1" s="275" t="s">
        <v>67</v>
      </c>
      <c r="Y1" s="276"/>
      <c r="Z1" s="275" t="s">
        <v>68</v>
      </c>
      <c r="AA1" s="276"/>
    </row>
    <row r="2" spans="1:29" ht="15.75" customHeight="1">
      <c r="A2" s="30" t="s">
        <v>76</v>
      </c>
      <c r="B2" s="62">
        <f t="shared" ref="B2:B9" si="0">C2/$C$2</f>
        <v>1</v>
      </c>
      <c r="C2" s="33">
        <f>SUM(C3:C9)</f>
        <v>3677500</v>
      </c>
      <c r="D2" s="62">
        <f t="shared" ref="D2:D9" si="1">E2/$E$2</f>
        <v>1</v>
      </c>
      <c r="E2" s="33">
        <f>SUM(E3:E9)</f>
        <v>9605703</v>
      </c>
      <c r="F2" s="62">
        <f t="shared" ref="F2:F9" si="2">G2/$G$2</f>
        <v>1</v>
      </c>
      <c r="G2" s="146">
        <f>SUM(G3:G9)</f>
        <v>9715703</v>
      </c>
      <c r="H2" s="62">
        <f t="shared" ref="H2:H9" si="3">I2/$I$2</f>
        <v>1</v>
      </c>
      <c r="I2" s="146">
        <f>SUM(I3:I9)</f>
        <v>9745703</v>
      </c>
      <c r="J2" s="62">
        <f t="shared" ref="J2:J9" si="4">K2/$K$2</f>
        <v>1</v>
      </c>
      <c r="K2" s="146">
        <f>SUM(K3:K9)</f>
        <v>9645703</v>
      </c>
      <c r="L2" s="32">
        <f t="shared" ref="L2:L9" si="5">M2/$M$2</f>
        <v>1</v>
      </c>
      <c r="M2" s="33">
        <f>SUM(M3:M9)</f>
        <v>9645703</v>
      </c>
      <c r="N2" s="32">
        <f t="shared" ref="N2:N9" si="6">O2/$O$2</f>
        <v>1</v>
      </c>
      <c r="O2" s="33">
        <f>SUM(O3:O9)</f>
        <v>10170703</v>
      </c>
      <c r="P2" s="32">
        <f t="shared" ref="P2:P9" si="7">Q2/$Q$2</f>
        <v>1</v>
      </c>
      <c r="Q2" s="33">
        <f>SUM(Q3:Q9)</f>
        <v>11196991.958654905</v>
      </c>
      <c r="R2" s="32">
        <f t="shared" ref="R2:R9" si="8">S2/$S$2</f>
        <v>1</v>
      </c>
      <c r="S2" s="33">
        <f>SUM(S3:S9)</f>
        <v>12748082.307240065</v>
      </c>
      <c r="T2" s="32">
        <f t="shared" ref="T2:T9" si="9">U2/$U$2</f>
        <v>1</v>
      </c>
      <c r="U2" s="33">
        <f>SUM(U3:U9)</f>
        <v>14679951.342581803</v>
      </c>
      <c r="V2" s="32">
        <f t="shared" ref="V2:V9" si="10">W2/$W$2</f>
        <v>1</v>
      </c>
      <c r="W2" s="33">
        <f>SUM(W3:W9)</f>
        <v>17073478.113339286</v>
      </c>
      <c r="X2" s="32">
        <f t="shared" ref="X2:X9" si="11">Y2/$Y$2</f>
        <v>1</v>
      </c>
      <c r="Y2" s="33">
        <f>SUM(Y3:Y9)</f>
        <v>20019770.482492886</v>
      </c>
      <c r="Z2" s="32">
        <f t="shared" ref="Z2:Z9" si="12">AA2/$AA$2</f>
        <v>1</v>
      </c>
      <c r="AA2" s="37">
        <f>SUM(AA3:AA9)</f>
        <v>23617603.265701436</v>
      </c>
      <c r="AC2" s="145">
        <f t="shared" ref="AC2:AC6" si="13">AA2+Y2+W2+U2+S2+Q2+O2+M2+K2+I2+G2+E2</f>
        <v>157865095.4700104</v>
      </c>
    </row>
    <row r="3" spans="1:29" ht="15.75" customHeight="1">
      <c r="A3" s="39" t="s">
        <v>77</v>
      </c>
      <c r="B3" s="63">
        <f t="shared" si="0"/>
        <v>0</v>
      </c>
      <c r="C3" s="41">
        <v>0</v>
      </c>
      <c r="D3" s="63">
        <f t="shared" si="1"/>
        <v>0.95910658491106793</v>
      </c>
      <c r="E3" s="42">
        <f>'Salarios, gastos y costos'!$B$11</f>
        <v>9212893</v>
      </c>
      <c r="F3" s="63">
        <f t="shared" si="2"/>
        <v>0.9482476975675358</v>
      </c>
      <c r="G3" s="147">
        <f>'Salarios, gastos y costos'!$B$11</f>
        <v>9212893</v>
      </c>
      <c r="H3" s="63">
        <f t="shared" si="3"/>
        <v>0.94532872590104577</v>
      </c>
      <c r="I3" s="147">
        <f>'Salarios, gastos y costos'!$B$11</f>
        <v>9212893</v>
      </c>
      <c r="J3" s="63">
        <f t="shared" si="4"/>
        <v>0.95512924252384712</v>
      </c>
      <c r="K3" s="147">
        <f>'Salarios, gastos y costos'!$B$11</f>
        <v>9212893</v>
      </c>
      <c r="L3" s="40">
        <f t="shared" si="5"/>
        <v>0.95512924252384712</v>
      </c>
      <c r="M3" s="42">
        <f>'Salarios, gastos y costos'!$B$11</f>
        <v>9212893</v>
      </c>
      <c r="N3" s="40">
        <f t="shared" si="6"/>
        <v>0.90582656872391221</v>
      </c>
      <c r="O3" s="42">
        <f>'Salarios, gastos y costos'!$B$11</f>
        <v>9212893</v>
      </c>
      <c r="P3" s="40">
        <f t="shared" si="7"/>
        <v>0.69181312522176308</v>
      </c>
      <c r="Q3" s="42">
        <f>'Salarios, gastos y costos'!$B$27</f>
        <v>7746226</v>
      </c>
      <c r="R3" s="40">
        <f t="shared" si="8"/>
        <v>0.60763853051063665</v>
      </c>
      <c r="S3" s="42">
        <f>'Salarios, gastos y costos'!$B$27</f>
        <v>7746226</v>
      </c>
      <c r="T3" s="40">
        <f t="shared" si="9"/>
        <v>0.52767381983962691</v>
      </c>
      <c r="U3" s="42">
        <f>'Salarios, gastos y costos'!$B$27</f>
        <v>7746226</v>
      </c>
      <c r="V3" s="40">
        <f t="shared" si="10"/>
        <v>0.45369935455318705</v>
      </c>
      <c r="W3" s="42">
        <f>'Salarios, gastos y costos'!$B$27</f>
        <v>7746226</v>
      </c>
      <c r="X3" s="40">
        <f t="shared" si="11"/>
        <v>0.38692881153527742</v>
      </c>
      <c r="Y3" s="42">
        <f>'Salarios, gastos y costos'!$B$27</f>
        <v>7746226</v>
      </c>
      <c r="Z3" s="40">
        <f t="shared" si="12"/>
        <v>0.32798527068364403</v>
      </c>
      <c r="AA3" s="45">
        <f>'Salarios, gastos y costos'!$B$27</f>
        <v>7746226</v>
      </c>
      <c r="AC3" s="145">
        <f t="shared" si="13"/>
        <v>101754714</v>
      </c>
    </row>
    <row r="4" spans="1:29" ht="15.75" customHeight="1">
      <c r="A4" s="39" t="s">
        <v>79</v>
      </c>
      <c r="B4" s="63">
        <f t="shared" si="0"/>
        <v>0</v>
      </c>
      <c r="C4" s="41">
        <v>0</v>
      </c>
      <c r="D4" s="63">
        <f t="shared" si="1"/>
        <v>3.4563841917660793E-2</v>
      </c>
      <c r="E4" s="42">
        <f>'Salarios, gastos y costos'!$K$11</f>
        <v>332010</v>
      </c>
      <c r="F4" s="63">
        <f t="shared" si="2"/>
        <v>3.4172514330666551E-2</v>
      </c>
      <c r="G4" s="147">
        <f>'Salarios, gastos y costos'!$K$11</f>
        <v>332010</v>
      </c>
      <c r="H4" s="63">
        <f t="shared" si="3"/>
        <v>3.4067321772477573E-2</v>
      </c>
      <c r="I4" s="147">
        <f>'Salarios, gastos y costos'!$K$11</f>
        <v>332010</v>
      </c>
      <c r="J4" s="63">
        <f t="shared" si="4"/>
        <v>3.4420508282289014E-2</v>
      </c>
      <c r="K4" s="147">
        <f>'Salarios, gastos y costos'!$K$11</f>
        <v>332010</v>
      </c>
      <c r="L4" s="40">
        <f t="shared" si="5"/>
        <v>3.4420508282289014E-2</v>
      </c>
      <c r="M4" s="42">
        <f>'Salarios, gastos y costos'!$K$11</f>
        <v>332010</v>
      </c>
      <c r="N4" s="40">
        <f t="shared" si="6"/>
        <v>3.2643761203134142E-2</v>
      </c>
      <c r="O4" s="42">
        <f>'Salarios, gastos y costos'!$K$11</f>
        <v>332010</v>
      </c>
      <c r="P4" s="40">
        <f t="shared" si="7"/>
        <v>2.965171371257146E-2</v>
      </c>
      <c r="Q4" s="42">
        <f>'Salarios, gastos y costos'!$K$11</f>
        <v>332010</v>
      </c>
      <c r="R4" s="40">
        <f t="shared" si="8"/>
        <v>2.6043917194623095E-2</v>
      </c>
      <c r="S4" s="42">
        <f>'Salarios, gastos y costos'!$K$11</f>
        <v>332010</v>
      </c>
      <c r="T4" s="40">
        <f t="shared" si="9"/>
        <v>2.2616559977072001E-2</v>
      </c>
      <c r="U4" s="42">
        <f>'Salarios, gastos y costos'!$K$11</f>
        <v>332010</v>
      </c>
      <c r="V4" s="40">
        <f t="shared" si="10"/>
        <v>1.9445949899370821E-2</v>
      </c>
      <c r="W4" s="42">
        <f>'Salarios, gastos y costos'!$K$11</f>
        <v>332010</v>
      </c>
      <c r="X4" s="40">
        <f t="shared" si="11"/>
        <v>1.6584106210924838E-2</v>
      </c>
      <c r="Y4" s="42">
        <f>'Salarios, gastos y costos'!$K$11</f>
        <v>332010</v>
      </c>
      <c r="Z4" s="40">
        <f t="shared" si="12"/>
        <v>1.405773465939112E-2</v>
      </c>
      <c r="AA4" s="45">
        <f>'Salarios, gastos y costos'!$K$11</f>
        <v>332010</v>
      </c>
      <c r="AC4" s="145">
        <f t="shared" si="13"/>
        <v>3984120</v>
      </c>
    </row>
    <row r="5" spans="1:29" ht="15.75" customHeight="1">
      <c r="A5" s="39" t="s">
        <v>81</v>
      </c>
      <c r="B5" s="63">
        <f t="shared" si="0"/>
        <v>0</v>
      </c>
      <c r="C5" s="41">
        <f>'Salarios, gastos y costos'!E7</f>
        <v>0</v>
      </c>
      <c r="D5" s="63">
        <f t="shared" si="1"/>
        <v>0</v>
      </c>
      <c r="E5" s="42">
        <f>'Salarios, gastos y costos'!$E$7</f>
        <v>0</v>
      </c>
      <c r="F5" s="63">
        <f t="shared" si="2"/>
        <v>0</v>
      </c>
      <c r="G5" s="147">
        <f>'Salarios, gastos y costos'!$E$7</f>
        <v>0</v>
      </c>
      <c r="H5" s="63">
        <f t="shared" si="3"/>
        <v>0</v>
      </c>
      <c r="I5" s="147">
        <f>'Salarios, gastos y costos'!$E$7</f>
        <v>0</v>
      </c>
      <c r="J5" s="63">
        <f t="shared" si="4"/>
        <v>0</v>
      </c>
      <c r="K5" s="147">
        <f>'Salarios, gastos y costos'!$E$7</f>
        <v>0</v>
      </c>
      <c r="L5" s="40">
        <f t="shared" si="5"/>
        <v>0</v>
      </c>
      <c r="M5" s="42">
        <f>'Salarios, gastos y costos'!$E$7</f>
        <v>0</v>
      </c>
      <c r="N5" s="40">
        <f t="shared" si="6"/>
        <v>0</v>
      </c>
      <c r="O5" s="42">
        <f>'Salarios, gastos y costos'!$E$7</f>
        <v>0</v>
      </c>
      <c r="P5" s="40">
        <f t="shared" si="7"/>
        <v>0</v>
      </c>
      <c r="Q5" s="42">
        <f>'Salarios, gastos y costos'!$E$7</f>
        <v>0</v>
      </c>
      <c r="R5" s="40">
        <f t="shared" si="8"/>
        <v>0</v>
      </c>
      <c r="S5" s="42">
        <f>'Salarios, gastos y costos'!$E$7</f>
        <v>0</v>
      </c>
      <c r="T5" s="40">
        <f t="shared" si="9"/>
        <v>0</v>
      </c>
      <c r="U5" s="42">
        <f>'Salarios, gastos y costos'!$E$7</f>
        <v>0</v>
      </c>
      <c r="V5" s="40">
        <f t="shared" si="10"/>
        <v>0</v>
      </c>
      <c r="W5" s="42">
        <f>'Salarios, gastos y costos'!$E$7</f>
        <v>0</v>
      </c>
      <c r="X5" s="40">
        <f t="shared" si="11"/>
        <v>0</v>
      </c>
      <c r="Y5" s="42">
        <f>'Salarios, gastos y costos'!$E$7</f>
        <v>0</v>
      </c>
      <c r="Z5" s="40">
        <f t="shared" si="12"/>
        <v>0</v>
      </c>
      <c r="AA5" s="45">
        <f>'Salarios, gastos y costos'!$E$7</f>
        <v>0</v>
      </c>
      <c r="AC5" s="145">
        <f t="shared" si="13"/>
        <v>0</v>
      </c>
    </row>
    <row r="6" spans="1:29" ht="15.75" customHeight="1">
      <c r="A6" s="39" t="s">
        <v>249</v>
      </c>
      <c r="B6" s="63">
        <f t="shared" si="0"/>
        <v>0.96826648538409243</v>
      </c>
      <c r="C6" s="41">
        <f>'Presupuesto Inicial'!D23</f>
        <v>3560800</v>
      </c>
      <c r="D6" s="63">
        <f t="shared" si="1"/>
        <v>6.3295731712712747E-3</v>
      </c>
      <c r="E6" s="42">
        <f>'Salarios, gastos y costos'!$E$27</f>
        <v>60800</v>
      </c>
      <c r="F6" s="63">
        <f t="shared" si="2"/>
        <v>6.2579105186727092E-3</v>
      </c>
      <c r="G6" s="147">
        <f>'Salarios, gastos y costos'!$E$27</f>
        <v>60800</v>
      </c>
      <c r="H6" s="63">
        <f t="shared" si="3"/>
        <v>6.238646919570605E-3</v>
      </c>
      <c r="I6" s="147">
        <f>'Salarios, gastos y costos'!$E$27</f>
        <v>60800</v>
      </c>
      <c r="J6" s="63">
        <f t="shared" si="4"/>
        <v>6.3033249105845374E-3</v>
      </c>
      <c r="K6" s="147">
        <f>'Salarios, gastos y costos'!$E$27</f>
        <v>60800</v>
      </c>
      <c r="L6" s="40">
        <f t="shared" si="5"/>
        <v>6.3033249105845374E-3</v>
      </c>
      <c r="M6" s="42">
        <f>'Salarios, gastos y costos'!$E$27</f>
        <v>60800</v>
      </c>
      <c r="N6" s="40">
        <f t="shared" si="6"/>
        <v>5.9779545229076102E-3</v>
      </c>
      <c r="O6" s="42">
        <f>'Salarios, gastos y costos'!$E$27</f>
        <v>60800</v>
      </c>
      <c r="P6" s="40">
        <f t="shared" si="7"/>
        <v>5.430029799476958E-3</v>
      </c>
      <c r="Q6" s="42">
        <f>'Salarios, gastos y costos'!$E$27</f>
        <v>60800</v>
      </c>
      <c r="R6" s="40">
        <f t="shared" si="8"/>
        <v>4.7693447951359423E-3</v>
      </c>
      <c r="S6" s="42">
        <f>'Salarios, gastos y costos'!$E$27</f>
        <v>60800</v>
      </c>
      <c r="T6" s="40">
        <f t="shared" si="9"/>
        <v>4.1417031011294165E-3</v>
      </c>
      <c r="U6" s="42">
        <f>'Salarios, gastos y costos'!$E$27</f>
        <v>60800</v>
      </c>
      <c r="V6" s="40">
        <f t="shared" si="10"/>
        <v>3.5610787442599498E-3</v>
      </c>
      <c r="W6" s="42">
        <f>'Salarios, gastos y costos'!$E$27</f>
        <v>60800</v>
      </c>
      <c r="X6" s="40">
        <f t="shared" si="11"/>
        <v>3.0369978543544774E-3</v>
      </c>
      <c r="Y6" s="42">
        <f>'Salarios, gastos y costos'!$E$27</f>
        <v>60800</v>
      </c>
      <c r="Z6" s="40">
        <f t="shared" si="12"/>
        <v>2.5743509752446619E-3</v>
      </c>
      <c r="AA6" s="45">
        <f>'Salarios, gastos y costos'!$E$27</f>
        <v>60800</v>
      </c>
      <c r="AC6" s="145">
        <f t="shared" si="13"/>
        <v>729600</v>
      </c>
    </row>
    <row r="7" spans="1:29" ht="15.75" customHeight="1">
      <c r="A7" s="39" t="s">
        <v>248</v>
      </c>
      <c r="B7" s="63">
        <f>C7/$C$2</f>
        <v>0</v>
      </c>
      <c r="C7" s="41">
        <v>0</v>
      </c>
      <c r="D7" s="63">
        <f>E7/$C$2</f>
        <v>0</v>
      </c>
      <c r="E7" s="87">
        <v>0</v>
      </c>
      <c r="F7" s="63">
        <f>G7/$C$2</f>
        <v>2.9911624745071381E-2</v>
      </c>
      <c r="G7" s="147">
        <f>'Salarios, gastos y costos'!G37</f>
        <v>110000</v>
      </c>
      <c r="H7" s="63">
        <f>I7/$C$2</f>
        <v>3.8069340584636305E-2</v>
      </c>
      <c r="I7" s="147">
        <f>'Salarios, gastos y costos'!G38</f>
        <v>140000</v>
      </c>
      <c r="J7" s="63">
        <f>K7/$C$2</f>
        <v>1.0876954452753228E-2</v>
      </c>
      <c r="K7" s="147">
        <f>'Salarios, gastos y costos'!G39</f>
        <v>40000</v>
      </c>
      <c r="L7" s="63">
        <f>M7/$C$2</f>
        <v>1.0876954452753228E-2</v>
      </c>
      <c r="M7" s="87">
        <f>'Salarios, gastos y costos'!G40</f>
        <v>40000</v>
      </c>
      <c r="N7" s="63">
        <f>O7/$C$2</f>
        <v>0.15363698164513936</v>
      </c>
      <c r="O7" s="87">
        <f>'Salarios, gastos y costos'!$F$41+'Salarios, gastos y costos'!$F$42</f>
        <v>565000</v>
      </c>
      <c r="P7" s="63">
        <f>Q7/$C$2</f>
        <v>0.15363698164513936</v>
      </c>
      <c r="Q7" s="87">
        <f>'Salarios, gastos y costos'!$F$41+'Salarios, gastos y costos'!$F$42</f>
        <v>565000</v>
      </c>
      <c r="R7" s="63">
        <f>S7/$C$2</f>
        <v>0.15363698164513936</v>
      </c>
      <c r="S7" s="87">
        <f>'Salarios, gastos y costos'!$F$41+'Salarios, gastos y costos'!$F$42</f>
        <v>565000</v>
      </c>
      <c r="T7" s="63">
        <f>U7/$C$2</f>
        <v>0.15363698164513936</v>
      </c>
      <c r="U7" s="87">
        <f>'Salarios, gastos y costos'!$F$41+'Salarios, gastos y costos'!$F$42</f>
        <v>565000</v>
      </c>
      <c r="V7" s="63">
        <f>W7/$C$2</f>
        <v>0.15363698164513936</v>
      </c>
      <c r="W7" s="87">
        <f>'Salarios, gastos y costos'!$F$41+'Salarios, gastos y costos'!$F$42</f>
        <v>565000</v>
      </c>
      <c r="X7" s="63">
        <f>Y7/$C$2</f>
        <v>0.15363698164513936</v>
      </c>
      <c r="Y7" s="87">
        <f>'Salarios, gastos y costos'!$F$41+'Salarios, gastos y costos'!$F$42</f>
        <v>565000</v>
      </c>
      <c r="Z7" s="63">
        <f>AA7/$C$2</f>
        <v>0.15363698164513936</v>
      </c>
      <c r="AA7" s="89">
        <f>'Salarios, gastos y costos'!$F$41+'Salarios, gastos y costos'!$F$42</f>
        <v>565000</v>
      </c>
      <c r="AC7" s="145">
        <f>AA7+Y7+W7+U7+S7+Q7+O7+M7+K7+I7+G7+E7</f>
        <v>4285000</v>
      </c>
    </row>
    <row r="8" spans="1:29" ht="15.75" customHeight="1">
      <c r="A8" s="39" t="s">
        <v>85</v>
      </c>
      <c r="B8" s="63">
        <f>C8/$C$2</f>
        <v>3.1733514615907545E-2</v>
      </c>
      <c r="C8" s="41">
        <f>'Presupuesto Inicial'!B2</f>
        <v>116700</v>
      </c>
      <c r="D8" s="63">
        <f t="shared" si="1"/>
        <v>0</v>
      </c>
      <c r="E8" s="41">
        <v>0</v>
      </c>
      <c r="F8" s="63">
        <f t="shared" si="2"/>
        <v>0</v>
      </c>
      <c r="G8" s="148">
        <v>0</v>
      </c>
      <c r="H8" s="63">
        <f t="shared" si="3"/>
        <v>0</v>
      </c>
      <c r="I8" s="148">
        <v>0</v>
      </c>
      <c r="J8" s="63">
        <f t="shared" si="4"/>
        <v>0</v>
      </c>
      <c r="K8" s="148">
        <v>0</v>
      </c>
      <c r="L8" s="40">
        <f t="shared" si="5"/>
        <v>0</v>
      </c>
      <c r="M8" s="41">
        <v>0</v>
      </c>
      <c r="N8" s="40">
        <f t="shared" si="6"/>
        <v>0</v>
      </c>
      <c r="O8" s="41">
        <v>0</v>
      </c>
      <c r="P8" s="40">
        <f t="shared" si="7"/>
        <v>0</v>
      </c>
      <c r="Q8" s="41">
        <v>0</v>
      </c>
      <c r="R8" s="40">
        <f t="shared" si="8"/>
        <v>0</v>
      </c>
      <c r="S8" s="41">
        <v>0</v>
      </c>
      <c r="T8" s="40">
        <f t="shared" si="9"/>
        <v>0</v>
      </c>
      <c r="U8" s="41">
        <v>0</v>
      </c>
      <c r="V8" s="40">
        <f t="shared" si="10"/>
        <v>0</v>
      </c>
      <c r="W8" s="41">
        <v>0</v>
      </c>
      <c r="X8" s="40">
        <f t="shared" si="11"/>
        <v>0</v>
      </c>
      <c r="Y8" s="41">
        <v>0</v>
      </c>
      <c r="Z8" s="40">
        <f t="shared" si="12"/>
        <v>0</v>
      </c>
      <c r="AA8" s="53">
        <v>0</v>
      </c>
      <c r="AC8" s="145">
        <f t="shared" ref="AC8:AC13" si="14">AA8+Y8+W8+U8+S8+Q8+O8+M8+K8+I8+G8+E8</f>
        <v>0</v>
      </c>
    </row>
    <row r="9" spans="1:29" ht="15.75" customHeight="1">
      <c r="A9" s="39" t="s">
        <v>87</v>
      </c>
      <c r="B9" s="63">
        <f t="shared" si="0"/>
        <v>0</v>
      </c>
      <c r="C9" s="41">
        <v>0</v>
      </c>
      <c r="D9" s="63">
        <f t="shared" si="1"/>
        <v>0</v>
      </c>
      <c r="E9" s="41">
        <v>0</v>
      </c>
      <c r="F9" s="63">
        <f t="shared" si="2"/>
        <v>0</v>
      </c>
      <c r="G9" s="148">
        <v>0</v>
      </c>
      <c r="H9" s="63">
        <f t="shared" si="3"/>
        <v>0</v>
      </c>
      <c r="I9" s="148">
        <v>0</v>
      </c>
      <c r="J9" s="63">
        <f t="shared" si="4"/>
        <v>0</v>
      </c>
      <c r="K9" s="148">
        <v>0</v>
      </c>
      <c r="L9" s="40">
        <f t="shared" si="5"/>
        <v>0</v>
      </c>
      <c r="M9" s="41">
        <v>0</v>
      </c>
      <c r="N9" s="40">
        <f t="shared" si="6"/>
        <v>0</v>
      </c>
      <c r="O9" s="41">
        <v>0</v>
      </c>
      <c r="P9" s="40">
        <f t="shared" si="7"/>
        <v>0.22264515039933852</v>
      </c>
      <c r="Q9" s="41">
        <f>'Estado de resultados PyG - 12 m'!I15</f>
        <v>2492955.9586549052</v>
      </c>
      <c r="R9" s="40">
        <f t="shared" si="8"/>
        <v>0.31722781590006799</v>
      </c>
      <c r="S9" s="41">
        <f>'Estado de resultados PyG - 12 m'!K15</f>
        <v>4044046.3072400652</v>
      </c>
      <c r="T9" s="40">
        <f t="shared" si="9"/>
        <v>0.40708005109305784</v>
      </c>
      <c r="U9" s="41">
        <f>'Estado de resultados PyG - 12 m'!M15</f>
        <v>5975915.342581803</v>
      </c>
      <c r="V9" s="40">
        <f t="shared" si="10"/>
        <v>0.49020135544616134</v>
      </c>
      <c r="W9" s="41">
        <f>'Estado de resultados PyG - 12 m'!O15</f>
        <v>8369442.1133392872</v>
      </c>
      <c r="X9" s="40">
        <f t="shared" si="11"/>
        <v>0.56522798262789276</v>
      </c>
      <c r="Y9" s="41">
        <f>'Estado de resultados PyG - 12 m'!Q15</f>
        <v>11315734.482492888</v>
      </c>
      <c r="Z9" s="40">
        <f t="shared" si="12"/>
        <v>0.63145980978347627</v>
      </c>
      <c r="AA9" s="53">
        <f>'Estado de resultados PyG - 12 m'!S15</f>
        <v>14913567.265701436</v>
      </c>
      <c r="AC9" s="145">
        <f t="shared" si="14"/>
        <v>47111661.470010377</v>
      </c>
    </row>
    <row r="10" spans="1:29" ht="15.75" customHeight="1">
      <c r="A10" s="30" t="s">
        <v>89</v>
      </c>
      <c r="B10" s="62">
        <f>C10/$C$10</f>
        <v>1</v>
      </c>
      <c r="C10" s="33">
        <f>Prestamo!E5+129</f>
        <v>72456000</v>
      </c>
      <c r="D10" s="62">
        <v>0</v>
      </c>
      <c r="E10" s="33">
        <f>SUM(E11:E12)</f>
        <v>0</v>
      </c>
      <c r="F10" s="62">
        <v>0</v>
      </c>
      <c r="G10" s="146">
        <f>SUM(G11:G12)</f>
        <v>0</v>
      </c>
      <c r="H10" s="62">
        <v>0</v>
      </c>
      <c r="I10" s="146">
        <f>SUM(I11:I12)</f>
        <v>0</v>
      </c>
      <c r="J10" s="62">
        <v>0</v>
      </c>
      <c r="K10" s="146">
        <f>SUM(K11:K12)</f>
        <v>0</v>
      </c>
      <c r="L10" s="32">
        <v>0</v>
      </c>
      <c r="M10" s="33">
        <f>SUM(M11:M12)</f>
        <v>0</v>
      </c>
      <c r="N10" s="32">
        <v>0</v>
      </c>
      <c r="O10" s="33">
        <f>SUM(O11:O12)</f>
        <v>0</v>
      </c>
      <c r="P10" s="32">
        <f>Q10/$Q$10</f>
        <v>1</v>
      </c>
      <c r="Q10" s="33">
        <f>SUM(Q11:Q12)</f>
        <v>17561259.741141878</v>
      </c>
      <c r="R10" s="32">
        <f>S10/$S$10</f>
        <v>1</v>
      </c>
      <c r="S10" s="33">
        <f>SUM(S11:S12)</f>
        <v>22123290.178157054</v>
      </c>
      <c r="T10" s="32">
        <f>U10/$U$10</f>
        <v>1</v>
      </c>
      <c r="U10" s="33">
        <f>SUM(U11:U12)</f>
        <v>27805257.929162167</v>
      </c>
      <c r="V10" s="32">
        <f>W10/$W$10</f>
        <v>1</v>
      </c>
      <c r="W10" s="33">
        <f>SUM(W11:W12)</f>
        <v>34845042.549037121</v>
      </c>
      <c r="X10" s="32">
        <f>Y10/$Y$10</f>
        <v>1</v>
      </c>
      <c r="Y10" s="33">
        <f>SUM(Y11:Y12)</f>
        <v>43510608.340665355</v>
      </c>
      <c r="Z10" s="32">
        <f>AA10/$AA$10</f>
        <v>1</v>
      </c>
      <c r="AA10" s="37">
        <f>SUM(AA11:AA12)</f>
        <v>54092469.46774932</v>
      </c>
      <c r="AC10" s="145">
        <f t="shared" si="14"/>
        <v>199937928.20591292</v>
      </c>
    </row>
    <row r="11" spans="1:29" ht="15.75" customHeight="1">
      <c r="A11" s="39" t="s">
        <v>91</v>
      </c>
      <c r="B11" s="63">
        <f>C11/$C$10</f>
        <v>0</v>
      </c>
      <c r="C11" s="41">
        <v>0</v>
      </c>
      <c r="D11" s="63">
        <v>0</v>
      </c>
      <c r="E11" s="41">
        <v>0</v>
      </c>
      <c r="F11" s="63">
        <v>0</v>
      </c>
      <c r="G11" s="148">
        <v>0</v>
      </c>
      <c r="H11" s="63">
        <v>0</v>
      </c>
      <c r="I11" s="148">
        <v>0</v>
      </c>
      <c r="J11" s="63">
        <v>0</v>
      </c>
      <c r="K11" s="148">
        <v>0</v>
      </c>
      <c r="L11" s="40">
        <v>0</v>
      </c>
      <c r="M11" s="41">
        <v>0</v>
      </c>
      <c r="N11" s="40">
        <v>0</v>
      </c>
      <c r="O11" s="41">
        <v>0</v>
      </c>
      <c r="P11" s="40">
        <f>Q11/$Q$10</f>
        <v>1</v>
      </c>
      <c r="Q11" s="42">
        <f>'Estado de resultados PyG - 12 m'!I3</f>
        <v>17561259.741141878</v>
      </c>
      <c r="R11" s="40">
        <f>S11/$S$10</f>
        <v>1</v>
      </c>
      <c r="S11" s="42">
        <f>'Estado de resultados PyG - 12 m'!K3</f>
        <v>22123290.178157054</v>
      </c>
      <c r="T11" s="40">
        <f>U11/$U$10</f>
        <v>1</v>
      </c>
      <c r="U11" s="42">
        <f>'Estado de resultados PyG - 12 m'!M3</f>
        <v>27805257.929162167</v>
      </c>
      <c r="V11" s="40">
        <f>W11/$W$10</f>
        <v>1</v>
      </c>
      <c r="W11" s="42">
        <f>'Estado de resultados PyG - 12 m'!O3</f>
        <v>34845042.549037121</v>
      </c>
      <c r="X11" s="40">
        <f>Y11/$Y$10</f>
        <v>1</v>
      </c>
      <c r="Y11" s="42">
        <f>'Estado de resultados PyG - 12 m'!Q3</f>
        <v>43510608.340665355</v>
      </c>
      <c r="Z11" s="40">
        <f>AA11/$AA$10</f>
        <v>1</v>
      </c>
      <c r="AA11" s="45">
        <f>'Estado de resultados PyG - 12 m'!S3</f>
        <v>54092469.46774932</v>
      </c>
      <c r="AC11" s="145">
        <f t="shared" si="14"/>
        <v>199937928.20591292</v>
      </c>
    </row>
    <row r="12" spans="1:29" ht="15.75" customHeight="1">
      <c r="A12" s="39" t="s">
        <v>93</v>
      </c>
      <c r="B12" s="63">
        <f>C12/$C$10</f>
        <v>1</v>
      </c>
      <c r="C12" s="41">
        <f>C10</f>
        <v>72456000</v>
      </c>
      <c r="D12" s="74">
        <v>0</v>
      </c>
      <c r="E12" s="41">
        <v>0</v>
      </c>
      <c r="F12" s="63">
        <v>0</v>
      </c>
      <c r="G12" s="148">
        <v>0</v>
      </c>
      <c r="H12" s="63">
        <v>0</v>
      </c>
      <c r="I12" s="148">
        <v>0</v>
      </c>
      <c r="J12" s="63">
        <v>0</v>
      </c>
      <c r="K12" s="148">
        <v>0</v>
      </c>
      <c r="L12" s="40">
        <v>0</v>
      </c>
      <c r="M12" s="41">
        <v>0</v>
      </c>
      <c r="N12" s="40">
        <v>0</v>
      </c>
      <c r="O12" s="41">
        <v>0</v>
      </c>
      <c r="P12" s="40">
        <v>0</v>
      </c>
      <c r="Q12" s="41">
        <v>0</v>
      </c>
      <c r="R12" s="40">
        <v>0</v>
      </c>
      <c r="S12" s="41">
        <v>0</v>
      </c>
      <c r="T12" s="40">
        <v>0</v>
      </c>
      <c r="U12" s="41">
        <v>0</v>
      </c>
      <c r="V12" s="40">
        <v>0</v>
      </c>
      <c r="W12" s="41">
        <v>0</v>
      </c>
      <c r="X12" s="40">
        <v>0</v>
      </c>
      <c r="Y12" s="41">
        <v>0</v>
      </c>
      <c r="Z12" s="40">
        <v>0</v>
      </c>
      <c r="AA12" s="53">
        <v>0</v>
      </c>
      <c r="AC12" s="145">
        <f t="shared" si="14"/>
        <v>0</v>
      </c>
    </row>
    <row r="13" spans="1:29" s="149" customFormat="1" ht="15.75" customHeight="1">
      <c r="A13" s="149" t="s">
        <v>94</v>
      </c>
      <c r="B13" s="150"/>
      <c r="C13" s="150">
        <f>C10-C2</f>
        <v>68778500</v>
      </c>
      <c r="D13" s="150"/>
      <c r="E13" s="150">
        <f>C13-E2+E10</f>
        <v>59172797</v>
      </c>
      <c r="F13" s="150"/>
      <c r="G13" s="151">
        <f>E13-G2+G10</f>
        <v>49457094</v>
      </c>
      <c r="H13" s="150"/>
      <c r="I13" s="151">
        <f>G13-I2+I10</f>
        <v>39711391</v>
      </c>
      <c r="J13" s="150"/>
      <c r="K13" s="151">
        <f>I13-K2+K10</f>
        <v>30065688</v>
      </c>
      <c r="L13" s="150"/>
      <c r="M13" s="150">
        <f>K13-M2+M10</f>
        <v>20419985</v>
      </c>
      <c r="N13" s="150"/>
      <c r="O13" s="150">
        <f>M13-O2+O10</f>
        <v>10249282</v>
      </c>
      <c r="P13" s="150"/>
      <c r="Q13" s="150">
        <f>O13-Q2+Q10</f>
        <v>16613549.782486973</v>
      </c>
      <c r="R13" s="150"/>
      <c r="S13" s="150">
        <f>Q13-S2+S10</f>
        <v>25988757.65340396</v>
      </c>
      <c r="T13" s="150"/>
      <c r="U13" s="150">
        <f>S13-U2+U10</f>
        <v>39114064.239984326</v>
      </c>
      <c r="V13" s="150"/>
      <c r="W13" s="150">
        <f>U13-W2+W10</f>
        <v>56885628.675682157</v>
      </c>
      <c r="X13" s="150"/>
      <c r="Y13" s="150">
        <f>W13-Y2+Y10</f>
        <v>80376466.533854634</v>
      </c>
      <c r="Z13" s="150"/>
      <c r="AA13" s="150">
        <f>Y13-AA2+AA10</f>
        <v>110851332.73590252</v>
      </c>
      <c r="AC13" s="151">
        <f t="shared" si="14"/>
        <v>538906036.62131453</v>
      </c>
    </row>
    <row r="16" spans="1:29" ht="15.75" customHeight="1">
      <c r="C16" s="93" t="s">
        <v>250</v>
      </c>
    </row>
  </sheetData>
  <mergeCells count="13">
    <mergeCell ref="X1:Y1"/>
    <mergeCell ref="Z1:AA1"/>
    <mergeCell ref="R1:S1"/>
    <mergeCell ref="P1:Q1"/>
    <mergeCell ref="V1:W1"/>
    <mergeCell ref="T1:U1"/>
    <mergeCell ref="N1:O1"/>
    <mergeCell ref="J1:K1"/>
    <mergeCell ref="H1:I1"/>
    <mergeCell ref="D1:E1"/>
    <mergeCell ref="B1:C1"/>
    <mergeCell ref="F1:G1"/>
    <mergeCell ref="L1:M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30" zoomScaleNormal="130" workbookViewId="0">
      <pane xSplit="1" topLeftCell="B1" activePane="topRight" state="frozen"/>
      <selection pane="topRight" activeCell="A12" sqref="A12:M13"/>
    </sheetView>
  </sheetViews>
  <sheetFormatPr baseColWidth="10" defaultColWidth="14.42578125" defaultRowHeight="15.75" customHeight="1"/>
  <cols>
    <col min="1" max="1" width="17.140625" customWidth="1"/>
    <col min="2" max="2" width="12.7109375" customWidth="1"/>
    <col min="4" max="4" width="8.7109375" customWidth="1"/>
    <col min="6" max="6" width="9" customWidth="1"/>
    <col min="8" max="8" width="9.42578125" customWidth="1"/>
    <col min="10" max="10" width="8.85546875" customWidth="1"/>
    <col min="12" max="12" width="9.5703125" customWidth="1"/>
  </cols>
  <sheetData>
    <row r="1" spans="1:20" ht="15.75" customHeight="1">
      <c r="A1" s="26"/>
      <c r="B1" s="277" t="s">
        <v>73</v>
      </c>
      <c r="C1" s="242"/>
      <c r="D1" s="277" t="s">
        <v>70</v>
      </c>
      <c r="E1" s="242"/>
      <c r="F1" s="277" t="s">
        <v>71</v>
      </c>
      <c r="G1" s="242"/>
      <c r="H1" s="277" t="s">
        <v>72</v>
      </c>
      <c r="I1" s="242"/>
      <c r="J1" s="277" t="s">
        <v>74</v>
      </c>
      <c r="K1" s="242"/>
      <c r="L1" s="277" t="s">
        <v>75</v>
      </c>
      <c r="M1" s="242"/>
      <c r="N1" s="28"/>
      <c r="O1" s="28"/>
      <c r="P1" s="28"/>
      <c r="Q1" s="28"/>
      <c r="R1" s="28"/>
      <c r="S1" s="28"/>
      <c r="T1" s="28"/>
    </row>
    <row r="2" spans="1:20" ht="15.75" customHeight="1">
      <c r="A2" s="30" t="s">
        <v>76</v>
      </c>
      <c r="B2" s="62">
        <f t="shared" ref="B2:B9" si="0">C2/$C$2</f>
        <v>1</v>
      </c>
      <c r="C2" s="33">
        <f>SUM(C3:C9)</f>
        <v>3677500</v>
      </c>
      <c r="D2" s="32">
        <f t="shared" ref="D2:D9" si="1">E2/$E$2</f>
        <v>1</v>
      </c>
      <c r="E2" s="33">
        <f>SUM(E3:E9)</f>
        <v>166665100.89131266</v>
      </c>
      <c r="F2" s="32">
        <f t="shared" ref="F2:F9" si="2">G2/$G$2</f>
        <v>1</v>
      </c>
      <c r="G2" s="33">
        <f>SUM(G3:G9)</f>
        <v>191419598.06656539</v>
      </c>
      <c r="H2" s="32">
        <f t="shared" ref="H2:H9" si="3">I2/$I$2</f>
        <v>1</v>
      </c>
      <c r="I2" s="33">
        <f>SUM(I3:I9)</f>
        <v>245311899.25142169</v>
      </c>
      <c r="J2" s="32">
        <f t="shared" ref="J2:J9" si="4">K2/$K$2</f>
        <v>1</v>
      </c>
      <c r="K2" s="33">
        <f>SUM(K3:K9)</f>
        <v>250161087.0991841</v>
      </c>
      <c r="L2" s="32">
        <f t="shared" ref="L2:L9" si="5">M2/$M$2</f>
        <v>1</v>
      </c>
      <c r="M2" s="37">
        <f>SUM(M3:M9)</f>
        <v>250574520.64977443</v>
      </c>
      <c r="N2" s="38"/>
      <c r="O2" s="38"/>
      <c r="P2" s="38"/>
      <c r="Q2" s="38"/>
      <c r="R2" s="38"/>
      <c r="S2" s="38"/>
      <c r="T2" s="38"/>
    </row>
    <row r="3" spans="1:20" ht="15.75" customHeight="1">
      <c r="A3" s="39" t="s">
        <v>77</v>
      </c>
      <c r="B3" s="63">
        <f t="shared" si="0"/>
        <v>0</v>
      </c>
      <c r="C3" s="41">
        <v>0</v>
      </c>
      <c r="D3" s="40">
        <f t="shared" si="1"/>
        <v>0.66333453931026454</v>
      </c>
      <c r="E3" s="42">
        <f>'Estado de resultados PyG - 5 añ'!C6</f>
        <v>110554717.91883764</v>
      </c>
      <c r="F3" s="40">
        <f t="shared" si="2"/>
        <v>0.52026018216467407</v>
      </c>
      <c r="G3" s="42">
        <f>'Estado de resultados PyG - 5 añ'!E6</f>
        <v>99587994.959999993</v>
      </c>
      <c r="H3" s="40">
        <f t="shared" si="3"/>
        <v>0.40821814533083495</v>
      </c>
      <c r="I3" s="42">
        <f>'Estado de resultados PyG - 5 añ'!G6</f>
        <v>100140768.54000001</v>
      </c>
      <c r="J3" s="40">
        <f t="shared" si="4"/>
        <v>0.40251480870834616</v>
      </c>
      <c r="K3" s="42">
        <f>'Estado de resultados PyG - 5 añ'!I6</f>
        <v>100693542.12</v>
      </c>
      <c r="L3" s="40">
        <f t="shared" si="5"/>
        <v>0.40273309229651255</v>
      </c>
      <c r="M3" s="45">
        <f>'Estado de resultados PyG - 5 añ'!K6</f>
        <v>100914651.552</v>
      </c>
      <c r="N3" s="47"/>
      <c r="O3" s="47"/>
      <c r="P3" s="47"/>
      <c r="Q3" s="47"/>
      <c r="R3" s="47"/>
      <c r="S3" s="47"/>
      <c r="T3" s="47"/>
    </row>
    <row r="4" spans="1:20" ht="15.75" customHeight="1">
      <c r="A4" s="39" t="s">
        <v>79</v>
      </c>
      <c r="B4" s="63">
        <f t="shared" si="0"/>
        <v>0</v>
      </c>
      <c r="C4" s="41">
        <v>0</v>
      </c>
      <c r="D4" s="40">
        <f t="shared" si="1"/>
        <v>2.3904944993543391E-2</v>
      </c>
      <c r="E4" s="42">
        <f>'Estado de resultados PyG - 5 añ'!C9</f>
        <v>3984120.0691501889</v>
      </c>
      <c r="F4" s="40">
        <f t="shared" si="2"/>
        <v>2.2062355766887625E-2</v>
      </c>
      <c r="G4" s="42">
        <f>'Estado de resultados PyG - 5 añ'!E9</f>
        <v>4223167.2732992005</v>
      </c>
      <c r="H4" s="40">
        <f t="shared" si="3"/>
        <v>1.7296706301622097E-2</v>
      </c>
      <c r="I4" s="42">
        <f>'Estado de resultados PyG - 5 añ'!G9</f>
        <v>4243087.8736449508</v>
      </c>
      <c r="J4" s="40">
        <f t="shared" si="4"/>
        <v>1.7041053520448209E-2</v>
      </c>
      <c r="K4" s="42">
        <f>'Estado de resultados PyG - 5 añ'!I9</f>
        <v>4263008.4739907021</v>
      </c>
      <c r="L4" s="40">
        <f t="shared" si="5"/>
        <v>1.7044736643828624E-2</v>
      </c>
      <c r="M4" s="45">
        <f>'Estado de resultados PyG - 5 añ'!K9</f>
        <v>4270976.7141290028</v>
      </c>
      <c r="N4" s="47"/>
      <c r="O4" s="47"/>
      <c r="P4" s="47"/>
      <c r="Q4" s="47"/>
      <c r="R4" s="47"/>
      <c r="S4" s="47"/>
      <c r="T4" s="47"/>
    </row>
    <row r="5" spans="1:20" ht="15.75" customHeight="1">
      <c r="A5" s="39" t="s">
        <v>81</v>
      </c>
      <c r="B5" s="63">
        <f t="shared" si="0"/>
        <v>0</v>
      </c>
      <c r="C5" s="41">
        <f>'Salarios, gastos y costos'!E7</f>
        <v>0</v>
      </c>
      <c r="D5" s="40">
        <f t="shared" si="1"/>
        <v>0</v>
      </c>
      <c r="E5" s="42">
        <f>('Salarios, gastos y costos'!$E$7)*12</f>
        <v>0</v>
      </c>
      <c r="F5" s="40">
        <f t="shared" si="2"/>
        <v>0</v>
      </c>
      <c r="G5" s="42">
        <f>E5*1.7</f>
        <v>0</v>
      </c>
      <c r="H5" s="40">
        <f t="shared" si="3"/>
        <v>0</v>
      </c>
      <c r="I5" s="42">
        <f>G5*1.7</f>
        <v>0</v>
      </c>
      <c r="J5" s="40">
        <f t="shared" si="4"/>
        <v>0</v>
      </c>
      <c r="K5" s="42">
        <f>I5*1.7</f>
        <v>0</v>
      </c>
      <c r="L5" s="40">
        <f t="shared" si="5"/>
        <v>0</v>
      </c>
      <c r="M5" s="45">
        <f>K5*1.7</f>
        <v>0</v>
      </c>
      <c r="N5" s="47"/>
      <c r="O5" s="47"/>
      <c r="P5" s="47"/>
      <c r="Q5" s="47"/>
      <c r="R5" s="47"/>
      <c r="S5" s="47"/>
      <c r="T5" s="47"/>
    </row>
    <row r="6" spans="1:20" ht="15.75" customHeight="1">
      <c r="A6" s="39" t="s">
        <v>83</v>
      </c>
      <c r="B6" s="63">
        <f t="shared" si="0"/>
        <v>0.96826648538409243</v>
      </c>
      <c r="C6" s="41">
        <f>'Presupuesto Inicial'!D23</f>
        <v>3560800</v>
      </c>
      <c r="D6" s="40">
        <f t="shared" si="1"/>
        <v>4.3776411264155064E-3</v>
      </c>
      <c r="E6" s="42">
        <f>'Flujo de caja - 12 meses'!AC6</f>
        <v>729600</v>
      </c>
      <c r="F6" s="40">
        <f t="shared" si="2"/>
        <v>4.0402132687117108E-3</v>
      </c>
      <c r="G6" s="42">
        <f>'Flujo de caja - 12 meses'!AC6+('Estado de resultados PyG - 5 añ'!E21*'Flujo de caja - 12 meses'!AC6)</f>
        <v>773376</v>
      </c>
      <c r="H6" s="40">
        <f t="shared" si="3"/>
        <v>3.152623261896326E-3</v>
      </c>
      <c r="I6" s="42">
        <f>'Flujo de caja - 12 meses'!AC6+('Estado de resultados PyG - 5 añ'!E21*'Flujo de caja - 12 meses'!AC6)</f>
        <v>773376</v>
      </c>
      <c r="J6" s="40">
        <f t="shared" si="4"/>
        <v>3.0915119892062637E-3</v>
      </c>
      <c r="K6" s="42">
        <f>'Flujo de caja - 12 meses'!AC6+('Estado de resultados PyG - 5 añ'!E21*'Flujo de caja - 12 meses'!AC6)</f>
        <v>773376</v>
      </c>
      <c r="L6" s="40">
        <f t="shared" si="5"/>
        <v>3.0864111721915256E-3</v>
      </c>
      <c r="M6" s="45">
        <f>'Flujo de caja - 12 meses'!AC6+('Estado de resultados PyG - 5 añ'!E21*'Flujo de caja - 12 meses'!AC6)</f>
        <v>773376</v>
      </c>
      <c r="N6" s="47"/>
      <c r="O6" s="47"/>
      <c r="P6" s="47"/>
      <c r="Q6" s="47"/>
      <c r="R6" s="47"/>
      <c r="S6" s="47"/>
      <c r="T6" s="47"/>
    </row>
    <row r="7" spans="1:20" ht="15.75" customHeight="1">
      <c r="A7" s="39" t="s">
        <v>248</v>
      </c>
      <c r="B7" s="63">
        <f>C7/$C$2</f>
        <v>0</v>
      </c>
      <c r="C7" s="41">
        <v>0</v>
      </c>
      <c r="D7" s="63">
        <f>E7/$C$2</f>
        <v>1.1651937777503047</v>
      </c>
      <c r="E7" s="87">
        <f>'Estado de resultados PyG - 5 añ'!C10</f>
        <v>4285000.1176767461</v>
      </c>
      <c r="F7" s="63">
        <f>G7/$C$2</f>
        <v>1.2351054044153231</v>
      </c>
      <c r="G7" s="87">
        <f>'Estado de resultados PyG - 5 añ'!E10</f>
        <v>4542100.1247373512</v>
      </c>
      <c r="H7" s="63">
        <f>I7/$C$2</f>
        <v>1.2409313733040748</v>
      </c>
      <c r="I7" s="87">
        <f>'Estado de resultados PyG - 5 añ'!G10</f>
        <v>4563525.1253257347</v>
      </c>
      <c r="J7" s="63">
        <f>K7/$C$2</f>
        <v>1.2467573421928262</v>
      </c>
      <c r="K7" s="87">
        <f>'Estado de resultados PyG - 5 añ'!I10</f>
        <v>4584950.1259141183</v>
      </c>
      <c r="L7" s="63">
        <f>M7/$C$2</f>
        <v>1.2490877297483267</v>
      </c>
      <c r="M7" s="89">
        <f>'Estado de resultados PyG - 5 añ'!K10</f>
        <v>4593520.1261494718</v>
      </c>
      <c r="N7" s="47"/>
      <c r="O7" s="47"/>
      <c r="P7" s="47"/>
      <c r="Q7" s="47"/>
      <c r="R7" s="47"/>
      <c r="S7" s="47"/>
      <c r="T7" s="47"/>
    </row>
    <row r="8" spans="1:20" ht="15.75" customHeight="1">
      <c r="A8" s="39" t="s">
        <v>85</v>
      </c>
      <c r="B8" s="63">
        <f>C8/$C$2</f>
        <v>3.1733514615907545E-2</v>
      </c>
      <c r="C8" s="41">
        <f>'Presupuesto Inicial'!B2</f>
        <v>116700</v>
      </c>
      <c r="D8" s="40">
        <f t="shared" si="1"/>
        <v>0</v>
      </c>
      <c r="E8" s="41">
        <v>0</v>
      </c>
      <c r="F8" s="40">
        <f t="shared" si="2"/>
        <v>0</v>
      </c>
      <c r="G8" s="41">
        <v>0</v>
      </c>
      <c r="H8" s="40">
        <f t="shared" si="3"/>
        <v>0</v>
      </c>
      <c r="I8" s="41">
        <v>0</v>
      </c>
      <c r="J8" s="40">
        <f t="shared" si="4"/>
        <v>0</v>
      </c>
      <c r="K8" s="41">
        <v>0</v>
      </c>
      <c r="L8" s="40">
        <f t="shared" si="5"/>
        <v>0</v>
      </c>
      <c r="M8" s="53">
        <v>0</v>
      </c>
      <c r="N8" s="54"/>
      <c r="O8" s="54"/>
      <c r="P8" s="54"/>
      <c r="Q8" s="54"/>
      <c r="R8" s="54"/>
      <c r="S8" s="54"/>
      <c r="T8" s="54"/>
    </row>
    <row r="9" spans="1:20" ht="15.75" customHeight="1">
      <c r="A9" s="39" t="s">
        <v>87</v>
      </c>
      <c r="B9" s="63">
        <f t="shared" si="0"/>
        <v>0</v>
      </c>
      <c r="C9" s="41">
        <v>0</v>
      </c>
      <c r="D9" s="40">
        <f t="shared" si="1"/>
        <v>0.28267263232493417</v>
      </c>
      <c r="E9" s="41">
        <f>'Estado de resultados PyG - 5 añ'!C15</f>
        <v>47111662.785648078</v>
      </c>
      <c r="F9" s="40">
        <f t="shared" si="2"/>
        <v>0.42990874779661692</v>
      </c>
      <c r="G9" s="41">
        <f>'Estado de resultados PyG - 5 añ'!E15</f>
        <v>82292959.708528847</v>
      </c>
      <c r="H9" s="40">
        <f t="shared" si="3"/>
        <v>0.55272957457918814</v>
      </c>
      <c r="I9" s="41">
        <f>'Estado de resultados PyG - 5 añ'!G15</f>
        <v>135591141.71245098</v>
      </c>
      <c r="J9" s="40">
        <f t="shared" si="4"/>
        <v>0.55902463488988974</v>
      </c>
      <c r="K9" s="41">
        <f>'Estado de resultados PyG - 5 añ'!I15</f>
        <v>139846210.37927929</v>
      </c>
      <c r="L9" s="40">
        <f t="shared" si="5"/>
        <v>0.55880380772314575</v>
      </c>
      <c r="M9" s="53">
        <f>'Estado de resultados PyG - 5 añ'!K15</f>
        <v>140021996.25749597</v>
      </c>
      <c r="N9" s="54"/>
      <c r="O9" s="54"/>
      <c r="P9" s="54"/>
      <c r="Q9" s="54"/>
      <c r="R9" s="54"/>
      <c r="S9" s="54"/>
      <c r="T9" s="54"/>
    </row>
    <row r="10" spans="1:20" ht="15.75" customHeight="1">
      <c r="A10" s="30" t="s">
        <v>89</v>
      </c>
      <c r="B10" s="62">
        <f>C10/$C$10</f>
        <v>1</v>
      </c>
      <c r="C10" s="33">
        <f>SUM(C11:C12)</f>
        <v>62190000</v>
      </c>
      <c r="D10" s="32">
        <f>E10/$E$10</f>
        <v>1</v>
      </c>
      <c r="E10" s="33">
        <f>SUM(E11:E12)</f>
        <v>199937934.20591292</v>
      </c>
      <c r="F10" s="32">
        <f>G10/$G$10</f>
        <v>1</v>
      </c>
      <c r="G10" s="33">
        <f>SUM(G11:G12)</f>
        <v>351864755.14782721</v>
      </c>
      <c r="H10" s="32">
        <f>I10/$I$10</f>
        <v>1</v>
      </c>
      <c r="I10" s="33">
        <f>SUM(I11:I12)</f>
        <v>509221881.16382653</v>
      </c>
      <c r="J10" s="32">
        <f>K10/$K$10</f>
        <v>1</v>
      </c>
      <c r="K10" s="33">
        <f>SUM(K11:K12)</f>
        <v>522334556.18837321</v>
      </c>
      <c r="L10" s="32">
        <f>M10/$M$10</f>
        <v>1</v>
      </c>
      <c r="M10" s="37">
        <f>SUM(M11:M12)</f>
        <v>523090680.34961951</v>
      </c>
      <c r="N10" s="38"/>
      <c r="O10" s="38"/>
      <c r="P10" s="38"/>
      <c r="Q10" s="38"/>
      <c r="R10" s="38"/>
      <c r="S10" s="38"/>
      <c r="T10" s="38"/>
    </row>
    <row r="11" spans="1:20" ht="15.75" customHeight="1">
      <c r="A11" s="39" t="s">
        <v>91</v>
      </c>
      <c r="B11" s="63">
        <f>C11/$C$10</f>
        <v>0</v>
      </c>
      <c r="C11" s="41">
        <v>0</v>
      </c>
      <c r="D11" s="40">
        <f>E11/$E$10</f>
        <v>1</v>
      </c>
      <c r="E11" s="41">
        <f>'Estado de resultados PyG - 5 añ'!C3</f>
        <v>199937934.20591292</v>
      </c>
      <c r="F11" s="40">
        <f>G11/$G$10</f>
        <v>1</v>
      </c>
      <c r="G11" s="41">
        <f>'Estado de resultados PyG - 5 añ'!E3</f>
        <v>351864755.14782721</v>
      </c>
      <c r="H11" s="40">
        <f>I11/$I$10</f>
        <v>1</v>
      </c>
      <c r="I11" s="41">
        <f>'Estado de resultados PyG - 5 añ'!G3</f>
        <v>509221881.16382653</v>
      </c>
      <c r="J11" s="40">
        <f>K11/$K$10</f>
        <v>1</v>
      </c>
      <c r="K11" s="41">
        <f>'Estado de resultados PyG - 5 añ'!I3</f>
        <v>522334556.18837321</v>
      </c>
      <c r="L11" s="40">
        <f>M11/$K$10</f>
        <v>1.0014475859433156</v>
      </c>
      <c r="M11" s="53">
        <f>'Estado de resultados PyG - 5 añ'!K3</f>
        <v>523090680.34961951</v>
      </c>
      <c r="N11" s="54"/>
      <c r="O11" s="47"/>
      <c r="P11" s="47"/>
      <c r="Q11" s="47"/>
      <c r="R11" s="47"/>
      <c r="S11" s="47"/>
      <c r="T11" s="47"/>
    </row>
    <row r="12" spans="1:20" ht="15.75" customHeight="1">
      <c r="A12" s="39" t="s">
        <v>93</v>
      </c>
      <c r="B12" s="63">
        <f>C12/$C$10</f>
        <v>1</v>
      </c>
      <c r="C12" s="41">
        <v>62190000</v>
      </c>
      <c r="D12" s="40">
        <v>0</v>
      </c>
      <c r="E12" s="41">
        <v>0</v>
      </c>
      <c r="F12" s="40">
        <v>0</v>
      </c>
      <c r="G12" s="41">
        <v>0</v>
      </c>
      <c r="H12" s="40">
        <v>0</v>
      </c>
      <c r="I12" s="41">
        <v>0</v>
      </c>
      <c r="J12" s="40">
        <v>0</v>
      </c>
      <c r="K12" s="41">
        <v>0</v>
      </c>
      <c r="L12" s="40">
        <v>0</v>
      </c>
      <c r="M12" s="53">
        <v>0</v>
      </c>
      <c r="N12" s="54"/>
      <c r="O12" s="54"/>
      <c r="P12" s="54"/>
      <c r="Q12" s="54"/>
      <c r="R12" s="54"/>
      <c r="S12" s="54"/>
      <c r="T12" s="54"/>
    </row>
    <row r="13" spans="1:20" ht="15.75" customHeight="1">
      <c r="A13" s="30" t="s">
        <v>94</v>
      </c>
      <c r="B13" s="57"/>
      <c r="C13" s="58">
        <f>C10-C2</f>
        <v>58512500</v>
      </c>
      <c r="D13" s="57"/>
      <c r="E13" s="58">
        <f>C13-E2+E10</f>
        <v>91785333.314600259</v>
      </c>
      <c r="F13" s="57"/>
      <c r="G13" s="58">
        <f>E13-G2+G10</f>
        <v>252230490.39586207</v>
      </c>
      <c r="H13" s="57"/>
      <c r="I13" s="58">
        <f>G13-I2+I10</f>
        <v>516140472.30826688</v>
      </c>
      <c r="J13" s="57"/>
      <c r="K13" s="58">
        <f>I13-K2+K10</f>
        <v>788313941.39745593</v>
      </c>
      <c r="L13" s="57"/>
      <c r="M13" s="59">
        <f>K13-M2+M10</f>
        <v>1060830101.097301</v>
      </c>
      <c r="N13" s="60"/>
      <c r="O13" s="60"/>
      <c r="P13" s="60"/>
      <c r="Q13" s="60"/>
      <c r="R13" s="60"/>
      <c r="S13" s="60"/>
      <c r="T13" s="60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="130" zoomScaleNormal="130" workbookViewId="0">
      <selection activeCell="B21" sqref="B21"/>
    </sheetView>
  </sheetViews>
  <sheetFormatPr baseColWidth="10" defaultColWidth="14.42578125" defaultRowHeight="15.75" customHeight="1"/>
  <cols>
    <col min="1" max="1" width="25.7109375" bestFit="1" customWidth="1"/>
    <col min="2" max="2" width="12.28515625" customWidth="1"/>
    <col min="3" max="3" width="9.5703125" customWidth="1"/>
    <col min="4" max="4" width="14.7109375" customWidth="1"/>
    <col min="5" max="5" width="7.42578125" customWidth="1"/>
    <col min="6" max="6" width="14.42578125" customWidth="1"/>
    <col min="7" max="7" width="7" customWidth="1"/>
    <col min="8" max="8" width="15.28515625" bestFit="1" customWidth="1"/>
    <col min="9" max="9" width="7.28515625" customWidth="1"/>
    <col min="10" max="10" width="15.28515625" bestFit="1" customWidth="1"/>
    <col min="11" max="11" width="7.42578125" customWidth="1"/>
    <col min="12" max="12" width="15.28515625" bestFit="1" customWidth="1"/>
  </cols>
  <sheetData>
    <row r="1" spans="1:19" ht="12.75">
      <c r="A1" s="97"/>
      <c r="B1" s="200" t="s">
        <v>73</v>
      </c>
      <c r="C1" s="272" t="s">
        <v>70</v>
      </c>
      <c r="D1" s="242"/>
      <c r="E1" s="271" t="s">
        <v>71</v>
      </c>
      <c r="F1" s="242"/>
      <c r="G1" s="271" t="s">
        <v>72</v>
      </c>
      <c r="H1" s="242"/>
      <c r="I1" s="271" t="s">
        <v>74</v>
      </c>
      <c r="J1" s="242"/>
      <c r="K1" s="273" t="s">
        <v>75</v>
      </c>
      <c r="L1" s="278"/>
      <c r="M1" s="27"/>
      <c r="N1" s="27"/>
      <c r="O1" s="27"/>
      <c r="P1" s="27"/>
      <c r="Q1" s="27"/>
      <c r="R1" s="27"/>
      <c r="S1" s="27"/>
    </row>
    <row r="2" spans="1:19" ht="12.75">
      <c r="A2" s="97" t="s">
        <v>69</v>
      </c>
      <c r="B2" s="97"/>
      <c r="C2" s="197">
        <v>1</v>
      </c>
      <c r="D2" s="34">
        <f>D3</f>
        <v>199937934.20591292</v>
      </c>
      <c r="E2" s="35">
        <v>1</v>
      </c>
      <c r="F2" s="34">
        <f>F3</f>
        <v>351864755.14782721</v>
      </c>
      <c r="G2" s="35">
        <v>1</v>
      </c>
      <c r="H2" s="34">
        <f>H3</f>
        <v>509221881.16382653</v>
      </c>
      <c r="I2" s="35">
        <v>1</v>
      </c>
      <c r="J2" s="34">
        <f>J3</f>
        <v>522334556.18837321</v>
      </c>
      <c r="K2" s="35">
        <v>1</v>
      </c>
      <c r="L2" s="155">
        <f>L3</f>
        <v>523090680.34961951</v>
      </c>
      <c r="M2" s="44"/>
      <c r="N2" s="44"/>
      <c r="O2" s="44"/>
      <c r="P2" s="44"/>
      <c r="Q2" s="44"/>
      <c r="R2" s="44"/>
      <c r="S2" s="44"/>
    </row>
    <row r="3" spans="1:19" ht="15.75" customHeight="1">
      <c r="A3" s="98" t="s">
        <v>78</v>
      </c>
      <c r="B3" s="98"/>
      <c r="C3" s="198">
        <v>1</v>
      </c>
      <c r="D3" s="48">
        <f>'Estado de resultados PyG - 12 m'!U3</f>
        <v>199937934.20591292</v>
      </c>
      <c r="E3" s="50">
        <v>1</v>
      </c>
      <c r="F3" s="48">
        <f>F22*$F$23</f>
        <v>351864755.14782721</v>
      </c>
      <c r="G3" s="50">
        <v>1</v>
      </c>
      <c r="H3" s="48">
        <f>H22*$F$23</f>
        <v>509221881.16382653</v>
      </c>
      <c r="I3" s="50">
        <v>1</v>
      </c>
      <c r="J3" s="48">
        <f t="shared" ref="J3:L3" si="0">J22*$F$23</f>
        <v>522334556.18837321</v>
      </c>
      <c r="K3" s="50">
        <v>1</v>
      </c>
      <c r="L3" s="156">
        <f t="shared" si="0"/>
        <v>523090680.34961951</v>
      </c>
      <c r="M3" s="52"/>
      <c r="N3" s="52"/>
      <c r="O3" s="52"/>
      <c r="P3" s="52"/>
      <c r="Q3" s="52"/>
      <c r="R3" s="52"/>
      <c r="S3" s="52"/>
    </row>
    <row r="4" spans="1:19" ht="12.75">
      <c r="A4" s="97" t="s">
        <v>80</v>
      </c>
      <c r="B4" s="97"/>
      <c r="C4" s="197">
        <f t="shared" ref="C4:C19" si="1">(D4)/$D$2</f>
        <v>0.56009540354818088</v>
      </c>
      <c r="D4" s="34">
        <f>SUM(D5:D7)</f>
        <v>111984317.94365042</v>
      </c>
      <c r="E4" s="50">
        <f>(F4)/$F$2</f>
        <v>0.28721652135219278</v>
      </c>
      <c r="F4" s="34">
        <f>SUM(F5:F7)</f>
        <v>101061370.95999999</v>
      </c>
      <c r="G4" s="35">
        <f t="shared" ref="G4:G19" si="2">(H4)/$H$2</f>
        <v>0.19955503936270877</v>
      </c>
      <c r="H4" s="34">
        <f>SUM(H5:H7)</f>
        <v>101617792.54000001</v>
      </c>
      <c r="I4" s="35">
        <f t="shared" ref="I4:I19" si="3">(J4)/$J$2</f>
        <v>0.19561067310115357</v>
      </c>
      <c r="J4" s="34">
        <f>SUM(J5:J7)</f>
        <v>102174214.12</v>
      </c>
      <c r="K4" s="35">
        <f t="shared" ref="K4:K19" si="4">(L4)/$L$2</f>
        <v>0.19575340681573755</v>
      </c>
      <c r="L4" s="155">
        <f>SUM(L5:L7)</f>
        <v>102396782.752</v>
      </c>
      <c r="M4" s="44"/>
      <c r="N4" s="44">
        <f>D4+F4+H4+J4+L4</f>
        <v>519234478.31565046</v>
      </c>
      <c r="Q4" s="44"/>
      <c r="R4" s="44"/>
      <c r="S4" s="44"/>
    </row>
    <row r="5" spans="1:19" ht="12.75">
      <c r="A5" s="98" t="s">
        <v>82</v>
      </c>
      <c r="B5" s="98"/>
      <c r="C5" s="198">
        <f t="shared" si="1"/>
        <v>3.6491324948464457E-3</v>
      </c>
      <c r="D5" s="48">
        <f>'Estado de resultados PyG - 12 m'!U5</f>
        <v>729600.01266326755</v>
      </c>
      <c r="E5" s="50">
        <f>(F5)/F2</f>
        <v>2.197935396158349E-3</v>
      </c>
      <c r="F5" s="48">
        <f>('Salarios, gastos y costos'!$E$27*12)+('Salarios, gastos y costos'!$E$27*12*F25)</f>
        <v>773376</v>
      </c>
      <c r="G5" s="50">
        <f t="shared" si="2"/>
        <v>1.5259045786173049E-3</v>
      </c>
      <c r="H5" s="48">
        <f>('Salarios, gastos y costos'!$E$27*12)+('Salarios, gastos y costos'!$E$27*12*H25)</f>
        <v>777024</v>
      </c>
      <c r="I5" s="48">
        <f>(J5)/$J$2</f>
        <v>1.4945823337762488E-3</v>
      </c>
      <c r="J5" s="48">
        <f>('Salarios, gastos y costos'!$E$27*12)+('Salarios, gastos y costos'!$E$27*12*J25)</f>
        <v>780672</v>
      </c>
      <c r="K5" s="48">
        <f>(L5)/$L$2</f>
        <v>1.4952114984676172E-3</v>
      </c>
      <c r="L5" s="48">
        <f>('Salarios, gastos y costos'!$E$27*12)+('Salarios, gastos y costos'!$E$27*12*L25)</f>
        <v>782131.19999999995</v>
      </c>
      <c r="M5" s="52"/>
      <c r="N5" s="44">
        <f>D5+F5+H5+J5+L5</f>
        <v>3842803.2126632677</v>
      </c>
      <c r="O5" s="279" t="s">
        <v>280</v>
      </c>
      <c r="P5" s="279"/>
      <c r="Q5" s="52"/>
      <c r="R5" s="52"/>
      <c r="S5" s="52"/>
    </row>
    <row r="6" spans="1:19" ht="12.75">
      <c r="A6" s="98" t="s">
        <v>84</v>
      </c>
      <c r="B6" s="98"/>
      <c r="C6" s="198">
        <f t="shared" si="1"/>
        <v>0.55294518450400254</v>
      </c>
      <c r="D6" s="48">
        <f>'Estado de resultados PyG - 12 m'!U6</f>
        <v>110554717.91883764</v>
      </c>
      <c r="E6" s="50">
        <f t="shared" ref="E6:E19" si="5">F6/$F$2</f>
        <v>0.28302918522817261</v>
      </c>
      <c r="F6" s="48">
        <f>('Salarios, gastos y costos'!$B$27)*12+(('Salarios, gastos y costos'!B11*12)*F25)</f>
        <v>99587994.959999993</v>
      </c>
      <c r="G6" s="50">
        <f t="shared" si="2"/>
        <v>0.19665448843464522</v>
      </c>
      <c r="H6" s="48">
        <f>('Salarios, gastos y costos'!$B$27)*12+(('Salarios, gastos y costos'!B11*12)*H25)</f>
        <v>100140768.54000001</v>
      </c>
      <c r="I6" s="50">
        <f t="shared" si="3"/>
        <v>0.19277595350916468</v>
      </c>
      <c r="J6" s="48">
        <f>('Salarios, gastos y costos'!$B$27)*12+(('Salarios, gastos y costos'!B11*12)*J25)</f>
        <v>100693542.12</v>
      </c>
      <c r="K6" s="50">
        <f t="shared" si="4"/>
        <v>0.19291999521870931</v>
      </c>
      <c r="L6" s="156">
        <f>('Salarios, gastos y costos'!$B$27)*12+(('Salarios, gastos y costos'!B11*12)*L25)</f>
        <v>100914651.552</v>
      </c>
      <c r="M6" s="52"/>
      <c r="N6" s="52"/>
      <c r="O6" s="279" t="s">
        <v>285</v>
      </c>
      <c r="P6" s="279"/>
      <c r="Q6" s="52"/>
      <c r="R6" s="52"/>
      <c r="S6" s="52"/>
    </row>
    <row r="7" spans="1:19" ht="12.75">
      <c r="A7" s="98" t="s">
        <v>86</v>
      </c>
      <c r="B7" s="98"/>
      <c r="C7" s="198">
        <f t="shared" si="1"/>
        <v>3.5010865493318426E-3</v>
      </c>
      <c r="D7" s="48">
        <f>'Estado de resultados PyG - 12 m'!U7</f>
        <v>700000.01214951661</v>
      </c>
      <c r="E7" s="50">
        <f t="shared" si="5"/>
        <v>1.9894007278617957E-3</v>
      </c>
      <c r="F7" s="48">
        <f>('Presupuesto Inicial'!$J$20)*12</f>
        <v>700000</v>
      </c>
      <c r="G7" s="50">
        <f t="shared" si="2"/>
        <v>1.3746463494462378E-3</v>
      </c>
      <c r="H7" s="48">
        <f>('Presupuesto Inicial'!$J$20)*12</f>
        <v>700000</v>
      </c>
      <c r="I7" s="50">
        <f t="shared" si="3"/>
        <v>1.340137258212635E-3</v>
      </c>
      <c r="J7" s="48">
        <f>('Presupuesto Inicial'!$J$20)*12</f>
        <v>700000</v>
      </c>
      <c r="K7" s="50">
        <f t="shared" si="4"/>
        <v>1.3382000985606151E-3</v>
      </c>
      <c r="L7" s="156">
        <f>('Presupuesto Inicial'!$J$20)*12</f>
        <v>700000</v>
      </c>
      <c r="M7" s="52"/>
      <c r="N7" s="52"/>
      <c r="O7" s="279" t="s">
        <v>286</v>
      </c>
      <c r="P7" s="279"/>
      <c r="Q7" s="52"/>
      <c r="R7" s="52"/>
      <c r="S7" s="52"/>
    </row>
    <row r="8" spans="1:19" ht="12.75">
      <c r="A8" s="97" t="s">
        <v>88</v>
      </c>
      <c r="B8" s="97"/>
      <c r="C8" s="197">
        <f t="shared" si="1"/>
        <v>0.43990459645181917</v>
      </c>
      <c r="D8" s="34">
        <f>D2-D4</f>
        <v>87953616.262262493</v>
      </c>
      <c r="E8" s="35">
        <f t="shared" si="5"/>
        <v>0.71278347864780722</v>
      </c>
      <c r="F8" s="34">
        <f>F2-F4</f>
        <v>250803384.18782723</v>
      </c>
      <c r="G8" s="35">
        <f t="shared" si="2"/>
        <v>0.8004449606372912</v>
      </c>
      <c r="H8" s="34">
        <f>H2-H4</f>
        <v>407604088.6238265</v>
      </c>
      <c r="I8" s="35">
        <f t="shared" si="3"/>
        <v>0.80438932689884646</v>
      </c>
      <c r="J8" s="34">
        <f>J2-J4</f>
        <v>420160342.0683732</v>
      </c>
      <c r="K8" s="35">
        <f t="shared" si="4"/>
        <v>0.8042465931842625</v>
      </c>
      <c r="L8" s="155">
        <f>L2-L4</f>
        <v>420693897.59761953</v>
      </c>
      <c r="M8" s="55"/>
      <c r="N8" s="44"/>
      <c r="O8" s="280"/>
      <c r="P8" s="280"/>
      <c r="Q8" s="44"/>
      <c r="R8" s="44"/>
      <c r="S8" s="44"/>
    </row>
    <row r="9" spans="1:19" ht="12.75">
      <c r="A9" s="98" t="s">
        <v>90</v>
      </c>
      <c r="B9" s="98"/>
      <c r="C9" s="198">
        <f t="shared" si="1"/>
        <v>1.9926784204177116E-2</v>
      </c>
      <c r="D9" s="48">
        <f>'Estado de resultados PyG - 12 m'!U9</f>
        <v>3984120.0691501889</v>
      </c>
      <c r="E9" s="50">
        <f t="shared" si="5"/>
        <v>1.2002245781976492E-2</v>
      </c>
      <c r="F9" s="48">
        <f>'Estado de resultados PyG - 12 m'!U9+('Estado de resultados PyG - 12 m'!U9*F25)</f>
        <v>4223167.2732992005</v>
      </c>
      <c r="G9" s="50">
        <f t="shared" si="2"/>
        <v>8.3324932226937574E-3</v>
      </c>
      <c r="H9" s="48">
        <f>'Estado de resultados PyG - 12 m'!U9+('Estado de resultados PyG - 12 m'!U9*H25)</f>
        <v>4243087.8736449508</v>
      </c>
      <c r="I9" s="50">
        <f t="shared" si="3"/>
        <v>8.1614521258158972E-3</v>
      </c>
      <c r="J9" s="48">
        <f>'Estado de resultados PyG - 12 m'!U9+('Estado de resultados PyG - 12 m'!U9*J25)</f>
        <v>4263008.4739907021</v>
      </c>
      <c r="K9" s="50">
        <f t="shared" si="4"/>
        <v>8.1648877997107482E-3</v>
      </c>
      <c r="L9" s="156">
        <f>'Estado de resultados PyG - 12 m'!U9+('Estado de resultados PyG - 12 m'!U9*L25)</f>
        <v>4270976.7141290028</v>
      </c>
      <c r="M9" s="52"/>
      <c r="N9" s="52"/>
      <c r="O9" s="279" t="s">
        <v>11</v>
      </c>
      <c r="P9" s="279"/>
      <c r="Q9" s="52"/>
      <c r="R9" s="52"/>
      <c r="S9" s="52"/>
    </row>
    <row r="10" spans="1:19" ht="12.75">
      <c r="A10" s="98" t="s">
        <v>92</v>
      </c>
      <c r="B10" s="98"/>
      <c r="C10" s="198">
        <f t="shared" si="1"/>
        <v>2.1431651450713161E-2</v>
      </c>
      <c r="D10" s="48">
        <f>'Estado de resultados PyG - 12 m'!$U$10</f>
        <v>4285000.1176767461</v>
      </c>
      <c r="E10" s="50">
        <f t="shared" si="5"/>
        <v>1.2908653277390915E-2</v>
      </c>
      <c r="F10" s="48">
        <f>('Estado de resultados PyG - 12 m'!$U$10)+('Estado de resultados PyG - 12 m'!$U$10*F25)</f>
        <v>4542100.1247373512</v>
      </c>
      <c r="G10" s="50">
        <f t="shared" si="2"/>
        <v>8.9617616487645789E-3</v>
      </c>
      <c r="H10" s="48">
        <f>('Estado de resultados PyG - 12 m'!$U$10)+('Estado de resultados PyG - 12 m'!$U$10*H25)</f>
        <v>4563525.1253257347</v>
      </c>
      <c r="I10" s="50">
        <f t="shared" si="3"/>
        <v>8.7778035582631742E-3</v>
      </c>
      <c r="J10" s="48">
        <f>('Estado de resultados PyG - 12 m'!$U$10)+('Estado de resultados PyG - 12 m'!$U$10*J25)</f>
        <v>4584950.1259141183</v>
      </c>
      <c r="K10" s="50">
        <f t="shared" si="4"/>
        <v>8.7814986936477022E-3</v>
      </c>
      <c r="L10" s="156">
        <f>('Estado de resultados PyG - 12 m'!$U$10)+('Estado de resultados PyG - 12 m'!$U$10*L25)</f>
        <v>4593520.1261494718</v>
      </c>
      <c r="M10" s="52"/>
      <c r="N10" s="52"/>
      <c r="O10" s="279" t="s">
        <v>248</v>
      </c>
      <c r="P10" s="279"/>
      <c r="Q10" s="52"/>
      <c r="R10" s="52"/>
      <c r="S10" s="52"/>
    </row>
    <row r="11" spans="1:19" ht="12.75">
      <c r="A11" s="97" t="s">
        <v>95</v>
      </c>
      <c r="B11" s="97"/>
      <c r="C11" s="197">
        <f t="shared" si="1"/>
        <v>0.39854616079692884</v>
      </c>
      <c r="D11" s="34">
        <f>D8-D9-D10</f>
        <v>79684496.075435549</v>
      </c>
      <c r="E11" s="35">
        <f t="shared" si="5"/>
        <v>0.68787257958843995</v>
      </c>
      <c r="F11" s="34">
        <f>F8-F9-F10</f>
        <v>242038116.78979069</v>
      </c>
      <c r="G11" s="35">
        <f t="shared" si="2"/>
        <v>0.7831507057658329</v>
      </c>
      <c r="H11" s="34">
        <f>H8-H9-H10</f>
        <v>398797475.62485582</v>
      </c>
      <c r="I11" s="35">
        <f t="shared" si="3"/>
        <v>0.7874500712147674</v>
      </c>
      <c r="J11" s="34">
        <f>J8-J9-J10</f>
        <v>411312383.46846843</v>
      </c>
      <c r="K11" s="35">
        <f t="shared" si="4"/>
        <v>0.78730020669090395</v>
      </c>
      <c r="L11" s="155">
        <f>L8-L9-L10</f>
        <v>411829400.75734103</v>
      </c>
      <c r="M11" s="55"/>
      <c r="N11" s="55"/>
      <c r="O11" s="55"/>
      <c r="P11" s="55"/>
      <c r="Q11" s="44"/>
      <c r="R11" s="44"/>
      <c r="S11" s="44"/>
    </row>
    <row r="12" spans="1:19" ht="12.75">
      <c r="A12" s="98" t="s">
        <v>96</v>
      </c>
      <c r="B12" s="98"/>
      <c r="C12" s="198">
        <f t="shared" si="1"/>
        <v>0</v>
      </c>
      <c r="D12" s="48">
        <v>0</v>
      </c>
      <c r="E12" s="50">
        <f t="shared" si="5"/>
        <v>0</v>
      </c>
      <c r="F12" s="48">
        <v>0</v>
      </c>
      <c r="G12" s="50">
        <f t="shared" si="2"/>
        <v>0</v>
      </c>
      <c r="H12" s="48">
        <v>0</v>
      </c>
      <c r="I12" s="50">
        <f t="shared" si="3"/>
        <v>0</v>
      </c>
      <c r="J12" s="48">
        <v>0</v>
      </c>
      <c r="K12" s="50">
        <f t="shared" si="4"/>
        <v>0</v>
      </c>
      <c r="L12" s="156">
        <v>0</v>
      </c>
      <c r="M12" s="52"/>
      <c r="N12" s="52"/>
      <c r="O12" s="52"/>
      <c r="P12" s="52"/>
      <c r="Q12" s="52"/>
      <c r="R12" s="52"/>
      <c r="S12" s="52"/>
    </row>
    <row r="13" spans="1:19" ht="12.75">
      <c r="A13" s="98" t="s">
        <v>97</v>
      </c>
      <c r="B13" s="98"/>
      <c r="C13" s="198">
        <f t="shared" si="1"/>
        <v>0</v>
      </c>
      <c r="D13" s="48">
        <f>'Estado de resultados PyG - 12 m'!U13</f>
        <v>0</v>
      </c>
      <c r="E13" s="50">
        <f t="shared" si="5"/>
        <v>0</v>
      </c>
      <c r="F13" s="48">
        <v>0</v>
      </c>
      <c r="G13" s="50">
        <f t="shared" si="2"/>
        <v>0</v>
      </c>
      <c r="H13" s="48">
        <v>0</v>
      </c>
      <c r="I13" s="50">
        <f t="shared" si="3"/>
        <v>0</v>
      </c>
      <c r="J13" s="48">
        <v>0</v>
      </c>
      <c r="K13" s="50">
        <f t="shared" si="4"/>
        <v>0</v>
      </c>
      <c r="L13" s="156">
        <v>0</v>
      </c>
      <c r="M13" s="52"/>
      <c r="N13" s="52"/>
      <c r="O13" s="52"/>
      <c r="P13" s="52"/>
      <c r="Q13" s="52"/>
      <c r="R13" s="52"/>
      <c r="S13" s="52"/>
    </row>
    <row r="14" spans="1:19" ht="12.75">
      <c r="A14" s="97" t="s">
        <v>98</v>
      </c>
      <c r="B14" s="97"/>
      <c r="C14" s="197">
        <f t="shared" si="1"/>
        <v>0.39854616079692884</v>
      </c>
      <c r="D14" s="34">
        <f>D11+D12-D13</f>
        <v>79684496.075435549</v>
      </c>
      <c r="E14" s="35">
        <f t="shared" si="5"/>
        <v>0.68787257958843995</v>
      </c>
      <c r="F14" s="34">
        <f>F11+F12-F13</f>
        <v>242038116.78979069</v>
      </c>
      <c r="G14" s="35">
        <f t="shared" si="2"/>
        <v>0.7831507057658329</v>
      </c>
      <c r="H14" s="34">
        <f>H11+H12-H13</f>
        <v>398797475.62485582</v>
      </c>
      <c r="I14" s="35">
        <f t="shared" si="3"/>
        <v>0.7874500712147674</v>
      </c>
      <c r="J14" s="34">
        <f>J11+J12-J13</f>
        <v>411312383.46846843</v>
      </c>
      <c r="K14" s="35">
        <f t="shared" si="4"/>
        <v>0.78730020669090395</v>
      </c>
      <c r="L14" s="155">
        <f>L11+L12-L13</f>
        <v>411829400.75734103</v>
      </c>
      <c r="M14" s="55"/>
      <c r="N14" s="55"/>
      <c r="O14" s="55"/>
      <c r="P14" s="55"/>
      <c r="Q14" s="44"/>
      <c r="R14" s="44"/>
      <c r="S14" s="44"/>
    </row>
    <row r="15" spans="1:19" ht="12.75">
      <c r="A15" s="98" t="s">
        <v>99</v>
      </c>
      <c r="B15" s="98"/>
      <c r="C15" s="198">
        <f t="shared" si="1"/>
        <v>0.23563143718954563</v>
      </c>
      <c r="D15" s="48">
        <f>'Estado de resultados PyG - 12 m'!U15</f>
        <v>47111662.785648078</v>
      </c>
      <c r="E15" s="50">
        <f t="shared" si="5"/>
        <v>0.23387667706006959</v>
      </c>
      <c r="F15" s="48">
        <f>IF(F14&gt;0, F14*0.34, 0)</f>
        <v>82292959.708528847</v>
      </c>
      <c r="G15" s="50">
        <f t="shared" si="2"/>
        <v>0.26627123996038315</v>
      </c>
      <c r="H15" s="48">
        <f>IF(H14&gt;0, H14*0.34, 0)</f>
        <v>135591141.71245098</v>
      </c>
      <c r="I15" s="50">
        <f t="shared" si="3"/>
        <v>0.26773302421302098</v>
      </c>
      <c r="J15" s="48">
        <f>IF(J14&gt;0, J14*0.34, 0)</f>
        <v>139846210.37927929</v>
      </c>
      <c r="K15" s="50">
        <f t="shared" si="4"/>
        <v>0.26768207027490737</v>
      </c>
      <c r="L15" s="156">
        <f>IF(L14&gt;0, L14*0.34, 0)</f>
        <v>140021996.25749597</v>
      </c>
      <c r="M15" s="52"/>
      <c r="N15" s="52"/>
      <c r="O15" s="52"/>
      <c r="P15" s="52"/>
      <c r="Q15" s="52"/>
      <c r="R15" s="52"/>
      <c r="S15" s="52"/>
    </row>
    <row r="16" spans="1:19" ht="12.75">
      <c r="A16" s="97" t="s">
        <v>100</v>
      </c>
      <c r="B16" s="97"/>
      <c r="C16" s="199">
        <f t="shared" si="1"/>
        <v>0.16291472360738321</v>
      </c>
      <c r="D16" s="34">
        <f>D14-D15</f>
        <v>32572833.289787471</v>
      </c>
      <c r="E16" s="67">
        <f t="shared" si="5"/>
        <v>0.4539959025283703</v>
      </c>
      <c r="F16" s="34">
        <f>F14-F15</f>
        <v>159745157.08126184</v>
      </c>
      <c r="G16" s="67">
        <f t="shared" si="2"/>
        <v>0.51687946580544963</v>
      </c>
      <c r="H16" s="34">
        <f>H14-H15</f>
        <v>263206333.91240484</v>
      </c>
      <c r="I16" s="67">
        <f t="shared" si="3"/>
        <v>0.51971704700174648</v>
      </c>
      <c r="J16" s="34">
        <f>J14-J15</f>
        <v>271466173.08918917</v>
      </c>
      <c r="K16" s="67">
        <f t="shared" si="4"/>
        <v>0.51961813641599652</v>
      </c>
      <c r="L16" s="155">
        <f>L14-L15</f>
        <v>271807404.49984503</v>
      </c>
      <c r="M16" s="55"/>
      <c r="N16" s="55"/>
      <c r="O16" s="55"/>
      <c r="P16" s="55"/>
      <c r="Q16" s="44"/>
      <c r="R16" s="44"/>
      <c r="S16" s="44"/>
    </row>
    <row r="17" spans="1:19" ht="12.75">
      <c r="A17" s="196" t="s">
        <v>109</v>
      </c>
      <c r="B17" s="201">
        <v>0</v>
      </c>
      <c r="C17" s="197">
        <f t="shared" si="1"/>
        <v>3.5010865493318426E-3</v>
      </c>
      <c r="D17" s="69">
        <f>D7</f>
        <v>700000.01214951661</v>
      </c>
      <c r="E17" s="35">
        <f t="shared" si="5"/>
        <v>1.9894007278617957E-3</v>
      </c>
      <c r="F17" s="69">
        <f>F7</f>
        <v>700000</v>
      </c>
      <c r="G17" s="35">
        <f t="shared" si="2"/>
        <v>1.3746463494462378E-3</v>
      </c>
      <c r="H17" s="69">
        <f>H7</f>
        <v>700000</v>
      </c>
      <c r="I17" s="35">
        <f t="shared" si="3"/>
        <v>1.340137258212635E-3</v>
      </c>
      <c r="J17" s="69">
        <f>J7</f>
        <v>700000</v>
      </c>
      <c r="K17" s="35">
        <f t="shared" si="4"/>
        <v>1.3382000985606151E-3</v>
      </c>
      <c r="L17" s="157">
        <f>L7</f>
        <v>700000</v>
      </c>
    </row>
    <row r="18" spans="1:19" ht="12.75">
      <c r="A18" s="196" t="s">
        <v>112</v>
      </c>
      <c r="B18" s="201">
        <f>(Prestamo!E5+129)*-1</f>
        <v>-72456000</v>
      </c>
      <c r="C18" s="197">
        <f t="shared" si="1"/>
        <v>0</v>
      </c>
      <c r="D18" s="70">
        <v>0</v>
      </c>
      <c r="E18" s="35">
        <f t="shared" si="5"/>
        <v>0</v>
      </c>
      <c r="F18" s="70">
        <v>0</v>
      </c>
      <c r="G18" s="35">
        <f t="shared" si="2"/>
        <v>0</v>
      </c>
      <c r="H18" s="70">
        <v>0</v>
      </c>
      <c r="I18" s="35">
        <f t="shared" si="3"/>
        <v>0</v>
      </c>
      <c r="J18" s="70">
        <v>0</v>
      </c>
      <c r="K18" s="35">
        <f t="shared" si="4"/>
        <v>0</v>
      </c>
      <c r="L18" s="158">
        <v>0</v>
      </c>
    </row>
    <row r="19" spans="1:19" ht="12.75">
      <c r="A19" s="202" t="s">
        <v>113</v>
      </c>
      <c r="B19" s="108">
        <f>B18+B17</f>
        <v>-72456000</v>
      </c>
      <c r="C19" s="197">
        <f t="shared" si="1"/>
        <v>0.16641581015671505</v>
      </c>
      <c r="D19" s="72">
        <f>D18+D17+D16</f>
        <v>33272833.301936988</v>
      </c>
      <c r="E19" s="35">
        <f t="shared" si="5"/>
        <v>0.4559853032562321</v>
      </c>
      <c r="F19" s="72">
        <f>F18+F17+F16</f>
        <v>160445157.08126184</v>
      </c>
      <c r="G19" s="35">
        <f t="shared" si="2"/>
        <v>0.51825411215489592</v>
      </c>
      <c r="H19" s="72">
        <f>H18+H17+H16</f>
        <v>263906333.91240484</v>
      </c>
      <c r="I19" s="35">
        <f t="shared" si="3"/>
        <v>0.52105718425995917</v>
      </c>
      <c r="J19" s="72">
        <f>J18+J17+J16</f>
        <v>272166173.08918917</v>
      </c>
      <c r="K19" s="35">
        <f t="shared" si="4"/>
        <v>0.52095633651455719</v>
      </c>
      <c r="L19" s="159">
        <f>L18+L17+L16</f>
        <v>272507404.49984503</v>
      </c>
    </row>
    <row r="20" spans="1:19" ht="15.75" customHeight="1">
      <c r="D20" s="99">
        <f>B19+D19</f>
        <v>-39183166.698063016</v>
      </c>
      <c r="F20" s="99">
        <f>D20+F19</f>
        <v>121261990.38319883</v>
      </c>
    </row>
    <row r="22" spans="1:19" ht="12.75">
      <c r="C22" s="11"/>
      <c r="D22" s="95" t="s">
        <v>247</v>
      </c>
      <c r="F22" s="61">
        <f>'Tabla Crecimiento'!B10</f>
        <v>65175.619953865986</v>
      </c>
      <c r="H22" s="61">
        <f>'Tabla Crecimiento'!B11</f>
        <v>94322.751322401688</v>
      </c>
      <c r="J22" s="61">
        <f>'Tabla Crecimiento'!B12</f>
        <v>96751.601360591376</v>
      </c>
      <c r="L22" s="61">
        <f>'Tabla Crecimiento'!B13</f>
        <v>96891.657618714249</v>
      </c>
      <c r="N22" s="11">
        <v>1621</v>
      </c>
      <c r="O22" s="11">
        <f>N22*$N$23</f>
        <v>4863</v>
      </c>
      <c r="P22" s="11">
        <f>O22*$N$23</f>
        <v>14589</v>
      </c>
      <c r="Q22" s="11">
        <f>P22*$N$23</f>
        <v>43767</v>
      </c>
      <c r="R22" s="11">
        <f>Q22*$N$23</f>
        <v>131301</v>
      </c>
      <c r="S22" s="11">
        <f>R22*$N$23</f>
        <v>393903</v>
      </c>
    </row>
    <row r="23" spans="1:19" ht="12.75">
      <c r="D23" s="93" t="s">
        <v>181</v>
      </c>
      <c r="F23">
        <f>('Tabla Crecimiento'!O3+('Tabla Crecimiento'!O3*0.19))</f>
        <v>5398.7174252717768</v>
      </c>
      <c r="M23" s="11" t="s">
        <v>101</v>
      </c>
      <c r="N23" s="11">
        <v>3</v>
      </c>
    </row>
    <row r="24" spans="1:19" ht="12.75">
      <c r="M24" s="11" t="s">
        <v>102</v>
      </c>
      <c r="N24" s="11">
        <v>2860</v>
      </c>
    </row>
    <row r="25" spans="1:19" ht="12.75">
      <c r="D25" s="93" t="s">
        <v>246</v>
      </c>
      <c r="F25" s="141">
        <v>0.06</v>
      </c>
      <c r="H25" s="142">
        <v>6.5000000000000002E-2</v>
      </c>
      <c r="J25" s="141">
        <v>7.0000000000000007E-2</v>
      </c>
      <c r="L25" s="142">
        <v>7.1999999999999995E-2</v>
      </c>
      <c r="M25" s="11" t="s">
        <v>103</v>
      </c>
      <c r="N25" s="11">
        <v>0.03</v>
      </c>
    </row>
    <row r="30" spans="1:19" ht="15.75" customHeight="1">
      <c r="D30" s="43">
        <f>D5+D6+D9+D10+D13+D15</f>
        <v>166665100.90397593</v>
      </c>
    </row>
    <row r="31" spans="1:19" ht="15.75" customHeight="1">
      <c r="D31">
        <f>D30/10022</f>
        <v>16629.924257032122</v>
      </c>
    </row>
  </sheetData>
  <mergeCells count="11">
    <mergeCell ref="O5:P5"/>
    <mergeCell ref="O6:P6"/>
    <mergeCell ref="O9:P9"/>
    <mergeCell ref="O10:P10"/>
    <mergeCell ref="O7:P7"/>
    <mergeCell ref="O8:P8"/>
    <mergeCell ref="E1:F1"/>
    <mergeCell ref="C1:D1"/>
    <mergeCell ref="G1:H1"/>
    <mergeCell ref="I1:J1"/>
    <mergeCell ref="K1:L1"/>
  </mergeCells>
  <conditionalFormatting sqref="A1:B16 C1:C19 D1:D16 E1:E19 F1:F16 G1:G19 H1:H16 I6:I19 J6:J16 K6:K19 L6:L16 I1:L5">
    <cfRule type="cellIs" dxfId="12" priority="1" operator="lessThan">
      <formula>0</formula>
    </cfRule>
  </conditionalFormatting>
  <conditionalFormatting sqref="B17:L19">
    <cfRule type="cellIs" dxfId="11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opLeftCell="A7" zoomScale="85" zoomScaleNormal="85" workbookViewId="0">
      <selection activeCell="J10" sqref="J10"/>
    </sheetView>
  </sheetViews>
  <sheetFormatPr baseColWidth="10" defaultColWidth="14.42578125" defaultRowHeight="15.75" customHeight="1"/>
  <cols>
    <col min="1" max="1" width="29.28515625" bestFit="1" customWidth="1"/>
    <col min="2" max="2" width="20.42578125" customWidth="1"/>
    <col min="3" max="3" width="17" bestFit="1" customWidth="1"/>
    <col min="4" max="4" width="18.140625" bestFit="1" customWidth="1"/>
    <col min="5" max="6" width="18.42578125" bestFit="1" customWidth="1"/>
    <col min="7" max="7" width="20.85546875" bestFit="1" customWidth="1"/>
    <col min="8" max="8" width="17.42578125" hidden="1" customWidth="1"/>
    <col min="10" max="10" width="18.42578125" customWidth="1"/>
    <col min="13" max="13" width="16.7109375" customWidth="1"/>
  </cols>
  <sheetData>
    <row r="1" spans="1:13" ht="15.75" customHeight="1">
      <c r="A1" s="11" t="s">
        <v>108</v>
      </c>
      <c r="B1" s="65">
        <f>Prestamo!E5+129</f>
        <v>72456000</v>
      </c>
      <c r="H1" s="43">
        <f>'Flujo de Caja (Profesor) - 5 añ'!B19</f>
        <v>-72456000</v>
      </c>
      <c r="J1" s="24">
        <f>'Flujo de Caja (Profesor) - 5 añ'!B19</f>
        <v>-72456000</v>
      </c>
    </row>
    <row r="2" spans="1:13" ht="15.75" customHeight="1">
      <c r="A2" s="95" t="s">
        <v>273</v>
      </c>
      <c r="B2" s="11">
        <v>0.15</v>
      </c>
      <c r="C2" s="11">
        <v>800</v>
      </c>
      <c r="H2" s="66">
        <f>'Flujo de caja - 5 años'!E13</f>
        <v>91785333.314600259</v>
      </c>
      <c r="J2" s="24">
        <f>'Flujo de Caja (Profesor) - 5 añ'!D19</f>
        <v>33272833.301936988</v>
      </c>
    </row>
    <row r="3" spans="1:13" ht="15.75" customHeight="1">
      <c r="H3" s="66">
        <f>'Flujo de caja - 5 años'!G13</f>
        <v>252230490.39586207</v>
      </c>
      <c r="J3" s="24">
        <f>'Flujo de Caja (Profesor) - 5 añ'!F19</f>
        <v>160445157.08126184</v>
      </c>
    </row>
    <row r="4" spans="1:13" ht="15.75" customHeight="1">
      <c r="A4" s="11"/>
      <c r="B4" s="24">
        <f>'Flujo de caja - 5 años'!E13/((1+$B$2)^1)</f>
        <v>79813333.317043707</v>
      </c>
      <c r="C4" s="24">
        <f>'Flujo de caja - 5 años'!G13/((1+$B$2)^2)</f>
        <v>190722488.01199403</v>
      </c>
      <c r="D4" s="24">
        <f>'Flujo de caja - 5 años'!I13/((1+$B$2)^3)</f>
        <v>339370738.75779867</v>
      </c>
      <c r="E4" s="68">
        <f>'Flujo de caja - 5 años'!K13/((1+$B$2)^4)</f>
        <v>450721054.54023176</v>
      </c>
      <c r="F4" s="68">
        <f>'Flujo de caja - 5 años'!M13/((1+$B$2)^5)</f>
        <v>527420046.36971092</v>
      </c>
      <c r="H4" s="66">
        <f>'Flujo de caja - 5 años'!I13</f>
        <v>516140472.30826688</v>
      </c>
      <c r="J4" s="24">
        <f>'Flujo de Caja (Profesor) - 5 añ'!H19</f>
        <v>263906333.91240484</v>
      </c>
    </row>
    <row r="5" spans="1:13" ht="15.75" customHeight="1">
      <c r="A5" s="11" t="s">
        <v>110</v>
      </c>
      <c r="B5" s="24">
        <f>SUM(B4:F4)-B1</f>
        <v>1515591660.996779</v>
      </c>
      <c r="H5" s="66">
        <f>'Flujo de caja - 5 años'!K13</f>
        <v>788313941.39745593</v>
      </c>
      <c r="J5" s="24">
        <f>'Flujo de Caja (Profesor) - 5 añ'!J19</f>
        <v>272166173.08918917</v>
      </c>
      <c r="L5" s="11" t="s">
        <v>111</v>
      </c>
    </row>
    <row r="6" spans="1:13" ht="15.75" customHeight="1">
      <c r="A6" s="11"/>
      <c r="B6" s="24">
        <f>'Flujo de caja - 5 años'!E13/(1+$C$2)^1</f>
        <v>114588.43110436985</v>
      </c>
      <c r="C6" s="24">
        <f>'Flujo de caja - 5 años'!G13/(1+$C$2)^2</f>
        <v>393.12671020753095</v>
      </c>
      <c r="D6" s="24">
        <f>'Flujo de caja - 5 años'!I13/(1+$C$2)^3</f>
        <v>1.0043159654141383</v>
      </c>
      <c r="E6" s="68">
        <f>'Flujo de caja - 5 años'!K13/(1+$B$2)^4</f>
        <v>450721054.54023176</v>
      </c>
      <c r="F6" s="68">
        <f>'Flujo de caja - 5 años'!M13/(1+$B$2)^5</f>
        <v>527420046.36971092</v>
      </c>
      <c r="H6" s="66">
        <f>'Flujo de caja - 5 años'!M13</f>
        <v>1060830101.097301</v>
      </c>
      <c r="J6" s="24">
        <f>'Flujo de Caja (Profesor) - 5 añ'!L19</f>
        <v>272507404.49984503</v>
      </c>
      <c r="L6" s="11">
        <v>0</v>
      </c>
      <c r="M6" s="43">
        <f t="shared" ref="M6:M27" si="0">NPV(L6,$J$2:$J$6)+$J$1</f>
        <v>929841901.88463783</v>
      </c>
    </row>
    <row r="7" spans="1:13" ht="15.75" customHeight="1">
      <c r="A7" s="11" t="s">
        <v>114</v>
      </c>
      <c r="B7" s="24">
        <f>SUM(B6:F6)-B1</f>
        <v>905800083.47207332</v>
      </c>
      <c r="H7" s="71">
        <f>'Flujo de caja - 5 años'!E18</f>
        <v>0</v>
      </c>
      <c r="L7" s="11">
        <v>0.05</v>
      </c>
      <c r="M7" s="43">
        <f t="shared" si="0"/>
        <v>770161579.67833078</v>
      </c>
    </row>
    <row r="8" spans="1:13" ht="15.75" customHeight="1">
      <c r="L8" s="11">
        <v>0.1</v>
      </c>
      <c r="M8" s="43">
        <f t="shared" si="0"/>
        <v>643766884.82809055</v>
      </c>
    </row>
    <row r="9" spans="1:13" ht="15.75" customHeight="1">
      <c r="G9" s="11" t="s">
        <v>279</v>
      </c>
      <c r="H9" s="43" t="s">
        <v>260</v>
      </c>
      <c r="I9" t="s">
        <v>277</v>
      </c>
      <c r="J9" s="43" t="s">
        <v>278</v>
      </c>
      <c r="L9" s="11">
        <v>0.15</v>
      </c>
      <c r="M9" s="43">
        <f t="shared" si="0"/>
        <v>542415420.90610313</v>
      </c>
    </row>
    <row r="10" spans="1:13" ht="15.75" customHeight="1">
      <c r="G10" s="11" t="s">
        <v>110</v>
      </c>
      <c r="H10" s="43">
        <f t="array" ref="H10">NPV(0.15,H2:H6)+H1</f>
        <v>1515591660.9967792</v>
      </c>
      <c r="J10" s="43">
        <f t="array" ref="J10">NPV(0.15,J2:J6)+J1</f>
        <v>542415420.90610313</v>
      </c>
      <c r="L10" s="11">
        <v>0.2</v>
      </c>
      <c r="M10" s="43">
        <f t="shared" si="0"/>
        <v>460182772.99224061</v>
      </c>
    </row>
    <row r="11" spans="1:13" ht="15.75" customHeight="1">
      <c r="G11" s="11" t="s">
        <v>114</v>
      </c>
      <c r="H11" s="73">
        <f>IRR(H1:H6)</f>
        <v>2.3482376015537989</v>
      </c>
      <c r="J11" s="191">
        <f>IRR(J1:J6)</f>
        <v>1.3997126686973118</v>
      </c>
      <c r="L11" s="11">
        <v>0.25</v>
      </c>
      <c r="M11" s="43">
        <f t="shared" si="0"/>
        <v>392741700.94054955</v>
      </c>
    </row>
    <row r="12" spans="1:13" ht="15.75" customHeight="1">
      <c r="G12" s="11" t="s">
        <v>115</v>
      </c>
      <c r="J12" s="11" t="s">
        <v>116</v>
      </c>
      <c r="L12" s="11">
        <v>0.3</v>
      </c>
      <c r="M12" s="43">
        <f t="shared" si="0"/>
        <v>336884785.61377382</v>
      </c>
    </row>
    <row r="13" spans="1:13" ht="15.75" customHeight="1">
      <c r="L13" s="11">
        <v>0.35</v>
      </c>
      <c r="M13" s="43">
        <f t="shared" si="0"/>
        <v>290202359.15658456</v>
      </c>
    </row>
    <row r="14" spans="1:13" ht="15.75" customHeight="1">
      <c r="L14" s="11">
        <v>0.4</v>
      </c>
      <c r="M14" s="43">
        <f t="shared" si="0"/>
        <v>250861458.63641775</v>
      </c>
    </row>
    <row r="15" spans="1:13" ht="15.75" customHeight="1">
      <c r="L15" s="11">
        <v>0.45</v>
      </c>
      <c r="M15" s="43">
        <f t="shared" si="0"/>
        <v>217451707.40003425</v>
      </c>
    </row>
    <row r="16" spans="1:13" ht="15.75" customHeight="1">
      <c r="A16" s="11" t="s">
        <v>117</v>
      </c>
      <c r="B16">
        <f>B17/(B19-B18)</f>
        <v>3578.7157444484137</v>
      </c>
      <c r="L16" s="11">
        <v>0.5</v>
      </c>
      <c r="M16" s="43">
        <f t="shared" si="0"/>
        <v>188876284.9944829</v>
      </c>
    </row>
    <row r="17" spans="1:13" ht="15.75" customHeight="1">
      <c r="A17" s="11" t="s">
        <v>118</v>
      </c>
      <c r="B17" s="43">
        <f>'Estado de resultados PyG - 12 m'!I6+'Estado de resultados PyG - 12 m'!I7+'Estado de resultados PyG - 12 m'!I9+'Estado de resultados PyG - 12 m'!I10+'Estado de resultados PyG - 12 m'!I13</f>
        <v>10168236.333333334</v>
      </c>
      <c r="L17" s="11">
        <v>0.55000000000000004</v>
      </c>
      <c r="M17" s="43">
        <f t="shared" si="0"/>
        <v>164273747.3669534</v>
      </c>
    </row>
    <row r="18" spans="1:13" ht="15.75" customHeight="1">
      <c r="A18" s="11" t="s">
        <v>119</v>
      </c>
      <c r="B18" s="43">
        <f>'Estado de resultados PyG - 12 m'!I5/'Estado de resultados PyG - 12 m'!I18</f>
        <v>18.691257022269912</v>
      </c>
      <c r="L18" s="11">
        <v>0.6</v>
      </c>
      <c r="M18" s="43">
        <f t="shared" si="0"/>
        <v>142961261.12277284</v>
      </c>
    </row>
    <row r="19" spans="1:13" ht="15.75" customHeight="1">
      <c r="A19" s="11" t="s">
        <v>120</v>
      </c>
      <c r="B19" s="11">
        <v>2860</v>
      </c>
      <c r="L19" s="11">
        <v>0.65</v>
      </c>
      <c r="M19" s="43">
        <f t="shared" si="0"/>
        <v>124392902.17436546</v>
      </c>
    </row>
    <row r="20" spans="1:13" ht="15.75" customHeight="1">
      <c r="L20" s="11">
        <v>0.7</v>
      </c>
      <c r="M20" s="43">
        <f t="shared" si="0"/>
        <v>108128685.04361105</v>
      </c>
    </row>
    <row r="21" spans="1:13" ht="15.75" customHeight="1">
      <c r="A21" s="178" t="s">
        <v>259</v>
      </c>
      <c r="B21" s="113" t="s">
        <v>260</v>
      </c>
      <c r="C21" s="93" t="s">
        <v>261</v>
      </c>
      <c r="D21" s="93" t="s">
        <v>262</v>
      </c>
      <c r="E21" s="93" t="s">
        <v>263</v>
      </c>
      <c r="F21" s="93" t="s">
        <v>264</v>
      </c>
      <c r="G21" s="93" t="s">
        <v>265</v>
      </c>
      <c r="L21" s="11">
        <v>0.75</v>
      </c>
      <c r="M21" s="43">
        <f t="shared" si="0"/>
        <v>93811325.556419224</v>
      </c>
    </row>
    <row r="22" spans="1:13" ht="15.75" customHeight="1">
      <c r="A22" s="113"/>
      <c r="B22" s="143" t="s">
        <v>73</v>
      </c>
      <c r="C22" s="93" t="s">
        <v>70</v>
      </c>
      <c r="D22" s="93" t="s">
        <v>71</v>
      </c>
      <c r="E22" s="93" t="s">
        <v>72</v>
      </c>
      <c r="F22" s="93" t="s">
        <v>74</v>
      </c>
      <c r="G22" s="93" t="s">
        <v>75</v>
      </c>
      <c r="L22" s="11">
        <v>0.8</v>
      </c>
      <c r="M22" s="43">
        <f t="shared" si="0"/>
        <v>81148638.145063311</v>
      </c>
    </row>
    <row r="23" spans="1:13" ht="15.75" customHeight="1">
      <c r="A23" s="112" t="s">
        <v>255</v>
      </c>
      <c r="B23" s="171">
        <f>B1*-1</f>
        <v>-72456000</v>
      </c>
      <c r="C23" s="177">
        <f>'Flujo de Caja (Profesor) - 5 añ'!D19</f>
        <v>33272833.301936988</v>
      </c>
      <c r="D23" s="177">
        <f>'Flujo de Caja (Profesor) - 5 añ'!F19</f>
        <v>160445157.08126184</v>
      </c>
      <c r="E23" s="177">
        <f>'Flujo de Caja (Profesor) - 5 añ'!H19</f>
        <v>263906333.91240484</v>
      </c>
      <c r="F23" s="177">
        <f>'Flujo de Caja (Profesor) - 5 añ'!J19</f>
        <v>272166173.08918917</v>
      </c>
      <c r="G23" s="177">
        <f>'Flujo de Caja (Profesor) - 5 añ'!L19</f>
        <v>272507404.49984503</v>
      </c>
      <c r="L23" s="11">
        <v>0.85</v>
      </c>
      <c r="M23" s="43">
        <f t="shared" si="0"/>
        <v>69900080.94056204</v>
      </c>
    </row>
    <row r="24" spans="1:13" ht="15.75" customHeight="1">
      <c r="B24" s="43"/>
      <c r="L24" s="11">
        <v>0.9</v>
      </c>
      <c r="M24" s="43">
        <f t="shared" si="0"/>
        <v>59866383.801602229</v>
      </c>
    </row>
    <row r="25" spans="1:13" ht="12.75">
      <c r="A25" s="112" t="s">
        <v>259</v>
      </c>
      <c r="B25" s="113" t="s">
        <v>260</v>
      </c>
      <c r="C25" s="164" t="s">
        <v>261</v>
      </c>
      <c r="L25" s="11">
        <v>0.95</v>
      </c>
      <c r="M25" s="43">
        <f t="shared" si="0"/>
        <v>50881488.755326763</v>
      </c>
    </row>
    <row r="26" spans="1:13" ht="12.75">
      <c r="A26" s="112" t="s">
        <v>256</v>
      </c>
      <c r="B26" s="113"/>
      <c r="C26" s="164">
        <f>J1+(C23/C47)+(D23/C47*C48)+(E23/C47*C48*C49)+(F23/C47*C48*C49*C50)+(G23/C47*C48*C49*C50*C51)</f>
        <v>1046118369.0369694</v>
      </c>
      <c r="L26" s="11">
        <v>1</v>
      </c>
      <c r="M26" s="43">
        <f t="shared" si="0"/>
        <v>42806239.86902903</v>
      </c>
    </row>
    <row r="27" spans="1:13" ht="12.75">
      <c r="A27" s="144" t="s">
        <v>272</v>
      </c>
      <c r="B27" s="144"/>
      <c r="C27" s="164">
        <f>-B1+(C23/(1+B2))+(D23/(1+B2)^2)+(E23/(1+B2)^3)+(F23/(1+B2)^4)+(G23/(1+B2)^5)</f>
        <v>542415420.90610313</v>
      </c>
      <c r="L27" s="11">
        <v>1.05</v>
      </c>
      <c r="M27" s="43">
        <f t="shared" si="0"/>
        <v>35523407.428351298</v>
      </c>
    </row>
    <row r="28" spans="1:13" ht="12.75">
      <c r="A28" s="144" t="s">
        <v>114</v>
      </c>
      <c r="B28" s="144"/>
      <c r="C28" s="141">
        <f>B32+((B34-B32)*(E32/(E32+E34)))</f>
        <v>2.6156971804324858</v>
      </c>
      <c r="L28" s="11">
        <v>1.1000000000000001</v>
      </c>
      <c r="M28" s="43">
        <f>NPV(L28,$J$2:$J$6)+$J$1</f>
        <v>28933737.658540115</v>
      </c>
    </row>
    <row r="29" spans="1:13" ht="12.75">
      <c r="A29" s="112"/>
      <c r="B29" s="113"/>
      <c r="L29" s="11">
        <v>1.1499999999999999</v>
      </c>
      <c r="M29" s="43">
        <f>NPV(L29,$J$2:$J$6)+$J$1</f>
        <v>22952796.441843018</v>
      </c>
    </row>
    <row r="30" spans="1:13" ht="12.75">
      <c r="A30" s="112"/>
      <c r="B30" s="113"/>
      <c r="L30" s="11">
        <v>1.2</v>
      </c>
      <c r="M30" s="43">
        <f>NPV(L30,$J$2:$J$6)+$J$1</f>
        <v>17508432.032229528</v>
      </c>
    </row>
    <row r="31" spans="1:13" ht="12.75">
      <c r="A31" s="112" t="s">
        <v>259</v>
      </c>
      <c r="B31" s="168" t="s">
        <v>260</v>
      </c>
      <c r="L31" s="11">
        <v>1.25</v>
      </c>
      <c r="M31" s="43">
        <f t="shared" ref="M31:M66" si="1">NPV(L31,$J$2:$J$6)+$J$1</f>
        <v>12538723.524176732</v>
      </c>
    </row>
    <row r="32" spans="1:13" ht="12.75">
      <c r="A32" s="112" t="s">
        <v>266</v>
      </c>
      <c r="B32" s="168">
        <f>(((C23+D23+E23+F23+G23)/B1)-1)/5</f>
        <v>2.5666387928801973</v>
      </c>
      <c r="D32" t="s">
        <v>274</v>
      </c>
      <c r="E32" s="170">
        <f>-$B$1+($C$23/(1+B32))+($D$23/((1+B32)^2))+($E$23/((1+B32)^3))+($F$23/((1+B32)^4))+($G$23/((1+B32)^5))</f>
        <v>-42543700.63246806</v>
      </c>
      <c r="L32" s="11">
        <v>1.3</v>
      </c>
      <c r="M32" s="43">
        <f t="shared" si="1"/>
        <v>7990312.908029452</v>
      </c>
    </row>
    <row r="33" spans="1:13" ht="12.75">
      <c r="A33" s="144"/>
      <c r="B33" s="168">
        <v>3.2</v>
      </c>
      <c r="D33" t="s">
        <v>274</v>
      </c>
      <c r="E33" s="170">
        <f>-$B$1+($C$23/(1+B33))+($D$23/((1+B33)^2))+($E$23/((1+B33)^3))+($F$23/((1+B33)^4))+($G$23/((1+B33)^5))</f>
        <v>-50793132.755044959</v>
      </c>
      <c r="L33" s="11">
        <v>1.35</v>
      </c>
      <c r="M33" s="43">
        <f t="shared" si="1"/>
        <v>3817041.8455630243</v>
      </c>
    </row>
    <row r="34" spans="1:13" ht="12.75">
      <c r="A34" s="112" t="s">
        <v>267</v>
      </c>
      <c r="B34" s="169">
        <f>B32+0.1</f>
        <v>2.6666387928801973</v>
      </c>
      <c r="D34" t="s">
        <v>274</v>
      </c>
      <c r="E34" s="170">
        <f>-$B$1+($C$23/(1+B34))+($D$23/((1+B34)^2))+($E$23/((1+B34)^3))+($F$23/((1+B34)^4))+($G$23/((1+B34)^5))</f>
        <v>-44176843.50919006</v>
      </c>
      <c r="L34" s="11">
        <v>1.4</v>
      </c>
      <c r="M34" s="43">
        <f t="shared" si="1"/>
        <v>-21168.104144319892</v>
      </c>
    </row>
    <row r="35" spans="1:13" ht="12.75">
      <c r="A35" s="112"/>
      <c r="B35" s="113"/>
      <c r="L35" s="11">
        <v>1.45</v>
      </c>
      <c r="M35" s="43">
        <f t="shared" si="1"/>
        <v>-3559239.6993254572</v>
      </c>
    </row>
    <row r="36" spans="1:13" ht="12.75">
      <c r="A36" s="112" t="s">
        <v>259</v>
      </c>
      <c r="B36" s="167" t="s">
        <v>260</v>
      </c>
      <c r="L36" s="11">
        <v>1.5</v>
      </c>
      <c r="M36" s="43">
        <f t="shared" si="1"/>
        <v>-6827706.3226677552</v>
      </c>
    </row>
    <row r="37" spans="1:13" ht="12.75">
      <c r="A37" s="112" t="s">
        <v>268</v>
      </c>
      <c r="B37" s="167"/>
      <c r="L37" s="11">
        <v>1.55</v>
      </c>
      <c r="M37" s="43">
        <f t="shared" si="1"/>
        <v>-9853350.1487485394</v>
      </c>
    </row>
    <row r="38" spans="1:13" ht="12.75">
      <c r="A38" s="112" t="s">
        <v>269</v>
      </c>
      <c r="B38" s="167">
        <f>-B1+(C23/(1+B34))+(D23/((1+B34)^2))+(E23/((1+B34)^3))+(F23/((1+B34)^4))+(G23/((1+B34)^5))</f>
        <v>-44176843.50919006</v>
      </c>
      <c r="L38" s="11">
        <v>1.6</v>
      </c>
      <c r="M38" s="43">
        <f t="shared" si="1"/>
        <v>-12659735.832125455</v>
      </c>
    </row>
    <row r="39" spans="1:13" ht="12.75">
      <c r="A39" s="112" t="s">
        <v>271</v>
      </c>
      <c r="B39" s="167">
        <f>E32*-1</f>
        <v>42543700.63246806</v>
      </c>
      <c r="L39" s="11">
        <v>1.65</v>
      </c>
      <c r="M39" s="43">
        <f t="shared" si="1"/>
        <v>-15267658.61849156</v>
      </c>
    </row>
    <row r="40" spans="1:13" ht="12.75">
      <c r="A40" s="112" t="s">
        <v>270</v>
      </c>
      <c r="B40" s="167">
        <f>B38*-1</f>
        <v>44176843.50919006</v>
      </c>
      <c r="L40" s="11">
        <v>1.7</v>
      </c>
      <c r="M40" s="43">
        <f t="shared" si="1"/>
        <v>-17695522.054369494</v>
      </c>
    </row>
    <row r="41" spans="1:13" ht="12.75">
      <c r="A41" s="112" t="s">
        <v>114</v>
      </c>
      <c r="B41" s="167">
        <f>B32+(B39/(B39+B40))</f>
        <v>3.0572226684030821</v>
      </c>
      <c r="L41" s="11">
        <v>1.75</v>
      </c>
      <c r="M41" s="43">
        <f t="shared" si="1"/>
        <v>-19959657.536172695</v>
      </c>
    </row>
    <row r="42" spans="1:13" ht="12.75">
      <c r="A42" s="112"/>
      <c r="B42" s="113"/>
      <c r="L42" s="11">
        <v>1.8</v>
      </c>
      <c r="M42" s="43">
        <f t="shared" si="1"/>
        <v>-22074595.61704766</v>
      </c>
    </row>
    <row r="43" spans="1:13" ht="12.75">
      <c r="B43" s="43"/>
      <c r="L43" s="11">
        <v>1.85</v>
      </c>
      <c r="M43" s="43">
        <f t="shared" si="1"/>
        <v>-24053297.143103577</v>
      </c>
    </row>
    <row r="44" spans="1:13" ht="12.75">
      <c r="L44" s="11">
        <v>1.9</v>
      </c>
      <c r="M44" s="43">
        <f t="shared" si="1"/>
        <v>-25907350.815210581</v>
      </c>
    </row>
    <row r="45" spans="1:13" ht="12.75">
      <c r="A45" s="112" t="s">
        <v>259</v>
      </c>
      <c r="B45" s="113" t="s">
        <v>260</v>
      </c>
      <c r="C45" s="93" t="s">
        <v>261</v>
      </c>
      <c r="L45" s="11">
        <v>1.95</v>
      </c>
      <c r="M45" s="43">
        <f t="shared" si="1"/>
        <v>-27647142.588540077</v>
      </c>
    </row>
    <row r="46" spans="1:13" ht="12.75">
      <c r="A46" s="112" t="s">
        <v>257</v>
      </c>
      <c r="B46" s="113"/>
      <c r="C46" s="93" t="s">
        <v>258</v>
      </c>
      <c r="L46" s="11">
        <v>2</v>
      </c>
      <c r="M46" s="43">
        <f t="shared" si="1"/>
        <v>-29282001.36777769</v>
      </c>
    </row>
    <row r="47" spans="1:13" ht="15.75" customHeight="1">
      <c r="A47" s="93" t="s">
        <v>70</v>
      </c>
      <c r="B47" s="165">
        <v>5.7500000000000002E-2</v>
      </c>
      <c r="C47" s="166">
        <f xml:space="preserve"> 1 +B47</f>
        <v>1.0575000000000001</v>
      </c>
      <c r="L47" s="11">
        <v>2.0499999999999998</v>
      </c>
      <c r="M47" s="43">
        <f t="shared" si="1"/>
        <v>-30820324.683679014</v>
      </c>
    </row>
    <row r="48" spans="1:13" ht="15.75" customHeight="1">
      <c r="A48" s="93" t="s">
        <v>71</v>
      </c>
      <c r="B48" s="165">
        <v>0.06</v>
      </c>
      <c r="C48" s="166">
        <f t="shared" ref="C48:C51" si="2" xml:space="preserve"> 1 +B48</f>
        <v>1.06</v>
      </c>
      <c r="L48" s="11">
        <v>2.1</v>
      </c>
      <c r="M48" s="43">
        <f t="shared" si="1"/>
        <v>-32269687.409150809</v>
      </c>
    </row>
    <row r="49" spans="1:13" ht="15.75" customHeight="1">
      <c r="A49" s="93" t="s">
        <v>72</v>
      </c>
      <c r="B49" s="165">
        <v>6.5000000000000002E-2</v>
      </c>
      <c r="C49" s="166">
        <f t="shared" si="2"/>
        <v>1.0649999999999999</v>
      </c>
      <c r="L49" s="11">
        <v>2.15</v>
      </c>
      <c r="M49" s="43">
        <f t="shared" si="1"/>
        <v>-33636936.061215945</v>
      </c>
    </row>
    <row r="50" spans="1:13" ht="15.75" customHeight="1">
      <c r="A50" s="93" t="s">
        <v>74</v>
      </c>
      <c r="B50" s="165">
        <v>7.0000000000000007E-2</v>
      </c>
      <c r="C50" s="166">
        <f t="shared" si="2"/>
        <v>1.07</v>
      </c>
      <c r="L50" s="11">
        <v>2.2000000000000002</v>
      </c>
      <c r="M50" s="43">
        <f t="shared" si="1"/>
        <v>-34928270.816182345</v>
      </c>
    </row>
    <row r="51" spans="1:13" ht="15.75" customHeight="1">
      <c r="A51" s="93" t="s">
        <v>75</v>
      </c>
      <c r="B51" s="165">
        <v>7.1999999999999995E-2</v>
      </c>
      <c r="C51" s="166">
        <f t="shared" si="2"/>
        <v>1.0720000000000001</v>
      </c>
      <c r="L51" s="11">
        <v>2.25</v>
      </c>
      <c r="M51" s="43">
        <f t="shared" si="1"/>
        <v>-36149317.021025874</v>
      </c>
    </row>
    <row r="52" spans="1:13" ht="15.75" customHeight="1">
      <c r="L52" s="11">
        <v>2.2999999999999998</v>
      </c>
      <c r="M52" s="43">
        <f t="shared" si="1"/>
        <v>-37305187.700105101</v>
      </c>
    </row>
    <row r="53" spans="1:13" ht="15.75" customHeight="1">
      <c r="L53" s="11">
        <v>2.35</v>
      </c>
      <c r="M53" s="43">
        <f t="shared" si="1"/>
        <v>-38400538.321459606</v>
      </c>
    </row>
    <row r="54" spans="1:13" ht="15.75" customHeight="1">
      <c r="L54" s="11">
        <v>2.4</v>
      </c>
      <c r="M54" s="43">
        <f t="shared" si="1"/>
        <v>-39439614.892005563</v>
      </c>
    </row>
    <row r="55" spans="1:13" ht="15.75" customHeight="1">
      <c r="L55" s="11">
        <v>2.4500000000000002</v>
      </c>
      <c r="M55" s="43">
        <f t="shared" si="1"/>
        <v>-40426296.28863287</v>
      </c>
    </row>
    <row r="56" spans="1:13" ht="15.75" customHeight="1">
      <c r="L56" s="11">
        <v>2.5</v>
      </c>
      <c r="M56" s="43">
        <f t="shared" si="1"/>
        <v>-41364131.596653804</v>
      </c>
    </row>
    <row r="57" spans="1:13" ht="15.75" customHeight="1">
      <c r="L57" s="11">
        <v>2.5499999999999998</v>
      </c>
      <c r="M57" s="43">
        <f t="shared" si="1"/>
        <v>-42256373.113508478</v>
      </c>
    </row>
    <row r="58" spans="1:13" ht="15.75" customHeight="1">
      <c r="L58" s="11">
        <v>2.6</v>
      </c>
      <c r="M58" s="43">
        <f t="shared" si="1"/>
        <v>-43106005.580250911</v>
      </c>
    </row>
    <row r="59" spans="1:13" ht="15.75" customHeight="1">
      <c r="L59" s="11">
        <v>2.65</v>
      </c>
      <c r="M59" s="43">
        <f t="shared" si="1"/>
        <v>-43915772.122991979</v>
      </c>
    </row>
    <row r="60" spans="1:13" ht="15.75" customHeight="1">
      <c r="L60" s="11">
        <v>2.7</v>
      </c>
      <c r="M60" s="43">
        <f t="shared" si="1"/>
        <v>-44688197.318611376</v>
      </c>
    </row>
    <row r="61" spans="1:13" ht="15.75" customHeight="1">
      <c r="L61" s="11">
        <v>2.75</v>
      </c>
      <c r="M61" s="43">
        <f t="shared" si="1"/>
        <v>-45425607.741577834</v>
      </c>
    </row>
    <row r="62" spans="1:13" ht="15.75" customHeight="1">
      <c r="L62" s="11">
        <v>2.8</v>
      </c>
      <c r="M62" s="43">
        <f t="shared" si="1"/>
        <v>-46130150.299922802</v>
      </c>
    </row>
    <row r="63" spans="1:13" ht="15.75" customHeight="1">
      <c r="L63" s="11">
        <v>2.85</v>
      </c>
      <c r="M63" s="43">
        <f t="shared" si="1"/>
        <v>-46803808.626882508</v>
      </c>
    </row>
    <row r="64" spans="1:13" ht="15.75" customHeight="1">
      <c r="L64" s="11">
        <v>2.9</v>
      </c>
      <c r="M64" s="43">
        <f t="shared" si="1"/>
        <v>-47448417.759291634</v>
      </c>
    </row>
    <row r="65" spans="12:13" ht="15.75" customHeight="1">
      <c r="L65" s="11">
        <v>2.95</v>
      </c>
      <c r="M65" s="43">
        <f t="shared" si="1"/>
        <v>-48065677.303513229</v>
      </c>
    </row>
    <row r="66" spans="12:13" ht="15.75" customHeight="1">
      <c r="L66" s="11">
        <v>3</v>
      </c>
      <c r="M66" s="43">
        <f t="shared" si="1"/>
        <v>-48657163.263719037</v>
      </c>
    </row>
  </sheetData>
  <pageMargins left="0.7" right="0.7" top="0.75" bottom="0.75" header="0.3" footer="0.3"/>
  <pageSetup paperSize="9"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workbookViewId="0">
      <selection activeCell="B2" sqref="B2:H15"/>
    </sheetView>
  </sheetViews>
  <sheetFormatPr baseColWidth="10" defaultRowHeight="12.75"/>
  <cols>
    <col min="4" max="8" width="16.5703125" bestFit="1" customWidth="1"/>
    <col min="10" max="10" width="12.28515625" bestFit="1" customWidth="1"/>
  </cols>
  <sheetData>
    <row r="1" spans="2:8" ht="13.5" thickBot="1"/>
    <row r="2" spans="2:8" ht="15.75" thickBot="1">
      <c r="B2" s="286" t="s">
        <v>281</v>
      </c>
      <c r="C2" s="287"/>
      <c r="D2" s="287"/>
      <c r="E2" s="287"/>
      <c r="F2" s="287"/>
      <c r="G2" s="287"/>
      <c r="H2" s="288"/>
    </row>
    <row r="3" spans="2:8" ht="15.75" thickTop="1">
      <c r="B3" s="283" t="s">
        <v>287</v>
      </c>
      <c r="C3" s="284"/>
      <c r="D3" s="284"/>
      <c r="E3" s="284"/>
      <c r="F3" s="284"/>
      <c r="G3" s="284"/>
      <c r="H3" s="285"/>
    </row>
    <row r="4" spans="2:8">
      <c r="B4" s="289"/>
      <c r="C4" s="282"/>
      <c r="D4" s="179" t="s">
        <v>70</v>
      </c>
      <c r="E4" s="179" t="s">
        <v>71</v>
      </c>
      <c r="F4" s="179" t="s">
        <v>72</v>
      </c>
      <c r="G4" s="179" t="s">
        <v>74</v>
      </c>
      <c r="H4" s="180" t="s">
        <v>75</v>
      </c>
    </row>
    <row r="5" spans="2:8">
      <c r="B5" s="281" t="s">
        <v>118</v>
      </c>
      <c r="C5" s="282"/>
      <c r="D5" s="182">
        <f>'Flujo de Caja (Profesor) - 5 añ'!D6+'Flujo de Caja (Profesor) - 5 añ'!D7</f>
        <v>111254717.93098715</v>
      </c>
      <c r="E5" s="182">
        <f>'Flujo de Caja (Profesor) - 5 añ'!F6+'Flujo de Caja (Profesor) - 5 añ'!F7</f>
        <v>100287994.95999999</v>
      </c>
      <c r="F5" s="182">
        <f>'Flujo de Caja (Profesor) - 5 añ'!H6+'Flujo de Caja (Profesor) - 5 añ'!H7</f>
        <v>100840768.54000001</v>
      </c>
      <c r="G5" s="182">
        <f>'Flujo de Caja (Profesor) - 5 añ'!J6+'Flujo de Caja (Profesor) - 5 añ'!J7</f>
        <v>101393542.12</v>
      </c>
      <c r="H5" s="183">
        <f>'Flujo de Caja (Profesor) - 5 añ'!L6+'Flujo de Caja (Profesor) - 5 añ'!L7</f>
        <v>101614651.552</v>
      </c>
    </row>
    <row r="6" spans="2:8">
      <c r="B6" s="281" t="s">
        <v>282</v>
      </c>
      <c r="C6" s="282"/>
      <c r="D6" s="182">
        <f>'Flujo de Caja (Profesor) - 5 añ'!D3</f>
        <v>199937934.20591292</v>
      </c>
      <c r="E6" s="182">
        <f>'Flujo de Caja (Profesor) - 5 añ'!F3</f>
        <v>351864755.14782721</v>
      </c>
      <c r="F6" s="182">
        <f>'Flujo de Caja (Profesor) - 5 añ'!H3</f>
        <v>509221881.16382653</v>
      </c>
      <c r="G6" s="182">
        <f>'Flujo de Caja (Profesor) - 5 añ'!J3</f>
        <v>522334556.18837321</v>
      </c>
      <c r="H6" s="183">
        <f>'Flujo de Caja (Profesor) - 5 añ'!L3</f>
        <v>523090680.34961951</v>
      </c>
    </row>
    <row r="7" spans="2:8">
      <c r="B7" s="281" t="s">
        <v>283</v>
      </c>
      <c r="C7" s="282"/>
      <c r="D7" s="182">
        <f>'Flujo de Caja (Profesor) - 5 añ'!D10</f>
        <v>4285000.1176767461</v>
      </c>
      <c r="E7" s="182">
        <f>'Flujo de Caja (Profesor) - 5 añ'!F10</f>
        <v>4542100.1247373512</v>
      </c>
      <c r="F7" s="182">
        <f>'Flujo de Caja (Profesor) - 5 añ'!H10</f>
        <v>4563525.1253257347</v>
      </c>
      <c r="G7" s="182">
        <f>'Flujo de Caja (Profesor) - 5 añ'!J10</f>
        <v>4584950.1259141183</v>
      </c>
      <c r="H7" s="183">
        <f>'Flujo de Caja (Profesor) - 5 añ'!L10</f>
        <v>4593520.1261494718</v>
      </c>
    </row>
    <row r="8" spans="2:8">
      <c r="B8" s="281" t="s">
        <v>291</v>
      </c>
      <c r="C8" s="292"/>
      <c r="D8" s="182">
        <f>D5+D7</f>
        <v>115539718.0486639</v>
      </c>
      <c r="E8" s="182">
        <f t="shared" ref="E8:G8" si="0">E5+E7</f>
        <v>104830095.08473735</v>
      </c>
      <c r="F8" s="182">
        <f t="shared" si="0"/>
        <v>105404293.66532575</v>
      </c>
      <c r="G8" s="182">
        <f t="shared" si="0"/>
        <v>105978492.24591412</v>
      </c>
      <c r="H8" s="183">
        <f>H5+H7</f>
        <v>106208171.67814948</v>
      </c>
    </row>
    <row r="9" spans="2:8">
      <c r="B9" s="281" t="s">
        <v>284</v>
      </c>
      <c r="C9" s="282"/>
      <c r="D9" s="184">
        <f>D5/(D6-D7)</f>
        <v>0.56863301564807167</v>
      </c>
      <c r="E9" s="184">
        <f>E5/(E6-E7)</f>
        <v>0.28874590675155609</v>
      </c>
      <c r="F9" s="184">
        <f>F5/(F6-F7)</f>
        <v>0.19981987285732525</v>
      </c>
      <c r="G9" s="184">
        <f>G5/(G6-G7)</f>
        <v>0.19583509274127447</v>
      </c>
      <c r="H9" s="185">
        <f>H5/(H6-H7)</f>
        <v>0.19597918628561925</v>
      </c>
    </row>
    <row r="10" spans="2:8" ht="15">
      <c r="B10" s="283" t="s">
        <v>288</v>
      </c>
      <c r="C10" s="284"/>
      <c r="D10" s="284"/>
      <c r="E10" s="284"/>
      <c r="F10" s="284"/>
      <c r="G10" s="284"/>
      <c r="H10" s="285"/>
    </row>
    <row r="11" spans="2:8">
      <c r="B11" s="293"/>
      <c r="C11" s="294"/>
      <c r="D11" s="181" t="s">
        <v>70</v>
      </c>
      <c r="E11" s="181" t="s">
        <v>71</v>
      </c>
      <c r="F11" s="181" t="s">
        <v>72</v>
      </c>
      <c r="G11" s="181" t="s">
        <v>74</v>
      </c>
      <c r="H11" s="186" t="s">
        <v>75</v>
      </c>
    </row>
    <row r="12" spans="2:8">
      <c r="B12" s="281" t="s">
        <v>118</v>
      </c>
      <c r="C12" s="282"/>
      <c r="D12" s="182">
        <f>'Flujo de Caja (Profesor) - 5 añ'!D11+'Flujo de Caja (Profesor) - 5 añ'!D12</f>
        <v>79684496.075435549</v>
      </c>
      <c r="E12" s="182">
        <f>'Flujo de Caja (Profesor) - 5 añ'!F11+'Flujo de Caja (Profesor) - 5 añ'!F12</f>
        <v>242038116.78979069</v>
      </c>
      <c r="F12" s="182">
        <f>'Flujo de Caja (Profesor) - 5 añ'!H11+'Flujo de Caja (Profesor) - 5 añ'!H12</f>
        <v>398797475.62485582</v>
      </c>
      <c r="G12" s="182">
        <f>'Flujo de Caja (Profesor) - 5 añ'!J11+'Flujo de Caja (Profesor) - 5 añ'!J12</f>
        <v>411312383.46846843</v>
      </c>
      <c r="H12" s="183">
        <f>'Flujo de Caja (Profesor) - 5 añ'!L11+'Flujo de Caja (Profesor) - 5 añ'!L12</f>
        <v>411829400.75734103</v>
      </c>
    </row>
    <row r="13" spans="2:8">
      <c r="B13" s="281" t="s">
        <v>289</v>
      </c>
      <c r="C13" s="282"/>
      <c r="D13" s="187">
        <v>5000</v>
      </c>
      <c r="E13" s="187">
        <v>5000</v>
      </c>
      <c r="F13" s="187">
        <v>5000</v>
      </c>
      <c r="G13" s="187">
        <v>5000</v>
      </c>
      <c r="H13" s="188">
        <v>5000</v>
      </c>
    </row>
    <row r="14" spans="2:8">
      <c r="B14" s="281" t="s">
        <v>290</v>
      </c>
      <c r="C14" s="282"/>
      <c r="D14" s="187">
        <f>('Flujo de Caja (Profesor) - 5 añ'!D6+'Flujo de Caja (Profesor) - 5 añ'!D7)/'Tabla Crecimiento'!B9</f>
        <v>11103.815193643957</v>
      </c>
      <c r="E14" s="187">
        <f>('Flujo de Caja (Profesor) - 5 añ'!F6+'Flujo de Caja (Profesor) - 5 añ'!F7)/'Tabla Crecimiento'!B10</f>
        <v>1538.7348065271647</v>
      </c>
      <c r="F14" s="187">
        <f>('Flujo de Caja (Profesor) - 5 añ'!H6+'Flujo de Caja (Profesor) - 5 añ'!H7)/'Tabla Crecimiento'!B11</f>
        <v>1069.103340670368</v>
      </c>
      <c r="G14" s="187">
        <f>('Flujo de Caja (Profesor) - 5 añ'!J6+'Flujo de Caja (Profesor) - 5 añ'!J7)/'Tabla Crecimiento'!B12</f>
        <v>1047.9779217514779</v>
      </c>
      <c r="H14" s="188">
        <f>('Flujo de Caja (Profesor) - 5 añ'!L6+'Flujo de Caja (Profesor) - 5 añ'!L7)/'Tabla Crecimiento'!B13</f>
        <v>1048.7451040611934</v>
      </c>
    </row>
    <row r="15" spans="2:8" ht="15.75" thickBot="1">
      <c r="B15" s="290" t="s">
        <v>288</v>
      </c>
      <c r="C15" s="291"/>
      <c r="D15" s="189">
        <f>D12/D13-D14</f>
        <v>4833.0840214431519</v>
      </c>
      <c r="E15" s="189">
        <f t="shared" ref="E15:H15" si="1">E12/E13-E14</f>
        <v>46868.888551430973</v>
      </c>
      <c r="F15" s="189">
        <f t="shared" si="1"/>
        <v>78690.391784300795</v>
      </c>
      <c r="G15" s="189">
        <f t="shared" si="1"/>
        <v>81214.498771942206</v>
      </c>
      <c r="H15" s="190">
        <f t="shared" si="1"/>
        <v>81317.13504740702</v>
      </c>
    </row>
    <row r="23" spans="2:14"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</row>
    <row r="24" spans="2:14">
      <c r="B24" s="254"/>
      <c r="C24" s="255"/>
    </row>
    <row r="25" spans="2:14">
      <c r="B25" s="254"/>
      <c r="C25" s="255"/>
    </row>
    <row r="26" spans="2:14">
      <c r="B26" s="254"/>
      <c r="C26" s="255"/>
    </row>
    <row r="27" spans="2:14">
      <c r="B27" s="254"/>
      <c r="C27" s="254"/>
    </row>
    <row r="28" spans="2:14">
      <c r="B28" s="254"/>
      <c r="C28" s="255"/>
    </row>
    <row r="30" spans="2:14">
      <c r="B30" s="254"/>
      <c r="C30" s="255"/>
    </row>
    <row r="31" spans="2:14">
      <c r="B31" s="254"/>
      <c r="C31" s="255"/>
    </row>
    <row r="32" spans="2:14">
      <c r="B32" s="254"/>
      <c r="C32" s="255"/>
    </row>
  </sheetData>
  <mergeCells count="22">
    <mergeCell ref="B32:C32"/>
    <mergeCell ref="B13:C13"/>
    <mergeCell ref="B14:C14"/>
    <mergeCell ref="B15:C15"/>
    <mergeCell ref="B8:C8"/>
    <mergeCell ref="B24:C24"/>
    <mergeCell ref="B25:C25"/>
    <mergeCell ref="B10:H10"/>
    <mergeCell ref="B11:C11"/>
    <mergeCell ref="B9:C9"/>
    <mergeCell ref="B12:C12"/>
    <mergeCell ref="B26:C26"/>
    <mergeCell ref="B27:C27"/>
    <mergeCell ref="B28:C28"/>
    <mergeCell ref="B30:C30"/>
    <mergeCell ref="B31:C31"/>
    <mergeCell ref="B7:C7"/>
    <mergeCell ref="B3:H3"/>
    <mergeCell ref="B2:H2"/>
    <mergeCell ref="B5:C5"/>
    <mergeCell ref="B4:C4"/>
    <mergeCell ref="B6:C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topLeftCell="H1" zoomScaleNormal="100" workbookViewId="0">
      <selection activeCell="U11" sqref="U11:AA19"/>
    </sheetView>
  </sheetViews>
  <sheetFormatPr baseColWidth="10" defaultColWidth="14.42578125" defaultRowHeight="15.75" customHeight="1"/>
  <cols>
    <col min="1" max="1" width="30.5703125" bestFit="1" customWidth="1"/>
    <col min="2" max="2" width="9.28515625" customWidth="1"/>
    <col min="3" max="3" width="14.42578125" customWidth="1"/>
    <col min="4" max="4" width="8.5703125" customWidth="1"/>
    <col min="5" max="5" width="14.42578125" customWidth="1"/>
    <col min="6" max="6" width="9" customWidth="1"/>
    <col min="8" max="8" width="8.140625" customWidth="1"/>
    <col min="9" max="9" width="14.28515625" bestFit="1" customWidth="1"/>
    <col min="10" max="10" width="9" customWidth="1"/>
    <col min="11" max="11" width="14.28515625" bestFit="1" customWidth="1"/>
    <col min="13" max="13" width="15.28515625" customWidth="1"/>
    <col min="14" max="14" width="6.7109375" hidden="1" customWidth="1"/>
    <col min="15" max="15" width="14.28515625" hidden="1" customWidth="1"/>
    <col min="16" max="16" width="6.7109375" hidden="1" customWidth="1"/>
    <col min="17" max="17" width="14.28515625" hidden="1" customWidth="1"/>
    <col min="18" max="18" width="7" customWidth="1"/>
    <col min="19" max="19" width="14.7109375" customWidth="1"/>
    <col min="20" max="20" width="5.7109375" customWidth="1"/>
    <col min="21" max="21" width="17.7109375" customWidth="1"/>
    <col min="22" max="22" width="7.28515625" hidden="1" customWidth="1"/>
    <col min="23" max="23" width="14.7109375" hidden="1" customWidth="1"/>
    <col min="24" max="24" width="7.28515625" hidden="1" customWidth="1"/>
    <col min="25" max="25" width="14.7109375" hidden="1" customWidth="1"/>
    <col min="26" max="26" width="7.28515625" customWidth="1"/>
    <col min="27" max="27" width="14.7109375" customWidth="1"/>
  </cols>
  <sheetData>
    <row r="1" spans="1:27" ht="15.75" customHeight="1">
      <c r="A1" s="152"/>
      <c r="B1" s="275" t="s">
        <v>70</v>
      </c>
      <c r="C1" s="276"/>
      <c r="D1" s="275" t="s">
        <v>71</v>
      </c>
      <c r="E1" s="276"/>
      <c r="F1" s="275" t="s">
        <v>72</v>
      </c>
      <c r="G1" s="276"/>
      <c r="H1" s="275" t="s">
        <v>74</v>
      </c>
      <c r="I1" s="276"/>
      <c r="J1" s="284" t="s">
        <v>75</v>
      </c>
      <c r="K1" s="300"/>
      <c r="M1" s="193"/>
      <c r="N1" s="296" t="s">
        <v>70</v>
      </c>
      <c r="O1" s="299"/>
      <c r="P1" s="296" t="s">
        <v>71</v>
      </c>
      <c r="Q1" s="299"/>
      <c r="U1" s="194"/>
      <c r="V1" s="296" t="s">
        <v>70</v>
      </c>
      <c r="W1" s="296"/>
      <c r="X1" s="296" t="s">
        <v>71</v>
      </c>
      <c r="Y1" s="296"/>
    </row>
    <row r="2" spans="1:27" ht="15.75" customHeight="1">
      <c r="A2" s="30" t="s">
        <v>123</v>
      </c>
      <c r="B2" s="78">
        <f>C2/$C$2</f>
        <v>1</v>
      </c>
      <c r="C2" s="80">
        <f>SUM(C4,C8)</f>
        <v>202737934.20591292</v>
      </c>
      <c r="D2" s="78">
        <f>E2/$E$2</f>
        <v>1</v>
      </c>
      <c r="E2" s="80">
        <f>SUM(E4,E8)</f>
        <v>359214755.14782721</v>
      </c>
      <c r="F2" s="78">
        <f>G2/$G$2</f>
        <v>1</v>
      </c>
      <c r="G2" s="80">
        <f>SUM(G4,G8)</f>
        <v>528996881.16382653</v>
      </c>
      <c r="H2" s="78">
        <f>I2/$I$2</f>
        <v>1</v>
      </c>
      <c r="I2" s="80">
        <f>SUM(I4,I8)</f>
        <v>574222056.18837321</v>
      </c>
      <c r="J2" s="32">
        <f>K2/$K$2</f>
        <v>1</v>
      </c>
      <c r="K2" s="160">
        <f>SUM(K4,K8)</f>
        <v>656309430.34961951</v>
      </c>
      <c r="M2" s="308" t="s">
        <v>137</v>
      </c>
      <c r="N2" s="296"/>
      <c r="O2" s="296"/>
      <c r="P2" s="296"/>
      <c r="Q2" s="296"/>
      <c r="U2" s="195" t="s">
        <v>292</v>
      </c>
      <c r="V2" s="295"/>
      <c r="W2" s="295"/>
      <c r="X2" s="295"/>
      <c r="Y2" s="295"/>
    </row>
    <row r="3" spans="1:27" ht="22.5">
      <c r="A3" s="30" t="s">
        <v>137</v>
      </c>
      <c r="B3" s="78"/>
      <c r="C3" s="84"/>
      <c r="D3" s="78"/>
      <c r="E3" s="84"/>
      <c r="F3" s="78"/>
      <c r="G3" s="84"/>
      <c r="H3" s="78">
        <f>I3/$I$2</f>
        <v>0</v>
      </c>
      <c r="I3" s="84"/>
      <c r="J3" s="85"/>
      <c r="K3" s="161"/>
      <c r="M3" s="309" t="s">
        <v>142</v>
      </c>
      <c r="N3" s="316">
        <f>B4</f>
        <v>0.9861890671276341</v>
      </c>
      <c r="O3" s="317">
        <f>C4</f>
        <v>199937934.20591292</v>
      </c>
      <c r="P3" s="316">
        <f>D4</f>
        <v>0.97953870242057495</v>
      </c>
      <c r="Q3" s="317">
        <f>E4</f>
        <v>351864755.14782721</v>
      </c>
      <c r="U3" s="312" t="s">
        <v>251</v>
      </c>
      <c r="V3" s="322">
        <f>W3*1/O7</f>
        <v>3.5987345084564889E-3</v>
      </c>
      <c r="W3" s="323">
        <f>C11</f>
        <v>729600</v>
      </c>
      <c r="X3" s="322">
        <f>Y3/Q7</f>
        <v>2.1529627859572012E-3</v>
      </c>
      <c r="Y3" s="323">
        <f>E11</f>
        <v>773376</v>
      </c>
    </row>
    <row r="4" spans="1:27" ht="33.75">
      <c r="A4" s="39" t="s">
        <v>142</v>
      </c>
      <c r="B4" s="86">
        <f>C4/$C$2</f>
        <v>0.9861890671276341</v>
      </c>
      <c r="C4" s="87">
        <f>'Estado de resultados PyG - 5 añ'!C3</f>
        <v>199937934.20591292</v>
      </c>
      <c r="D4" s="86">
        <f>E4/$E$2</f>
        <v>0.97953870242057495</v>
      </c>
      <c r="E4" s="87">
        <f>'Estado de resultados PyG - 5 añ'!E3</f>
        <v>351864755.14782721</v>
      </c>
      <c r="F4" s="78">
        <f>G4/$G$2</f>
        <v>0.96261792705375926</v>
      </c>
      <c r="G4" s="87">
        <f>'Estado de resultados PyG - 5 añ'!G3</f>
        <v>509221881.16382653</v>
      </c>
      <c r="H4" s="78">
        <f>I4/$I$2</f>
        <v>0.90963861551326697</v>
      </c>
      <c r="I4" s="87">
        <f>'Estado de resultados PyG - 5 añ'!I3</f>
        <v>522334556.18837321</v>
      </c>
      <c r="J4" s="32">
        <f>K4/$K$2</f>
        <v>0.79701838212345411</v>
      </c>
      <c r="K4" s="162">
        <f>'Estado de resultados PyG - 5 añ'!K3</f>
        <v>523090680.34961951</v>
      </c>
      <c r="M4" s="310" t="s">
        <v>154</v>
      </c>
      <c r="N4" s="318">
        <f t="shared" ref="N4:Q6" si="0">B6</f>
        <v>1.7263666090457389E-2</v>
      </c>
      <c r="O4" s="319">
        <f t="shared" si="0"/>
        <v>3500000</v>
      </c>
      <c r="P4" s="318">
        <f t="shared" si="0"/>
        <v>2.4358687594553636E-2</v>
      </c>
      <c r="Q4" s="319">
        <f t="shared" si="0"/>
        <v>8750000</v>
      </c>
      <c r="U4" s="312" t="s">
        <v>252</v>
      </c>
      <c r="V4" s="324">
        <f>W4*1/O7</f>
        <v>0.2323771472279017</v>
      </c>
      <c r="W4" s="323">
        <f t="shared" ref="W4:W6" si="1">C12</f>
        <v>47111662.785648078</v>
      </c>
      <c r="X4" s="322">
        <f>Y4/Q7</f>
        <v>0.22909125677385642</v>
      </c>
      <c r="Y4" s="323">
        <f t="shared" ref="Y4:Y6" si="2">E12</f>
        <v>82292959.708528847</v>
      </c>
    </row>
    <row r="5" spans="1:27" ht="24">
      <c r="A5" s="30" t="s">
        <v>150</v>
      </c>
      <c r="B5" s="78"/>
      <c r="C5" s="84"/>
      <c r="D5" s="78"/>
      <c r="E5" s="84"/>
      <c r="F5" s="78"/>
      <c r="G5" s="84"/>
      <c r="H5" s="78"/>
      <c r="I5" s="84"/>
      <c r="J5" s="85"/>
      <c r="K5" s="161"/>
      <c r="M5" s="310" t="s">
        <v>155</v>
      </c>
      <c r="N5" s="318">
        <f t="shared" si="0"/>
        <v>3.452733218091478E-3</v>
      </c>
      <c r="O5" s="319">
        <f t="shared" si="0"/>
        <v>700000</v>
      </c>
      <c r="P5" s="318">
        <f t="shared" si="0"/>
        <v>3.8973900151285817E-3</v>
      </c>
      <c r="Q5" s="319">
        <f t="shared" si="0"/>
        <v>1400000</v>
      </c>
      <c r="U5" s="312" t="s">
        <v>253</v>
      </c>
      <c r="V5" s="324">
        <f>W5*1/O7</f>
        <v>0.54530849567871975</v>
      </c>
      <c r="W5" s="323">
        <f t="shared" si="1"/>
        <v>110554717.91883764</v>
      </c>
      <c r="X5" s="322">
        <f>Y5/Q7</f>
        <v>0.27723804084555675</v>
      </c>
      <c r="Y5" s="323">
        <f t="shared" si="2"/>
        <v>99587994.959999993</v>
      </c>
    </row>
    <row r="6" spans="1:27" ht="24.75" thickBot="1">
      <c r="A6" s="39" t="s">
        <v>154</v>
      </c>
      <c r="B6" s="86">
        <f>C6/$C$2</f>
        <v>1.7263666090457389E-2</v>
      </c>
      <c r="C6" s="42">
        <f>'Presupuesto Inicial'!$D$21</f>
        <v>3500000</v>
      </c>
      <c r="D6" s="86">
        <f>E6/$E$2</f>
        <v>2.4358687594553636E-2</v>
      </c>
      <c r="E6" s="42">
        <f>C6*2.5</f>
        <v>8750000</v>
      </c>
      <c r="F6" s="86">
        <f>G6/$G$2</f>
        <v>4.1351850604248591E-2</v>
      </c>
      <c r="G6" s="42">
        <f>E6*2.5</f>
        <v>21875000</v>
      </c>
      <c r="H6" s="78">
        <f>I6/$I$2</f>
        <v>9.5237546887366159E-2</v>
      </c>
      <c r="I6" s="42">
        <f>G6*2.5</f>
        <v>54687500</v>
      </c>
      <c r="J6" s="40">
        <f>K6/$K$2</f>
        <v>0.20831446826410707</v>
      </c>
      <c r="K6" s="162">
        <f>I6*2.5</f>
        <v>136718750</v>
      </c>
      <c r="M6" s="311" t="s">
        <v>156</v>
      </c>
      <c r="N6" s="320">
        <f t="shared" si="0"/>
        <v>1.3810932872365912E-2</v>
      </c>
      <c r="O6" s="321">
        <f t="shared" si="0"/>
        <v>2800000</v>
      </c>
      <c r="P6" s="320">
        <f t="shared" si="0"/>
        <v>2.0461297579425053E-2</v>
      </c>
      <c r="Q6" s="321">
        <f t="shared" si="0"/>
        <v>7350000</v>
      </c>
      <c r="U6" s="313" t="s">
        <v>254</v>
      </c>
      <c r="V6" s="325">
        <f>W6/O7</f>
        <v>1.9651576725171104E-2</v>
      </c>
      <c r="W6" s="326">
        <f t="shared" si="1"/>
        <v>3984120.0691501889</v>
      </c>
      <c r="X6" s="327">
        <f>Y6/Q7</f>
        <v>1.1756664259410072E-2</v>
      </c>
      <c r="Y6" s="326">
        <f t="shared" si="2"/>
        <v>4223167.2732992005</v>
      </c>
    </row>
    <row r="7" spans="1:27" ht="15.75" customHeight="1">
      <c r="A7" s="30" t="s">
        <v>155</v>
      </c>
      <c r="B7" s="78">
        <f>C7/$C$2</f>
        <v>3.452733218091478E-3</v>
      </c>
      <c r="C7" s="42">
        <f>('Presupuesto Inicial'!J20)*12</f>
        <v>700000</v>
      </c>
      <c r="D7" s="78">
        <f>E7/$E$2</f>
        <v>3.8973900151285817E-3</v>
      </c>
      <c r="E7" s="42">
        <f>C7+$C$7</f>
        <v>1400000</v>
      </c>
      <c r="F7" s="78">
        <f>G7/$G$2</f>
        <v>3.9697776580078651E-3</v>
      </c>
      <c r="G7" s="42">
        <f>E7+$C$7</f>
        <v>2100000</v>
      </c>
      <c r="H7" s="78">
        <f>I7/$I$2</f>
        <v>4.8761624006331472E-3</v>
      </c>
      <c r="I7" s="42">
        <f>G7+$C$7</f>
        <v>2800000</v>
      </c>
      <c r="J7" s="32">
        <f>K7/$K$2</f>
        <v>5.3328503875611413E-3</v>
      </c>
      <c r="K7" s="162">
        <f>I7+$C$7</f>
        <v>3500000</v>
      </c>
      <c r="M7" s="213" t="s">
        <v>305</v>
      </c>
      <c r="N7" s="316">
        <f>B2</f>
        <v>1</v>
      </c>
      <c r="O7" s="317">
        <f>C2</f>
        <v>202737934.20591292</v>
      </c>
      <c r="P7" s="316">
        <f>D2</f>
        <v>1</v>
      </c>
      <c r="Q7" s="317">
        <f>E2</f>
        <v>359214755.14782721</v>
      </c>
      <c r="U7" s="314" t="s">
        <v>306</v>
      </c>
      <c r="V7" s="328">
        <f>SUM(V3:V6)</f>
        <v>0.8009359541402491</v>
      </c>
      <c r="W7" s="329">
        <f>C9</f>
        <v>162380100.77363589</v>
      </c>
      <c r="X7" s="330">
        <f>SUM(X3:X6)</f>
        <v>0.52023892466478039</v>
      </c>
      <c r="Y7" s="329">
        <f>E9</f>
        <v>186877497.94182804</v>
      </c>
      <c r="Z7" s="192"/>
    </row>
    <row r="8" spans="1:27" ht="15.75" customHeight="1" thickBot="1">
      <c r="A8" s="30" t="s">
        <v>156</v>
      </c>
      <c r="B8" s="78">
        <f>C8/$C$2</f>
        <v>1.3810932872365912E-2</v>
      </c>
      <c r="C8" s="42">
        <f>C6-C7</f>
        <v>2800000</v>
      </c>
      <c r="D8" s="78">
        <f>E8/$E$2</f>
        <v>2.0461297579425053E-2</v>
      </c>
      <c r="E8" s="87">
        <f t="shared" ref="E8:K8" si="3">E6-E7</f>
        <v>7350000</v>
      </c>
      <c r="F8" s="78">
        <f>G8/$G$2</f>
        <v>3.7382072946240727E-2</v>
      </c>
      <c r="G8" s="87">
        <f t="shared" si="3"/>
        <v>19775000</v>
      </c>
      <c r="H8" s="78">
        <f>I8/$I$2</f>
        <v>9.0361384486733018E-2</v>
      </c>
      <c r="I8" s="87">
        <f t="shared" si="3"/>
        <v>51887500</v>
      </c>
      <c r="J8" s="32">
        <f>K8/$K$2</f>
        <v>0.20298161787654592</v>
      </c>
      <c r="K8" s="162">
        <f t="shared" si="3"/>
        <v>133218750</v>
      </c>
      <c r="U8" s="315" t="s">
        <v>159</v>
      </c>
      <c r="V8" s="325">
        <f>W8/O7</f>
        <v>0.19906404585975096</v>
      </c>
      <c r="W8" s="326">
        <f>C15</f>
        <v>40357833.432277024</v>
      </c>
      <c r="X8" s="325">
        <f>Y8/Q7</f>
        <v>0.4797610753352195</v>
      </c>
      <c r="Y8" s="326">
        <f>E16</f>
        <v>172337257.20599917</v>
      </c>
    </row>
    <row r="9" spans="1:27" ht="15.75" customHeight="1">
      <c r="A9" s="30" t="s">
        <v>157</v>
      </c>
      <c r="B9" s="78">
        <f>C9*B2/C2</f>
        <v>0.80093595414024898</v>
      </c>
      <c r="C9" s="58">
        <f>SUM(C11:C14)</f>
        <v>162380100.77363589</v>
      </c>
      <c r="D9" s="78">
        <f>E9/$E$9</f>
        <v>1</v>
      </c>
      <c r="E9" s="58">
        <f>SUM(E11:E14)</f>
        <v>186877497.94182804</v>
      </c>
      <c r="F9" s="78">
        <f>G9/$G$9</f>
        <v>1</v>
      </c>
      <c r="G9" s="58">
        <f>SUM(G11:G14)</f>
        <v>240748374.12609595</v>
      </c>
      <c r="H9" s="78">
        <f>I9/$I$9</f>
        <v>1</v>
      </c>
      <c r="I9" s="58">
        <f>SUM(I11:I14)</f>
        <v>245576136.97327</v>
      </c>
      <c r="J9" s="32">
        <f>K9/$K$9</f>
        <v>1</v>
      </c>
      <c r="K9" s="160">
        <f>SUM(K11:K14)</f>
        <v>245981000.52362499</v>
      </c>
      <c r="U9" s="181"/>
      <c r="V9" s="331">
        <f>V7+V8</f>
        <v>1</v>
      </c>
      <c r="W9" s="332">
        <f>W7+W8</f>
        <v>202737934.20591292</v>
      </c>
      <c r="X9" s="333">
        <f>X7+X8</f>
        <v>0.99999999999999989</v>
      </c>
      <c r="Y9" s="332">
        <f>Y7+Y8</f>
        <v>359214755.14782721</v>
      </c>
    </row>
    <row r="10" spans="1:27" ht="15.75" customHeight="1">
      <c r="A10" s="30" t="s">
        <v>158</v>
      </c>
      <c r="B10" s="78"/>
      <c r="C10" s="84"/>
      <c r="D10" s="78"/>
      <c r="E10" s="84"/>
      <c r="F10" s="78"/>
      <c r="G10" s="84"/>
      <c r="H10" s="78"/>
      <c r="I10" s="84"/>
      <c r="J10" s="85"/>
      <c r="K10" s="161"/>
    </row>
    <row r="11" spans="1:27" ht="15.75" customHeight="1">
      <c r="A11" s="39" t="s">
        <v>251</v>
      </c>
      <c r="B11" s="86">
        <f>C11/$C$2</f>
        <v>3.5987345084564889E-3</v>
      </c>
      <c r="C11" s="42">
        <f>'Flujo de caja - 5 años'!E6</f>
        <v>729600</v>
      </c>
      <c r="D11" s="86">
        <f>E11/$E$9</f>
        <v>4.1384115718455282E-3</v>
      </c>
      <c r="E11" s="42">
        <f>'Flujo de caja - 5 años'!G6</f>
        <v>773376</v>
      </c>
      <c r="F11" s="86">
        <f>G11/$G$9</f>
        <v>3.2123830651289527E-3</v>
      </c>
      <c r="G11" s="42">
        <f>'Flujo de caja - 5 años'!I6</f>
        <v>773376</v>
      </c>
      <c r="H11" s="86">
        <f>I11/$I$9</f>
        <v>3.1492310675290854E-3</v>
      </c>
      <c r="I11" s="42">
        <f>'Flujo de caja - 5 años'!K6</f>
        <v>773376</v>
      </c>
      <c r="J11" s="40">
        <f>K11/$K$9</f>
        <v>3.1440477043092681E-3</v>
      </c>
      <c r="K11" s="162">
        <f>'Flujo de caja - 5 años'!M6</f>
        <v>773376</v>
      </c>
      <c r="M11" s="193"/>
      <c r="N11" s="296" t="s">
        <v>72</v>
      </c>
      <c r="O11" s="299"/>
      <c r="P11" s="296" t="s">
        <v>74</v>
      </c>
      <c r="Q11" s="299"/>
      <c r="R11" s="296" t="s">
        <v>75</v>
      </c>
      <c r="S11" s="299"/>
      <c r="U11" s="205"/>
      <c r="V11" s="297" t="s">
        <v>72</v>
      </c>
      <c r="W11" s="297"/>
      <c r="X11" s="297" t="s">
        <v>74</v>
      </c>
      <c r="Y11" s="297"/>
      <c r="Z11" s="297" t="s">
        <v>75</v>
      </c>
      <c r="AA11" s="298"/>
    </row>
    <row r="12" spans="1:27" ht="15">
      <c r="A12" s="39" t="s">
        <v>252</v>
      </c>
      <c r="B12" s="86">
        <f t="shared" ref="B12:B14" si="4">C12/$C$2</f>
        <v>0.2323771472279017</v>
      </c>
      <c r="C12" s="42">
        <f>'Flujo de caja - 5 años'!E9</f>
        <v>47111662.785648078</v>
      </c>
      <c r="D12" s="86">
        <f>E12/$E$9</f>
        <v>0.4403577777681148</v>
      </c>
      <c r="E12" s="42">
        <f>'Flujo de caja - 5 años'!G9</f>
        <v>82292959.708528847</v>
      </c>
      <c r="F12" s="86">
        <f>G12/$G$9</f>
        <v>0.56320688438557376</v>
      </c>
      <c r="G12" s="42">
        <f>'Flujo de caja - 5 años'!I9</f>
        <v>135591141.71245098</v>
      </c>
      <c r="H12" s="86">
        <f>I12/$I$9</f>
        <v>0.56946172418414176</v>
      </c>
      <c r="I12" s="42">
        <f>'Flujo de caja - 5 años'!K9</f>
        <v>139846210.37927929</v>
      </c>
      <c r="J12" s="40">
        <f>K12/$K$9</f>
        <v>0.56923907114544692</v>
      </c>
      <c r="K12" s="162">
        <f>'Flujo de caja - 5 años'!M9</f>
        <v>140021996.25749597</v>
      </c>
      <c r="M12" s="203" t="s">
        <v>137</v>
      </c>
      <c r="N12" s="296"/>
      <c r="O12" s="296"/>
      <c r="P12" s="296"/>
      <c r="Q12" s="296"/>
      <c r="R12" s="296"/>
      <c r="S12" s="296"/>
      <c r="U12" s="195" t="s">
        <v>292</v>
      </c>
      <c r="V12" s="295"/>
      <c r="W12" s="295"/>
      <c r="X12" s="295"/>
      <c r="Y12" s="295"/>
      <c r="Z12" s="295"/>
      <c r="AA12" s="295"/>
    </row>
    <row r="13" spans="1:27" ht="22.5">
      <c r="A13" s="39" t="s">
        <v>253</v>
      </c>
      <c r="B13" s="86">
        <f t="shared" si="4"/>
        <v>0.54530849567871975</v>
      </c>
      <c r="C13" s="42">
        <f>'Flujo de caja - 5 años'!E3</f>
        <v>110554717.91883764</v>
      </c>
      <c r="D13" s="86">
        <f>E13/$E$9</f>
        <v>0.53290522431438014</v>
      </c>
      <c r="E13" s="42">
        <f>'Flujo de caja - 5 años'!G3</f>
        <v>99587994.959999993</v>
      </c>
      <c r="F13" s="86">
        <f>G13/$G$9</f>
        <v>0.41595615714334844</v>
      </c>
      <c r="G13" s="42">
        <f>'Flujo de caja - 5 años'!I3</f>
        <v>100140768.54000001</v>
      </c>
      <c r="H13" s="86">
        <f>I13/$I$9</f>
        <v>0.41002983172978286</v>
      </c>
      <c r="I13" s="42">
        <f>'Flujo de caja - 5 años'!K3</f>
        <v>100693542.12</v>
      </c>
      <c r="J13" s="40">
        <f>K13/$K$9</f>
        <v>0.41025384617991162</v>
      </c>
      <c r="K13" s="162">
        <f>'Flujo de caja - 5 años'!M3</f>
        <v>100914651.552</v>
      </c>
      <c r="M13" s="309" t="s">
        <v>142</v>
      </c>
      <c r="N13" s="334">
        <f t="shared" ref="N13:S13" si="5">F4</f>
        <v>0.96261792705375926</v>
      </c>
      <c r="O13" s="335">
        <f t="shared" si="5"/>
        <v>509221881.16382653</v>
      </c>
      <c r="P13" s="334">
        <f t="shared" si="5"/>
        <v>0.90963861551326697</v>
      </c>
      <c r="Q13" s="335">
        <f t="shared" si="5"/>
        <v>522334556.18837321</v>
      </c>
      <c r="R13" s="328">
        <f t="shared" si="5"/>
        <v>0.79701838212345411</v>
      </c>
      <c r="S13" s="329">
        <f t="shared" si="5"/>
        <v>523090680.34961951</v>
      </c>
      <c r="U13" s="312" t="s">
        <v>251</v>
      </c>
      <c r="V13" s="239">
        <f>W13/O17</f>
        <v>1.4619670314473764E-3</v>
      </c>
      <c r="W13" s="204">
        <f t="shared" ref="W13:AA16" si="6">G11</f>
        <v>773376</v>
      </c>
      <c r="X13" s="239">
        <f>Y13/$Q$17</f>
        <v>1.3468239188400219E-3</v>
      </c>
      <c r="Y13" s="204">
        <f t="shared" si="6"/>
        <v>773376</v>
      </c>
      <c r="Z13" s="239">
        <f>AA13/$S$17</f>
        <v>1.1783710003801385E-3</v>
      </c>
      <c r="AA13" s="204">
        <f t="shared" si="6"/>
        <v>773376</v>
      </c>
    </row>
    <row r="14" spans="1:27" ht="33.75">
      <c r="A14" s="39" t="s">
        <v>254</v>
      </c>
      <c r="B14" s="86">
        <f t="shared" si="4"/>
        <v>1.9651576725171104E-2</v>
      </c>
      <c r="C14" s="42">
        <f>'Flujo de caja - 5 años'!E4+'Flujo de caja - 5 años'!E5+'Flujo de caja - 5 años'!E8</f>
        <v>3984120.0691501889</v>
      </c>
      <c r="D14" s="86">
        <f>E14/$E$9</f>
        <v>2.2598586345659467E-2</v>
      </c>
      <c r="E14" s="42">
        <f>'Flujo de caja - 5 años'!G4+'Flujo de caja - 5 años'!G5+'Flujo de caja - 5 años'!G8</f>
        <v>4223167.2732992005</v>
      </c>
      <c r="F14" s="86">
        <f>G14/$G$9</f>
        <v>1.7624575405948799E-2</v>
      </c>
      <c r="G14" s="42">
        <f>'Flujo de caja - 5 años'!I4+'Flujo de caja - 5 años'!I5+'Flujo de caja - 5 años'!I8</f>
        <v>4243087.8736449508</v>
      </c>
      <c r="H14" s="86">
        <f>I14/$I$9</f>
        <v>1.7359213018546316E-2</v>
      </c>
      <c r="I14" s="42">
        <f>'Flujo de caja - 5 años'!K4+'Flujo de caja - 5 años'!K5+'Flujo de caja - 5 años'!K8</f>
        <v>4263008.4739907021</v>
      </c>
      <c r="J14" s="40">
        <f>K14/$K$9</f>
        <v>1.7363034970332196E-2</v>
      </c>
      <c r="K14" s="162">
        <f>'Flujo de caja - 5 años'!M4+'Flujo de caja - 5 años'!M5+'Flujo de caja - 5 años'!M8</f>
        <v>4270976.7141290028</v>
      </c>
      <c r="M14" s="310" t="s">
        <v>154</v>
      </c>
      <c r="N14" s="336">
        <f t="shared" ref="N14:S16" si="7">F6</f>
        <v>4.1351850604248591E-2</v>
      </c>
      <c r="O14" s="337">
        <f t="shared" si="7"/>
        <v>21875000</v>
      </c>
      <c r="P14" s="336">
        <f t="shared" si="7"/>
        <v>9.5237546887366159E-2</v>
      </c>
      <c r="Q14" s="337">
        <f t="shared" si="7"/>
        <v>54687500</v>
      </c>
      <c r="R14" s="324">
        <f t="shared" si="7"/>
        <v>0.20831446826410707</v>
      </c>
      <c r="S14" s="323">
        <f t="shared" si="7"/>
        <v>136718750</v>
      </c>
      <c r="U14" s="312" t="s">
        <v>252</v>
      </c>
      <c r="V14" s="239">
        <f>W14/O17</f>
        <v>0.25631746904469815</v>
      </c>
      <c r="W14" s="204">
        <f t="shared" si="6"/>
        <v>135591141.71245098</v>
      </c>
      <c r="X14" s="239">
        <f t="shared" ref="X14:X16" si="8">Y14/$Q$17</f>
        <v>0.24354029747231237</v>
      </c>
      <c r="Y14" s="204">
        <f t="shared" si="6"/>
        <v>139846210.37927929</v>
      </c>
      <c r="Z14" s="239">
        <f t="shared" ref="Z14:Z16" si="9">AA14/$S$17</f>
        <v>0.21334753057396344</v>
      </c>
      <c r="AA14" s="204">
        <f t="shared" si="6"/>
        <v>140021996.25749597</v>
      </c>
    </row>
    <row r="15" spans="1:27" ht="24">
      <c r="A15" s="30" t="s">
        <v>159</v>
      </c>
      <c r="B15" s="78">
        <f>C15*B8/C8</f>
        <v>0.19906404585975099</v>
      </c>
      <c r="C15" s="58">
        <f>C16</f>
        <v>40357833.432277024</v>
      </c>
      <c r="D15" s="78">
        <f>E15/$E$15</f>
        <v>1</v>
      </c>
      <c r="E15" s="58">
        <f>E16</f>
        <v>172337257.20599917</v>
      </c>
      <c r="F15" s="78">
        <f>G15/$G$15</f>
        <v>1</v>
      </c>
      <c r="G15" s="58">
        <f>G16</f>
        <v>288248507.03773057</v>
      </c>
      <c r="H15" s="78">
        <f>I15/$I$15</f>
        <v>1</v>
      </c>
      <c r="I15" s="58">
        <f>I16</f>
        <v>328645919.21510321</v>
      </c>
      <c r="J15" s="32">
        <f>K15/$K$15</f>
        <v>1</v>
      </c>
      <c r="K15" s="160">
        <f>K16</f>
        <v>410328429.82599449</v>
      </c>
      <c r="M15" s="310" t="s">
        <v>155</v>
      </c>
      <c r="N15" s="336">
        <f t="shared" si="7"/>
        <v>3.9697776580078651E-3</v>
      </c>
      <c r="O15" s="337">
        <f t="shared" si="7"/>
        <v>2100000</v>
      </c>
      <c r="P15" s="336">
        <f t="shared" si="7"/>
        <v>4.8761624006331472E-3</v>
      </c>
      <c r="Q15" s="337">
        <f t="shared" si="7"/>
        <v>2800000</v>
      </c>
      <c r="R15" s="324">
        <f t="shared" si="7"/>
        <v>5.3328503875611413E-3</v>
      </c>
      <c r="S15" s="323">
        <f t="shared" si="7"/>
        <v>3500000</v>
      </c>
      <c r="U15" s="312" t="s">
        <v>253</v>
      </c>
      <c r="V15" s="239">
        <f>W15/O17</f>
        <v>0.18930313600277565</v>
      </c>
      <c r="W15" s="204">
        <f t="shared" si="6"/>
        <v>100140768.54000001</v>
      </c>
      <c r="X15" s="239">
        <f t="shared" si="8"/>
        <v>0.17535645145432649</v>
      </c>
      <c r="Y15" s="204">
        <f t="shared" si="6"/>
        <v>100693542.12</v>
      </c>
      <c r="Z15" s="239">
        <f t="shared" si="9"/>
        <v>0.15376078246848021</v>
      </c>
      <c r="AA15" s="204">
        <f t="shared" si="6"/>
        <v>100914651.552</v>
      </c>
    </row>
    <row r="16" spans="1:27" ht="24.75" thickBot="1">
      <c r="A16" s="39" t="s">
        <v>160</v>
      </c>
      <c r="B16" s="86">
        <f>C16/$C$15</f>
        <v>1</v>
      </c>
      <c r="C16" s="41">
        <f>C2-C9</f>
        <v>40357833.432277024</v>
      </c>
      <c r="D16" s="86">
        <f>E16/$E$15</f>
        <v>1</v>
      </c>
      <c r="E16" s="41">
        <f>E2-E9</f>
        <v>172337257.20599917</v>
      </c>
      <c r="F16" s="86">
        <f>G16/$G$15</f>
        <v>1</v>
      </c>
      <c r="G16" s="41">
        <f>G2-G9</f>
        <v>288248507.03773057</v>
      </c>
      <c r="H16" s="86">
        <f>I16/$I$15</f>
        <v>1</v>
      </c>
      <c r="I16" s="41">
        <f>I2-I9</f>
        <v>328645919.21510321</v>
      </c>
      <c r="J16" s="40">
        <f>K16/$K$15</f>
        <v>1</v>
      </c>
      <c r="K16" s="163">
        <f>K2-K9</f>
        <v>410328429.82599449</v>
      </c>
      <c r="M16" s="311" t="s">
        <v>156</v>
      </c>
      <c r="N16" s="338">
        <f t="shared" si="7"/>
        <v>3.7382072946240727E-2</v>
      </c>
      <c r="O16" s="339">
        <f t="shared" si="7"/>
        <v>19775000</v>
      </c>
      <c r="P16" s="338">
        <f t="shared" si="7"/>
        <v>9.0361384486733018E-2</v>
      </c>
      <c r="Q16" s="339">
        <f t="shared" si="7"/>
        <v>51887500</v>
      </c>
      <c r="R16" s="340">
        <f t="shared" si="7"/>
        <v>0.20298161787654592</v>
      </c>
      <c r="S16" s="341">
        <f t="shared" si="7"/>
        <v>133218750</v>
      </c>
      <c r="U16" s="313" t="s">
        <v>254</v>
      </c>
      <c r="V16" s="240">
        <f>W16/O17</f>
        <v>8.0210073532189629E-3</v>
      </c>
      <c r="W16" s="211">
        <f t="shared" si="6"/>
        <v>4243087.8736449508</v>
      </c>
      <c r="X16" s="240">
        <f t="shared" si="8"/>
        <v>7.4239720123049826E-3</v>
      </c>
      <c r="Y16" s="211">
        <f t="shared" si="6"/>
        <v>4263008.4739907021</v>
      </c>
      <c r="Z16" s="240">
        <f t="shared" si="9"/>
        <v>6.5075656643449886E-3</v>
      </c>
      <c r="AA16" s="211">
        <f t="shared" si="6"/>
        <v>4270976.7141290028</v>
      </c>
    </row>
    <row r="17" spans="2:27" ht="15.75" customHeight="1">
      <c r="M17" s="213" t="s">
        <v>123</v>
      </c>
      <c r="N17" s="334">
        <f>B2</f>
        <v>1</v>
      </c>
      <c r="O17" s="335">
        <f>G2</f>
        <v>528996881.16382653</v>
      </c>
      <c r="P17" s="334">
        <f>D2</f>
        <v>1</v>
      </c>
      <c r="Q17" s="335">
        <f>I2</f>
        <v>574222056.18837321</v>
      </c>
      <c r="R17" s="328">
        <f>F2</f>
        <v>1</v>
      </c>
      <c r="S17" s="329">
        <f>K2</f>
        <v>656309430.34961951</v>
      </c>
      <c r="U17" s="206" t="s">
        <v>306</v>
      </c>
      <c r="V17" s="207">
        <f>SUM(V13:V16)</f>
        <v>0.45510357943214014</v>
      </c>
      <c r="W17" s="208">
        <f>G9</f>
        <v>240748374.12609595</v>
      </c>
      <c r="X17" s="207">
        <f>SUM(X13:X16)</f>
        <v>0.42766754485778385</v>
      </c>
      <c r="Y17" s="208">
        <f>I9</f>
        <v>245576136.97327</v>
      </c>
      <c r="Z17" s="207">
        <f>SUM(Z13:Z16)</f>
        <v>0.37479424970716879</v>
      </c>
      <c r="AA17" s="208">
        <f>K9</f>
        <v>245981000.52362499</v>
      </c>
    </row>
    <row r="18" spans="2:27" ht="15.75" customHeight="1" thickBot="1">
      <c r="B18" s="214"/>
      <c r="U18" s="212" t="s">
        <v>159</v>
      </c>
      <c r="V18" s="210">
        <f>W18/O17</f>
        <v>0.54489642056785981</v>
      </c>
      <c r="W18" s="211">
        <f>G15</f>
        <v>288248507.03773057</v>
      </c>
      <c r="X18" s="210">
        <f>Y18/Q17</f>
        <v>0.57233245514221609</v>
      </c>
      <c r="Y18" s="211">
        <f>I16</f>
        <v>328645919.21510321</v>
      </c>
      <c r="Z18" s="210">
        <f>AA18/S17</f>
        <v>0.62520575029283121</v>
      </c>
      <c r="AA18" s="211">
        <f>K15</f>
        <v>410328429.82599449</v>
      </c>
    </row>
    <row r="19" spans="2:27" ht="15.75" customHeight="1">
      <c r="U19" s="181"/>
      <c r="V19" s="184">
        <f t="shared" ref="V19:AA19" si="10">V17+V18</f>
        <v>1</v>
      </c>
      <c r="W19" s="209">
        <f t="shared" si="10"/>
        <v>528996881.16382653</v>
      </c>
      <c r="X19" s="184">
        <f t="shared" si="10"/>
        <v>1</v>
      </c>
      <c r="Y19" s="209">
        <f t="shared" si="10"/>
        <v>574222056.18837321</v>
      </c>
      <c r="Z19" s="184">
        <f t="shared" si="10"/>
        <v>1</v>
      </c>
      <c r="AA19" s="209">
        <f t="shared" si="10"/>
        <v>656309430.34961951</v>
      </c>
    </row>
  </sheetData>
  <mergeCells count="19">
    <mergeCell ref="B1:C1"/>
    <mergeCell ref="D1:E1"/>
    <mergeCell ref="F1:G1"/>
    <mergeCell ref="H1:I1"/>
    <mergeCell ref="J1:K1"/>
    <mergeCell ref="V1:W1"/>
    <mergeCell ref="X1:Y1"/>
    <mergeCell ref="N2:Q2"/>
    <mergeCell ref="N11:O11"/>
    <mergeCell ref="P11:Q11"/>
    <mergeCell ref="V11:W11"/>
    <mergeCell ref="X11:Y11"/>
    <mergeCell ref="N1:O1"/>
    <mergeCell ref="P1:Q1"/>
    <mergeCell ref="V12:AA12"/>
    <mergeCell ref="N12:S12"/>
    <mergeCell ref="Z11:AA11"/>
    <mergeCell ref="V2:Y2"/>
    <mergeCell ref="R11:S11"/>
  </mergeCells>
  <conditionalFormatting sqref="M1:Q1 A1:K16 M2:M7">
    <cfRule type="cellIs" dxfId="10" priority="13" operator="lessThan">
      <formula>0</formula>
    </cfRule>
  </conditionalFormatting>
  <conditionalFormatting sqref="R11:S11">
    <cfRule type="cellIs" dxfId="9" priority="7" operator="lessThan">
      <formula>0</formula>
    </cfRule>
  </conditionalFormatting>
  <conditionalFormatting sqref="M11:Q11 M12:M17">
    <cfRule type="cellIs" dxfId="8" priority="8" operator="lessThan">
      <formula>0</formula>
    </cfRule>
  </conditionalFormatting>
  <conditionalFormatting sqref="Z11:AA11">
    <cfRule type="cellIs" dxfId="7" priority="4" operator="lessThan">
      <formula>0</formula>
    </cfRule>
  </conditionalFormatting>
  <conditionalFormatting sqref="U3:U6 U8">
    <cfRule type="cellIs" dxfId="6" priority="3" operator="lessThan">
      <formula>0</formula>
    </cfRule>
  </conditionalFormatting>
  <conditionalFormatting sqref="U13:U16">
    <cfRule type="cellIs" dxfId="5" priority="2" operator="lessThan">
      <formula>0</formula>
    </cfRule>
  </conditionalFormatting>
  <conditionalFormatting sqref="U18">
    <cfRule type="cellIs" dxfId="4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14.42578125" defaultRowHeight="15.75" customHeight="1"/>
  <sheetData>
    <row r="1" spans="1:6" ht="15.75" customHeight="1">
      <c r="A1" s="76"/>
      <c r="B1" s="77" t="s">
        <v>124</v>
      </c>
      <c r="C1" s="77" t="s">
        <v>125</v>
      </c>
      <c r="D1" s="77" t="s">
        <v>126</v>
      </c>
      <c r="E1" s="77" t="s">
        <v>127</v>
      </c>
    </row>
    <row r="2" spans="1:6" ht="15.75" customHeight="1">
      <c r="A2" s="77" t="s">
        <v>128</v>
      </c>
      <c r="B2" s="83">
        <v>257331</v>
      </c>
      <c r="C2" s="83">
        <v>142971</v>
      </c>
      <c r="D2" s="83">
        <v>142971</v>
      </c>
      <c r="E2" s="83">
        <v>142971</v>
      </c>
    </row>
    <row r="3" spans="1:6" ht="15.75" customHeight="1">
      <c r="A3" s="77" t="s">
        <v>133</v>
      </c>
      <c r="B3" s="83">
        <v>74360</v>
      </c>
      <c r="C3" s="83">
        <v>20020</v>
      </c>
      <c r="D3" s="83">
        <v>20020</v>
      </c>
      <c r="E3" s="83">
        <v>0</v>
      </c>
    </row>
    <row r="4" spans="1:6" ht="15.75" customHeight="1">
      <c r="A4" s="77" t="s">
        <v>135</v>
      </c>
      <c r="B4" s="83">
        <f>SUM(B2:B3)*0.02</f>
        <v>6633.82</v>
      </c>
      <c r="C4" s="83">
        <f>SUM(C2:C3)*0.02</f>
        <v>3259.82</v>
      </c>
      <c r="D4" s="83">
        <f>SUM(D2:D3)*0.02</f>
        <v>3259.82</v>
      </c>
      <c r="E4" s="83">
        <f>SUM(E2:E3)*0.02</f>
        <v>2859.42</v>
      </c>
    </row>
    <row r="5" spans="1:6" ht="15.75" customHeight="1">
      <c r="A5" s="77" t="s">
        <v>138</v>
      </c>
      <c r="B5" s="83">
        <f>SUM(B2:B4)</f>
        <v>338324.82</v>
      </c>
      <c r="C5" s="83">
        <f>SUM(C2:C4)</f>
        <v>166250.82</v>
      </c>
      <c r="D5" s="83">
        <f>SUM(D2:D4)</f>
        <v>166250.82</v>
      </c>
      <c r="E5" s="83">
        <f>SUM(E2:E4)</f>
        <v>145830.42000000001</v>
      </c>
    </row>
    <row r="6" spans="1:6" ht="15.75" customHeight="1">
      <c r="A6" s="77" t="s">
        <v>140</v>
      </c>
      <c r="B6" s="83">
        <v>350000</v>
      </c>
      <c r="C6" s="83">
        <v>180000</v>
      </c>
      <c r="D6" s="83">
        <v>175000</v>
      </c>
      <c r="E6" s="83">
        <v>160000</v>
      </c>
    </row>
    <row r="7" spans="1:6" ht="15.75" customHeight="1">
      <c r="A7" s="77" t="s">
        <v>141</v>
      </c>
      <c r="B7" s="83">
        <f>((B6/B5)-1)*100</f>
        <v>3.4508789511807025</v>
      </c>
      <c r="C7" s="83">
        <f>((C6/C5)-1)*100</f>
        <v>8.2701426675669829</v>
      </c>
      <c r="D7" s="83">
        <f>((D6/D5)-1)*100</f>
        <v>5.2626387045790146</v>
      </c>
      <c r="E7" s="83">
        <f>((E6/E5)-1)*100</f>
        <v>9.7164775360312206</v>
      </c>
      <c r="F7">
        <f>SUM(B7:E7)/4</f>
        <v>6.6750344648394799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14.42578125" defaultRowHeight="15.75" customHeight="1"/>
  <cols>
    <col min="1" max="1" width="14" customWidth="1"/>
    <col min="2" max="2" width="20.5703125" customWidth="1"/>
    <col min="3" max="3" width="18.5703125" customWidth="1"/>
    <col min="4" max="4" width="18.140625" customWidth="1"/>
  </cols>
  <sheetData>
    <row r="1" spans="1:4" ht="15.75" customHeight="1">
      <c r="A1" s="15"/>
      <c r="B1" s="1" t="s">
        <v>143</v>
      </c>
      <c r="C1" s="1" t="s">
        <v>144</v>
      </c>
      <c r="D1" s="1" t="s">
        <v>145</v>
      </c>
    </row>
    <row r="2" spans="1:4" ht="15.75" customHeight="1">
      <c r="A2" s="88" t="s">
        <v>146</v>
      </c>
      <c r="B2" s="8">
        <v>1050000</v>
      </c>
      <c r="C2" s="7">
        <v>43</v>
      </c>
      <c r="D2" s="16">
        <f t="shared" ref="D2:D7" si="0">B2/C2</f>
        <v>24418.60465116279</v>
      </c>
    </row>
    <row r="3" spans="1:4" ht="15.75" customHeight="1">
      <c r="A3" s="88" t="s">
        <v>147</v>
      </c>
      <c r="B3" s="8">
        <v>2500000</v>
      </c>
      <c r="C3" s="7">
        <v>108</v>
      </c>
      <c r="D3" s="16">
        <f t="shared" si="0"/>
        <v>23148.14814814815</v>
      </c>
    </row>
    <row r="4" spans="1:4" ht="15.75" customHeight="1">
      <c r="A4" s="88" t="s">
        <v>148</v>
      </c>
      <c r="B4" s="8">
        <v>1400000</v>
      </c>
      <c r="C4" s="7">
        <v>40</v>
      </c>
      <c r="D4" s="16">
        <f t="shared" si="0"/>
        <v>35000</v>
      </c>
    </row>
    <row r="5" spans="1:4" ht="15.75" customHeight="1">
      <c r="A5" s="88" t="s">
        <v>149</v>
      </c>
      <c r="B5" s="8">
        <v>1850000</v>
      </c>
      <c r="C5" s="7">
        <v>70</v>
      </c>
      <c r="D5" s="16">
        <f t="shared" si="0"/>
        <v>26428.571428571428</v>
      </c>
    </row>
    <row r="6" spans="1:4" ht="15.75" customHeight="1">
      <c r="A6" s="88" t="s">
        <v>151</v>
      </c>
      <c r="B6" s="8">
        <v>3200000</v>
      </c>
      <c r="C6" s="7">
        <v>120</v>
      </c>
      <c r="D6" s="16">
        <f t="shared" si="0"/>
        <v>26666.666666666668</v>
      </c>
    </row>
    <row r="7" spans="1:4" ht="15.75" customHeight="1">
      <c r="A7" s="88" t="s">
        <v>152</v>
      </c>
      <c r="B7" s="8">
        <v>1700000</v>
      </c>
      <c r="C7" s="7">
        <v>90</v>
      </c>
      <c r="D7" s="16">
        <f t="shared" si="0"/>
        <v>18888.888888888891</v>
      </c>
    </row>
    <row r="8" spans="1:4" ht="15.75" customHeight="1">
      <c r="A8" s="88" t="s">
        <v>153</v>
      </c>
      <c r="B8" s="14">
        <f>AVERAGE(B2:B7)</f>
        <v>1950000</v>
      </c>
      <c r="C8" s="90">
        <f>AVERAGE(C2:C7)</f>
        <v>78.5</v>
      </c>
      <c r="D8" s="14">
        <f>AVERAGE(D2:D7)</f>
        <v>25758.479963906324</v>
      </c>
    </row>
    <row r="9" spans="1:4" ht="15.75" customHeight="1">
      <c r="A9" s="24"/>
    </row>
    <row r="10" spans="1:4" ht="15.75" customHeight="1">
      <c r="A1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Presupuesto Inicial</vt:lpstr>
      <vt:lpstr>Tabla Crecimiento</vt:lpstr>
      <vt:lpstr>Salarios, gastos y costos</vt:lpstr>
      <vt:lpstr>Estado de situacion financiera </vt:lpstr>
      <vt:lpstr>Prestamo</vt:lpstr>
      <vt:lpstr>Estado de resultados PyG - 12 m</vt:lpstr>
      <vt:lpstr>Estado de resultados PyG - 5 añ</vt:lpstr>
      <vt:lpstr>Flujo de caja - 12 meses</vt:lpstr>
      <vt:lpstr>Flujo de caja - 5 años</vt:lpstr>
      <vt:lpstr>Flujo de Caja (Profesor) - 5 añ</vt:lpstr>
      <vt:lpstr>VAN y TIR</vt:lpstr>
      <vt:lpstr>Punto de Equilibrio</vt:lpstr>
      <vt:lpstr>Balance General</vt:lpstr>
      <vt:lpstr>Calculo % Rentabilidad</vt:lpstr>
      <vt:lpstr>Análisis metros cuadrados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 santana bohorquez</dc:creator>
  <cp:lastModifiedBy>Usuario de Windows</cp:lastModifiedBy>
  <dcterms:created xsi:type="dcterms:W3CDTF">2017-04-30T17:28:42Z</dcterms:created>
  <dcterms:modified xsi:type="dcterms:W3CDTF">2017-05-07T23:06:18Z</dcterms:modified>
</cp:coreProperties>
</file>