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Abeja\Documents\Respositorios\Inclusoft\Documentos\"/>
    </mc:Choice>
  </mc:AlternateContent>
  <bookViews>
    <workbookView xWindow="0" yWindow="0" windowWidth="15360" windowHeight="7530" tabRatio="493" activeTab="2"/>
  </bookViews>
  <sheets>
    <sheet name="Demanda Dinamica" sheetId="1" r:id="rId1"/>
    <sheet name="Presupuesto de Inversion" sheetId="2" r:id="rId2"/>
    <sheet name="Analisis Financiero" sheetId="3" r:id="rId3"/>
    <sheet name="Indicadores Financieros" sheetId="4" r:id="rId4"/>
    <sheet name="Analisis Prestamo" sheetId="5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9" i="3" l="1"/>
  <c r="G159" i="3"/>
  <c r="F158" i="3"/>
  <c r="G158" i="3"/>
  <c r="F157" i="3"/>
  <c r="G157" i="3"/>
  <c r="G156" i="3"/>
  <c r="F156" i="3"/>
  <c r="F155" i="3"/>
  <c r="G155" i="3"/>
  <c r="G154" i="3"/>
  <c r="F154" i="3"/>
  <c r="G153" i="3"/>
  <c r="F153" i="3"/>
  <c r="E153" i="3"/>
  <c r="E155" i="3" s="1"/>
  <c r="E157" i="3" s="1"/>
  <c r="F147" i="3"/>
  <c r="F152" i="3" s="1"/>
  <c r="G147" i="3"/>
  <c r="G152" i="3" s="1"/>
  <c r="G149" i="3"/>
  <c r="F149" i="3"/>
  <c r="G148" i="3"/>
  <c r="F148" i="3"/>
  <c r="G145" i="3"/>
  <c r="G146" i="3" s="1"/>
  <c r="F145" i="3"/>
  <c r="F146" i="3" s="1"/>
  <c r="F150" i="3"/>
  <c r="G151" i="3"/>
  <c r="G150" i="3" s="1"/>
  <c r="F151" i="3"/>
  <c r="G106" i="2"/>
  <c r="F144" i="3"/>
  <c r="G144" i="3"/>
  <c r="F142" i="3"/>
  <c r="G142" i="3"/>
  <c r="E156" i="3"/>
  <c r="E154" i="3"/>
  <c r="E152" i="3"/>
  <c r="E147" i="3"/>
  <c r="E150" i="3"/>
  <c r="E151" i="3"/>
  <c r="E149" i="3"/>
  <c r="E148" i="3"/>
  <c r="E146" i="3"/>
  <c r="E145" i="3"/>
  <c r="E144" i="3"/>
  <c r="E143" i="3"/>
  <c r="E142" i="3"/>
  <c r="F138" i="3"/>
  <c r="G138" i="3"/>
  <c r="H138" i="3"/>
  <c r="I138" i="3"/>
  <c r="J138" i="3"/>
  <c r="K138" i="3"/>
  <c r="L138" i="3"/>
  <c r="M138" i="3"/>
  <c r="N138" i="3"/>
  <c r="O138" i="3"/>
  <c r="P138" i="3"/>
  <c r="E138" i="3"/>
  <c r="F137" i="3"/>
  <c r="G137" i="3"/>
  <c r="H137" i="3"/>
  <c r="I137" i="3"/>
  <c r="J137" i="3"/>
  <c r="K137" i="3"/>
  <c r="L137" i="3"/>
  <c r="M137" i="3"/>
  <c r="N137" i="3"/>
  <c r="O137" i="3"/>
  <c r="P137" i="3"/>
  <c r="E137" i="3"/>
  <c r="F136" i="3"/>
  <c r="G136" i="3"/>
  <c r="H136" i="3"/>
  <c r="I136" i="3"/>
  <c r="J136" i="3"/>
  <c r="K136" i="3"/>
  <c r="L136" i="3"/>
  <c r="M136" i="3"/>
  <c r="N136" i="3"/>
  <c r="O136" i="3"/>
  <c r="P136" i="3"/>
  <c r="E136" i="3"/>
  <c r="F135" i="3"/>
  <c r="G135" i="3"/>
  <c r="H135" i="3"/>
  <c r="I135" i="3"/>
  <c r="J135" i="3"/>
  <c r="K135" i="3"/>
  <c r="L135" i="3"/>
  <c r="M135" i="3"/>
  <c r="N135" i="3"/>
  <c r="O135" i="3"/>
  <c r="P135" i="3"/>
  <c r="E135" i="3"/>
  <c r="F134" i="3"/>
  <c r="G134" i="3"/>
  <c r="H134" i="3"/>
  <c r="I134" i="3"/>
  <c r="J134" i="3"/>
  <c r="K134" i="3"/>
  <c r="L134" i="3"/>
  <c r="M134" i="3"/>
  <c r="N134" i="3"/>
  <c r="O134" i="3"/>
  <c r="P134" i="3"/>
  <c r="E134" i="3"/>
  <c r="F133" i="3"/>
  <c r="G133" i="3"/>
  <c r="H133" i="3"/>
  <c r="I133" i="3"/>
  <c r="J133" i="3"/>
  <c r="K133" i="3"/>
  <c r="L133" i="3"/>
  <c r="M133" i="3"/>
  <c r="N133" i="3"/>
  <c r="O133" i="3"/>
  <c r="P133" i="3"/>
  <c r="E133" i="3"/>
  <c r="F130" i="3"/>
  <c r="G130" i="3"/>
  <c r="H130" i="3"/>
  <c r="I130" i="3"/>
  <c r="J130" i="3"/>
  <c r="K130" i="3"/>
  <c r="K129" i="3" s="1"/>
  <c r="K131" i="3" s="1"/>
  <c r="L130" i="3"/>
  <c r="L129" i="3" s="1"/>
  <c r="L131" i="3" s="1"/>
  <c r="M130" i="3"/>
  <c r="M129" i="3" s="1"/>
  <c r="M131" i="3" s="1"/>
  <c r="N130" i="3"/>
  <c r="O130" i="3"/>
  <c r="P130" i="3"/>
  <c r="F129" i="3"/>
  <c r="G129" i="3"/>
  <c r="H129" i="3"/>
  <c r="H131" i="3" s="1"/>
  <c r="I129" i="3"/>
  <c r="I131" i="3" s="1"/>
  <c r="J129" i="3"/>
  <c r="J131" i="3" s="1"/>
  <c r="N129" i="3"/>
  <c r="O129" i="3"/>
  <c r="O131" i="3" s="1"/>
  <c r="P129" i="3"/>
  <c r="F131" i="3"/>
  <c r="G131" i="3"/>
  <c r="N131" i="3"/>
  <c r="P131" i="3"/>
  <c r="F126" i="3"/>
  <c r="G126" i="3"/>
  <c r="H126" i="3"/>
  <c r="I126" i="3"/>
  <c r="J126" i="3"/>
  <c r="K126" i="3"/>
  <c r="L126" i="3"/>
  <c r="M126" i="3"/>
  <c r="N126" i="3"/>
  <c r="O126" i="3"/>
  <c r="P126" i="3"/>
  <c r="F128" i="3"/>
  <c r="G128" i="3"/>
  <c r="H128" i="3"/>
  <c r="I128" i="3"/>
  <c r="J128" i="3"/>
  <c r="K128" i="3"/>
  <c r="L128" i="3"/>
  <c r="M128" i="3"/>
  <c r="N128" i="3"/>
  <c r="O128" i="3"/>
  <c r="P128" i="3"/>
  <c r="F127" i="3"/>
  <c r="G127" i="3"/>
  <c r="H127" i="3"/>
  <c r="I127" i="3"/>
  <c r="J127" i="3"/>
  <c r="K127" i="3"/>
  <c r="L127" i="3"/>
  <c r="M127" i="3"/>
  <c r="N127" i="3"/>
  <c r="O127" i="3"/>
  <c r="P127" i="3"/>
  <c r="E131" i="3"/>
  <c r="E125" i="3"/>
  <c r="F124" i="3"/>
  <c r="G124" i="3"/>
  <c r="H124" i="3"/>
  <c r="I124" i="3"/>
  <c r="J124" i="3"/>
  <c r="K124" i="3"/>
  <c r="L124" i="3"/>
  <c r="M124" i="3"/>
  <c r="N124" i="3"/>
  <c r="O124" i="3"/>
  <c r="P124" i="3"/>
  <c r="E124" i="3"/>
  <c r="E126" i="3"/>
  <c r="E128" i="3"/>
  <c r="E127" i="3"/>
  <c r="E130" i="3"/>
  <c r="E129" i="3" s="1"/>
  <c r="F121" i="3"/>
  <c r="F123" i="3" s="1"/>
  <c r="G121" i="3"/>
  <c r="G123" i="3" s="1"/>
  <c r="H121" i="3"/>
  <c r="H123" i="3" s="1"/>
  <c r="I121" i="3"/>
  <c r="I123" i="3" s="1"/>
  <c r="J121" i="3"/>
  <c r="J123" i="3" s="1"/>
  <c r="K121" i="3"/>
  <c r="K123" i="3" s="1"/>
  <c r="L121" i="3"/>
  <c r="M121" i="3"/>
  <c r="M123" i="3" s="1"/>
  <c r="N121" i="3"/>
  <c r="N123" i="3" s="1"/>
  <c r="O121" i="3"/>
  <c r="O123" i="3" s="1"/>
  <c r="P121" i="3"/>
  <c r="P123" i="3" s="1"/>
  <c r="E121" i="3"/>
  <c r="E123" i="3" s="1"/>
  <c r="E158" i="3" l="1"/>
  <c r="E159" i="3"/>
  <c r="O125" i="3"/>
  <c r="H125" i="3"/>
  <c r="G125" i="3"/>
  <c r="N125" i="3"/>
  <c r="F125" i="3"/>
  <c r="P125" i="3"/>
  <c r="M125" i="3"/>
  <c r="K125" i="3"/>
  <c r="L123" i="3"/>
  <c r="J125" i="3"/>
  <c r="I125" i="3"/>
  <c r="E24" i="5"/>
  <c r="C2" i="5"/>
  <c r="L11" i="4"/>
  <c r="L12" i="4"/>
  <c r="L10" i="4"/>
  <c r="K12" i="4"/>
  <c r="K11" i="4"/>
  <c r="K10" i="4"/>
  <c r="L125" i="3" l="1"/>
  <c r="D125" i="2"/>
  <c r="C125" i="2"/>
  <c r="F15" i="5" l="1"/>
  <c r="D57" i="4"/>
  <c r="E57" i="4"/>
  <c r="F57" i="4"/>
  <c r="G57" i="4"/>
  <c r="H57" i="4"/>
  <c r="I57" i="4"/>
  <c r="J57" i="4"/>
  <c r="K57" i="4"/>
  <c r="L57" i="4"/>
  <c r="M57" i="4"/>
  <c r="N57" i="4"/>
  <c r="C57" i="4"/>
  <c r="H51" i="4"/>
  <c r="E40" i="4"/>
  <c r="F40" i="4"/>
  <c r="D40" i="4"/>
  <c r="E34" i="4"/>
  <c r="D34" i="4"/>
  <c r="E39" i="4" l="1"/>
  <c r="D39" i="4"/>
  <c r="D44" i="4" l="1"/>
  <c r="E44" i="4"/>
  <c r="F22" i="5" l="1"/>
  <c r="G4" i="5"/>
  <c r="E10" i="4" l="1"/>
  <c r="F10" i="4"/>
  <c r="G10" i="4"/>
  <c r="G114" i="3" l="1"/>
  <c r="H108" i="3"/>
  <c r="I108" i="3"/>
  <c r="J108" i="3"/>
  <c r="G108" i="3"/>
  <c r="G104" i="3"/>
  <c r="I96" i="3"/>
  <c r="J96" i="3"/>
  <c r="H96" i="3"/>
  <c r="I89" i="3"/>
  <c r="I90" i="3" s="1"/>
  <c r="J89" i="3"/>
  <c r="J90" i="3" s="1"/>
  <c r="H89" i="3"/>
  <c r="H90" i="3" s="1"/>
  <c r="G87" i="3"/>
  <c r="G88" i="3"/>
  <c r="G86" i="3"/>
  <c r="G85" i="3"/>
  <c r="G84" i="3"/>
  <c r="U64" i="3"/>
  <c r="V64" i="3"/>
  <c r="U63" i="3"/>
  <c r="V63" i="3"/>
  <c r="U50" i="3"/>
  <c r="V50" i="3"/>
  <c r="T50" i="3"/>
  <c r="I50" i="3"/>
  <c r="J50" i="3"/>
  <c r="K50" i="3"/>
  <c r="L50" i="3"/>
  <c r="M50" i="3"/>
  <c r="N50" i="3"/>
  <c r="O50" i="3"/>
  <c r="P50" i="3"/>
  <c r="Q50" i="3"/>
  <c r="R50" i="3"/>
  <c r="S50" i="3"/>
  <c r="H50" i="3"/>
  <c r="U49" i="3"/>
  <c r="V49" i="3"/>
  <c r="T49" i="3"/>
  <c r="I49" i="3"/>
  <c r="J49" i="3"/>
  <c r="K49" i="3"/>
  <c r="L49" i="3"/>
  <c r="M49" i="3"/>
  <c r="N49" i="3"/>
  <c r="O49" i="3"/>
  <c r="P49" i="3"/>
  <c r="Q49" i="3"/>
  <c r="R49" i="3"/>
  <c r="S49" i="3"/>
  <c r="H49" i="3"/>
  <c r="U48" i="3"/>
  <c r="V48" i="3"/>
  <c r="T48" i="3"/>
  <c r="I48" i="3"/>
  <c r="J48" i="3"/>
  <c r="K48" i="3"/>
  <c r="L48" i="3"/>
  <c r="M48" i="3"/>
  <c r="N48" i="3"/>
  <c r="O48" i="3"/>
  <c r="P48" i="3"/>
  <c r="Q48" i="3"/>
  <c r="R48" i="3"/>
  <c r="S48" i="3"/>
  <c r="H48" i="3"/>
  <c r="U47" i="3"/>
  <c r="V47" i="3"/>
  <c r="T47" i="3"/>
  <c r="I47" i="3"/>
  <c r="J47" i="3"/>
  <c r="K47" i="3"/>
  <c r="L47" i="3"/>
  <c r="M47" i="3"/>
  <c r="N47" i="3"/>
  <c r="O47" i="3"/>
  <c r="P47" i="3"/>
  <c r="Q47" i="3"/>
  <c r="R47" i="3"/>
  <c r="S47" i="3"/>
  <c r="H47" i="3"/>
  <c r="U46" i="3"/>
  <c r="V46" i="3"/>
  <c r="T46" i="3"/>
  <c r="I46" i="3"/>
  <c r="J46" i="3"/>
  <c r="K46" i="3"/>
  <c r="L46" i="3"/>
  <c r="M46" i="3"/>
  <c r="N46" i="3"/>
  <c r="O46" i="3"/>
  <c r="P46" i="3"/>
  <c r="Q46" i="3"/>
  <c r="R46" i="3"/>
  <c r="S46" i="3"/>
  <c r="H46" i="3"/>
  <c r="U45" i="3"/>
  <c r="V45" i="3"/>
  <c r="T45" i="3"/>
  <c r="H45" i="3"/>
  <c r="I45" i="3"/>
  <c r="J45" i="3"/>
  <c r="K45" i="3"/>
  <c r="L45" i="3"/>
  <c r="M45" i="3"/>
  <c r="N45" i="3"/>
  <c r="O45" i="3"/>
  <c r="P45" i="3"/>
  <c r="Q45" i="3"/>
  <c r="R45" i="3"/>
  <c r="S45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H44" i="3"/>
  <c r="I32" i="3"/>
  <c r="J32" i="3"/>
  <c r="K32" i="3"/>
  <c r="L32" i="3"/>
  <c r="M32" i="3"/>
  <c r="N32" i="3"/>
  <c r="O32" i="3"/>
  <c r="P32" i="3"/>
  <c r="Q32" i="3"/>
  <c r="R32" i="3"/>
  <c r="S32" i="3"/>
  <c r="H32" i="3"/>
  <c r="G30" i="3"/>
  <c r="G29" i="3"/>
  <c r="F8" i="3"/>
  <c r="E8" i="3"/>
  <c r="F7" i="3"/>
  <c r="G7" i="3"/>
  <c r="E7" i="3"/>
  <c r="C207" i="2"/>
  <c r="C206" i="2"/>
  <c r="F174" i="2"/>
  <c r="G174" i="2"/>
  <c r="E174" i="2"/>
  <c r="F173" i="2"/>
  <c r="G173" i="2"/>
  <c r="E173" i="2"/>
  <c r="G172" i="2"/>
  <c r="F34" i="4" s="1"/>
  <c r="F172" i="2"/>
  <c r="E172" i="2"/>
  <c r="F110" i="2"/>
  <c r="F169" i="2" s="1"/>
  <c r="G110" i="2"/>
  <c r="F170" i="2"/>
  <c r="G170" i="2"/>
  <c r="G169" i="2"/>
  <c r="E170" i="2"/>
  <c r="E169" i="2"/>
  <c r="G167" i="2"/>
  <c r="G168" i="2"/>
  <c r="F167" i="2"/>
  <c r="F168" i="2"/>
  <c r="E167" i="2"/>
  <c r="E168" i="2"/>
  <c r="F166" i="2"/>
  <c r="G166" i="2"/>
  <c r="E166" i="2"/>
  <c r="F165" i="2"/>
  <c r="G165" i="2"/>
  <c r="E165" i="2"/>
  <c r="F163" i="2"/>
  <c r="G163" i="2"/>
  <c r="E163" i="2"/>
  <c r="F162" i="2"/>
  <c r="G162" i="2"/>
  <c r="E162" i="2"/>
  <c r="G160" i="2"/>
  <c r="F160" i="2"/>
  <c r="G113" i="2"/>
  <c r="D133" i="2"/>
  <c r="F44" i="4" l="1"/>
  <c r="F39" i="4"/>
  <c r="G109" i="3"/>
  <c r="G115" i="3" s="1"/>
  <c r="G90" i="3"/>
  <c r="P52" i="3"/>
  <c r="T52" i="3"/>
  <c r="U52" i="3"/>
  <c r="V52" i="3"/>
  <c r="L52" i="3"/>
  <c r="S52" i="3"/>
  <c r="R52" i="3"/>
  <c r="J52" i="3"/>
  <c r="O52" i="3"/>
  <c r="M52" i="3"/>
  <c r="N52" i="3"/>
  <c r="H52" i="3"/>
  <c r="K52" i="3"/>
  <c r="Q52" i="3"/>
  <c r="I52" i="3"/>
  <c r="G31" i="3"/>
  <c r="G73" i="3" s="1"/>
  <c r="T32" i="3"/>
  <c r="U32" i="3" s="1"/>
  <c r="V32" i="3" s="1"/>
  <c r="E109" i="2"/>
  <c r="F109" i="2"/>
  <c r="G109" i="2"/>
  <c r="D109" i="2"/>
  <c r="D108" i="2"/>
  <c r="E107" i="2"/>
  <c r="D107" i="2"/>
  <c r="F105" i="2"/>
  <c r="G105" i="2"/>
  <c r="E105" i="2"/>
  <c r="D105" i="2"/>
  <c r="D97" i="2"/>
  <c r="E97" i="2"/>
  <c r="X41" i="1"/>
  <c r="X37" i="1"/>
  <c r="X40" i="1"/>
  <c r="X38" i="1"/>
  <c r="X34" i="1"/>
  <c r="X36" i="1"/>
  <c r="X35" i="1"/>
  <c r="W41" i="1"/>
  <c r="W40" i="1"/>
  <c r="W38" i="1"/>
  <c r="W37" i="1"/>
  <c r="W34" i="1"/>
  <c r="W35" i="1"/>
  <c r="E55" i="1"/>
  <c r="H72" i="2" l="1"/>
  <c r="H73" i="2"/>
  <c r="H70" i="2"/>
  <c r="H28" i="2"/>
  <c r="H31" i="2" s="1"/>
  <c r="F111" i="2" s="1"/>
  <c r="I28" i="2"/>
  <c r="I31" i="2" s="1"/>
  <c r="G111" i="2" s="1"/>
  <c r="G68" i="2" l="1"/>
  <c r="F68" i="2"/>
  <c r="V34" i="1" l="1"/>
  <c r="F64" i="2"/>
  <c r="G64" i="2"/>
  <c r="E64" i="2"/>
  <c r="F55" i="2"/>
  <c r="E56" i="2"/>
  <c r="E108" i="2" s="1"/>
  <c r="C46" i="2"/>
  <c r="C27" i="2"/>
  <c r="K12" i="2"/>
  <c r="L5" i="2" s="1"/>
  <c r="E7" i="2"/>
  <c r="E8" i="2" s="1"/>
  <c r="E5" i="2"/>
  <c r="V41" i="1"/>
  <c r="V40" i="1"/>
  <c r="V38" i="1"/>
  <c r="V37" i="1"/>
  <c r="H34" i="1"/>
  <c r="I34" i="1" s="1"/>
  <c r="I35" i="1"/>
  <c r="H41" i="1"/>
  <c r="I41" i="1" s="1"/>
  <c r="X42" i="1"/>
  <c r="X39" i="1"/>
  <c r="X43" i="1"/>
  <c r="U54" i="1"/>
  <c r="T54" i="1" s="1"/>
  <c r="U53" i="1"/>
  <c r="T53" i="1" s="1"/>
  <c r="U52" i="1"/>
  <c r="U51" i="1"/>
  <c r="T51" i="1" s="1"/>
  <c r="L54" i="1"/>
  <c r="L53" i="1"/>
  <c r="L52" i="1"/>
  <c r="L50" i="1"/>
  <c r="L51" i="1" s="1"/>
  <c r="F41" i="1"/>
  <c r="F40" i="1"/>
  <c r="F38" i="1"/>
  <c r="F37" i="1"/>
  <c r="F35" i="1"/>
  <c r="F34" i="1"/>
  <c r="E50" i="1"/>
  <c r="E51" i="1"/>
  <c r="E52" i="1"/>
  <c r="E53" i="1"/>
  <c r="E54" i="1"/>
  <c r="E56" i="1"/>
  <c r="E57" i="1"/>
  <c r="E58" i="1"/>
  <c r="E49" i="1"/>
  <c r="D59" i="1"/>
  <c r="H40" i="1" s="1"/>
  <c r="I40" i="1" s="1"/>
  <c r="E42" i="1"/>
  <c r="G42" i="1"/>
  <c r="J42" i="1"/>
  <c r="K42" i="1"/>
  <c r="L42" i="1"/>
  <c r="M42" i="1"/>
  <c r="N42" i="1"/>
  <c r="O42" i="1"/>
  <c r="P42" i="1"/>
  <c r="Q42" i="1"/>
  <c r="R42" i="1"/>
  <c r="S42" i="1"/>
  <c r="T42" i="1"/>
  <c r="U42" i="1"/>
  <c r="W42" i="1"/>
  <c r="D42" i="1"/>
  <c r="E39" i="1"/>
  <c r="G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E36" i="1"/>
  <c r="G36" i="1"/>
  <c r="J36" i="1"/>
  <c r="W36" i="1"/>
  <c r="D39" i="1"/>
  <c r="D36" i="1"/>
  <c r="O12" i="1"/>
  <c r="P12" i="1" s="1"/>
  <c r="Q12" i="1" s="1"/>
  <c r="O11" i="1"/>
  <c r="F56" i="2" l="1"/>
  <c r="G27" i="2"/>
  <c r="G28" i="2" s="1"/>
  <c r="J27" i="2"/>
  <c r="J28" i="2" s="1"/>
  <c r="J31" i="2" s="1"/>
  <c r="G56" i="2"/>
  <c r="G108" i="2" s="1"/>
  <c r="F108" i="2"/>
  <c r="G55" i="2"/>
  <c r="G107" i="2" s="1"/>
  <c r="F107" i="2"/>
  <c r="W43" i="1"/>
  <c r="D46" i="2"/>
  <c r="L57" i="1"/>
  <c r="C49" i="2"/>
  <c r="D49" i="2" s="1"/>
  <c r="H37" i="1"/>
  <c r="I37" i="1" s="1"/>
  <c r="C48" i="2"/>
  <c r="D48" i="2" s="1"/>
  <c r="U55" i="1"/>
  <c r="H38" i="1"/>
  <c r="I38" i="1" s="1"/>
  <c r="C47" i="2"/>
  <c r="D47" i="2" s="1"/>
  <c r="L55" i="1"/>
  <c r="L56" i="1"/>
  <c r="C36" i="2"/>
  <c r="E16" i="2"/>
  <c r="L9" i="2"/>
  <c r="L8" i="2"/>
  <c r="C20" i="2"/>
  <c r="L12" i="2"/>
  <c r="L11" i="2"/>
  <c r="L10" i="2"/>
  <c r="L7" i="2"/>
  <c r="L6" i="2"/>
  <c r="L4" i="2"/>
  <c r="V42" i="1"/>
  <c r="E66" i="2" s="1"/>
  <c r="V39" i="1"/>
  <c r="E65" i="2" s="1"/>
  <c r="J43" i="1"/>
  <c r="K36" i="1"/>
  <c r="K43" i="1" s="1"/>
  <c r="I42" i="1"/>
  <c r="I36" i="1"/>
  <c r="H36" i="1"/>
  <c r="H42" i="1"/>
  <c r="T55" i="1"/>
  <c r="F39" i="1"/>
  <c r="D43" i="1"/>
  <c r="E43" i="1"/>
  <c r="F42" i="1"/>
  <c r="E59" i="1"/>
  <c r="H51" i="1" s="1"/>
  <c r="H52" i="1" s="1"/>
  <c r="T52" i="1"/>
  <c r="P11" i="1"/>
  <c r="Q11" i="1" s="1"/>
  <c r="G43" i="1"/>
  <c r="F36" i="1"/>
  <c r="E151" i="2" l="1"/>
  <c r="F187" i="2"/>
  <c r="F188" i="2" s="1"/>
  <c r="C151" i="2"/>
  <c r="D187" i="2"/>
  <c r="D188" i="2" s="1"/>
  <c r="G131" i="2"/>
  <c r="G132" i="2"/>
  <c r="D54" i="2"/>
  <c r="E54" i="2" s="1"/>
  <c r="E112" i="2"/>
  <c r="F112" i="2" s="1"/>
  <c r="G112" i="2" s="1"/>
  <c r="D106" i="2"/>
  <c r="E106" i="2" s="1"/>
  <c r="G31" i="2"/>
  <c r="E71" i="2"/>
  <c r="F66" i="2"/>
  <c r="G66" i="2"/>
  <c r="Y50" i="1"/>
  <c r="Y51" i="1"/>
  <c r="Y53" i="1"/>
  <c r="H43" i="1"/>
  <c r="I39" i="1"/>
  <c r="G65" i="2"/>
  <c r="H39" i="1"/>
  <c r="F65" i="2"/>
  <c r="D50" i="2"/>
  <c r="F47" i="2" s="1"/>
  <c r="E60" i="2"/>
  <c r="C99" i="2" s="1"/>
  <c r="F54" i="2"/>
  <c r="G36" i="2"/>
  <c r="F36" i="2"/>
  <c r="E36" i="2"/>
  <c r="F16" i="2"/>
  <c r="F11" i="2"/>
  <c r="F15" i="2"/>
  <c r="F7" i="2"/>
  <c r="F5" i="2"/>
  <c r="C19" i="2"/>
  <c r="F8" i="2"/>
  <c r="C21" i="2"/>
  <c r="L36" i="1"/>
  <c r="L43" i="1" s="1"/>
  <c r="I43" i="1"/>
  <c r="F43" i="1"/>
  <c r="D151" i="2" l="1"/>
  <c r="E187" i="2"/>
  <c r="E188" i="2" s="1"/>
  <c r="E74" i="2"/>
  <c r="H71" i="2"/>
  <c r="F71" i="2"/>
  <c r="F74" i="2" s="1"/>
  <c r="G71" i="2"/>
  <c r="G74" i="2" s="1"/>
  <c r="E111" i="2"/>
  <c r="E110" i="2"/>
  <c r="F106" i="2"/>
  <c r="E115" i="2"/>
  <c r="C119" i="2" s="1"/>
  <c r="F60" i="2"/>
  <c r="D99" i="2" s="1"/>
  <c r="G54" i="2"/>
  <c r="G60" i="2" s="1"/>
  <c r="E99" i="2" s="1"/>
  <c r="M36" i="1"/>
  <c r="M43" i="1" s="1"/>
  <c r="G115" i="2" l="1"/>
  <c r="F115" i="2"/>
  <c r="D119" i="2" s="1"/>
  <c r="N36" i="1"/>
  <c r="N43" i="1" s="1"/>
  <c r="E119" i="2" l="1"/>
  <c r="G8" i="3"/>
  <c r="O36" i="1"/>
  <c r="O43" i="1" s="1"/>
  <c r="P36" i="1" l="1"/>
  <c r="P43" i="1" s="1"/>
  <c r="Q36" i="1" l="1"/>
  <c r="Q43" i="1" s="1"/>
  <c r="S36" i="1" l="1"/>
  <c r="S43" i="1" s="1"/>
  <c r="R36" i="1"/>
  <c r="R43" i="1" s="1"/>
  <c r="T36" i="1"/>
  <c r="T43" i="1" s="1"/>
  <c r="U36" i="1" l="1"/>
  <c r="U43" i="1" s="1"/>
  <c r="V35" i="1"/>
  <c r="V36" i="1" s="1"/>
  <c r="V43" i="1" l="1"/>
  <c r="C97" i="2" s="1"/>
  <c r="E67" i="2"/>
  <c r="G67" i="2" l="1"/>
  <c r="G69" i="2" s="1"/>
  <c r="G75" i="2" s="1"/>
  <c r="E120" i="2" s="1"/>
  <c r="E121" i="2" s="1"/>
  <c r="E124" i="2" s="1"/>
  <c r="E125" i="2" s="1"/>
  <c r="F67" i="2"/>
  <c r="F69" i="2" s="1"/>
  <c r="F75" i="2" s="1"/>
  <c r="D120" i="2" s="1"/>
  <c r="D121" i="2" s="1"/>
  <c r="D124" i="2" s="1"/>
  <c r="I131" i="2" s="1"/>
  <c r="E69" i="2"/>
  <c r="E75" i="2" s="1"/>
  <c r="C120" i="2" s="1"/>
  <c r="C121" i="2" s="1"/>
  <c r="C124" i="2" s="1"/>
  <c r="H132" i="2" l="1"/>
  <c r="H151" i="2"/>
  <c r="J131" i="2"/>
  <c r="J132" i="2"/>
  <c r="I132" i="2"/>
  <c r="E78" i="2"/>
  <c r="D83" i="2" s="1"/>
  <c r="C98" i="2"/>
  <c r="C100" i="2" s="1"/>
  <c r="G78" i="2"/>
  <c r="E98" i="2"/>
  <c r="E100" i="2" s="1"/>
  <c r="F78" i="2"/>
  <c r="D98" i="2"/>
  <c r="D100" i="2" s="1"/>
  <c r="H131" i="2" l="1"/>
  <c r="C147" i="2" s="1"/>
  <c r="C138" i="2"/>
  <c r="C143" i="2" s="1"/>
  <c r="H23" i="3" s="1"/>
  <c r="F138" i="2"/>
  <c r="F143" i="2" s="1"/>
  <c r="K23" i="3" s="1"/>
  <c r="N138" i="2"/>
  <c r="N143" i="2" s="1"/>
  <c r="S23" i="3" s="1"/>
  <c r="G138" i="2"/>
  <c r="G143" i="2" s="1"/>
  <c r="L23" i="3" s="1"/>
  <c r="H138" i="2"/>
  <c r="H143" i="2" s="1"/>
  <c r="M23" i="3" s="1"/>
  <c r="I138" i="2"/>
  <c r="I143" i="2" s="1"/>
  <c r="N23" i="3" s="1"/>
  <c r="J138" i="2"/>
  <c r="J143" i="2" s="1"/>
  <c r="O23" i="3" s="1"/>
  <c r="K138" i="2"/>
  <c r="K143" i="2" s="1"/>
  <c r="P23" i="3" s="1"/>
  <c r="D138" i="2"/>
  <c r="D143" i="2" s="1"/>
  <c r="I23" i="3" s="1"/>
  <c r="L138" i="2"/>
  <c r="L143" i="2" s="1"/>
  <c r="Q23" i="3" s="1"/>
  <c r="E138" i="2"/>
  <c r="E143" i="2" s="1"/>
  <c r="J23" i="3" s="1"/>
  <c r="M138" i="2"/>
  <c r="M143" i="2" s="1"/>
  <c r="R23" i="3" s="1"/>
  <c r="D82" i="2"/>
  <c r="G83" i="2"/>
  <c r="G82" i="2"/>
  <c r="G84" i="2"/>
  <c r="G85" i="2"/>
  <c r="N145" i="2" l="1"/>
  <c r="G137" i="2"/>
  <c r="G144" i="2" s="1"/>
  <c r="G146" i="2" s="1"/>
  <c r="N137" i="2"/>
  <c r="N147" i="2"/>
  <c r="F145" i="2"/>
  <c r="E137" i="2"/>
  <c r="J145" i="2"/>
  <c r="M145" i="2"/>
  <c r="D137" i="2"/>
  <c r="E145" i="2"/>
  <c r="K145" i="2"/>
  <c r="I145" i="2"/>
  <c r="J137" i="2"/>
  <c r="J139" i="2" s="1"/>
  <c r="I147" i="2"/>
  <c r="L147" i="2"/>
  <c r="L137" i="2"/>
  <c r="M147" i="2"/>
  <c r="C145" i="2"/>
  <c r="E147" i="2"/>
  <c r="H145" i="2"/>
  <c r="I137" i="2"/>
  <c r="I139" i="2" s="1"/>
  <c r="N57" i="3" s="1"/>
  <c r="H147" i="2"/>
  <c r="D147" i="2"/>
  <c r="F137" i="2"/>
  <c r="F144" i="2" s="1"/>
  <c r="F146" i="2" s="1"/>
  <c r="F147" i="2"/>
  <c r="M137" i="2"/>
  <c r="C137" i="2"/>
  <c r="C144" i="2" s="1"/>
  <c r="C146" i="2" s="1"/>
  <c r="J147" i="2"/>
  <c r="K137" i="2"/>
  <c r="K147" i="2"/>
  <c r="L145" i="2"/>
  <c r="G145" i="2"/>
  <c r="D145" i="2"/>
  <c r="H137" i="2"/>
  <c r="H139" i="2" s="1"/>
  <c r="M57" i="3" s="1"/>
  <c r="G147" i="2"/>
  <c r="O143" i="2"/>
  <c r="O138" i="2"/>
  <c r="P138" i="2" s="1"/>
  <c r="Q138" i="2" s="1"/>
  <c r="G86" i="2"/>
  <c r="F89" i="2" s="1"/>
  <c r="E89" i="2"/>
  <c r="D92" i="2" s="1"/>
  <c r="D93" i="2" s="1"/>
  <c r="G89" i="2"/>
  <c r="P143" i="2" l="1"/>
  <c r="T23" i="3"/>
  <c r="J196" i="2"/>
  <c r="J60" i="4" s="1"/>
  <c r="O57" i="3"/>
  <c r="L24" i="3"/>
  <c r="Q24" i="3"/>
  <c r="K24" i="3"/>
  <c r="J24" i="3"/>
  <c r="R24" i="3"/>
  <c r="O24" i="3"/>
  <c r="M24" i="3"/>
  <c r="N24" i="3"/>
  <c r="P24" i="3"/>
  <c r="I24" i="3"/>
  <c r="S24" i="3"/>
  <c r="H24" i="3"/>
  <c r="H140" i="2"/>
  <c r="H196" i="2"/>
  <c r="H60" i="4" s="1"/>
  <c r="I140" i="2"/>
  <c r="I196" i="2"/>
  <c r="I60" i="4" s="1"/>
  <c r="G139" i="2"/>
  <c r="L57" i="3" s="1"/>
  <c r="O147" i="2"/>
  <c r="P147" i="2" s="1"/>
  <c r="Q147" i="2" s="1"/>
  <c r="F139" i="2"/>
  <c r="K57" i="3" s="1"/>
  <c r="O145" i="2"/>
  <c r="I144" i="2"/>
  <c r="I146" i="2" s="1"/>
  <c r="H144" i="2"/>
  <c r="H146" i="2" s="1"/>
  <c r="C139" i="2"/>
  <c r="H57" i="3" s="1"/>
  <c r="J144" i="2"/>
  <c r="J146" i="2" s="1"/>
  <c r="D139" i="2"/>
  <c r="I57" i="3" s="1"/>
  <c r="D144" i="2"/>
  <c r="D146" i="2" s="1"/>
  <c r="J140" i="2"/>
  <c r="Q143" i="2" l="1"/>
  <c r="V23" i="3" s="1"/>
  <c r="U23" i="3"/>
  <c r="N28" i="3"/>
  <c r="S28" i="3"/>
  <c r="M28" i="3"/>
  <c r="K28" i="3"/>
  <c r="I28" i="3"/>
  <c r="O28" i="3"/>
  <c r="Q28" i="3"/>
  <c r="H80" i="3"/>
  <c r="T24" i="3"/>
  <c r="J28" i="3"/>
  <c r="P28" i="3"/>
  <c r="R28" i="3"/>
  <c r="L28" i="3"/>
  <c r="H28" i="3"/>
  <c r="J141" i="2"/>
  <c r="O68" i="3" s="1"/>
  <c r="O67" i="3"/>
  <c r="I141" i="2"/>
  <c r="N68" i="3" s="1"/>
  <c r="N67" i="3"/>
  <c r="H141" i="2"/>
  <c r="M67" i="3"/>
  <c r="P145" i="2"/>
  <c r="F140" i="2"/>
  <c r="F196" i="2"/>
  <c r="F60" i="4" s="1"/>
  <c r="D140" i="2"/>
  <c r="D196" i="2"/>
  <c r="D60" i="4" s="1"/>
  <c r="G140" i="2"/>
  <c r="G196" i="2"/>
  <c r="G60" i="4" s="1"/>
  <c r="C140" i="2"/>
  <c r="C196" i="2"/>
  <c r="C60" i="4" s="1"/>
  <c r="C61" i="4" s="1"/>
  <c r="D61" i="4" s="1"/>
  <c r="K144" i="2"/>
  <c r="K146" i="2" s="1"/>
  <c r="K139" i="2"/>
  <c r="P57" i="3" s="1"/>
  <c r="E144" i="2"/>
  <c r="E146" i="2" s="1"/>
  <c r="E139" i="2"/>
  <c r="E196" i="2" l="1"/>
  <c r="E60" i="4" s="1"/>
  <c r="E61" i="4" s="1"/>
  <c r="F61" i="4" s="1"/>
  <c r="G61" i="4" s="1"/>
  <c r="H61" i="4" s="1"/>
  <c r="I61" i="4" s="1"/>
  <c r="J61" i="4" s="1"/>
  <c r="J57" i="3"/>
  <c r="T28" i="3"/>
  <c r="I80" i="3"/>
  <c r="U24" i="3"/>
  <c r="I142" i="2"/>
  <c r="J142" i="2"/>
  <c r="H142" i="2"/>
  <c r="M68" i="3"/>
  <c r="D141" i="2"/>
  <c r="I68" i="3" s="1"/>
  <c r="I67" i="3"/>
  <c r="G141" i="2"/>
  <c r="L67" i="3"/>
  <c r="F141" i="2"/>
  <c r="K67" i="3"/>
  <c r="C141" i="2"/>
  <c r="H68" i="3" s="1"/>
  <c r="H67" i="3"/>
  <c r="Q145" i="2"/>
  <c r="K140" i="2"/>
  <c r="K196" i="2"/>
  <c r="K60" i="4" s="1"/>
  <c r="L144" i="2"/>
  <c r="L146" i="2" s="1"/>
  <c r="L139" i="2"/>
  <c r="E140" i="2"/>
  <c r="J67" i="3" s="1"/>
  <c r="K61" i="4" l="1"/>
  <c r="L196" i="2"/>
  <c r="L60" i="4" s="1"/>
  <c r="L61" i="4" s="1"/>
  <c r="Q57" i="3"/>
  <c r="U28" i="3"/>
  <c r="J80" i="3"/>
  <c r="V24" i="3"/>
  <c r="D142" i="2"/>
  <c r="F142" i="2"/>
  <c r="K68" i="3"/>
  <c r="G142" i="2"/>
  <c r="L68" i="3"/>
  <c r="C142" i="2"/>
  <c r="K141" i="2"/>
  <c r="P67" i="3"/>
  <c r="L140" i="2"/>
  <c r="M144" i="2"/>
  <c r="M146" i="2" s="1"/>
  <c r="M139" i="2"/>
  <c r="E141" i="2"/>
  <c r="J68" i="3" s="1"/>
  <c r="M196" i="2" l="1"/>
  <c r="M60" i="4" s="1"/>
  <c r="M61" i="4" s="1"/>
  <c r="R57" i="3"/>
  <c r="V28" i="3"/>
  <c r="K142" i="2"/>
  <c r="P68" i="3"/>
  <c r="L141" i="2"/>
  <c r="Q67" i="3"/>
  <c r="N144" i="2"/>
  <c r="N139" i="2"/>
  <c r="S57" i="3" s="1"/>
  <c r="M140" i="2"/>
  <c r="O137" i="2"/>
  <c r="P137" i="2" s="1"/>
  <c r="Q137" i="2" s="1"/>
  <c r="E142" i="2"/>
  <c r="L142" i="2" l="1"/>
  <c r="Q68" i="3"/>
  <c r="M141" i="2"/>
  <c r="R67" i="3"/>
  <c r="O139" i="2"/>
  <c r="N196" i="2"/>
  <c r="N60" i="4" s="1"/>
  <c r="N61" i="4" s="1"/>
  <c r="O144" i="2"/>
  <c r="P144" i="2" s="1"/>
  <c r="Q144" i="2" s="1"/>
  <c r="N146" i="2"/>
  <c r="O146" i="2" s="1"/>
  <c r="P146" i="2" s="1"/>
  <c r="Q146" i="2" s="1"/>
  <c r="N140" i="2"/>
  <c r="S67" i="3" s="1"/>
  <c r="M142" i="2" l="1"/>
  <c r="R68" i="3"/>
  <c r="O196" i="2"/>
  <c r="D35" i="4" s="1"/>
  <c r="E4" i="3"/>
  <c r="C152" i="2"/>
  <c r="P139" i="2"/>
  <c r="D190" i="2"/>
  <c r="G151" i="2"/>
  <c r="C154" i="2" s="1"/>
  <c r="N141" i="2"/>
  <c r="S68" i="3" s="1"/>
  <c r="O140" i="2"/>
  <c r="H100" i="3" s="1"/>
  <c r="E178" i="2" l="1"/>
  <c r="T57" i="3"/>
  <c r="D50" i="4"/>
  <c r="D46" i="4"/>
  <c r="T65" i="3"/>
  <c r="H98" i="3"/>
  <c r="H65" i="3"/>
  <c r="I65" i="3"/>
  <c r="Q65" i="3"/>
  <c r="S65" i="3"/>
  <c r="O65" i="3"/>
  <c r="J65" i="3"/>
  <c r="R65" i="3"/>
  <c r="K65" i="3"/>
  <c r="N65" i="3"/>
  <c r="L65" i="3"/>
  <c r="M65" i="3"/>
  <c r="P65" i="3"/>
  <c r="P140" i="2"/>
  <c r="I100" i="3" s="1"/>
  <c r="T67" i="3"/>
  <c r="C155" i="2"/>
  <c r="E6" i="3"/>
  <c r="Q139" i="2"/>
  <c r="E152" i="2" s="1"/>
  <c r="F4" i="3"/>
  <c r="E180" i="2"/>
  <c r="J151" i="2"/>
  <c r="K151" i="2" s="1"/>
  <c r="I151" i="2" s="1"/>
  <c r="D154" i="2"/>
  <c r="P196" i="2"/>
  <c r="E35" i="4" s="1"/>
  <c r="E190" i="2"/>
  <c r="D152" i="2"/>
  <c r="C153" i="2"/>
  <c r="O141" i="2"/>
  <c r="H101" i="3" s="1"/>
  <c r="N142" i="2"/>
  <c r="O142" i="2" s="1"/>
  <c r="P142" i="2" s="1"/>
  <c r="Q142" i="2" s="1"/>
  <c r="E179" i="2" l="1"/>
  <c r="J58" i="3"/>
  <c r="R58" i="3"/>
  <c r="K58" i="3"/>
  <c r="S58" i="3"/>
  <c r="I58" i="3"/>
  <c r="L58" i="3"/>
  <c r="H58" i="3"/>
  <c r="O58" i="3"/>
  <c r="P58" i="3"/>
  <c r="M58" i="3"/>
  <c r="N58" i="3"/>
  <c r="T58" i="3"/>
  <c r="Q58" i="3"/>
  <c r="G178" i="2"/>
  <c r="V57" i="3"/>
  <c r="F178" i="2"/>
  <c r="U57" i="3"/>
  <c r="E50" i="4"/>
  <c r="E46" i="4"/>
  <c r="T66" i="3"/>
  <c r="H99" i="3"/>
  <c r="U65" i="3"/>
  <c r="I98" i="3"/>
  <c r="P141" i="2"/>
  <c r="I101" i="3" s="1"/>
  <c r="T68" i="3"/>
  <c r="Q140" i="2"/>
  <c r="U67" i="3"/>
  <c r="I66" i="3"/>
  <c r="Q66" i="3"/>
  <c r="S66" i="3"/>
  <c r="M66" i="3"/>
  <c r="P66" i="3"/>
  <c r="J66" i="3"/>
  <c r="R66" i="3"/>
  <c r="K66" i="3"/>
  <c r="L66" i="3"/>
  <c r="N66" i="3"/>
  <c r="O66" i="3"/>
  <c r="E181" i="2"/>
  <c r="E182" i="2" s="1"/>
  <c r="D36" i="4" s="1"/>
  <c r="H66" i="3"/>
  <c r="F180" i="2"/>
  <c r="F6" i="3"/>
  <c r="F190" i="2"/>
  <c r="Q196" i="2"/>
  <c r="F35" i="4" s="1"/>
  <c r="G4" i="3"/>
  <c r="D155" i="2"/>
  <c r="I99" i="3" s="1"/>
  <c r="E154" i="2"/>
  <c r="J98" i="3" s="1"/>
  <c r="D153" i="2"/>
  <c r="C156" i="2"/>
  <c r="E9" i="3" s="1"/>
  <c r="E12" i="3" s="1"/>
  <c r="E13" i="3" s="1"/>
  <c r="E153" i="2"/>
  <c r="G179" i="2" l="1"/>
  <c r="V58" i="3"/>
  <c r="V61" i="3" s="1"/>
  <c r="F179" i="2"/>
  <c r="U58" i="3"/>
  <c r="U61" i="3" s="1"/>
  <c r="D45" i="4"/>
  <c r="D47" i="4" s="1"/>
  <c r="D49" i="4" s="1"/>
  <c r="D52" i="4" s="1"/>
  <c r="D37" i="4"/>
  <c r="F50" i="4"/>
  <c r="F46" i="4"/>
  <c r="D189" i="2"/>
  <c r="V67" i="3"/>
  <c r="J100" i="3"/>
  <c r="Q141" i="2"/>
  <c r="U68" i="3"/>
  <c r="F181" i="2"/>
  <c r="U66" i="3"/>
  <c r="E155" i="2"/>
  <c r="J99" i="3" s="1"/>
  <c r="V65" i="3"/>
  <c r="G6" i="3"/>
  <c r="E183" i="2"/>
  <c r="O197" i="2" s="1"/>
  <c r="O198" i="2" s="1"/>
  <c r="G180" i="2"/>
  <c r="D156" i="2"/>
  <c r="F9" i="3" s="1"/>
  <c r="D191" i="2" l="1"/>
  <c r="D192" i="2" s="1"/>
  <c r="D41" i="4"/>
  <c r="D42" i="4" s="1"/>
  <c r="F182" i="2"/>
  <c r="E36" i="4" s="1"/>
  <c r="V68" i="3"/>
  <c r="J101" i="3"/>
  <c r="G181" i="2"/>
  <c r="G182" i="2" s="1"/>
  <c r="F36" i="4" s="1"/>
  <c r="V66" i="3"/>
  <c r="E156" i="2"/>
  <c r="G9" i="3" s="1"/>
  <c r="G12" i="3" s="1"/>
  <c r="G13" i="3" s="1"/>
  <c r="E14" i="3"/>
  <c r="E15" i="3"/>
  <c r="F12" i="3"/>
  <c r="F13" i="3" s="1"/>
  <c r="J197" i="2"/>
  <c r="J198" i="2" s="1"/>
  <c r="G197" i="2"/>
  <c r="G198" i="2" s="1"/>
  <c r="I197" i="2"/>
  <c r="I198" i="2" s="1"/>
  <c r="F197" i="2"/>
  <c r="F198" i="2" s="1"/>
  <c r="L197" i="2"/>
  <c r="L198" i="2" s="1"/>
  <c r="H197" i="2"/>
  <c r="H198" i="2" s="1"/>
  <c r="D197" i="2"/>
  <c r="D198" i="2" s="1"/>
  <c r="D203" i="2" s="1"/>
  <c r="N197" i="2"/>
  <c r="N198" i="2" s="1"/>
  <c r="C197" i="2"/>
  <c r="C202" i="2" s="1"/>
  <c r="M197" i="2"/>
  <c r="M198" i="2" s="1"/>
  <c r="E197" i="2"/>
  <c r="E198" i="2" s="1"/>
  <c r="K197" i="2"/>
  <c r="K198" i="2" s="1"/>
  <c r="F183" i="2"/>
  <c r="P197" i="2" s="1"/>
  <c r="P198" i="2" s="1"/>
  <c r="E45" i="4" l="1"/>
  <c r="E47" i="4" s="1"/>
  <c r="E49" i="4" s="1"/>
  <c r="E52" i="4" s="1"/>
  <c r="E37" i="4"/>
  <c r="F45" i="4"/>
  <c r="F47" i="4" s="1"/>
  <c r="F49" i="4" s="1"/>
  <c r="F52" i="4" s="1"/>
  <c r="F37" i="4"/>
  <c r="E189" i="2"/>
  <c r="E16" i="3"/>
  <c r="H111" i="3" s="1"/>
  <c r="F189" i="2"/>
  <c r="T69" i="3"/>
  <c r="T70" i="3" s="1"/>
  <c r="H102" i="3"/>
  <c r="H104" i="3" s="1"/>
  <c r="H109" i="3" s="1"/>
  <c r="H69" i="3"/>
  <c r="H70" i="3" s="1"/>
  <c r="I69" i="3"/>
  <c r="I70" i="3" s="1"/>
  <c r="Q69" i="3"/>
  <c r="Q70" i="3" s="1"/>
  <c r="O69" i="3"/>
  <c r="O70" i="3" s="1"/>
  <c r="J69" i="3"/>
  <c r="J70" i="3" s="1"/>
  <c r="R69" i="3"/>
  <c r="R70" i="3" s="1"/>
  <c r="K69" i="3"/>
  <c r="K70" i="3" s="1"/>
  <c r="S69" i="3"/>
  <c r="S70" i="3" s="1"/>
  <c r="L69" i="3"/>
  <c r="L70" i="3" s="1"/>
  <c r="P69" i="3"/>
  <c r="P70" i="3" s="1"/>
  <c r="M69" i="3"/>
  <c r="M70" i="3" s="1"/>
  <c r="N69" i="3"/>
  <c r="N70" i="3" s="1"/>
  <c r="G183" i="2"/>
  <c r="Q197" i="2" s="1"/>
  <c r="Q198" i="2" s="1"/>
  <c r="G14" i="3"/>
  <c r="G15" i="3"/>
  <c r="F14" i="3"/>
  <c r="F15" i="3"/>
  <c r="E202" i="2"/>
  <c r="C198" i="2"/>
  <c r="C203" i="2" s="1"/>
  <c r="D202" i="2"/>
  <c r="F191" i="2" l="1"/>
  <c r="F192" i="2" s="1"/>
  <c r="F41" i="4"/>
  <c r="F42" i="4" s="1"/>
  <c r="E191" i="2"/>
  <c r="E192" i="2" s="1"/>
  <c r="E41" i="4"/>
  <c r="E42" i="4" s="1"/>
  <c r="G16" i="3"/>
  <c r="J111" i="3" s="1"/>
  <c r="F16" i="3"/>
  <c r="I111" i="3" s="1"/>
  <c r="V69" i="3"/>
  <c r="V70" i="3" s="1"/>
  <c r="J102" i="3"/>
  <c r="J104" i="3" s="1"/>
  <c r="J109" i="3" s="1"/>
  <c r="U69" i="3"/>
  <c r="U70" i="3" s="1"/>
  <c r="I102" i="3"/>
  <c r="I104" i="3" s="1"/>
  <c r="I109" i="3" s="1"/>
  <c r="E17" i="3"/>
  <c r="F202" i="2"/>
  <c r="F203" i="2"/>
  <c r="V73" i="3" l="1"/>
  <c r="V74" i="3" s="1"/>
  <c r="U73" i="3"/>
  <c r="U74" i="3" s="1"/>
  <c r="T71" i="3"/>
  <c r="H113" i="3"/>
  <c r="H114" i="3" s="1"/>
  <c r="H71" i="3"/>
  <c r="I71" i="3"/>
  <c r="Q71" i="3"/>
  <c r="N71" i="3"/>
  <c r="J71" i="3"/>
  <c r="R71" i="3"/>
  <c r="P71" i="3"/>
  <c r="K71" i="3"/>
  <c r="S71" i="3"/>
  <c r="L71" i="3"/>
  <c r="M71" i="3"/>
  <c r="O71" i="3"/>
  <c r="E18" i="3"/>
  <c r="G17" i="3"/>
  <c r="J113" i="3" s="1"/>
  <c r="J114" i="3" s="1"/>
  <c r="J115" i="3" s="1"/>
  <c r="F17" i="3"/>
  <c r="I113" i="3" s="1"/>
  <c r="I114" i="3" s="1"/>
  <c r="I115" i="3" s="1"/>
  <c r="F204" i="2"/>
  <c r="C208" i="2" s="1"/>
  <c r="C209" i="2" s="1"/>
  <c r="I79" i="3" l="1"/>
  <c r="I83" i="3" s="1"/>
  <c r="F7" i="4"/>
  <c r="F11" i="4" s="1"/>
  <c r="J79" i="3"/>
  <c r="J83" i="3" s="1"/>
  <c r="G7" i="4"/>
  <c r="G11" i="4" s="1"/>
  <c r="G22" i="3"/>
  <c r="C2" i="4"/>
  <c r="H115" i="3"/>
  <c r="G18" i="3"/>
  <c r="V71" i="3"/>
  <c r="F18" i="3"/>
  <c r="U71" i="3"/>
  <c r="D207" i="2"/>
  <c r="D209" i="2"/>
  <c r="D206" i="2"/>
  <c r="D208" i="2"/>
  <c r="J91" i="3" l="1"/>
  <c r="J116" i="3" s="1"/>
  <c r="J117" i="3" s="1"/>
  <c r="O85" i="3"/>
  <c r="I91" i="3"/>
  <c r="I116" i="3" s="1"/>
  <c r="I117" i="3" s="1"/>
  <c r="N85" i="3"/>
  <c r="D8" i="4"/>
  <c r="D9" i="4"/>
  <c r="G27" i="3" s="1"/>
  <c r="G28" i="3" s="1"/>
  <c r="G74" i="3" s="1"/>
  <c r="G79" i="3" s="1"/>
  <c r="G83" i="3" s="1"/>
  <c r="G91" i="3" l="1"/>
  <c r="G116" i="3" s="1"/>
  <c r="G117" i="3" s="1"/>
  <c r="L85" i="3"/>
  <c r="D10" i="4"/>
  <c r="D11" i="4" s="1"/>
  <c r="B15" i="4" l="1"/>
  <c r="C11" i="5" l="1"/>
  <c r="C10" i="5"/>
  <c r="G5" i="5"/>
  <c r="G6" i="5" s="1"/>
  <c r="H10" i="5" l="1"/>
  <c r="D10" i="5"/>
  <c r="D11" i="5"/>
  <c r="I59" i="3" s="1"/>
  <c r="H59" i="3" l="1"/>
  <c r="E11" i="5"/>
  <c r="G11" i="5" s="1"/>
  <c r="H11" i="5" s="1"/>
  <c r="C12" i="5" s="1"/>
  <c r="I61" i="3"/>
  <c r="D58" i="4" s="1"/>
  <c r="I73" i="3" l="1"/>
  <c r="I74" i="3" s="1"/>
  <c r="H61" i="3"/>
  <c r="C58" i="4" s="1"/>
  <c r="D12" i="5"/>
  <c r="H73" i="3" l="1"/>
  <c r="H74" i="3" s="1"/>
  <c r="C59" i="4"/>
  <c r="J59" i="3"/>
  <c r="E12" i="5"/>
  <c r="D59" i="4" l="1"/>
  <c r="J61" i="3"/>
  <c r="E58" i="4" s="1"/>
  <c r="G12" i="5"/>
  <c r="H12" i="5" s="1"/>
  <c r="C13" i="5" s="1"/>
  <c r="J73" i="3" l="1"/>
  <c r="J74" i="3" s="1"/>
  <c r="E59" i="4"/>
  <c r="D13" i="5"/>
  <c r="K59" i="3" s="1"/>
  <c r="K61" i="3" l="1"/>
  <c r="F58" i="4" s="1"/>
  <c r="E13" i="5"/>
  <c r="K73" i="3" l="1"/>
  <c r="K74" i="3" s="1"/>
  <c r="F59" i="4"/>
  <c r="G13" i="5"/>
  <c r="H13" i="5" s="1"/>
  <c r="C14" i="5" s="1"/>
  <c r="D14" i="5" l="1"/>
  <c r="E14" i="5" l="1"/>
  <c r="G14" i="5" s="1"/>
  <c r="H14" i="5" s="1"/>
  <c r="C15" i="5" s="1"/>
  <c r="L59" i="3"/>
  <c r="L61" i="3" l="1"/>
  <c r="G58" i="4" s="1"/>
  <c r="D15" i="5"/>
  <c r="L73" i="3" l="1"/>
  <c r="L74" i="3" s="1"/>
  <c r="G59" i="4"/>
  <c r="E15" i="5"/>
  <c r="G15" i="5" s="1"/>
  <c r="H15" i="5" s="1"/>
  <c r="C16" i="5" s="1"/>
  <c r="M59" i="3"/>
  <c r="M61" i="3" l="1"/>
  <c r="H58" i="4" s="1"/>
  <c r="D16" i="5"/>
  <c r="M73" i="3" l="1"/>
  <c r="M74" i="3" s="1"/>
  <c r="H59" i="4"/>
  <c r="E16" i="5"/>
  <c r="G16" i="5" s="1"/>
  <c r="H16" i="5" s="1"/>
  <c r="C17" i="5" s="1"/>
  <c r="D17" i="5" s="1"/>
  <c r="N59" i="3"/>
  <c r="N61" i="3" s="1"/>
  <c r="I58" i="4" s="1"/>
  <c r="N73" i="3" l="1"/>
  <c r="N74" i="3" s="1"/>
  <c r="I59" i="4"/>
  <c r="E17" i="5"/>
  <c r="G17" i="5" s="1"/>
  <c r="H17" i="5" s="1"/>
  <c r="C18" i="5" s="1"/>
  <c r="D18" i="5" s="1"/>
  <c r="O59" i="3"/>
  <c r="O61" i="3" s="1"/>
  <c r="J58" i="4" s="1"/>
  <c r="O73" i="3" l="1"/>
  <c r="O74" i="3" s="1"/>
  <c r="J59" i="4"/>
  <c r="E18" i="5"/>
  <c r="G18" i="5" s="1"/>
  <c r="H18" i="5" s="1"/>
  <c r="C19" i="5" s="1"/>
  <c r="D19" i="5" s="1"/>
  <c r="P59" i="3"/>
  <c r="P61" i="3" s="1"/>
  <c r="K58" i="4" s="1"/>
  <c r="P73" i="3" l="1"/>
  <c r="P74" i="3" s="1"/>
  <c r="K59" i="4"/>
  <c r="E19" i="5"/>
  <c r="G19" i="5" s="1"/>
  <c r="H19" i="5" s="1"/>
  <c r="C20" i="5" s="1"/>
  <c r="D20" i="5" s="1"/>
  <c r="Q59" i="3"/>
  <c r="Q61" i="3" s="1"/>
  <c r="L58" i="4" s="1"/>
  <c r="Q73" i="3" l="1"/>
  <c r="Q74" i="3" s="1"/>
  <c r="L59" i="4"/>
  <c r="E20" i="5"/>
  <c r="G20" i="5" s="1"/>
  <c r="H20" i="5" s="1"/>
  <c r="C21" i="5" s="1"/>
  <c r="D21" i="5" s="1"/>
  <c r="R59" i="3"/>
  <c r="R61" i="3" s="1"/>
  <c r="M58" i="4" s="1"/>
  <c r="R73" i="3" l="1"/>
  <c r="R74" i="3" s="1"/>
  <c r="M59" i="4"/>
  <c r="D22" i="5"/>
  <c r="S59" i="3"/>
  <c r="E21" i="5"/>
  <c r="S61" i="3" l="1"/>
  <c r="N58" i="4" s="1"/>
  <c r="T59" i="3"/>
  <c r="T61" i="3" s="1"/>
  <c r="G21" i="5"/>
  <c r="H21" i="5" s="1"/>
  <c r="E22" i="5"/>
  <c r="T73" i="3" l="1"/>
  <c r="T74" i="3" s="1"/>
  <c r="H79" i="3" s="1"/>
  <c r="H83" i="3" s="1"/>
  <c r="S73" i="3"/>
  <c r="S74" i="3" s="1"/>
  <c r="N59" i="4"/>
  <c r="H91" i="3" l="1"/>
  <c r="H116" i="3" s="1"/>
  <c r="H117" i="3" s="1"/>
  <c r="M85" i="3"/>
  <c r="E7" i="4"/>
  <c r="E11" i="4" s="1"/>
  <c r="C21" i="4" l="1"/>
  <c r="C24" i="4" s="1"/>
  <c r="C18" i="4"/>
  <c r="C15" i="4"/>
  <c r="D15" i="4" s="1"/>
  <c r="E15" i="4" s="1"/>
  <c r="C22" i="4" l="1"/>
  <c r="C25" i="4" s="1"/>
  <c r="C26" i="4" s="1"/>
  <c r="C27" i="4" s="1"/>
  <c r="C19" i="4" s="1"/>
</calcChain>
</file>

<file path=xl/sharedStrings.xml><?xml version="1.0" encoding="utf-8"?>
<sst xmlns="http://schemas.openxmlformats.org/spreadsheetml/2006/main" count="796" uniqueCount="528">
  <si>
    <t>INFORMACIÓN PARA TENER EN CUENTA:</t>
  </si>
  <si>
    <t>Incremento IPC</t>
  </si>
  <si>
    <t>Año 1</t>
  </si>
  <si>
    <t>Año 2</t>
  </si>
  <si>
    <t xml:space="preserve">Año 3 </t>
  </si>
  <si>
    <t>IVA</t>
  </si>
  <si>
    <t>RTE. FTE</t>
  </si>
  <si>
    <t>Pago Compras a Proveedores</t>
  </si>
  <si>
    <t>Al ordenar pedido</t>
  </si>
  <si>
    <t>Plazo a 30 días</t>
  </si>
  <si>
    <t>Incremento Participación en el Mercado</t>
  </si>
  <si>
    <t xml:space="preserve"> Año 2</t>
  </si>
  <si>
    <t xml:space="preserve"> Año 3</t>
  </si>
  <si>
    <t>Lim. Sup</t>
  </si>
  <si>
    <t>Lim. Inf</t>
  </si>
  <si>
    <t>Mes 1</t>
  </si>
  <si>
    <t xml:space="preserve">Mes 2 </t>
  </si>
  <si>
    <t xml:space="preserve">Mes 3 </t>
  </si>
  <si>
    <t>Mes 4</t>
  </si>
  <si>
    <t xml:space="preserve">Mes 5 </t>
  </si>
  <si>
    <t>Mes 6</t>
  </si>
  <si>
    <t xml:space="preserve">Mes 7 </t>
  </si>
  <si>
    <t xml:space="preserve">Mes 8 </t>
  </si>
  <si>
    <t>Mes 9</t>
  </si>
  <si>
    <t xml:space="preserve">Mes 10 </t>
  </si>
  <si>
    <t>Mes 11</t>
  </si>
  <si>
    <t xml:space="preserve">Mes 12 </t>
  </si>
  <si>
    <t xml:space="preserve">Año 1 </t>
  </si>
  <si>
    <t xml:space="preserve">Año 2 </t>
  </si>
  <si>
    <t>PROYECCIÓN DE VENTAS</t>
  </si>
  <si>
    <t>Área</t>
  </si>
  <si>
    <t xml:space="preserve">Cargo </t>
  </si>
  <si>
    <t>No.</t>
  </si>
  <si>
    <t>Mes 3</t>
  </si>
  <si>
    <t xml:space="preserve">Mes 4 </t>
  </si>
  <si>
    <t>Salario Básico Mensual</t>
  </si>
  <si>
    <t xml:space="preserve">Implícito en precios del año 1 </t>
  </si>
  <si>
    <t>Demanda Dinámica</t>
  </si>
  <si>
    <t>Total Salario Básico Mensual</t>
  </si>
  <si>
    <t>Subsidio de Transporte Mensual</t>
  </si>
  <si>
    <t>$ Total Mensual</t>
  </si>
  <si>
    <t>Mes 8</t>
  </si>
  <si>
    <t xml:space="preserve">Mes 9 </t>
  </si>
  <si>
    <t>Año 3</t>
  </si>
  <si>
    <t>Gerente General</t>
  </si>
  <si>
    <t>Auxiliar Contable</t>
  </si>
  <si>
    <t>Total Area Administrativa</t>
  </si>
  <si>
    <t>Administrativa</t>
  </si>
  <si>
    <t>PRESUPUEESTO PERSONAL</t>
  </si>
  <si>
    <t>Ingeniero en Jefe</t>
  </si>
  <si>
    <t>Ingeniería</t>
  </si>
  <si>
    <t>Total Área Ingeniería</t>
  </si>
  <si>
    <t>Agente Comercial</t>
  </si>
  <si>
    <t>Psicologo Cognitvo</t>
  </si>
  <si>
    <t>Total Área Mercado y Atencion</t>
  </si>
  <si>
    <t>Mercadeo y Atención al Cliente</t>
  </si>
  <si>
    <t>Total</t>
  </si>
  <si>
    <t>Caja Compensación Familiar</t>
  </si>
  <si>
    <t>ICBF</t>
  </si>
  <si>
    <t>SENA</t>
  </si>
  <si>
    <t>Pensión</t>
  </si>
  <si>
    <t>Salud EPS</t>
  </si>
  <si>
    <t>ARP</t>
  </si>
  <si>
    <t>Cesantía</t>
  </si>
  <si>
    <t>Intereses Cesantias</t>
  </si>
  <si>
    <t>Prima Semestral</t>
  </si>
  <si>
    <t>Vacaciones</t>
  </si>
  <si>
    <t>Total % Mensual</t>
  </si>
  <si>
    <t>Concepto</t>
  </si>
  <si>
    <t>Pagos Mensuales</t>
  </si>
  <si>
    <t>Pagos Anuales</t>
  </si>
  <si>
    <t>% Mensual</t>
  </si>
  <si>
    <t>Prestasiones SMMLV Mensual</t>
  </si>
  <si>
    <t>Valor de SMMLV para el empleador</t>
  </si>
  <si>
    <t>SMMLV</t>
  </si>
  <si>
    <t>Sub. Transporte</t>
  </si>
  <si>
    <t>Prest. Sociales</t>
  </si>
  <si>
    <t>Prestación Sociales</t>
  </si>
  <si>
    <t>Tecnico Aux</t>
  </si>
  <si>
    <t>$ Horas Laborales</t>
  </si>
  <si>
    <t>Liquidación</t>
  </si>
  <si>
    <t>$</t>
  </si>
  <si>
    <t>Hora Ordinaria (HO)</t>
  </si>
  <si>
    <t>SMMLV/(8h*30)</t>
  </si>
  <si>
    <t>Hora Nocturna (HN)</t>
  </si>
  <si>
    <t>HO*1,35</t>
  </si>
  <si>
    <t>Hora Extra Nocturna (HEN)</t>
  </si>
  <si>
    <t>Hora Extra Diurna (HED)</t>
  </si>
  <si>
    <t>HO*1,25</t>
  </si>
  <si>
    <t>HO*1,75</t>
  </si>
  <si>
    <t>Hora Diurna Dominical o Festiva</t>
  </si>
  <si>
    <t>Hora Nocturna Dominical o Festiva</t>
  </si>
  <si>
    <t>Hora Extra Diurna Dom o Festiva</t>
  </si>
  <si>
    <t>Hora Extra Noct.Dom o Festiva</t>
  </si>
  <si>
    <t>HO*2,1</t>
  </si>
  <si>
    <t>HO*2</t>
  </si>
  <si>
    <t>HO*2,5</t>
  </si>
  <si>
    <t>Truno Unico</t>
  </si>
  <si>
    <t>Horario</t>
  </si>
  <si>
    <t>Lunes-Viernes</t>
  </si>
  <si>
    <t>8 AM - 5 PM</t>
  </si>
  <si>
    <t>Secciones de Trabajo</t>
  </si>
  <si>
    <t>Puesto de Trabajo</t>
  </si>
  <si>
    <t>N Operarios</t>
  </si>
  <si>
    <t xml:space="preserve">Minutos </t>
  </si>
  <si>
    <t>Horas</t>
  </si>
  <si>
    <t>Tiempo de Uni Prod Terminado</t>
  </si>
  <si>
    <t>Cuadro Resumen Secuencia de Fabricación del Producto</t>
  </si>
  <si>
    <t>Analisis de Requerimientos</t>
  </si>
  <si>
    <t>Diseño y Arquitectura</t>
  </si>
  <si>
    <t>Desarrollo</t>
  </si>
  <si>
    <t xml:space="preserve">Pruebas </t>
  </si>
  <si>
    <t>Parquesoft y Domicilio</t>
  </si>
  <si>
    <t>Prestaciones Sociales mensuales</t>
  </si>
  <si>
    <t>Capacidad (Promedio)</t>
  </si>
  <si>
    <t>Tiempo</t>
  </si>
  <si>
    <t>No. H</t>
  </si>
  <si>
    <t>No Ud</t>
  </si>
  <si>
    <t>h</t>
  </si>
  <si>
    <t>Día</t>
  </si>
  <si>
    <t>Semana (5 días)</t>
  </si>
  <si>
    <t>Mensual (4 sem)</t>
  </si>
  <si>
    <t>%</t>
  </si>
  <si>
    <t>Computadores</t>
  </si>
  <si>
    <t>Total Muebles y Enseres Oficina</t>
  </si>
  <si>
    <t>Cantidad</t>
  </si>
  <si>
    <t>Valor Unitario</t>
  </si>
  <si>
    <t>Valor Total</t>
  </si>
  <si>
    <t>Presupuesto de Inversión en Activos Fijos de Arranque</t>
  </si>
  <si>
    <t>Oficina (Arriendo)</t>
  </si>
  <si>
    <t>Maquinas y Equipos</t>
  </si>
  <si>
    <t>Total Maquinas y Equipos</t>
  </si>
  <si>
    <t>Vehiculos</t>
  </si>
  <si>
    <t>144 m2</t>
  </si>
  <si>
    <t>Total Vehiculos</t>
  </si>
  <si>
    <t>Muebles y Enseres de Oficina</t>
  </si>
  <si>
    <t>-</t>
  </si>
  <si>
    <t>Total Inversion En Activos Fijos</t>
  </si>
  <si>
    <t>Elaboración de escritura (Notaría)</t>
  </si>
  <si>
    <t>Costos de inscripción CCBtá</t>
  </si>
  <si>
    <t>Registro mercantil (pago anticipado de 1er año.)</t>
  </si>
  <si>
    <t>Aporte a Bomberos (pago anticipado de 1er año.)</t>
  </si>
  <si>
    <t>Registro de Marca (Superintendencia de Ind. y comercio)</t>
  </si>
  <si>
    <t>Registro de Patente de Diseño de producto y/o Modelo de utilidad</t>
  </si>
  <si>
    <t>Identificación de Productos y/o servicios (GS1 Colombia)</t>
  </si>
  <si>
    <t>Otros impuestos y permisos</t>
  </si>
  <si>
    <t>Total Inversiones Intangibles o Gastos de Arranque</t>
  </si>
  <si>
    <t>Inversiones Intangibles o de G. de Arranque</t>
  </si>
  <si>
    <t>Total Costo de Arranque</t>
  </si>
  <si>
    <t>Total Inversion en Activos Fijos</t>
  </si>
  <si>
    <t>Total Inversion Intangibles</t>
  </si>
  <si>
    <t>Valor Actual</t>
  </si>
  <si>
    <t>Vida Util (años)</t>
  </si>
  <si>
    <t>Valor de Salvamento</t>
  </si>
  <si>
    <t>Valor Final a 3 Años</t>
  </si>
  <si>
    <t>Periodo Depreciado</t>
  </si>
  <si>
    <t>Maquinaria y Equipo</t>
  </si>
  <si>
    <t>Computador</t>
  </si>
  <si>
    <t>Total Depreciación Maquinaria y Equipos</t>
  </si>
  <si>
    <t xml:space="preserve">Total Depreciación </t>
  </si>
  <si>
    <t>$0</t>
  </si>
  <si>
    <t>Depreciación</t>
  </si>
  <si>
    <t>Valor Final total bienes</t>
  </si>
  <si>
    <t>Inversiones Intangibles</t>
  </si>
  <si>
    <t xml:space="preserve">Valor Actual </t>
  </si>
  <si>
    <t>Periodos (años)</t>
  </si>
  <si>
    <t>Periodo Amortizado</t>
  </si>
  <si>
    <t>Amortización</t>
  </si>
  <si>
    <t>Materia Prima</t>
  </si>
  <si>
    <t>Precio</t>
  </si>
  <si>
    <t>Total Materia</t>
  </si>
  <si>
    <t>Costos de Materias Primas por Unidad</t>
  </si>
  <si>
    <t>TOTAL</t>
  </si>
  <si>
    <t>Proceso</t>
  </si>
  <si>
    <t>Tiempo (horas)</t>
  </si>
  <si>
    <t>Costos de Mano de Obra por Unidad (primer año, hora diurno)</t>
  </si>
  <si>
    <t>Costo de produccion de unidad bruto ( sin costos administrativos)</t>
  </si>
  <si>
    <t>Mensual</t>
  </si>
  <si>
    <t>Seguros (1% de Activos Fijos)</t>
  </si>
  <si>
    <t>Gastos de Transporte</t>
  </si>
  <si>
    <t>Gastos de Papeleria</t>
  </si>
  <si>
    <t>Gastos de aseo y mantenimiento de instalaciones</t>
  </si>
  <si>
    <t>Registro Mercantil (1er Año Antici. Invers. Intang)</t>
  </si>
  <si>
    <t>Bomberos (1er Año Antici. Invers. Intang)</t>
  </si>
  <si>
    <t>Presupuesto deGastos Adicionales</t>
  </si>
  <si>
    <t>Total Gastos Adicionales</t>
  </si>
  <si>
    <t>Materiales (MP Básicas)</t>
  </si>
  <si>
    <t>Horas Extra</t>
  </si>
  <si>
    <t>Total Costos Directos</t>
  </si>
  <si>
    <t xml:space="preserve">Servicios Públicos </t>
  </si>
  <si>
    <t>Depreciación Maq. Y Equipos</t>
  </si>
  <si>
    <t>Depreciacion de Vehículo</t>
  </si>
  <si>
    <t>Depreciación Mobiliario Planta Prod</t>
  </si>
  <si>
    <t>Total Costos Indirectos</t>
  </si>
  <si>
    <t>Costos Directos</t>
  </si>
  <si>
    <t>Costos Indirectos</t>
  </si>
  <si>
    <t>Total Costos de Produccion CP</t>
  </si>
  <si>
    <t>Personal de  Mercado y Atencion</t>
  </si>
  <si>
    <t xml:space="preserve">Personal Ingenieria </t>
  </si>
  <si>
    <t>Personal Administrativo</t>
  </si>
  <si>
    <t>Presupuesto de Costos de Producción</t>
  </si>
  <si>
    <t>(Primer Año)</t>
  </si>
  <si>
    <t>Costo Bruto de Producción por Unidad = CP / No. Ud.</t>
  </si>
  <si>
    <t>Margen bruto del producto sin impuestos</t>
  </si>
  <si>
    <t>Ganancia bruta sin impuestos</t>
  </si>
  <si>
    <t>Valor fina de Venta</t>
  </si>
  <si>
    <t>Impuestos</t>
  </si>
  <si>
    <t>Rte Fuente</t>
  </si>
  <si>
    <t>Reteica</t>
  </si>
  <si>
    <t>ReteCREE</t>
  </si>
  <si>
    <t>Total Impuestos</t>
  </si>
  <si>
    <t>Costo de Unidad Total con impuesto</t>
  </si>
  <si>
    <t>Margen Total de ganancia</t>
  </si>
  <si>
    <t>Ganancia Total por Unidad</t>
  </si>
  <si>
    <t>PRESUPUESTO TOTAL DE GASTOS FIJOS</t>
  </si>
  <si>
    <t>2017: 5,5%</t>
  </si>
  <si>
    <t>2018: 6%</t>
  </si>
  <si>
    <t>2019:  6,5%</t>
  </si>
  <si>
    <t xml:space="preserve">$83.140 </t>
  </si>
  <si>
    <t>Mensual (Año 1)</t>
  </si>
  <si>
    <t>Mensual ( Año 2)</t>
  </si>
  <si>
    <t>Mensual (Año 3)</t>
  </si>
  <si>
    <t>Nomina</t>
  </si>
  <si>
    <t>Costos de Produccion</t>
  </si>
  <si>
    <t>Costos Adicionales</t>
  </si>
  <si>
    <t>TOTAL GASTOS ADICIONALES</t>
  </si>
  <si>
    <t>PRESUPUESTO DE GASTOS DE ADMINITRACION</t>
  </si>
  <si>
    <t>Personal Adminsitrativo</t>
  </si>
  <si>
    <t>Gastos transporte</t>
  </si>
  <si>
    <t>Gastos Papeleria</t>
  </si>
  <si>
    <t>Gastos de aseo y mantenimiento de Instalaciones</t>
  </si>
  <si>
    <t>Depreciacion de Muebles y enseres</t>
  </si>
  <si>
    <t xml:space="preserve">Amortización de Intangibles </t>
  </si>
  <si>
    <t>Amortización gastos de arranque</t>
  </si>
  <si>
    <t>Registro Mercantil (1er año anticip. Inves. Intang)</t>
  </si>
  <si>
    <t>Bomberos (1er año anticip. Inves. Intang))</t>
  </si>
  <si>
    <t xml:space="preserve">Mensual </t>
  </si>
  <si>
    <t>Total Gastos Adminsitracion</t>
  </si>
  <si>
    <t>COSTOS DE OPERACIÓN</t>
  </si>
  <si>
    <t>Costos de administración</t>
  </si>
  <si>
    <t>Costos de producción</t>
  </si>
  <si>
    <t>(Año 1)</t>
  </si>
  <si>
    <t>(Año 2)</t>
  </si>
  <si>
    <t>(Año 3)</t>
  </si>
  <si>
    <t>Total costos de Operación</t>
  </si>
  <si>
    <t>(Año 1 )</t>
  </si>
  <si>
    <t xml:space="preserve">(Año 2) </t>
  </si>
  <si>
    <t>Costo Unitario</t>
  </si>
  <si>
    <t>Precio de Venta</t>
  </si>
  <si>
    <t>Clientes</t>
  </si>
  <si>
    <t>Mayoristas</t>
  </si>
  <si>
    <t>Intermediarios</t>
  </si>
  <si>
    <t>Al Detal</t>
  </si>
  <si>
    <t>T1</t>
  </si>
  <si>
    <t>T2</t>
  </si>
  <si>
    <t>T3</t>
  </si>
  <si>
    <t>% de Ventas</t>
  </si>
  <si>
    <t>con</t>
  </si>
  <si>
    <t>Capacidad</t>
  </si>
  <si>
    <t>Rango de  Unidades de Producto/Clientes (Anual)</t>
  </si>
  <si>
    <t>$ Venta/Ud o cliente Año 1</t>
  </si>
  <si>
    <t>$ Venta/Ud o cliente Año 2</t>
  </si>
  <si>
    <t>$ Venta/Ud o cliente Año 3</t>
  </si>
  <si>
    <t>Forma de pago</t>
  </si>
  <si>
    <t>PROYECCION DE PRECIOS DE VENTA POR PRODUCTO/SERVICIO</t>
  </si>
  <si>
    <t xml:space="preserve">Mes 1 </t>
  </si>
  <si>
    <t xml:space="preserve">mes 2 </t>
  </si>
  <si>
    <t xml:space="preserve"> Me 3</t>
  </si>
  <si>
    <t>Mes 5</t>
  </si>
  <si>
    <t>Mes 7</t>
  </si>
  <si>
    <t>Mes 12</t>
  </si>
  <si>
    <t>RETEIVA</t>
  </si>
  <si>
    <t xml:space="preserve">Ventas a Intermediarios </t>
  </si>
  <si>
    <t>Ventas a Detal</t>
  </si>
  <si>
    <t>Total Ventas Brutas ($)</t>
  </si>
  <si>
    <t>Retefuente (No aplica al detal)</t>
  </si>
  <si>
    <t>Ventas Netas</t>
  </si>
  <si>
    <t>Valor de Ventas de contado</t>
  </si>
  <si>
    <t>Recuperacion de Cartera</t>
  </si>
  <si>
    <t>Ingresos Efectivos</t>
  </si>
  <si>
    <t>Cuentas por Cobrar</t>
  </si>
  <si>
    <t>Ventas a Plazos</t>
  </si>
  <si>
    <t>PRESUPUESTO DE INGRESO</t>
  </si>
  <si>
    <t>GASTOS DE VENTA</t>
  </si>
  <si>
    <t>Empaque y embalaje del producto</t>
  </si>
  <si>
    <t>Comisiones de Venta (% de ventas Brutas)</t>
  </si>
  <si>
    <t>Gastos de publicidad (% de Ventas de Brutas)</t>
  </si>
  <si>
    <t>Imp. Industria y Com ( 11*1.000 de Ventas Brutas)</t>
  </si>
  <si>
    <t>Imp. Avisos y Tableros (15% Industria y Comercio)</t>
  </si>
  <si>
    <t>Total Gastos de Ventas</t>
  </si>
  <si>
    <t>V. Brutas</t>
  </si>
  <si>
    <t xml:space="preserve">Costos </t>
  </si>
  <si>
    <t xml:space="preserve">Utilidad </t>
  </si>
  <si>
    <t xml:space="preserve">Comisiones </t>
  </si>
  <si>
    <t>Publicidad</t>
  </si>
  <si>
    <t>Costos Fijos</t>
  </si>
  <si>
    <t>Registro Mercantil (pago ant año 1)</t>
  </si>
  <si>
    <t>No aplica Año 1</t>
  </si>
  <si>
    <t>Bomberos ( pago anticipado año 1)</t>
  </si>
  <si>
    <t>Personal de Planta</t>
  </si>
  <si>
    <t>Asesoría Contable</t>
  </si>
  <si>
    <t>Servicios Públicos</t>
  </si>
  <si>
    <t>Seguros</t>
  </si>
  <si>
    <t>Gasto Transporte</t>
  </si>
  <si>
    <t>Gastos Papelería</t>
  </si>
  <si>
    <t>Gastos aseo y mto Instalaciones</t>
  </si>
  <si>
    <t>Amortización de Intangibles</t>
  </si>
  <si>
    <t>Total Costos Fijos</t>
  </si>
  <si>
    <t>Costos Variables</t>
  </si>
  <si>
    <t>Aditivos/suministros</t>
  </si>
  <si>
    <t>Horas Extras y Festivas</t>
  </si>
  <si>
    <t>Personal Temporal</t>
  </si>
  <si>
    <t>Comisiones por Ventas</t>
  </si>
  <si>
    <t>Gastos de Publicidad</t>
  </si>
  <si>
    <t>Industria y Comercio</t>
  </si>
  <si>
    <t>Avisos y Tableros</t>
  </si>
  <si>
    <t>Total Costos Variables</t>
  </si>
  <si>
    <t>Costo Total</t>
  </si>
  <si>
    <t xml:space="preserve">CLASIFICACIÓN DE COSTOS </t>
  </si>
  <si>
    <t>Impuestos Locales ( Valor 2 % Bodega)</t>
  </si>
  <si>
    <t>Calculo</t>
  </si>
  <si>
    <t>INDICADORES DE COSTOS</t>
  </si>
  <si>
    <t>No. Unidades a Producir o Clientes</t>
  </si>
  <si>
    <t>Demanda unidades</t>
  </si>
  <si>
    <t>Costo Promedio del Producto o Servicio</t>
  </si>
  <si>
    <t>Costo total/ No. ud</t>
  </si>
  <si>
    <t>Costo Variable Unitario</t>
  </si>
  <si>
    <t>Costo variable/ No ud</t>
  </si>
  <si>
    <t>Precio Promedio Unitario (sin IVA)</t>
  </si>
  <si>
    <t>Ventas brutas/No ud</t>
  </si>
  <si>
    <t>Margen Unitario Promedio</t>
  </si>
  <si>
    <t>Precio Prom unit-cost var U</t>
  </si>
  <si>
    <t>Punto de Equilibrio (Ud. a Producir)</t>
  </si>
  <si>
    <t>Costos fijos/ Margen U prom</t>
  </si>
  <si>
    <t>Mes 2</t>
  </si>
  <si>
    <t>Mes 10</t>
  </si>
  <si>
    <t>INGRESO VS EGRESOS</t>
  </si>
  <si>
    <t>Ingresos</t>
  </si>
  <si>
    <t>Egresos</t>
  </si>
  <si>
    <t>Saldo</t>
  </si>
  <si>
    <t>INVERSION EN CAPITAL DE TRABAJO</t>
  </si>
  <si>
    <t>Egresos de los primeros meses</t>
  </si>
  <si>
    <t>Colchon de Efectivo (% Egresos)</t>
  </si>
  <si>
    <t>INVERSION TOTAL</t>
  </si>
  <si>
    <t xml:space="preserve">Activos Fijos </t>
  </si>
  <si>
    <t>Intangibles o Gastos de Aranque</t>
  </si>
  <si>
    <t>Capital de Trabajo</t>
  </si>
  <si>
    <t>Ventas Brutas</t>
  </si>
  <si>
    <t>Otros Ingresos (No Operaciones)</t>
  </si>
  <si>
    <t>ESTADO DE RESULTADOS</t>
  </si>
  <si>
    <t>Gastos de ventas</t>
  </si>
  <si>
    <t>Gastos de Administracion</t>
  </si>
  <si>
    <t>Gastos Financieros (Interes Credito)</t>
  </si>
  <si>
    <t>Otros Egresos</t>
  </si>
  <si>
    <t>Total Ingresos</t>
  </si>
  <si>
    <t>Total Egresos</t>
  </si>
  <si>
    <t>Utilidad Bruta Grabable UBG= Ingresos-Egresos</t>
  </si>
  <si>
    <t>Impuesto d Renta (25% UBG)</t>
  </si>
  <si>
    <t>Utilidad de renta para la equidad CREE=9%</t>
  </si>
  <si>
    <t>Utilidad Neta= UBG-Imp. Renta-Imp Rta CREE</t>
  </si>
  <si>
    <t>Reserva Legal (10% Utilidad Neta)</t>
  </si>
  <si>
    <t>Utilidad del Ejercicio= Utilidad Neta-Res. Legal</t>
  </si>
  <si>
    <t>Caja Inicial</t>
  </si>
  <si>
    <t>Ingresos Ventas de Contado</t>
  </si>
  <si>
    <t>Ingresos Recuperación de Cartera</t>
  </si>
  <si>
    <t>Otros Ingresos no operacionales</t>
  </si>
  <si>
    <t>Aporte de Socios</t>
  </si>
  <si>
    <t>Recursos de Créditos</t>
  </si>
  <si>
    <t>TOTAL DISPONIBLE</t>
  </si>
  <si>
    <t>Inversiones</t>
  </si>
  <si>
    <t>Inversiones en Activos Fijos</t>
  </si>
  <si>
    <t>Inversiones Intangibles o G.Arranque</t>
  </si>
  <si>
    <t>Total Inversiones</t>
  </si>
  <si>
    <t>Salario Basico</t>
  </si>
  <si>
    <t>Subsidio de Transporte</t>
  </si>
  <si>
    <t>Caja Com Familiar</t>
  </si>
  <si>
    <t>Aporte Pension</t>
  </si>
  <si>
    <t>Aporte a Salud EPS</t>
  </si>
  <si>
    <t>Interes de  Cesantia</t>
  </si>
  <si>
    <t>Cesatia</t>
  </si>
  <si>
    <t>Total G. Personal</t>
  </si>
  <si>
    <t>Gastos Personal de Planta</t>
  </si>
  <si>
    <t>Asesoria Contable</t>
  </si>
  <si>
    <t>Servicios Publicos</t>
  </si>
  <si>
    <t>Seguro</t>
  </si>
  <si>
    <t>Gastos de Ase y Mant Instalaciones</t>
  </si>
  <si>
    <t>Coutas + I. Creadito</t>
  </si>
  <si>
    <t>Impuestos Locales (Valorizacion Anual)</t>
  </si>
  <si>
    <t>Registro Mercantil (Anual)</t>
  </si>
  <si>
    <t>Bomberos (Anual)</t>
  </si>
  <si>
    <t>Industria y Comerico (Anual)</t>
  </si>
  <si>
    <t>Avisos y Tableros (Mensual)</t>
  </si>
  <si>
    <t>Iva (Ventas Bimensual)</t>
  </si>
  <si>
    <t>Rte. en la Fuente (Compras Mensual)</t>
  </si>
  <si>
    <t>Imp. Renta (Anual)</t>
  </si>
  <si>
    <t>Reserva Legal (10% Utilidad)</t>
  </si>
  <si>
    <t>Distribucion de  Utilidades</t>
  </si>
  <si>
    <t>CAJA FINAL = Total Disponible - Egresos</t>
  </si>
  <si>
    <t>Saldo Acumulado</t>
  </si>
  <si>
    <t>Periodo 0</t>
  </si>
  <si>
    <t xml:space="preserve">Mes 6 </t>
  </si>
  <si>
    <t>FLUJO DE CAJA</t>
  </si>
  <si>
    <t>Disponible (Cajas y Bancos)</t>
  </si>
  <si>
    <t>Cuentas por Cobrar (Clientes)</t>
  </si>
  <si>
    <t>Inventario (Mat. En proceso y Pto)</t>
  </si>
  <si>
    <t>Activos Diferidos (Amortiz. G)</t>
  </si>
  <si>
    <t>Activo Corriente</t>
  </si>
  <si>
    <t>Total Activo Corriente</t>
  </si>
  <si>
    <t>Bodega (Con Oficinas)</t>
  </si>
  <si>
    <t>Maquinaria y Equipos</t>
  </si>
  <si>
    <t>Vehículos</t>
  </si>
  <si>
    <t>Mobiliario Planta de Producción</t>
  </si>
  <si>
    <t>Muebles y Enseres Oficina</t>
  </si>
  <si>
    <t>Menos: Depreciacion Acumulada</t>
  </si>
  <si>
    <t>Total Activo Fijo</t>
  </si>
  <si>
    <t>Total Activos</t>
  </si>
  <si>
    <t>Activos</t>
  </si>
  <si>
    <t>Activo Fijo</t>
  </si>
  <si>
    <t>Año 0</t>
  </si>
  <si>
    <t>BALANCE GENERAL</t>
  </si>
  <si>
    <t>Prestac. Sociales por pagar</t>
  </si>
  <si>
    <t>Cuentas por pagar a Proveedores</t>
  </si>
  <si>
    <t>Obligaciones Financieras (Cuotas +i)</t>
  </si>
  <si>
    <t>Industria y Comercio (Bimensual)</t>
  </si>
  <si>
    <t>IVA por Pagar (Bimensual)</t>
  </si>
  <si>
    <t>Rte. Fuente por Pagar (Mensual)</t>
  </si>
  <si>
    <t>Impuesto de Renta por Pagar</t>
  </si>
  <si>
    <t>Otros Pasivos</t>
  </si>
  <si>
    <t>Total Pasivo Corriente</t>
  </si>
  <si>
    <t>Pasivo Corriente</t>
  </si>
  <si>
    <t>Obligaciones Finacieras (Créditos)</t>
  </si>
  <si>
    <t>Deudas Hipotecarias o Leasing</t>
  </si>
  <si>
    <t>Total Pasivo a Largo Plazo</t>
  </si>
  <si>
    <t>Pasivo a Largo Plazo</t>
  </si>
  <si>
    <t>Pasivos</t>
  </si>
  <si>
    <t>TOTAL PASIVOS</t>
  </si>
  <si>
    <t>Capital Social (Aporte de Socios)</t>
  </si>
  <si>
    <t>Resultados del Ejercicio (Utilidad Neta)</t>
  </si>
  <si>
    <t>Resultados Ejercicios Anteriores</t>
  </si>
  <si>
    <t>Reserva Legal (10% Result Ej.)</t>
  </si>
  <si>
    <t>Total Patrimonio</t>
  </si>
  <si>
    <t>Patrimonio</t>
  </si>
  <si>
    <t>PASIVOS+PATRIMONIO</t>
  </si>
  <si>
    <t xml:space="preserve">Año 0 </t>
  </si>
  <si>
    <t>BALANCE = ACTIVOS - (PASIVOS + PATRIMONIO)</t>
  </si>
  <si>
    <t>(1) Caja por Periodo</t>
  </si>
  <si>
    <t>b) Creditos</t>
  </si>
  <si>
    <t>(2)Inversiones Netal del Periodo=a+b</t>
  </si>
  <si>
    <t>Flujo de  Caja Neto=1-2</t>
  </si>
  <si>
    <t>Total Inversion</t>
  </si>
  <si>
    <t>FLUJO DE CAJA NETO</t>
  </si>
  <si>
    <t>PERIODO DE RECUPERACION DEL CAPITAL</t>
  </si>
  <si>
    <t xml:space="preserve">VPN </t>
  </si>
  <si>
    <t>TIR</t>
  </si>
  <si>
    <t>I1</t>
  </si>
  <si>
    <t>I2</t>
  </si>
  <si>
    <t>VPN 1</t>
  </si>
  <si>
    <t>VPN 2</t>
  </si>
  <si>
    <t>VPN 2 (+)</t>
  </si>
  <si>
    <t>Prestamo</t>
  </si>
  <si>
    <t>n=</t>
  </si>
  <si>
    <t>Meses</t>
  </si>
  <si>
    <t>Periodo de Gracia</t>
  </si>
  <si>
    <t>m=</t>
  </si>
  <si>
    <t xml:space="preserve">Meses </t>
  </si>
  <si>
    <t>Tasa Efectiva Anual (IA)</t>
  </si>
  <si>
    <t>Tasa de Interes Im=</t>
  </si>
  <si>
    <t>Couta Fija</t>
  </si>
  <si>
    <t>Periodo</t>
  </si>
  <si>
    <t>Saldo Inicia  SI=SF(n-1)</t>
  </si>
  <si>
    <t>Interes  I=SI*im</t>
  </si>
  <si>
    <t>Couta    C=(((1+i)^n*i)/((1+i)^n-1))*P</t>
  </si>
  <si>
    <t>Aportes Extraordinarios</t>
  </si>
  <si>
    <t>Amortización   A=C+Ap.Ext-i</t>
  </si>
  <si>
    <t>Saldo Final    SF=SI-Amort</t>
  </si>
  <si>
    <t>CÁLCULOS DEL PUNTO DE EQUILIBRIO PE</t>
  </si>
  <si>
    <t>*PE en Capacidad Instalada (%): PECI= CF/(IT-CV)</t>
  </si>
  <si>
    <t>CF: Costos Fijos</t>
  </si>
  <si>
    <t>IT: Ingresos Totales</t>
  </si>
  <si>
    <t>CV:Costos Variables</t>
  </si>
  <si>
    <t>PE en Capacidad Instalada PECI (%) =</t>
  </si>
  <si>
    <t>*PE en Cantidades a Producir (Q): PECP=CF/(PU-CVu)</t>
  </si>
  <si>
    <t>Pu:Precio unitario promedio</t>
  </si>
  <si>
    <t>CVu:Costos Variable Unitario</t>
  </si>
  <si>
    <t>PE en Capacidad a Producir PECP (Q)=</t>
  </si>
  <si>
    <t>*PE en Volumen de Ventas ($): PEVV*=CF / (1-(CV/IT))</t>
  </si>
  <si>
    <t>CV: Costos Variables</t>
  </si>
  <si>
    <t>PE en Volumen de Ventas PEVV ($)=</t>
  </si>
  <si>
    <t>PEVV*: PE en Volumenes de Ventas ($)</t>
  </si>
  <si>
    <t>N: Número de Días Laborales año</t>
  </si>
  <si>
    <t>PE en No. de dias Año PEDA (dias)=</t>
  </si>
  <si>
    <t xml:space="preserve">Concepto </t>
  </si>
  <si>
    <t xml:space="preserve">Costos Variables </t>
  </si>
  <si>
    <t>Ingresos Acumulados</t>
  </si>
  <si>
    <t>Materiales (MP Basicas)</t>
  </si>
  <si>
    <t>Aditivos</t>
  </si>
  <si>
    <t>Hora Extra y Festivas</t>
  </si>
  <si>
    <t>Intereces +Aportes Extra a Creditos</t>
  </si>
  <si>
    <t>Otros Costos Variables</t>
  </si>
  <si>
    <t>Total Costo Variable</t>
  </si>
  <si>
    <t>*PE en No. de Dias año (dias): PEDA = PEVV/(IT/N)</t>
  </si>
  <si>
    <t>a) Aporte de Inversionistas</t>
  </si>
  <si>
    <t>PLAN DE FINANCIACION DE LA EMPRESA</t>
  </si>
  <si>
    <t>Aportes Inversionistas</t>
  </si>
  <si>
    <t>Credito</t>
  </si>
  <si>
    <t xml:space="preserve">Inversión </t>
  </si>
  <si>
    <t>Porcentaje</t>
  </si>
  <si>
    <t>ESTADOS DE RESULTADOS</t>
  </si>
  <si>
    <t>VENTAS</t>
  </si>
  <si>
    <t>INGRESOS OPERACIONALES</t>
  </si>
  <si>
    <t>(-) Costo de ventas</t>
  </si>
  <si>
    <t>UTILIDAD BRUTA OPERACIONAL</t>
  </si>
  <si>
    <t>(-) Gastos operacionales de ventas</t>
  </si>
  <si>
    <t>(-) Gastos operacionales de administración</t>
  </si>
  <si>
    <t>UTILIDAD OPERACIONAL</t>
  </si>
  <si>
    <t>(+) Ingresos no operacionales</t>
  </si>
  <si>
    <t>(-) Gastos no operacionales</t>
  </si>
  <si>
    <t>UTILIDAD NETA ANTES DE IMPUESTOS</t>
  </si>
  <si>
    <t>(-) Impuesto de renta y complementarios</t>
  </si>
  <si>
    <t>UTILIDAD LÍQUIDA</t>
  </si>
  <si>
    <t>(-) Reservas</t>
  </si>
  <si>
    <t>UTILIDAD DEL EJERCICIO</t>
  </si>
  <si>
    <t>Gastos de Administración</t>
  </si>
  <si>
    <t>Gastos de Venta</t>
  </si>
  <si>
    <t>Gastos de Producción</t>
  </si>
  <si>
    <t>(-) Devoluciones y Descuentos</t>
  </si>
  <si>
    <t xml:space="preserve"> Año 2 </t>
  </si>
  <si>
    <t>ESTADO DE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</si>
</sst>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* #,##0.00\ &quot;€&quot;_-;\-* #,##0.00\ &quot;€&quot;_-;_-* &quot;-&quot;??\ &quot;€&quot;_-;_-@_-"/>
    <numFmt numFmtId="164" formatCode="#,##0.00\ &quot;€&quot;"/>
    <numFmt numFmtId="165" formatCode="[$$-240A]\ #,##0.00"/>
    <numFmt numFmtId="166" formatCode="[$$-240A]\ #,##0"/>
    <numFmt numFmtId="167" formatCode="_-[$$-240A]\ * #,##0.00_ ;_-[$$-240A]\ * \-#,##0.00\ ;_-[$$-240A]\ * &quot;-&quot;??_ ;_-@_ "/>
    <numFmt numFmtId="168" formatCode="_-[$$-240A]\ * #,##0_ ;_-[$$-240A]\ * \-#,##0\ ;_-[$$-240A]\ * &quot;-&quot;_ ;_-@_ "/>
    <numFmt numFmtId="169" formatCode="_-[$$-240A]\ * #,##0.0_ ;_-[$$-240A]\ * \-#,##0.0\ ;_-[$$-240A]\ * &quot;-&quot;??_ ;_-@_ "/>
    <numFmt numFmtId="170" formatCode="_-[$$-240A]\ * #,##0_ ;_-[$$-240A]\ * \-#,##0\ ;_-[$$-240A]\ * &quot;-&quot;??_ ;_-@_ "/>
    <numFmt numFmtId="171" formatCode="_-[$$-240A]\ * #,##0.0_ ;_-[$$-240A]\ * \-#,##0.0\ ;_-[$$-240A]\ * &quot;-&quot;?_ ;_-@_ "/>
    <numFmt numFmtId="172" formatCode="_-[$$-240A]\ * #,##0_ ;_-[$$-240A]\ * \-#,##0\ ;_-[$$-240A]\ * &quot;-&quot;?_ ;_-@_ "/>
    <numFmt numFmtId="173" formatCode="[$$-240A]\ #,##0.00;[Red][$$-240A]\ #,##0.00"/>
    <numFmt numFmtId="174" formatCode="[$$-240A]\ #,##0.0_ ;\-[$$-240A]\ #,##0.0\ "/>
    <numFmt numFmtId="175" formatCode="[$$-240A]\ #,##0.00_ ;\-[$$-240A]\ #,##0.00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333333"/>
      <name val="Opensans_regula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/>
    <xf numFmtId="10" fontId="0" fillId="0" borderId="9" xfId="0" applyNumberFormat="1" applyBorder="1"/>
    <xf numFmtId="9" fontId="0" fillId="0" borderId="9" xfId="0" applyNumberFormat="1" applyBorder="1"/>
    <xf numFmtId="10" fontId="6" fillId="0" borderId="9" xfId="0" applyNumberFormat="1" applyFont="1" applyBorder="1"/>
    <xf numFmtId="9" fontId="5" fillId="2" borderId="4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9" fontId="5" fillId="2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166" fontId="0" fillId="0" borderId="0" xfId="0" applyNumberFormat="1"/>
    <xf numFmtId="0" fontId="0" fillId="6" borderId="0" xfId="0" applyFill="1"/>
    <xf numFmtId="166" fontId="0" fillId="0" borderId="9" xfId="0" applyNumberFormat="1" applyBorder="1"/>
    <xf numFmtId="165" fontId="0" fillId="0" borderId="9" xfId="0" applyNumberFormat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9" fontId="2" fillId="6" borderId="9" xfId="0" applyNumberFormat="1" applyFont="1" applyFill="1" applyBorder="1"/>
    <xf numFmtId="166" fontId="2" fillId="6" borderId="9" xfId="0" applyNumberFormat="1" applyFont="1" applyFill="1" applyBorder="1"/>
    <xf numFmtId="166" fontId="7" fillId="0" borderId="9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2" fillId="6" borderId="9" xfId="0" applyNumberFormat="1" applyFont="1" applyFill="1" applyBorder="1" applyAlignment="1">
      <alignment horizontal="center" vertical="center"/>
    </xf>
    <xf numFmtId="3" fontId="0" fillId="0" borderId="9" xfId="0" applyNumberFormat="1" applyBorder="1"/>
    <xf numFmtId="0" fontId="0" fillId="4" borderId="9" xfId="0" applyFill="1" applyBorder="1" applyAlignment="1">
      <alignment horizontal="center" vertical="center"/>
    </xf>
    <xf numFmtId="0" fontId="0" fillId="0" borderId="9" xfId="0" applyFill="1" applyBorder="1"/>
    <xf numFmtId="2" fontId="0" fillId="0" borderId="9" xfId="0" applyNumberFormat="1" applyBorder="1"/>
    <xf numFmtId="2" fontId="2" fillId="6" borderId="9" xfId="0" applyNumberFormat="1" applyFont="1" applyFill="1" applyBorder="1"/>
    <xf numFmtId="0" fontId="0" fillId="0" borderId="9" xfId="0" applyFont="1" applyBorder="1"/>
    <xf numFmtId="0" fontId="0" fillId="6" borderId="9" xfId="0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/>
    <xf numFmtId="10" fontId="0" fillId="6" borderId="9" xfId="0" applyNumberFormat="1" applyFill="1" applyBorder="1"/>
    <xf numFmtId="10" fontId="0" fillId="0" borderId="9" xfId="0" applyNumberFormat="1" applyBorder="1" applyAlignment="1">
      <alignment horizontal="center" vertical="center"/>
    </xf>
    <xf numFmtId="167" fontId="0" fillId="0" borderId="9" xfId="0" applyNumberFormat="1" applyBorder="1"/>
    <xf numFmtId="167" fontId="8" fillId="0" borderId="9" xfId="0" applyNumberFormat="1" applyFont="1" applyBorder="1"/>
    <xf numFmtId="167" fontId="0" fillId="6" borderId="9" xfId="0" applyNumberFormat="1" applyFill="1" applyBorder="1"/>
    <xf numFmtId="9" fontId="0" fillId="6" borderId="9" xfId="0" applyNumberFormat="1" applyFill="1" applyBorder="1"/>
    <xf numFmtId="0" fontId="9" fillId="6" borderId="9" xfId="0" applyFont="1" applyFill="1" applyBorder="1"/>
    <xf numFmtId="166" fontId="9" fillId="6" borderId="9" xfId="0" applyNumberFormat="1" applyFont="1" applyFill="1" applyBorder="1"/>
    <xf numFmtId="0" fontId="10" fillId="6" borderId="0" xfId="0" applyFont="1" applyFill="1"/>
    <xf numFmtId="164" fontId="0" fillId="6" borderId="9" xfId="0" applyNumberFormat="1" applyFill="1" applyBorder="1" applyAlignment="1">
      <alignment horizontal="right"/>
    </xf>
    <xf numFmtId="167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168" fontId="0" fillId="0" borderId="9" xfId="0" applyNumberFormat="1" applyBorder="1" applyAlignment="1">
      <alignment horizontal="center" vertical="center"/>
    </xf>
    <xf numFmtId="166" fontId="0" fillId="6" borderId="9" xfId="1" applyNumberFormat="1" applyFont="1" applyFill="1" applyBorder="1" applyAlignment="1">
      <alignment horizontal="center"/>
    </xf>
    <xf numFmtId="168" fontId="0" fillId="0" borderId="9" xfId="0" applyNumberFormat="1" applyBorder="1"/>
    <xf numFmtId="0" fontId="2" fillId="6" borderId="9" xfId="0" applyFont="1" applyFill="1" applyBorder="1" applyAlignment="1">
      <alignment horizontal="center" vertical="center"/>
    </xf>
    <xf numFmtId="168" fontId="2" fillId="6" borderId="9" xfId="0" applyNumberFormat="1" applyFont="1" applyFill="1" applyBorder="1" applyAlignment="1">
      <alignment horizontal="center" vertical="center"/>
    </xf>
    <xf numFmtId="165" fontId="2" fillId="6" borderId="9" xfId="0" applyNumberFormat="1" applyFont="1" applyFill="1" applyBorder="1"/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6" fontId="2" fillId="6" borderId="9" xfId="0" applyNumberFormat="1" applyFont="1" applyFill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165" fontId="0" fillId="7" borderId="9" xfId="0" applyNumberFormat="1" applyFill="1" applyBorder="1"/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0" fontId="2" fillId="0" borderId="9" xfId="0" applyNumberFormat="1" applyFont="1" applyBorder="1"/>
    <xf numFmtId="165" fontId="2" fillId="0" borderId="9" xfId="0" applyNumberFormat="1" applyFont="1" applyBorder="1"/>
    <xf numFmtId="0" fontId="11" fillId="0" borderId="0" xfId="2" applyFont="1" applyAlignment="1">
      <alignment horizontal="center"/>
    </xf>
    <xf numFmtId="166" fontId="12" fillId="0" borderId="9" xfId="0" applyNumberFormat="1" applyFont="1" applyBorder="1"/>
    <xf numFmtId="166" fontId="12" fillId="0" borderId="9" xfId="0" applyNumberFormat="1" applyFont="1" applyBorder="1" applyAlignment="1">
      <alignment horizontal="center" vertical="center"/>
    </xf>
    <xf numFmtId="170" fontId="0" fillId="0" borderId="9" xfId="1" applyNumberFormat="1" applyFont="1" applyBorder="1"/>
    <xf numFmtId="170" fontId="2" fillId="6" borderId="9" xfId="0" applyNumberFormat="1" applyFont="1" applyFill="1" applyBorder="1"/>
    <xf numFmtId="0" fontId="12" fillId="0" borderId="0" xfId="0" applyFont="1"/>
    <xf numFmtId="171" fontId="0" fillId="0" borderId="9" xfId="0" applyNumberFormat="1" applyBorder="1"/>
    <xf numFmtId="171" fontId="0" fillId="0" borderId="9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right" vertical="center"/>
    </xf>
    <xf numFmtId="172" fontId="0" fillId="0" borderId="9" xfId="0" applyNumberFormat="1" applyBorder="1" applyAlignment="1">
      <alignment horizontal="right" vertical="center"/>
    </xf>
    <xf numFmtId="166" fontId="2" fillId="6" borderId="9" xfId="0" applyNumberFormat="1" applyFont="1" applyFill="1" applyBorder="1" applyAlignment="1">
      <alignment vertical="center"/>
    </xf>
    <xf numFmtId="171" fontId="2" fillId="0" borderId="9" xfId="0" applyNumberFormat="1" applyFont="1" applyBorder="1"/>
    <xf numFmtId="171" fontId="2" fillId="6" borderId="9" xfId="0" applyNumberFormat="1" applyFont="1" applyFill="1" applyBorder="1"/>
    <xf numFmtId="0" fontId="9" fillId="0" borderId="0" xfId="0" applyFont="1" applyFill="1"/>
    <xf numFmtId="0" fontId="13" fillId="0" borderId="9" xfId="0" applyFont="1" applyFill="1" applyBorder="1" applyAlignment="1">
      <alignment horizontal="center" vertical="center"/>
    </xf>
    <xf numFmtId="0" fontId="2" fillId="14" borderId="9" xfId="0" applyFont="1" applyFill="1" applyBorder="1"/>
    <xf numFmtId="171" fontId="2" fillId="14" borderId="9" xfId="0" applyNumberFormat="1" applyFont="1" applyFill="1" applyBorder="1"/>
    <xf numFmtId="0" fontId="0" fillId="15" borderId="9" xfId="0" applyFill="1" applyBorder="1"/>
    <xf numFmtId="0" fontId="2" fillId="15" borderId="9" xfId="0" applyFont="1" applyFill="1" applyBorder="1" applyAlignment="1">
      <alignment horizontal="center" vertical="center"/>
    </xf>
    <xf numFmtId="9" fontId="0" fillId="0" borderId="0" xfId="0" applyNumberFormat="1"/>
    <xf numFmtId="0" fontId="14" fillId="3" borderId="15" xfId="0" applyFont="1" applyFill="1" applyBorder="1"/>
    <xf numFmtId="9" fontId="14" fillId="3" borderId="15" xfId="0" applyNumberFormat="1" applyFont="1" applyFill="1" applyBorder="1" applyAlignment="1">
      <alignment horizontal="right"/>
    </xf>
    <xf numFmtId="169" fontId="0" fillId="0" borderId="9" xfId="0" applyNumberFormat="1" applyBorder="1"/>
    <xf numFmtId="169" fontId="2" fillId="0" borderId="9" xfId="0" applyNumberFormat="1" applyFont="1" applyBorder="1"/>
    <xf numFmtId="171" fontId="0" fillId="3" borderId="9" xfId="0" applyNumberFormat="1" applyFill="1" applyBorder="1"/>
    <xf numFmtId="0" fontId="2" fillId="3" borderId="9" xfId="0" applyFont="1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71" fontId="0" fillId="3" borderId="9" xfId="0" applyNumberFormat="1" applyFill="1" applyBorder="1" applyAlignment="1">
      <alignment horizontal="center"/>
    </xf>
    <xf numFmtId="167" fontId="0" fillId="0" borderId="9" xfId="1" applyNumberFormat="1" applyFont="1" applyBorder="1"/>
    <xf numFmtId="167" fontId="2" fillId="0" borderId="9" xfId="1" applyNumberFormat="1" applyFont="1" applyBorder="1"/>
    <xf numFmtId="171" fontId="2" fillId="17" borderId="9" xfId="0" applyNumberFormat="1" applyFont="1" applyFill="1" applyBorder="1"/>
    <xf numFmtId="171" fontId="2" fillId="3" borderId="9" xfId="0" applyNumberFormat="1" applyFont="1" applyFill="1" applyBorder="1"/>
    <xf numFmtId="0" fontId="2" fillId="0" borderId="9" xfId="0" applyFont="1" applyFill="1" applyBorder="1" applyAlignment="1">
      <alignment horizontal="center" vertical="center"/>
    </xf>
    <xf numFmtId="9" fontId="0" fillId="0" borderId="9" xfId="3" applyFont="1" applyBorder="1"/>
    <xf numFmtId="171" fontId="2" fillId="0" borderId="9" xfId="0" applyNumberFormat="1" applyFont="1" applyBorder="1" applyAlignment="1">
      <alignment horizontal="center" vertical="center"/>
    </xf>
    <xf numFmtId="171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0" xfId="0" applyBorder="1"/>
    <xf numFmtId="171" fontId="0" fillId="0" borderId="9" xfId="1" applyNumberFormat="1" applyFont="1" applyBorder="1"/>
    <xf numFmtId="171" fontId="2" fillId="3" borderId="9" xfId="1" applyNumberFormat="1" applyFont="1" applyFill="1" applyBorder="1"/>
    <xf numFmtId="171" fontId="2" fillId="17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171" fontId="0" fillId="3" borderId="9" xfId="1" applyNumberFormat="1" applyFont="1" applyFill="1" applyBorder="1"/>
    <xf numFmtId="0" fontId="2" fillId="3" borderId="9" xfId="0" applyFont="1" applyFill="1" applyBorder="1" applyAlignment="1">
      <alignment vertical="center"/>
    </xf>
    <xf numFmtId="171" fontId="0" fillId="0" borderId="9" xfId="1" quotePrefix="1" applyNumberFormat="1" applyFont="1" applyBorder="1"/>
    <xf numFmtId="171" fontId="0" fillId="17" borderId="9" xfId="1" applyNumberFormat="1" applyFont="1" applyFill="1" applyBorder="1"/>
    <xf numFmtId="171" fontId="0" fillId="17" borderId="9" xfId="0" applyNumberFormat="1" applyFill="1" applyBorder="1"/>
    <xf numFmtId="0" fontId="0" fillId="13" borderId="9" xfId="0" applyFill="1" applyBorder="1"/>
    <xf numFmtId="165" fontId="0" fillId="13" borderId="9" xfId="0" applyNumberFormat="1" applyFill="1" applyBorder="1"/>
    <xf numFmtId="165" fontId="2" fillId="17" borderId="9" xfId="0" applyNumberFormat="1" applyFont="1" applyFill="1" applyBorder="1"/>
    <xf numFmtId="165" fontId="0" fillId="17" borderId="9" xfId="0" applyNumberFormat="1" applyFill="1" applyBorder="1"/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12" xfId="0" applyNumberFormat="1" applyBorder="1"/>
    <xf numFmtId="0" fontId="0" fillId="0" borderId="14" xfId="0" applyBorder="1"/>
    <xf numFmtId="0" fontId="0" fillId="0" borderId="12" xfId="0" applyBorder="1"/>
    <xf numFmtId="9" fontId="0" fillId="0" borderId="12" xfId="0" applyNumberFormat="1" applyBorder="1"/>
    <xf numFmtId="9" fontId="0" fillId="0" borderId="0" xfId="0" applyNumberFormat="1" applyBorder="1"/>
    <xf numFmtId="173" fontId="0" fillId="0" borderId="12" xfId="0" applyNumberFormat="1" applyBorder="1"/>
    <xf numFmtId="0" fontId="0" fillId="0" borderId="9" xfId="0" applyFont="1" applyBorder="1" applyAlignment="1">
      <alignment horizontal="center"/>
    </xf>
    <xf numFmtId="165" fontId="0" fillId="0" borderId="9" xfId="0" applyNumberFormat="1" applyFont="1" applyBorder="1"/>
    <xf numFmtId="0" fontId="2" fillId="3" borderId="9" xfId="0" applyFont="1" applyFill="1" applyBorder="1"/>
    <xf numFmtId="165" fontId="2" fillId="3" borderId="9" xfId="0" applyNumberFormat="1" applyFont="1" applyFill="1" applyBorder="1"/>
    <xf numFmtId="0" fontId="2" fillId="17" borderId="9" xfId="0" applyFont="1" applyFill="1" applyBorder="1"/>
    <xf numFmtId="0" fontId="0" fillId="17" borderId="9" xfId="0" applyFill="1" applyBorder="1"/>
    <xf numFmtId="10" fontId="0" fillId="17" borderId="9" xfId="0" applyNumberFormat="1" applyFill="1" applyBorder="1"/>
    <xf numFmtId="0" fontId="0" fillId="5" borderId="9" xfId="0" applyFill="1" applyBorder="1"/>
    <xf numFmtId="165" fontId="0" fillId="5" borderId="9" xfId="0" applyNumberFormat="1" applyFill="1" applyBorder="1"/>
    <xf numFmtId="165" fontId="0" fillId="5" borderId="9" xfId="3" applyNumberFormat="1" applyFont="1" applyFill="1" applyBorder="1"/>
    <xf numFmtId="0" fontId="0" fillId="6" borderId="9" xfId="0" applyNumberFormat="1" applyFill="1" applyBorder="1"/>
    <xf numFmtId="0" fontId="2" fillId="0" borderId="9" xfId="0" applyFont="1" applyFill="1" applyBorder="1" applyAlignment="1">
      <alignment horizontal="center"/>
    </xf>
    <xf numFmtId="165" fontId="0" fillId="0" borderId="9" xfId="0" applyNumberFormat="1" applyFill="1" applyBorder="1"/>
    <xf numFmtId="0" fontId="0" fillId="19" borderId="9" xfId="0" applyFill="1" applyBorder="1"/>
    <xf numFmtId="10" fontId="0" fillId="19" borderId="9" xfId="0" applyNumberFormat="1" applyFill="1" applyBorder="1"/>
    <xf numFmtId="9" fontId="0" fillId="19" borderId="9" xfId="0" applyNumberFormat="1" applyFill="1" applyBorder="1"/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9" fontId="0" fillId="17" borderId="9" xfId="3" applyFont="1" applyFill="1" applyBorder="1"/>
    <xf numFmtId="2" fontId="0" fillId="17" borderId="9" xfId="0" applyNumberFormat="1" applyFill="1" applyBorder="1"/>
    <xf numFmtId="165" fontId="0" fillId="0" borderId="0" xfId="0" applyNumberFormat="1"/>
    <xf numFmtId="171" fontId="0" fillId="0" borderId="0" xfId="0" applyNumberFormat="1"/>
    <xf numFmtId="171" fontId="2" fillId="0" borderId="9" xfId="1" applyNumberFormat="1" applyFont="1" applyFill="1" applyBorder="1"/>
    <xf numFmtId="171" fontId="1" fillId="0" borderId="9" xfId="1" applyNumberFormat="1" applyFont="1" applyFill="1" applyBorder="1"/>
    <xf numFmtId="171" fontId="0" fillId="0" borderId="9" xfId="1" quotePrefix="1" applyNumberFormat="1" applyFont="1" applyFill="1" applyBorder="1"/>
    <xf numFmtId="0" fontId="2" fillId="0" borderId="9" xfId="0" applyFont="1" applyBorder="1" applyAlignment="1">
      <alignment horizontal="center" vertical="center"/>
    </xf>
    <xf numFmtId="0" fontId="2" fillId="17" borderId="9" xfId="0" applyFont="1" applyFill="1" applyBorder="1" applyAlignment="1">
      <alignment horizontal="center"/>
    </xf>
    <xf numFmtId="2" fontId="0" fillId="0" borderId="0" xfId="0" applyNumberFormat="1"/>
    <xf numFmtId="0" fontId="2" fillId="0" borderId="9" xfId="0" applyFont="1" applyBorder="1" applyAlignment="1">
      <alignment horizontal="center"/>
    </xf>
    <xf numFmtId="0" fontId="0" fillId="0" borderId="0" xfId="0" applyAlignment="1">
      <alignment vertical="center"/>
    </xf>
    <xf numFmtId="0" fontId="2" fillId="0" borderId="9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3" xfId="2" applyFont="1" applyBorder="1"/>
    <xf numFmtId="0" fontId="4" fillId="0" borderId="1" xfId="2" applyFont="1" applyBorder="1" applyAlignment="1">
      <alignment horizontal="center"/>
    </xf>
    <xf numFmtId="0" fontId="5" fillId="0" borderId="2" xfId="2" applyFont="1" applyBorder="1"/>
    <xf numFmtId="0" fontId="4" fillId="0" borderId="5" xfId="2" applyFont="1" applyBorder="1" applyAlignment="1">
      <alignment horizontal="center" vertical="center" wrapText="1"/>
    </xf>
    <xf numFmtId="0" fontId="5" fillId="0" borderId="6" xfId="2" applyFont="1" applyBorder="1"/>
    <xf numFmtId="0" fontId="5" fillId="0" borderId="7" xfId="2" applyFont="1" applyBorder="1"/>
    <xf numFmtId="0" fontId="5" fillId="0" borderId="8" xfId="2" applyFont="1" applyBorder="1"/>
    <xf numFmtId="0" fontId="2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2" fillId="1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6" borderId="9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9" xfId="0" applyBorder="1" applyAlignment="1">
      <alignment vertical="center"/>
    </xf>
    <xf numFmtId="0" fontId="2" fillId="11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13" borderId="9" xfId="0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 vertical="center" wrapText="1"/>
    </xf>
    <xf numFmtId="0" fontId="0" fillId="17" borderId="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/>
    <xf numFmtId="174" fontId="2" fillId="0" borderId="9" xfId="0" applyNumberFormat="1" applyFont="1" applyBorder="1" applyAlignment="1">
      <alignment vertical="center"/>
    </xf>
    <xf numFmtId="174" fontId="0" fillId="0" borderId="9" xfId="0" applyNumberFormat="1" applyBorder="1"/>
    <xf numFmtId="174" fontId="0" fillId="0" borderId="0" xfId="0" applyNumberFormat="1"/>
    <xf numFmtId="175" fontId="0" fillId="0" borderId="9" xfId="0" applyNumberFormat="1" applyBorder="1"/>
    <xf numFmtId="0" fontId="0" fillId="0" borderId="9" xfId="0" applyBorder="1" applyAlignment="1">
      <alignment horizontal="right" vertic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'Demanda Dinamica'!$C$13:$N$13</c:f>
              <c:numCache>
                <c:formatCode>General</c:formatCode>
                <c:ptCount val="12"/>
                <c:pt idx="0">
                  <c:v>84</c:v>
                </c:pt>
                <c:pt idx="1">
                  <c:v>166</c:v>
                </c:pt>
                <c:pt idx="2">
                  <c:v>226</c:v>
                </c:pt>
                <c:pt idx="3">
                  <c:v>413</c:v>
                </c:pt>
                <c:pt idx="4">
                  <c:v>131</c:v>
                </c:pt>
                <c:pt idx="5">
                  <c:v>110</c:v>
                </c:pt>
                <c:pt idx="6">
                  <c:v>173</c:v>
                </c:pt>
                <c:pt idx="7">
                  <c:v>458</c:v>
                </c:pt>
                <c:pt idx="8">
                  <c:v>454</c:v>
                </c:pt>
                <c:pt idx="9">
                  <c:v>365</c:v>
                </c:pt>
                <c:pt idx="10">
                  <c:v>153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6-4F04-A213-84A6CAC195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167216"/>
        <c:axId val="724782112"/>
      </c:lineChart>
      <c:catAx>
        <c:axId val="6851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782112"/>
        <c:crosses val="autoZero"/>
        <c:auto val="1"/>
        <c:lblAlgn val="ctr"/>
        <c:lblOffset val="100"/>
        <c:noMultiLvlLbl val="0"/>
      </c:catAx>
      <c:valAx>
        <c:axId val="7247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DE 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58880139982502"/>
          <c:y val="0.90798556430446198"/>
          <c:w val="0.143503877446484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Proyección de Ventas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'Demanda Dinamica'!$O$13:$Q$13</c:f>
              <c:numCache>
                <c:formatCode>General</c:formatCode>
                <c:ptCount val="3"/>
                <c:pt idx="0">
                  <c:v>2180</c:v>
                </c:pt>
                <c:pt idx="1">
                  <c:v>4283</c:v>
                </c:pt>
                <c:pt idx="2">
                  <c:v>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4420-B571-E6A65797B6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163776"/>
        <c:axId val="723244944"/>
      </c:barChart>
      <c:catAx>
        <c:axId val="1931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44944"/>
        <c:crosses val="autoZero"/>
        <c:auto val="1"/>
        <c:lblAlgn val="ctr"/>
        <c:lblOffset val="100"/>
        <c:noMultiLvlLbl val="0"/>
      </c:catAx>
      <c:valAx>
        <c:axId val="72324494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Licencias Vendidas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9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Financieros'!$C$61:$N$61</c:f>
              <c:numCache>
                <c:formatCode>_-[$$-240A]\ * #,##0.0_ ;_-[$$-240A]\ * \-#,##0.0\ ;_-[$$-240A]\ * "-"?_ ;_-@_ </c:formatCode>
                <c:ptCount val="12"/>
                <c:pt idx="0">
                  <c:v>2804306.59266055</c:v>
                </c:pt>
                <c:pt idx="1">
                  <c:v>8346150.5733944941</c:v>
                </c:pt>
                <c:pt idx="2">
                  <c:v>15891070.691743117</c:v>
                </c:pt>
                <c:pt idx="3">
                  <c:v>29678911.43899082</c:v>
                </c:pt>
                <c:pt idx="4">
                  <c:v>34052294.339449532</c:v>
                </c:pt>
                <c:pt idx="5">
                  <c:v>37724600.591743112</c:v>
                </c:pt>
                <c:pt idx="6">
                  <c:v>43500136.788532101</c:v>
                </c:pt>
                <c:pt idx="7">
                  <c:v>58790284.638990819</c:v>
                </c:pt>
                <c:pt idx="8">
                  <c:v>73946894.080275223</c:v>
                </c:pt>
                <c:pt idx="9">
                  <c:v>86132273.917431176</c:v>
                </c:pt>
                <c:pt idx="10">
                  <c:v>91240118.068348601</c:v>
                </c:pt>
                <c:pt idx="11">
                  <c:v>94678732.104587138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5-4149-A927-5C96AB0448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Financieros'!$C$59:$N$59</c:f>
              <c:numCache>
                <c:formatCode>_-[$$-240A]\ * #,##0.0_ ;_-[$$-240A]\ * \-#,##0.0\ ;_-[$$-240A]\ * "-"?_ ;_-@_ </c:formatCode>
                <c:ptCount val="12"/>
                <c:pt idx="0">
                  <c:v>3458213.1425962979</c:v>
                </c:pt>
                <c:pt idx="1">
                  <c:v>6853303.1545962654</c:v>
                </c:pt>
                <c:pt idx="2">
                  <c:v>10337916.097356938</c:v>
                </c:pt>
                <c:pt idx="3">
                  <c:v>15040163.235568777</c:v>
                </c:pt>
                <c:pt idx="4">
                  <c:v>19240610.092982635</c:v>
                </c:pt>
                <c:pt idx="5">
                  <c:v>24828645.489018217</c:v>
                </c:pt>
                <c:pt idx="6">
                  <c:v>29744711.180943429</c:v>
                </c:pt>
                <c:pt idx="7">
                  <c:v>35874400.885930762</c:v>
                </c:pt>
                <c:pt idx="8">
                  <c:v>41219466.922708377</c:v>
                </c:pt>
                <c:pt idx="9">
                  <c:v>47699372.412331522</c:v>
                </c:pt>
                <c:pt idx="10">
                  <c:v>52515853.115701258</c:v>
                </c:pt>
                <c:pt idx="11">
                  <c:v>57242858.534615628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5-4149-A927-5C96AB0448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'Indicadores Financieros'!$C$57:$N$57</c:f>
              <c:numCache>
                <c:formatCode>_-[$$-240A]\ * #,##0.0_ ;_-[$$-240A]\ * \-#,##0.0\ ;_-[$$-240A]\ * "-"?_ ;_-@_ </c:formatCode>
                <c:ptCount val="12"/>
                <c:pt idx="0">
                  <c:v>4025250.8333333335</c:v>
                </c:pt>
                <c:pt idx="1">
                  <c:v>4025250.8333333335</c:v>
                </c:pt>
                <c:pt idx="2">
                  <c:v>4025250.8333333335</c:v>
                </c:pt>
                <c:pt idx="3">
                  <c:v>4025250.8333333335</c:v>
                </c:pt>
                <c:pt idx="4">
                  <c:v>4025250.8333333335</c:v>
                </c:pt>
                <c:pt idx="5">
                  <c:v>4025250.8333333335</c:v>
                </c:pt>
                <c:pt idx="6">
                  <c:v>4025250.8333333335</c:v>
                </c:pt>
                <c:pt idx="7">
                  <c:v>4025250.8333333335</c:v>
                </c:pt>
                <c:pt idx="8">
                  <c:v>4025250.8333333335</c:v>
                </c:pt>
                <c:pt idx="9">
                  <c:v>4025250.8333333335</c:v>
                </c:pt>
                <c:pt idx="10">
                  <c:v>4025250.8333333335</c:v>
                </c:pt>
                <c:pt idx="11">
                  <c:v>4025250.8333333335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5-4149-A927-5C96AB04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793168"/>
        <c:axId val="906171296"/>
      </c:lineChart>
      <c:catAx>
        <c:axId val="8227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6171296"/>
        <c:crosses val="autoZero"/>
        <c:auto val="1"/>
        <c:lblAlgn val="ctr"/>
        <c:lblOffset val="100"/>
        <c:noMultiLvlLbl val="0"/>
      </c:catAx>
      <c:valAx>
        <c:axId val="906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_ ;_-[$$-240A]\ * \-#,##0.0\ ;_-[$$-240A]\ * &quot;-&quot;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7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14</xdr:row>
      <xdr:rowOff>123825</xdr:rowOff>
    </xdr:from>
    <xdr:to>
      <xdr:col>5</xdr:col>
      <xdr:colOff>42862</xdr:colOff>
      <xdr:row>29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6AD07B-3D2A-482B-9528-54D069B5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152400</xdr:rowOff>
    </xdr:from>
    <xdr:to>
      <xdr:col>13</xdr:col>
      <xdr:colOff>104775</xdr:colOff>
      <xdr:row>29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88268-2822-4D78-9EF9-13BC4A64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1079499</xdr:colOff>
      <xdr:row>14</xdr:row>
      <xdr:rowOff>142874</xdr:rowOff>
    </xdr:from>
    <xdr:to>
      <xdr:col>20</xdr:col>
      <xdr:colOff>273434</xdr:colOff>
      <xdr:row>27</xdr:row>
      <xdr:rowOff>95249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346E7E6-17DA-41D2-85D1-42E9DD180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9499" y="2825749"/>
          <a:ext cx="24308185" cy="2428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1666875</xdr:colOff>
      <xdr:row>62</xdr:row>
      <xdr:rowOff>19505</xdr:rowOff>
    </xdr:from>
    <xdr:to>
      <xdr:col>11</xdr:col>
      <xdr:colOff>635000</xdr:colOff>
      <xdr:row>90</xdr:row>
      <xdr:rowOff>59705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3768F5-D4F6-4636-970A-DDDDF1B8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C1" zoomScale="124" zoomScaleNormal="124" workbookViewId="0">
      <selection activeCell="Q49" sqref="Q49:Q50"/>
    </sheetView>
  </sheetViews>
  <sheetFormatPr baseColWidth="10" defaultRowHeight="15"/>
  <cols>
    <col min="1" max="1" width="21.7109375" customWidth="1"/>
    <col min="2" max="2" width="19" customWidth="1"/>
    <col min="3" max="3" width="30" customWidth="1"/>
    <col min="5" max="5" width="18.7109375" customWidth="1"/>
    <col min="6" max="6" width="18.42578125" customWidth="1"/>
    <col min="7" max="7" width="20" customWidth="1"/>
    <col min="8" max="8" width="22" customWidth="1"/>
    <col min="9" max="9" width="21.5703125" customWidth="1"/>
    <col min="10" max="10" width="31.140625" customWidth="1"/>
    <col min="11" max="11" width="17.7109375" customWidth="1"/>
    <col min="12" max="13" width="13.140625" bestFit="1" customWidth="1"/>
    <col min="14" max="14" width="15.85546875" customWidth="1"/>
    <col min="15" max="16" width="13.140625" bestFit="1" customWidth="1"/>
    <col min="17" max="17" width="26.85546875" customWidth="1"/>
    <col min="18" max="18" width="20.5703125" customWidth="1"/>
    <col min="19" max="19" width="16.28515625" customWidth="1"/>
    <col min="20" max="20" width="13.140625" customWidth="1"/>
    <col min="21" max="21" width="16.5703125" customWidth="1"/>
    <col min="22" max="22" width="14.140625" bestFit="1" customWidth="1"/>
    <col min="23" max="23" width="18.140625" customWidth="1"/>
    <col min="24" max="24" width="11.5703125" bestFit="1" customWidth="1"/>
  </cols>
  <sheetData>
    <row r="2" spans="1:19">
      <c r="A2" s="161" t="s">
        <v>0</v>
      </c>
      <c r="B2" s="161"/>
      <c r="C2" s="161"/>
      <c r="D2" s="161"/>
    </row>
    <row r="4" spans="1:19">
      <c r="A4" s="70" t="s">
        <v>215</v>
      </c>
      <c r="C4" s="162" t="s">
        <v>1</v>
      </c>
      <c r="D4" s="162"/>
      <c r="I4" s="2" t="s">
        <v>5</v>
      </c>
      <c r="J4" s="4">
        <v>0.19</v>
      </c>
      <c r="M4" s="165" t="s">
        <v>7</v>
      </c>
      <c r="N4" s="166"/>
      <c r="O4" s="164"/>
      <c r="R4" s="167" t="s">
        <v>10</v>
      </c>
      <c r="S4" s="168"/>
    </row>
    <row r="5" spans="1:19">
      <c r="A5" s="70" t="s">
        <v>216</v>
      </c>
      <c r="C5" s="2" t="s">
        <v>2</v>
      </c>
      <c r="D5" s="3">
        <v>5.5E-2</v>
      </c>
      <c r="E5" t="s">
        <v>36</v>
      </c>
      <c r="I5" s="2" t="s">
        <v>6</v>
      </c>
      <c r="J5" s="5">
        <v>3.5000000000000003E-2</v>
      </c>
      <c r="M5" s="6">
        <v>0.5</v>
      </c>
      <c r="N5" s="163" t="s">
        <v>8</v>
      </c>
      <c r="O5" s="164"/>
      <c r="R5" s="169"/>
      <c r="S5" s="170"/>
    </row>
    <row r="6" spans="1:19">
      <c r="A6" s="70" t="s">
        <v>217</v>
      </c>
      <c r="C6" s="2" t="s">
        <v>3</v>
      </c>
      <c r="D6" s="4">
        <v>0.06</v>
      </c>
      <c r="M6" s="6">
        <v>0.5</v>
      </c>
      <c r="N6" s="163" t="s">
        <v>9</v>
      </c>
      <c r="O6" s="164"/>
      <c r="R6" s="7" t="s">
        <v>11</v>
      </c>
      <c r="S6" s="8">
        <v>0.08</v>
      </c>
    </row>
    <row r="7" spans="1:19">
      <c r="C7" s="2" t="s">
        <v>4</v>
      </c>
      <c r="D7" s="3">
        <v>6.5000000000000002E-2</v>
      </c>
      <c r="R7" s="7" t="s">
        <v>12</v>
      </c>
      <c r="S7" s="8">
        <v>0.15</v>
      </c>
    </row>
    <row r="9" spans="1:19">
      <c r="B9" s="171" t="s">
        <v>29</v>
      </c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</row>
    <row r="10" spans="1:19">
      <c r="B10" s="10"/>
      <c r="C10" s="11" t="s">
        <v>15</v>
      </c>
      <c r="D10" s="11" t="s">
        <v>16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1" t="s">
        <v>26</v>
      </c>
      <c r="O10" s="11" t="s">
        <v>27</v>
      </c>
      <c r="P10" s="11" t="s">
        <v>28</v>
      </c>
      <c r="Q10" s="11" t="s">
        <v>4</v>
      </c>
    </row>
    <row r="11" spans="1:19">
      <c r="B11" s="10" t="s">
        <v>13</v>
      </c>
      <c r="C11" s="10">
        <v>300</v>
      </c>
      <c r="D11" s="10">
        <v>330</v>
      </c>
      <c r="E11" s="10">
        <v>350</v>
      </c>
      <c r="F11" s="10">
        <v>500</v>
      </c>
      <c r="G11" s="10">
        <v>300</v>
      </c>
      <c r="H11" s="10">
        <v>150</v>
      </c>
      <c r="I11" s="10">
        <v>250</v>
      </c>
      <c r="J11" s="10">
        <v>500</v>
      </c>
      <c r="K11" s="10">
        <v>600</v>
      </c>
      <c r="L11" s="10">
        <v>450</v>
      </c>
      <c r="M11" s="10">
        <v>300</v>
      </c>
      <c r="N11" s="10">
        <v>150</v>
      </c>
      <c r="O11" s="10">
        <f>SUM(C11:N11)</f>
        <v>4180</v>
      </c>
      <c r="P11" s="12">
        <f>O11+(O11*$S$6)</f>
        <v>4514.3999999999996</v>
      </c>
      <c r="Q11" s="12">
        <f>P11+(P11*$S$7)</f>
        <v>5191.5599999999995</v>
      </c>
    </row>
    <row r="12" spans="1:19">
      <c r="B12" s="10" t="s">
        <v>14</v>
      </c>
      <c r="C12" s="10">
        <v>50</v>
      </c>
      <c r="D12" s="10">
        <v>100</v>
      </c>
      <c r="E12" s="10">
        <v>150</v>
      </c>
      <c r="F12" s="10">
        <v>200</v>
      </c>
      <c r="G12" s="10">
        <v>100</v>
      </c>
      <c r="H12" s="10">
        <v>60</v>
      </c>
      <c r="I12" s="10">
        <v>100</v>
      </c>
      <c r="J12" s="10">
        <v>300</v>
      </c>
      <c r="K12" s="10">
        <v>450</v>
      </c>
      <c r="L12" s="10">
        <v>300</v>
      </c>
      <c r="M12" s="10">
        <v>150</v>
      </c>
      <c r="N12" s="10">
        <v>100</v>
      </c>
      <c r="O12" s="10">
        <f t="shared" ref="O12" si="0">SUM(C12:N12)</f>
        <v>2060</v>
      </c>
      <c r="P12" s="12">
        <f>O12+(O12*$S$6)</f>
        <v>2224.8000000000002</v>
      </c>
      <c r="Q12" s="12">
        <f>P12+(P12*$S$7)</f>
        <v>2558.5200000000004</v>
      </c>
    </row>
    <row r="13" spans="1:19" ht="15.75" customHeight="1">
      <c r="B13" s="14" t="s">
        <v>37</v>
      </c>
      <c r="C13" s="15">
        <v>84</v>
      </c>
      <c r="D13" s="111">
        <v>166</v>
      </c>
      <c r="E13" s="111">
        <v>226</v>
      </c>
      <c r="F13" s="111">
        <v>413</v>
      </c>
      <c r="G13" s="111">
        <v>131</v>
      </c>
      <c r="H13" s="111">
        <v>110</v>
      </c>
      <c r="I13" s="111">
        <v>173</v>
      </c>
      <c r="J13" s="111">
        <v>458</v>
      </c>
      <c r="K13" s="111">
        <v>454</v>
      </c>
      <c r="L13" s="111">
        <v>365</v>
      </c>
      <c r="M13" s="111">
        <v>153</v>
      </c>
      <c r="N13" s="111">
        <v>103</v>
      </c>
      <c r="O13" s="15">
        <v>2180</v>
      </c>
      <c r="P13" s="15">
        <v>4283</v>
      </c>
      <c r="Q13" s="15">
        <v>4641</v>
      </c>
    </row>
    <row r="32" spans="2:24">
      <c r="B32" s="173" t="s">
        <v>48</v>
      </c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</row>
    <row r="33" spans="2:25" ht="27.75" customHeight="1">
      <c r="B33" s="11" t="s">
        <v>30</v>
      </c>
      <c r="C33" s="11" t="s">
        <v>31</v>
      </c>
      <c r="D33" s="11" t="s">
        <v>32</v>
      </c>
      <c r="E33" s="13" t="s">
        <v>35</v>
      </c>
      <c r="F33" s="13" t="s">
        <v>38</v>
      </c>
      <c r="G33" s="13" t="s">
        <v>39</v>
      </c>
      <c r="H33" s="13" t="s">
        <v>113</v>
      </c>
      <c r="I33" s="13" t="s">
        <v>40</v>
      </c>
      <c r="J33" s="11" t="s">
        <v>15</v>
      </c>
      <c r="K33" s="11" t="s">
        <v>16</v>
      </c>
      <c r="L33" s="11" t="s">
        <v>33</v>
      </c>
      <c r="M33" s="11" t="s">
        <v>34</v>
      </c>
      <c r="N33" s="11" t="s">
        <v>19</v>
      </c>
      <c r="O33" s="11" t="s">
        <v>20</v>
      </c>
      <c r="P33" s="11" t="s">
        <v>21</v>
      </c>
      <c r="Q33" s="11" t="s">
        <v>41</v>
      </c>
      <c r="R33" s="11" t="s">
        <v>42</v>
      </c>
      <c r="S33" s="11" t="s">
        <v>24</v>
      </c>
      <c r="T33" s="11" t="s">
        <v>25</v>
      </c>
      <c r="U33" s="11" t="s">
        <v>26</v>
      </c>
      <c r="V33" s="11" t="s">
        <v>2</v>
      </c>
      <c r="W33" s="11" t="s">
        <v>3</v>
      </c>
      <c r="X33" s="11" t="s">
        <v>43</v>
      </c>
    </row>
    <row r="34" spans="2:25">
      <c r="B34" s="172" t="s">
        <v>47</v>
      </c>
      <c r="C34" s="2" t="s">
        <v>44</v>
      </c>
      <c r="D34" s="2">
        <v>1</v>
      </c>
      <c r="E34" s="18">
        <v>1300000</v>
      </c>
      <c r="F34" s="32">
        <f>E34/$H$49</f>
        <v>1.7621933614109475</v>
      </c>
      <c r="G34" s="2">
        <v>0</v>
      </c>
      <c r="H34" s="18">
        <f>E34*$D$59</f>
        <v>680290</v>
      </c>
      <c r="I34" s="18">
        <f>E34+G34+H34</f>
        <v>1980290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1980290</v>
      </c>
      <c r="P34" s="18">
        <v>1980290</v>
      </c>
      <c r="Q34" s="18">
        <v>1980290</v>
      </c>
      <c r="R34" s="18">
        <v>1980290</v>
      </c>
      <c r="S34" s="18">
        <v>1980290</v>
      </c>
      <c r="T34" s="18">
        <v>1980290</v>
      </c>
      <c r="U34" s="18">
        <v>1980290</v>
      </c>
      <c r="V34" s="18">
        <f>SUM(J34:U34)</f>
        <v>13862030</v>
      </c>
      <c r="W34" s="18">
        <f>V34+(V34*$D$6)</f>
        <v>14693751.800000001</v>
      </c>
      <c r="X34" s="18">
        <f>W34+(W34*$D$7)</f>
        <v>15648845.667000001</v>
      </c>
    </row>
    <row r="35" spans="2:25">
      <c r="B35" s="172"/>
      <c r="C35" s="2" t="s">
        <v>45</v>
      </c>
      <c r="D35" s="2">
        <v>1</v>
      </c>
      <c r="E35" s="18">
        <v>200000</v>
      </c>
      <c r="F35" s="32">
        <f>E35/$H$49</f>
        <v>0.27110667098629965</v>
      </c>
      <c r="G35" s="2">
        <v>0</v>
      </c>
      <c r="H35" s="18">
        <v>0</v>
      </c>
      <c r="I35" s="18">
        <f>E35+G35+H35</f>
        <v>200000</v>
      </c>
      <c r="J35" s="18">
        <v>200000</v>
      </c>
      <c r="K35" s="18">
        <v>200000</v>
      </c>
      <c r="L35" s="18">
        <v>200000</v>
      </c>
      <c r="M35" s="18">
        <v>200000</v>
      </c>
      <c r="N35" s="18">
        <v>200000</v>
      </c>
      <c r="O35" s="18">
        <v>200000</v>
      </c>
      <c r="P35" s="18">
        <v>200000</v>
      </c>
      <c r="Q35" s="18">
        <v>200000</v>
      </c>
      <c r="R35" s="18">
        <v>200000</v>
      </c>
      <c r="S35" s="18">
        <v>200000</v>
      </c>
      <c r="T35" s="18">
        <v>200000</v>
      </c>
      <c r="U35" s="18">
        <v>200000</v>
      </c>
      <c r="V35" s="18">
        <f>SUM(J35:U35)</f>
        <v>2400000</v>
      </c>
      <c r="W35" s="18">
        <f>V35+(V35*$D$6)</f>
        <v>2544000</v>
      </c>
      <c r="X35" s="18">
        <f>W35+(W35*$D$7)</f>
        <v>2709360</v>
      </c>
    </row>
    <row r="36" spans="2:25">
      <c r="B36" s="172"/>
      <c r="C36" s="21" t="s">
        <v>46</v>
      </c>
      <c r="D36" s="21">
        <f>SUM(D34:D35)</f>
        <v>2</v>
      </c>
      <c r="E36" s="25">
        <f t="shared" ref="E36:V36" si="1">SUM(E34:E35)</f>
        <v>1500000</v>
      </c>
      <c r="F36" s="33">
        <f t="shared" si="1"/>
        <v>2.0333000323972472</v>
      </c>
      <c r="G36" s="21">
        <f t="shared" si="1"/>
        <v>0</v>
      </c>
      <c r="H36" s="25">
        <f t="shared" si="1"/>
        <v>680290</v>
      </c>
      <c r="I36" s="25">
        <f t="shared" si="1"/>
        <v>2180290</v>
      </c>
      <c r="J36" s="25">
        <f t="shared" si="1"/>
        <v>200000</v>
      </c>
      <c r="K36" s="25">
        <f t="shared" si="1"/>
        <v>200000</v>
      </c>
      <c r="L36" s="25">
        <f t="shared" si="1"/>
        <v>200000</v>
      </c>
      <c r="M36" s="25">
        <f t="shared" si="1"/>
        <v>200000</v>
      </c>
      <c r="N36" s="25">
        <f t="shared" si="1"/>
        <v>200000</v>
      </c>
      <c r="O36" s="25">
        <f t="shared" si="1"/>
        <v>2180290</v>
      </c>
      <c r="P36" s="25">
        <f t="shared" si="1"/>
        <v>2180290</v>
      </c>
      <c r="Q36" s="25">
        <f t="shared" si="1"/>
        <v>2180290</v>
      </c>
      <c r="R36" s="25">
        <f t="shared" si="1"/>
        <v>2180290</v>
      </c>
      <c r="S36" s="25">
        <f t="shared" si="1"/>
        <v>2180290</v>
      </c>
      <c r="T36" s="25">
        <f t="shared" si="1"/>
        <v>2180290</v>
      </c>
      <c r="U36" s="25">
        <f t="shared" si="1"/>
        <v>2180290</v>
      </c>
      <c r="V36" s="25">
        <f t="shared" si="1"/>
        <v>16262030</v>
      </c>
      <c r="W36" s="25">
        <f>SUM(W34:W35)</f>
        <v>17237751.800000001</v>
      </c>
      <c r="X36" s="25">
        <f>SUM(X34:X35)</f>
        <v>18358205.667000003</v>
      </c>
    </row>
    <row r="37" spans="2:25">
      <c r="B37" s="172" t="s">
        <v>50</v>
      </c>
      <c r="C37" s="2" t="s">
        <v>49</v>
      </c>
      <c r="D37" s="2">
        <v>1</v>
      </c>
      <c r="E37" s="18">
        <v>1300000</v>
      </c>
      <c r="F37" s="32">
        <f>E37/$H$49</f>
        <v>1.7621933614109475</v>
      </c>
      <c r="G37" s="2">
        <v>0</v>
      </c>
      <c r="H37" s="18">
        <f>E37*$D$59</f>
        <v>680290</v>
      </c>
      <c r="I37" s="18">
        <f>E37+G37+H37</f>
        <v>1980290</v>
      </c>
      <c r="J37" s="18">
        <v>1980290</v>
      </c>
      <c r="K37" s="18">
        <v>1980290</v>
      </c>
      <c r="L37" s="18">
        <v>1980290</v>
      </c>
      <c r="M37" s="18">
        <v>1980290</v>
      </c>
      <c r="N37" s="18">
        <v>1980290</v>
      </c>
      <c r="O37" s="18">
        <v>1980290</v>
      </c>
      <c r="P37" s="18">
        <v>1980290</v>
      </c>
      <c r="Q37" s="18">
        <v>1980290</v>
      </c>
      <c r="R37" s="18">
        <v>1980290</v>
      </c>
      <c r="S37" s="18">
        <v>1980290</v>
      </c>
      <c r="T37" s="18">
        <v>1980290</v>
      </c>
      <c r="U37" s="18">
        <v>1980290</v>
      </c>
      <c r="V37" s="18">
        <f>SUM(J37:U37)</f>
        <v>23763480</v>
      </c>
      <c r="W37" s="18">
        <f>V37+(V37*$D$6)</f>
        <v>25189288.800000001</v>
      </c>
      <c r="X37" s="18">
        <f>W37+(W37*$D$7)</f>
        <v>26826592.572000001</v>
      </c>
    </row>
    <row r="38" spans="2:25">
      <c r="B38" s="172"/>
      <c r="C38" s="2" t="s">
        <v>78</v>
      </c>
      <c r="D38" s="2">
        <v>1</v>
      </c>
      <c r="E38" s="18">
        <v>800000</v>
      </c>
      <c r="F38" s="32">
        <f>E38/$H$49</f>
        <v>1.0844266839451986</v>
      </c>
      <c r="G38" s="29">
        <v>77700</v>
      </c>
      <c r="H38" s="18">
        <f>E38*$D$59</f>
        <v>418640</v>
      </c>
      <c r="I38" s="18">
        <f>E38+G38+H38</f>
        <v>1296340</v>
      </c>
      <c r="J38" s="18">
        <v>400000</v>
      </c>
      <c r="K38" s="18">
        <v>400000</v>
      </c>
      <c r="L38" s="18">
        <v>400000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f>SUM(J38:U38)</f>
        <v>1200000</v>
      </c>
      <c r="W38" s="18">
        <f>V38+(V38*$D$6)</f>
        <v>1272000</v>
      </c>
      <c r="X38" s="18">
        <f>W38+(W38*$D$7)</f>
        <v>1354680</v>
      </c>
    </row>
    <row r="39" spans="2:25">
      <c r="B39" s="172"/>
      <c r="C39" s="21" t="s">
        <v>51</v>
      </c>
      <c r="D39" s="21">
        <f>SUM(D37:D38)</f>
        <v>2</v>
      </c>
      <c r="E39" s="25">
        <f t="shared" ref="E39:X39" si="2">SUM(E37:E38)</f>
        <v>2100000</v>
      </c>
      <c r="F39" s="33">
        <f t="shared" si="2"/>
        <v>2.8466200453561461</v>
      </c>
      <c r="G39" s="21">
        <f t="shared" si="2"/>
        <v>77700</v>
      </c>
      <c r="H39" s="25">
        <f t="shared" si="2"/>
        <v>1098930</v>
      </c>
      <c r="I39" s="25">
        <f t="shared" si="2"/>
        <v>3276630</v>
      </c>
      <c r="J39" s="25">
        <f t="shared" si="2"/>
        <v>2380290</v>
      </c>
      <c r="K39" s="25">
        <f t="shared" si="2"/>
        <v>2380290</v>
      </c>
      <c r="L39" s="25">
        <f t="shared" si="2"/>
        <v>2380290</v>
      </c>
      <c r="M39" s="25">
        <f t="shared" si="2"/>
        <v>1980290</v>
      </c>
      <c r="N39" s="25">
        <f t="shared" si="2"/>
        <v>1980290</v>
      </c>
      <c r="O39" s="25">
        <f t="shared" si="2"/>
        <v>1980290</v>
      </c>
      <c r="P39" s="25">
        <f t="shared" si="2"/>
        <v>1980290</v>
      </c>
      <c r="Q39" s="25">
        <f t="shared" si="2"/>
        <v>1980290</v>
      </c>
      <c r="R39" s="25">
        <f t="shared" si="2"/>
        <v>1980290</v>
      </c>
      <c r="S39" s="25">
        <f t="shared" si="2"/>
        <v>1980290</v>
      </c>
      <c r="T39" s="25">
        <f t="shared" si="2"/>
        <v>1980290</v>
      </c>
      <c r="U39" s="25">
        <f t="shared" si="2"/>
        <v>1980290</v>
      </c>
      <c r="V39" s="25">
        <f t="shared" si="2"/>
        <v>24963480</v>
      </c>
      <c r="W39" s="25">
        <f t="shared" si="2"/>
        <v>26461288.800000001</v>
      </c>
      <c r="X39" s="25">
        <f t="shared" si="2"/>
        <v>28181272.572000001</v>
      </c>
    </row>
    <row r="40" spans="2:25">
      <c r="B40" s="172" t="s">
        <v>55</v>
      </c>
      <c r="C40" s="2" t="s">
        <v>52</v>
      </c>
      <c r="D40" s="2">
        <v>1</v>
      </c>
      <c r="E40" s="18">
        <v>800000</v>
      </c>
      <c r="F40" s="32">
        <f>E40/$H$49</f>
        <v>1.0844266839451986</v>
      </c>
      <c r="G40" s="29">
        <v>77700</v>
      </c>
      <c r="H40" s="18">
        <f>E40*$D$59</f>
        <v>418640</v>
      </c>
      <c r="I40" s="18">
        <f>E40+G40+H40</f>
        <v>1296340</v>
      </c>
      <c r="J40" s="18">
        <v>0</v>
      </c>
      <c r="K40" s="18">
        <v>0</v>
      </c>
      <c r="L40" s="18">
        <v>0</v>
      </c>
      <c r="M40" s="18">
        <v>1296340</v>
      </c>
      <c r="N40" s="18">
        <v>1296340</v>
      </c>
      <c r="O40" s="18">
        <v>0</v>
      </c>
      <c r="P40" s="18">
        <v>0</v>
      </c>
      <c r="Q40" s="18">
        <v>0</v>
      </c>
      <c r="R40" s="18">
        <v>0</v>
      </c>
      <c r="S40" s="18">
        <v>1296340</v>
      </c>
      <c r="T40" s="18">
        <v>0</v>
      </c>
      <c r="U40" s="18">
        <v>0</v>
      </c>
      <c r="V40" s="18">
        <f>SUM(J40:U40)</f>
        <v>3889020</v>
      </c>
      <c r="W40" s="18">
        <f>V40+(V40*$D$6)</f>
        <v>4122361.2</v>
      </c>
      <c r="X40" s="18">
        <f>W40+(W40*$D$7)</f>
        <v>4390314.6780000003</v>
      </c>
    </row>
    <row r="41" spans="2:25">
      <c r="B41" s="172"/>
      <c r="C41" s="2" t="s">
        <v>53</v>
      </c>
      <c r="D41" s="2">
        <v>1</v>
      </c>
      <c r="E41" s="18">
        <v>800000</v>
      </c>
      <c r="F41" s="32">
        <f>E41/$H$49</f>
        <v>1.0844266839451986</v>
      </c>
      <c r="G41" s="29">
        <v>77700</v>
      </c>
      <c r="H41" s="18">
        <f>E41*$D$59</f>
        <v>418640</v>
      </c>
      <c r="I41" s="18">
        <f>E41+G41+H41</f>
        <v>1296340</v>
      </c>
      <c r="J41" s="18">
        <v>200000</v>
      </c>
      <c r="K41" s="18">
        <v>0</v>
      </c>
      <c r="L41" s="18">
        <v>0</v>
      </c>
      <c r="M41" s="18">
        <v>20000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f>SUM(J41:U41)</f>
        <v>220000</v>
      </c>
      <c r="W41" s="18">
        <f>V41+(V41*$D$6)</f>
        <v>233200</v>
      </c>
      <c r="X41" s="18">
        <f>W41+(W41*$D$7)</f>
        <v>248358</v>
      </c>
    </row>
    <row r="42" spans="2:25">
      <c r="B42" s="172"/>
      <c r="C42" s="21" t="s">
        <v>54</v>
      </c>
      <c r="D42" s="21">
        <f>SUM(D40:D41)</f>
        <v>2</v>
      </c>
      <c r="E42" s="25">
        <f t="shared" ref="E42:X42" si="3">SUM(E40:E41)</f>
        <v>1600000</v>
      </c>
      <c r="F42" s="33">
        <f t="shared" si="3"/>
        <v>2.1688533678903972</v>
      </c>
      <c r="G42" s="21">
        <f t="shared" si="3"/>
        <v>155400</v>
      </c>
      <c r="H42" s="25">
        <f t="shared" si="3"/>
        <v>837280</v>
      </c>
      <c r="I42" s="25">
        <f t="shared" si="3"/>
        <v>2592680</v>
      </c>
      <c r="J42" s="25">
        <f t="shared" si="3"/>
        <v>200000</v>
      </c>
      <c r="K42" s="25">
        <f t="shared" si="3"/>
        <v>0</v>
      </c>
      <c r="L42" s="25">
        <f t="shared" si="3"/>
        <v>0</v>
      </c>
      <c r="M42" s="25">
        <f t="shared" si="3"/>
        <v>1316340</v>
      </c>
      <c r="N42" s="25">
        <f t="shared" si="3"/>
        <v>1296340</v>
      </c>
      <c r="O42" s="25">
        <f t="shared" si="3"/>
        <v>0</v>
      </c>
      <c r="P42" s="25">
        <f t="shared" si="3"/>
        <v>0</v>
      </c>
      <c r="Q42" s="25">
        <f t="shared" si="3"/>
        <v>0</v>
      </c>
      <c r="R42" s="25">
        <f t="shared" si="3"/>
        <v>0</v>
      </c>
      <c r="S42" s="25">
        <f t="shared" si="3"/>
        <v>1296340</v>
      </c>
      <c r="T42" s="25">
        <f t="shared" si="3"/>
        <v>0</v>
      </c>
      <c r="U42" s="25">
        <f t="shared" si="3"/>
        <v>0</v>
      </c>
      <c r="V42" s="25">
        <f t="shared" si="3"/>
        <v>4109020</v>
      </c>
      <c r="W42" s="25">
        <f t="shared" si="3"/>
        <v>4355561.2</v>
      </c>
      <c r="X42" s="25">
        <f t="shared" si="3"/>
        <v>4638672.6780000003</v>
      </c>
    </row>
    <row r="43" spans="2:25">
      <c r="C43" s="21" t="s">
        <v>56</v>
      </c>
      <c r="D43" s="21">
        <f>D36+D39+D42</f>
        <v>6</v>
      </c>
      <c r="E43" s="25">
        <f>E36+E39+E42</f>
        <v>5200000</v>
      </c>
      <c r="F43" s="33">
        <f t="shared" ref="F43:V43" si="4">F36+F39+F42</f>
        <v>7.0487734456437909</v>
      </c>
      <c r="G43" s="25">
        <f t="shared" si="4"/>
        <v>233100</v>
      </c>
      <c r="H43" s="25">
        <f t="shared" si="4"/>
        <v>2616500</v>
      </c>
      <c r="I43" s="25">
        <f t="shared" si="4"/>
        <v>8049600</v>
      </c>
      <c r="J43" s="25">
        <f t="shared" si="4"/>
        <v>2780290</v>
      </c>
      <c r="K43" s="25">
        <f t="shared" si="4"/>
        <v>2580290</v>
      </c>
      <c r="L43" s="25">
        <f t="shared" si="4"/>
        <v>2580290</v>
      </c>
      <c r="M43" s="25">
        <f t="shared" si="4"/>
        <v>3496630</v>
      </c>
      <c r="N43" s="25">
        <f t="shared" si="4"/>
        <v>3476630</v>
      </c>
      <c r="O43" s="25">
        <f t="shared" si="4"/>
        <v>4160580</v>
      </c>
      <c r="P43" s="25">
        <f t="shared" si="4"/>
        <v>4160580</v>
      </c>
      <c r="Q43" s="25">
        <f t="shared" si="4"/>
        <v>4160580</v>
      </c>
      <c r="R43" s="25">
        <f t="shared" si="4"/>
        <v>4160580</v>
      </c>
      <c r="S43" s="25">
        <f t="shared" si="4"/>
        <v>5456920</v>
      </c>
      <c r="T43" s="25">
        <f t="shared" si="4"/>
        <v>4160580</v>
      </c>
      <c r="U43" s="25">
        <f t="shared" si="4"/>
        <v>4160580</v>
      </c>
      <c r="V43" s="25">
        <f t="shared" si="4"/>
        <v>45334530</v>
      </c>
      <c r="W43" s="25">
        <f>W36+W39+W42</f>
        <v>48054601.800000004</v>
      </c>
      <c r="X43" s="25">
        <f>X36+X39+X42</f>
        <v>51178150.917000011</v>
      </c>
    </row>
    <row r="47" spans="2:25">
      <c r="B47" s="171" t="s">
        <v>77</v>
      </c>
      <c r="C47" s="171"/>
      <c r="D47" s="171"/>
      <c r="E47" s="171"/>
    </row>
    <row r="48" spans="2:25" ht="27.75" customHeight="1">
      <c r="B48" s="174" t="s">
        <v>68</v>
      </c>
      <c r="C48" s="174"/>
      <c r="D48" s="22" t="s">
        <v>71</v>
      </c>
      <c r="E48" s="23" t="s">
        <v>72</v>
      </c>
      <c r="G48" s="175" t="s">
        <v>73</v>
      </c>
      <c r="H48" s="175"/>
      <c r="J48" s="175" t="s">
        <v>79</v>
      </c>
      <c r="K48" s="175"/>
      <c r="L48" s="175"/>
      <c r="N48" s="30" t="s">
        <v>97</v>
      </c>
      <c r="O48" s="30" t="s">
        <v>98</v>
      </c>
      <c r="Q48" s="178" t="s">
        <v>107</v>
      </c>
      <c r="R48" s="178"/>
      <c r="S48" s="178"/>
      <c r="T48" s="178"/>
      <c r="U48" s="178"/>
      <c r="W48" s="176" t="s">
        <v>114</v>
      </c>
      <c r="X48" s="176"/>
      <c r="Y48" s="176"/>
    </row>
    <row r="49" spans="2:25">
      <c r="B49" s="174" t="s">
        <v>69</v>
      </c>
      <c r="C49" s="2" t="s">
        <v>57</v>
      </c>
      <c r="D49" s="4">
        <v>0.04</v>
      </c>
      <c r="E49" s="18">
        <f>$H$49*D49</f>
        <v>29508.68</v>
      </c>
      <c r="G49" s="2" t="s">
        <v>74</v>
      </c>
      <c r="H49" s="26">
        <v>737717</v>
      </c>
      <c r="J49" s="2" t="s">
        <v>68</v>
      </c>
      <c r="K49" s="2" t="s">
        <v>80</v>
      </c>
      <c r="L49" s="2" t="s">
        <v>81</v>
      </c>
      <c r="N49" s="2" t="s">
        <v>99</v>
      </c>
      <c r="O49" s="2" t="s">
        <v>100</v>
      </c>
      <c r="Q49" s="172" t="s">
        <v>101</v>
      </c>
      <c r="R49" s="177" t="s">
        <v>102</v>
      </c>
      <c r="S49" s="177" t="s">
        <v>103</v>
      </c>
      <c r="T49" s="177" t="s">
        <v>106</v>
      </c>
      <c r="U49" s="177"/>
      <c r="W49" s="34" t="s">
        <v>115</v>
      </c>
      <c r="X49" s="34" t="s">
        <v>116</v>
      </c>
      <c r="Y49" s="34" t="s">
        <v>117</v>
      </c>
    </row>
    <row r="50" spans="2:25">
      <c r="B50" s="174"/>
      <c r="C50" s="2" t="s">
        <v>58</v>
      </c>
      <c r="D50" s="4">
        <v>0.03</v>
      </c>
      <c r="E50" s="18">
        <f t="shared" ref="E50:E58" si="5">$H$49*D50</f>
        <v>22131.51</v>
      </c>
      <c r="G50" s="2" t="s">
        <v>75</v>
      </c>
      <c r="H50" s="26" t="s">
        <v>218</v>
      </c>
      <c r="J50" s="2" t="s">
        <v>82</v>
      </c>
      <c r="K50" s="2" t="s">
        <v>83</v>
      </c>
      <c r="L50" s="19">
        <f>H49/(8*30)</f>
        <v>3073.8208333333332</v>
      </c>
      <c r="N50" s="2" t="s">
        <v>105</v>
      </c>
      <c r="O50" s="2">
        <v>8</v>
      </c>
      <c r="Q50" s="172"/>
      <c r="R50" s="177"/>
      <c r="S50" s="177"/>
      <c r="T50" s="10" t="s">
        <v>104</v>
      </c>
      <c r="U50" s="10" t="s">
        <v>105</v>
      </c>
      <c r="W50" s="34" t="s">
        <v>118</v>
      </c>
      <c r="X50" s="34">
        <v>1</v>
      </c>
      <c r="Y50" s="34">
        <f>X50/$U$55</f>
        <v>1.2254901960784314E-3</v>
      </c>
    </row>
    <row r="51" spans="2:25">
      <c r="B51" s="174"/>
      <c r="C51" s="2" t="s">
        <v>59</v>
      </c>
      <c r="D51" s="4">
        <v>0.02</v>
      </c>
      <c r="E51" s="18">
        <f t="shared" si="5"/>
        <v>14754.34</v>
      </c>
      <c r="G51" s="2" t="s">
        <v>76</v>
      </c>
      <c r="H51" s="27">
        <f>E59</f>
        <v>386047.30609999999</v>
      </c>
      <c r="J51" s="2" t="s">
        <v>84</v>
      </c>
      <c r="K51" s="2" t="s">
        <v>85</v>
      </c>
      <c r="L51" s="19">
        <f>L50*1.35</f>
        <v>4149.6581249999999</v>
      </c>
      <c r="Q51" s="2" t="s">
        <v>108</v>
      </c>
      <c r="R51" s="2" t="s">
        <v>112</v>
      </c>
      <c r="S51" s="2">
        <v>2</v>
      </c>
      <c r="T51" s="2">
        <f>60*U51</f>
        <v>6720</v>
      </c>
      <c r="U51" s="2">
        <f>14*O50</f>
        <v>112</v>
      </c>
      <c r="W51" s="34" t="s">
        <v>119</v>
      </c>
      <c r="X51" s="34">
        <v>8</v>
      </c>
      <c r="Y51" s="34">
        <f t="shared" ref="Y51:Y53" si="6">X51/$U$55</f>
        <v>9.8039215686274508E-3</v>
      </c>
    </row>
    <row r="52" spans="2:25">
      <c r="B52" s="174"/>
      <c r="C52" s="2" t="s">
        <v>60</v>
      </c>
      <c r="D52" s="4">
        <v>0.12</v>
      </c>
      <c r="E52" s="18">
        <f t="shared" si="5"/>
        <v>88526.04</v>
      </c>
      <c r="G52" s="21" t="s">
        <v>56</v>
      </c>
      <c r="H52" s="28">
        <f>SUM(H49:H51)</f>
        <v>1123764.3060999999</v>
      </c>
      <c r="J52" s="2" t="s">
        <v>87</v>
      </c>
      <c r="K52" s="2" t="s">
        <v>88</v>
      </c>
      <c r="L52" s="19">
        <f>L50*1.25</f>
        <v>3842.2760416666665</v>
      </c>
      <c r="Q52" s="2" t="s">
        <v>109</v>
      </c>
      <c r="R52" s="2" t="s">
        <v>112</v>
      </c>
      <c r="S52" s="2">
        <v>2</v>
      </c>
      <c r="T52" s="2">
        <f>U52*60</f>
        <v>4320</v>
      </c>
      <c r="U52" s="2">
        <f>9*O50</f>
        <v>72</v>
      </c>
      <c r="W52" s="34" t="s">
        <v>120</v>
      </c>
      <c r="X52" s="34">
        <v>40</v>
      </c>
      <c r="Y52" s="34">
        <v>1200</v>
      </c>
    </row>
    <row r="53" spans="2:25">
      <c r="B53" s="174"/>
      <c r="C53" s="2" t="s">
        <v>61</v>
      </c>
      <c r="D53" s="3">
        <v>8.5000000000000006E-2</v>
      </c>
      <c r="E53" s="18">
        <f t="shared" si="5"/>
        <v>62705.945000000007</v>
      </c>
      <c r="J53" s="2" t="s">
        <v>86</v>
      </c>
      <c r="K53" s="2" t="s">
        <v>89</v>
      </c>
      <c r="L53" s="19">
        <f>L50*1.75</f>
        <v>5379.1864583333336</v>
      </c>
      <c r="Q53" s="2" t="s">
        <v>110</v>
      </c>
      <c r="R53" s="2" t="s">
        <v>112</v>
      </c>
      <c r="S53" s="2">
        <v>3</v>
      </c>
      <c r="T53" s="2">
        <f>U53*60</f>
        <v>27360</v>
      </c>
      <c r="U53" s="2">
        <f>57*O50</f>
        <v>456</v>
      </c>
      <c r="W53" s="34" t="s">
        <v>121</v>
      </c>
      <c r="X53" s="34">
        <v>160</v>
      </c>
      <c r="Y53" s="34">
        <f t="shared" si="6"/>
        <v>0.19607843137254902</v>
      </c>
    </row>
    <row r="54" spans="2:25">
      <c r="B54" s="174"/>
      <c r="C54" s="2" t="s">
        <v>62</v>
      </c>
      <c r="D54" s="4">
        <v>0.01</v>
      </c>
      <c r="E54" s="71">
        <f t="shared" si="5"/>
        <v>7377.17</v>
      </c>
      <c r="J54" s="2" t="s">
        <v>90</v>
      </c>
      <c r="K54" s="2" t="s">
        <v>89</v>
      </c>
      <c r="L54" s="19">
        <f>L50*1.75</f>
        <v>5379.1864583333336</v>
      </c>
      <c r="Q54" s="2" t="s">
        <v>111</v>
      </c>
      <c r="R54" s="2" t="s">
        <v>112</v>
      </c>
      <c r="S54" s="2">
        <v>2</v>
      </c>
      <c r="T54" s="2">
        <f>60*U54</f>
        <v>10560</v>
      </c>
      <c r="U54" s="2">
        <f>22*O50</f>
        <v>176</v>
      </c>
    </row>
    <row r="55" spans="2:25">
      <c r="B55" s="174" t="s">
        <v>70</v>
      </c>
      <c r="C55" s="2" t="s">
        <v>63</v>
      </c>
      <c r="D55" s="3">
        <v>8.3299999999999999E-2</v>
      </c>
      <c r="E55" s="18">
        <f>$H$49*D55</f>
        <v>61451.826099999998</v>
      </c>
      <c r="J55" s="2" t="s">
        <v>91</v>
      </c>
      <c r="K55" s="2" t="s">
        <v>94</v>
      </c>
      <c r="L55" s="19">
        <f>L50*2.1</f>
        <v>6455.0237500000003</v>
      </c>
      <c r="R55" s="31" t="s">
        <v>56</v>
      </c>
      <c r="S55" s="31">
        <v>3</v>
      </c>
      <c r="T55" s="2">
        <f>SUM(T51:T54)</f>
        <v>48960</v>
      </c>
      <c r="U55" s="2">
        <f>SUM(U51:U54)</f>
        <v>816</v>
      </c>
    </row>
    <row r="56" spans="2:25">
      <c r="B56" s="174"/>
      <c r="C56" s="2" t="s">
        <v>64</v>
      </c>
      <c r="D56" s="4">
        <v>0.01</v>
      </c>
      <c r="E56" s="18">
        <f t="shared" si="5"/>
        <v>7377.17</v>
      </c>
      <c r="J56" s="2" t="s">
        <v>92</v>
      </c>
      <c r="K56" s="2" t="s">
        <v>95</v>
      </c>
      <c r="L56" s="19">
        <f>L50*2</f>
        <v>6147.6416666666664</v>
      </c>
    </row>
    <row r="57" spans="2:25">
      <c r="B57" s="174"/>
      <c r="C57" s="2" t="s">
        <v>65</v>
      </c>
      <c r="D57" s="3">
        <v>8.3299999999999999E-2</v>
      </c>
      <c r="E57" s="18">
        <f t="shared" si="5"/>
        <v>61451.826099999998</v>
      </c>
      <c r="J57" s="2" t="s">
        <v>93</v>
      </c>
      <c r="K57" s="2" t="s">
        <v>96</v>
      </c>
      <c r="L57" s="19">
        <f>L50*2.5</f>
        <v>7684.552083333333</v>
      </c>
    </row>
    <row r="58" spans="2:25">
      <c r="B58" s="174"/>
      <c r="C58" s="2" t="s">
        <v>66</v>
      </c>
      <c r="D58" s="3">
        <v>4.1700000000000001E-2</v>
      </c>
      <c r="E58" s="18">
        <f t="shared" si="5"/>
        <v>30762.798900000002</v>
      </c>
    </row>
    <row r="59" spans="2:25">
      <c r="C59" s="21" t="s">
        <v>67</v>
      </c>
      <c r="D59" s="24">
        <f>SUM(D49:D58)</f>
        <v>0.52329999999999999</v>
      </c>
      <c r="E59" s="25">
        <f>SUM(E49:E58)</f>
        <v>386047.30609999999</v>
      </c>
    </row>
  </sheetData>
  <mergeCells count="23">
    <mergeCell ref="W48:Y48"/>
    <mergeCell ref="J48:L48"/>
    <mergeCell ref="Q49:Q50"/>
    <mergeCell ref="R49:R50"/>
    <mergeCell ref="S49:S50"/>
    <mergeCell ref="T49:U49"/>
    <mergeCell ref="Q48:U48"/>
    <mergeCell ref="B40:B42"/>
    <mergeCell ref="B48:C48"/>
    <mergeCell ref="B49:B54"/>
    <mergeCell ref="B55:B58"/>
    <mergeCell ref="G48:H48"/>
    <mergeCell ref="B47:E47"/>
    <mergeCell ref="R4:S5"/>
    <mergeCell ref="B9:Q9"/>
    <mergeCell ref="B34:B36"/>
    <mergeCell ref="B37:B39"/>
    <mergeCell ref="B32:X32"/>
    <mergeCell ref="A2:D2"/>
    <mergeCell ref="C4:D4"/>
    <mergeCell ref="N5:O5"/>
    <mergeCell ref="M4:O4"/>
    <mergeCell ref="N6:O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9"/>
  <sheetViews>
    <sheetView topLeftCell="A101" workbookViewId="0">
      <selection activeCell="G107" sqref="G107"/>
    </sheetView>
  </sheetViews>
  <sheetFormatPr baseColWidth="10" defaultRowHeight="15"/>
  <cols>
    <col min="2" max="2" width="31.7109375" bestFit="1" customWidth="1"/>
    <col min="3" max="3" width="16.7109375" bestFit="1" customWidth="1"/>
    <col min="4" max="4" width="16.140625" bestFit="1" customWidth="1"/>
    <col min="5" max="5" width="15.5703125" bestFit="1" customWidth="1"/>
    <col min="6" max="6" width="19.5703125" customWidth="1"/>
    <col min="7" max="7" width="15.28515625" bestFit="1" customWidth="1"/>
    <col min="8" max="8" width="18.5703125" customWidth="1"/>
    <col min="9" max="9" width="15.140625" customWidth="1"/>
    <col min="10" max="10" width="18.5703125" customWidth="1"/>
    <col min="11" max="11" width="20" customWidth="1"/>
    <col min="12" max="12" width="13.42578125" customWidth="1"/>
    <col min="13" max="14" width="14.28515625" bestFit="1" customWidth="1"/>
    <col min="15" max="15" width="18.140625" customWidth="1"/>
    <col min="16" max="17" width="15.5703125" bestFit="1" customWidth="1"/>
  </cols>
  <sheetData>
    <row r="2" spans="2:12">
      <c r="H2" s="204" t="s">
        <v>147</v>
      </c>
      <c r="I2" s="204"/>
      <c r="J2" s="204"/>
      <c r="K2" s="204"/>
      <c r="L2" s="204"/>
    </row>
    <row r="3" spans="2:12">
      <c r="B3" s="181" t="s">
        <v>128</v>
      </c>
      <c r="C3" s="181"/>
      <c r="D3" s="181"/>
      <c r="E3" s="181"/>
      <c r="F3" s="181"/>
      <c r="H3" s="202" t="s">
        <v>68</v>
      </c>
      <c r="I3" s="202"/>
      <c r="J3" s="202"/>
      <c r="K3" s="2" t="s">
        <v>81</v>
      </c>
      <c r="L3" s="2" t="s">
        <v>122</v>
      </c>
    </row>
    <row r="4" spans="2:12" ht="15.75" customHeight="1">
      <c r="B4" s="10" t="s">
        <v>68</v>
      </c>
      <c r="C4" s="10" t="s">
        <v>125</v>
      </c>
      <c r="D4" s="10" t="s">
        <v>126</v>
      </c>
      <c r="E4" s="10" t="s">
        <v>127</v>
      </c>
      <c r="F4" s="10" t="s">
        <v>122</v>
      </c>
      <c r="H4" s="202" t="s">
        <v>138</v>
      </c>
      <c r="I4" s="202"/>
      <c r="J4" s="202"/>
      <c r="K4" s="40">
        <v>0</v>
      </c>
      <c r="L4" s="4">
        <f t="shared" ref="L4:L12" si="0">K4/K$12</f>
        <v>0</v>
      </c>
    </row>
    <row r="5" spans="2:12" ht="15.75" customHeight="1">
      <c r="B5" s="20" t="s">
        <v>129</v>
      </c>
      <c r="C5" s="35" t="s">
        <v>133</v>
      </c>
      <c r="D5" s="36">
        <v>279000</v>
      </c>
      <c r="E5" s="36">
        <f>D5*12</f>
        <v>3348000</v>
      </c>
      <c r="F5" s="38">
        <f>E5/$E$16</f>
        <v>0.69059405940594054</v>
      </c>
      <c r="H5" s="202" t="s">
        <v>139</v>
      </c>
      <c r="I5" s="202"/>
      <c r="J5" s="202"/>
      <c r="K5" s="40">
        <v>51000</v>
      </c>
      <c r="L5" s="4">
        <f t="shared" si="0"/>
        <v>7.9687499999999994E-2</v>
      </c>
    </row>
    <row r="6" spans="2:12" ht="15.75" customHeight="1">
      <c r="B6" s="22" t="s">
        <v>130</v>
      </c>
      <c r="C6" s="10"/>
      <c r="D6" s="72"/>
      <c r="E6" s="27"/>
      <c r="F6" s="3"/>
      <c r="H6" s="202" t="s">
        <v>140</v>
      </c>
      <c r="I6" s="202"/>
      <c r="J6" s="202"/>
      <c r="K6" s="40">
        <v>0</v>
      </c>
      <c r="L6" s="4">
        <f t="shared" si="0"/>
        <v>0</v>
      </c>
    </row>
    <row r="7" spans="2:12" ht="15.75" customHeight="1">
      <c r="B7" s="2" t="s">
        <v>123</v>
      </c>
      <c r="C7" s="10">
        <v>1</v>
      </c>
      <c r="D7" s="27">
        <v>1500000</v>
      </c>
      <c r="E7" s="27">
        <f>C7*D7</f>
        <v>1500000</v>
      </c>
      <c r="F7" s="38">
        <f>E7/$E$16</f>
        <v>0.3094059405940594</v>
      </c>
      <c r="H7" s="146" t="s">
        <v>141</v>
      </c>
      <c r="I7" s="146"/>
      <c r="J7" s="146"/>
      <c r="K7" s="40">
        <v>0</v>
      </c>
      <c r="L7" s="4">
        <f t="shared" si="0"/>
        <v>0</v>
      </c>
    </row>
    <row r="8" spans="2:12" ht="15.75" customHeight="1">
      <c r="B8" s="21" t="s">
        <v>131</v>
      </c>
      <c r="C8" s="35"/>
      <c r="D8" s="36"/>
      <c r="E8" s="36">
        <f>E7</f>
        <v>1500000</v>
      </c>
      <c r="F8" s="38">
        <f>E8/$E$16</f>
        <v>0.3094059405940594</v>
      </c>
      <c r="H8" s="146" t="s">
        <v>142</v>
      </c>
      <c r="I8" s="146"/>
      <c r="J8" s="146"/>
      <c r="K8" s="41">
        <v>589000</v>
      </c>
      <c r="L8" s="4">
        <f t="shared" si="0"/>
        <v>0.92031249999999998</v>
      </c>
    </row>
    <row r="9" spans="2:12" ht="30" customHeight="1">
      <c r="B9" s="22" t="s">
        <v>132</v>
      </c>
      <c r="C9" s="10"/>
      <c r="D9" s="27"/>
      <c r="E9" s="27"/>
      <c r="F9" s="3"/>
      <c r="H9" s="188" t="s">
        <v>143</v>
      </c>
      <c r="I9" s="188"/>
      <c r="J9" s="188"/>
      <c r="K9" s="40">
        <v>0</v>
      </c>
      <c r="L9" s="4">
        <f t="shared" si="0"/>
        <v>0</v>
      </c>
    </row>
    <row r="10" spans="2:12" ht="15.75" customHeight="1">
      <c r="B10" s="22" t="s">
        <v>136</v>
      </c>
      <c r="C10" s="10" t="s">
        <v>136</v>
      </c>
      <c r="D10" s="27" t="s">
        <v>136</v>
      </c>
      <c r="E10" s="27" t="s">
        <v>136</v>
      </c>
      <c r="F10" s="39" t="s">
        <v>136</v>
      </c>
      <c r="H10" s="202" t="s">
        <v>144</v>
      </c>
      <c r="I10" s="202"/>
      <c r="J10" s="202"/>
      <c r="K10" s="40">
        <v>0</v>
      </c>
      <c r="L10" s="4">
        <f t="shared" si="0"/>
        <v>0</v>
      </c>
    </row>
    <row r="11" spans="2:12" ht="15.75" customHeight="1">
      <c r="B11" s="21" t="s">
        <v>134</v>
      </c>
      <c r="C11" s="35"/>
      <c r="D11" s="36"/>
      <c r="E11" s="36">
        <v>0</v>
      </c>
      <c r="F11" s="38">
        <f>E11/$E$16</f>
        <v>0</v>
      </c>
      <c r="H11" s="202" t="s">
        <v>145</v>
      </c>
      <c r="I11" s="202"/>
      <c r="J11" s="202"/>
      <c r="K11" s="40">
        <v>0</v>
      </c>
      <c r="L11" s="4">
        <f t="shared" si="0"/>
        <v>0</v>
      </c>
    </row>
    <row r="12" spans="2:12">
      <c r="B12" s="22" t="s">
        <v>135</v>
      </c>
      <c r="C12" s="10"/>
      <c r="D12" s="27"/>
      <c r="E12" s="27"/>
      <c r="F12" s="3"/>
      <c r="H12" s="203" t="s">
        <v>146</v>
      </c>
      <c r="I12" s="203"/>
      <c r="J12" s="203"/>
      <c r="K12" s="42">
        <f>SUM(K4:K11)</f>
        <v>640000</v>
      </c>
      <c r="L12" s="43">
        <f t="shared" si="0"/>
        <v>1</v>
      </c>
    </row>
    <row r="13" spans="2:12">
      <c r="B13" s="22" t="s">
        <v>136</v>
      </c>
      <c r="C13" s="10" t="s">
        <v>136</v>
      </c>
      <c r="D13" s="27" t="s">
        <v>136</v>
      </c>
      <c r="E13" s="27" t="s">
        <v>136</v>
      </c>
      <c r="F13" s="39" t="s">
        <v>136</v>
      </c>
    </row>
    <row r="14" spans="2:12">
      <c r="B14" s="22" t="s">
        <v>136</v>
      </c>
      <c r="C14" s="10" t="s">
        <v>136</v>
      </c>
      <c r="D14" s="27" t="s">
        <v>136</v>
      </c>
      <c r="E14" s="27" t="s">
        <v>136</v>
      </c>
      <c r="F14" s="39" t="s">
        <v>136</v>
      </c>
    </row>
    <row r="15" spans="2:12">
      <c r="B15" s="21" t="s">
        <v>124</v>
      </c>
      <c r="C15" s="35"/>
      <c r="D15" s="36"/>
      <c r="E15" s="36">
        <v>0</v>
      </c>
      <c r="F15" s="38">
        <f>E15/$E$16</f>
        <v>0</v>
      </c>
    </row>
    <row r="16" spans="2:12">
      <c r="B16" s="206" t="s">
        <v>137</v>
      </c>
      <c r="C16" s="207"/>
      <c r="D16" s="207"/>
      <c r="E16" s="37">
        <f>E5+E8+E11+E15</f>
        <v>4848000</v>
      </c>
      <c r="F16" s="38">
        <f>E16/$E$16</f>
        <v>1</v>
      </c>
    </row>
    <row r="17" spans="2:12">
      <c r="D17" s="16"/>
      <c r="E17" s="16"/>
    </row>
    <row r="18" spans="2:12">
      <c r="B18" s="196" t="s">
        <v>148</v>
      </c>
      <c r="C18" s="196"/>
      <c r="D18" s="16"/>
      <c r="E18" s="16"/>
    </row>
    <row r="19" spans="2:12">
      <c r="B19" s="2" t="s">
        <v>149</v>
      </c>
      <c r="C19" s="18">
        <f>E16</f>
        <v>4848000</v>
      </c>
      <c r="D19" s="16"/>
      <c r="E19" s="16"/>
    </row>
    <row r="20" spans="2:12">
      <c r="B20" s="2" t="s">
        <v>150</v>
      </c>
      <c r="C20" s="40">
        <f>K12</f>
        <v>640000</v>
      </c>
      <c r="D20" s="16"/>
      <c r="E20" s="16"/>
    </row>
    <row r="21" spans="2:12">
      <c r="B21" s="44" t="s">
        <v>56</v>
      </c>
      <c r="C21" s="45">
        <f>SUM(C19:C20)</f>
        <v>5488000</v>
      </c>
      <c r="D21" s="16"/>
      <c r="E21" s="16"/>
    </row>
    <row r="23" spans="2:12">
      <c r="B23" s="180" t="s">
        <v>161</v>
      </c>
      <c r="C23" s="180"/>
      <c r="D23" s="180"/>
      <c r="E23" s="180"/>
      <c r="F23" s="180"/>
      <c r="G23" s="180"/>
      <c r="H23" s="180"/>
      <c r="I23" s="180"/>
      <c r="J23" s="180"/>
    </row>
    <row r="24" spans="2:12">
      <c r="B24" s="177" t="s">
        <v>68</v>
      </c>
      <c r="C24" s="177" t="s">
        <v>151</v>
      </c>
      <c r="D24" s="177" t="s">
        <v>125</v>
      </c>
      <c r="E24" s="177" t="s">
        <v>152</v>
      </c>
      <c r="F24" s="177" t="s">
        <v>153</v>
      </c>
      <c r="G24" s="205" t="s">
        <v>155</v>
      </c>
      <c r="H24" s="205"/>
      <c r="I24" s="205"/>
      <c r="J24" s="177" t="s">
        <v>154</v>
      </c>
    </row>
    <row r="25" spans="2:12">
      <c r="B25" s="177"/>
      <c r="C25" s="177"/>
      <c r="D25" s="177"/>
      <c r="E25" s="177"/>
      <c r="F25" s="177"/>
      <c r="G25" s="2" t="s">
        <v>2</v>
      </c>
      <c r="H25" s="2" t="s">
        <v>3</v>
      </c>
      <c r="I25" s="2" t="s">
        <v>43</v>
      </c>
      <c r="J25" s="177"/>
    </row>
    <row r="26" spans="2:12">
      <c r="B26" s="22" t="s">
        <v>156</v>
      </c>
      <c r="C26" s="2"/>
      <c r="D26" s="2"/>
      <c r="E26" s="2"/>
      <c r="F26" s="2"/>
      <c r="G26" s="2"/>
      <c r="H26" s="2"/>
      <c r="I26" s="2"/>
      <c r="J26" s="2"/>
    </row>
    <row r="27" spans="2:12">
      <c r="B27" s="2" t="s">
        <v>157</v>
      </c>
      <c r="C27" s="18">
        <f>D7</f>
        <v>1500000</v>
      </c>
      <c r="D27" s="2">
        <v>1</v>
      </c>
      <c r="E27" s="2">
        <v>5</v>
      </c>
      <c r="F27" s="18">
        <v>500000</v>
      </c>
      <c r="G27" s="18">
        <f>(C27-F27)/E27</f>
        <v>200000</v>
      </c>
      <c r="H27" s="18">
        <v>200000</v>
      </c>
      <c r="I27" s="18">
        <v>200000</v>
      </c>
      <c r="J27" s="18">
        <f>(C27-G27-H27-I27)*D27</f>
        <v>900000</v>
      </c>
    </row>
    <row r="28" spans="2:12" ht="15" customHeight="1">
      <c r="B28" s="197" t="s">
        <v>158</v>
      </c>
      <c r="C28" s="198"/>
      <c r="D28" s="198"/>
      <c r="E28" s="198"/>
      <c r="F28" s="199"/>
      <c r="G28" s="63">
        <f>G27</f>
        <v>200000</v>
      </c>
      <c r="H28" s="63">
        <f t="shared" ref="H28:I28" si="1">H27</f>
        <v>200000</v>
      </c>
      <c r="I28" s="63">
        <f t="shared" si="1"/>
        <v>200000</v>
      </c>
      <c r="J28" s="37">
        <f>J27</f>
        <v>900000</v>
      </c>
    </row>
    <row r="29" spans="2:12">
      <c r="B29" s="21" t="s">
        <v>132</v>
      </c>
      <c r="C29" s="35" t="s">
        <v>136</v>
      </c>
      <c r="D29" s="35" t="s">
        <v>136</v>
      </c>
      <c r="E29" s="35" t="s">
        <v>136</v>
      </c>
      <c r="F29" s="35" t="s">
        <v>136</v>
      </c>
      <c r="G29" s="35">
        <v>0</v>
      </c>
      <c r="H29" s="35">
        <v>0</v>
      </c>
      <c r="I29" s="35">
        <v>0</v>
      </c>
      <c r="J29" s="47" t="s">
        <v>160</v>
      </c>
    </row>
    <row r="30" spans="2:12">
      <c r="B30" s="20" t="s">
        <v>135</v>
      </c>
      <c r="C30" s="35" t="s">
        <v>136</v>
      </c>
      <c r="D30" s="35" t="s">
        <v>136</v>
      </c>
      <c r="E30" s="35" t="s">
        <v>136</v>
      </c>
      <c r="F30" s="35" t="s">
        <v>136</v>
      </c>
      <c r="G30" s="35">
        <v>0</v>
      </c>
      <c r="H30" s="35">
        <v>0</v>
      </c>
      <c r="I30" s="35">
        <v>0</v>
      </c>
      <c r="J30" s="47" t="s">
        <v>160</v>
      </c>
    </row>
    <row r="31" spans="2:12">
      <c r="B31" s="189" t="s">
        <v>159</v>
      </c>
      <c r="C31" s="190"/>
      <c r="D31" s="190"/>
      <c r="E31" s="190"/>
      <c r="F31" s="191"/>
      <c r="G31" s="80">
        <f>G28+G30+G29</f>
        <v>200000</v>
      </c>
      <c r="H31" s="80">
        <f t="shared" ref="H31:I31" si="2">H28+H30+H29</f>
        <v>200000</v>
      </c>
      <c r="I31" s="80">
        <f t="shared" si="2"/>
        <v>200000</v>
      </c>
      <c r="J31" s="37">
        <f>SUM(J28:J30)</f>
        <v>900000</v>
      </c>
      <c r="K31" s="46" t="s">
        <v>162</v>
      </c>
      <c r="L31" s="17"/>
    </row>
    <row r="33" spans="2:7">
      <c r="B33" s="180" t="s">
        <v>167</v>
      </c>
      <c r="C33" s="180"/>
      <c r="D33" s="180"/>
      <c r="E33" s="180"/>
      <c r="F33" s="180"/>
      <c r="G33" s="180"/>
    </row>
    <row r="34" spans="2:7">
      <c r="B34" s="177" t="s">
        <v>68</v>
      </c>
      <c r="C34" s="177" t="s">
        <v>164</v>
      </c>
      <c r="D34" s="177" t="s">
        <v>165</v>
      </c>
      <c r="E34" s="177" t="s">
        <v>166</v>
      </c>
      <c r="F34" s="177"/>
      <c r="G34" s="177"/>
    </row>
    <row r="35" spans="2:7">
      <c r="B35" s="177"/>
      <c r="C35" s="177"/>
      <c r="D35" s="177"/>
      <c r="E35" s="10" t="s">
        <v>2</v>
      </c>
      <c r="F35" s="10" t="s">
        <v>3</v>
      </c>
      <c r="G35" s="10" t="s">
        <v>43</v>
      </c>
    </row>
    <row r="36" spans="2:7">
      <c r="B36" s="10" t="s">
        <v>163</v>
      </c>
      <c r="C36" s="48">
        <f>K12</f>
        <v>640000</v>
      </c>
      <c r="D36" s="10">
        <v>3</v>
      </c>
      <c r="E36" s="48">
        <f>C$36/D$36</f>
        <v>213333.33333333334</v>
      </c>
      <c r="F36" s="48">
        <f>C$36/D$36</f>
        <v>213333.33333333334</v>
      </c>
      <c r="G36" s="10">
        <f>C$36/D$36</f>
        <v>213333.33333333334</v>
      </c>
    </row>
    <row r="38" spans="2:7">
      <c r="B38" s="180" t="s">
        <v>171</v>
      </c>
      <c r="C38" s="180"/>
      <c r="D38" s="180"/>
      <c r="E38" s="180"/>
    </row>
    <row r="39" spans="2:7">
      <c r="B39" s="50" t="s">
        <v>168</v>
      </c>
      <c r="C39" s="50" t="s">
        <v>125</v>
      </c>
      <c r="D39" s="50" t="s">
        <v>169</v>
      </c>
      <c r="E39" s="50" t="s">
        <v>170</v>
      </c>
    </row>
    <row r="40" spans="2:7">
      <c r="B40" s="49" t="s">
        <v>136</v>
      </c>
      <c r="C40" s="49" t="s">
        <v>136</v>
      </c>
      <c r="D40" s="49" t="s">
        <v>136</v>
      </c>
      <c r="E40" s="49" t="s">
        <v>136</v>
      </c>
    </row>
    <row r="41" spans="2:7">
      <c r="B41" s="49" t="s">
        <v>136</v>
      </c>
      <c r="C41" s="49" t="s">
        <v>136</v>
      </c>
      <c r="D41" s="49" t="s">
        <v>136</v>
      </c>
      <c r="E41" s="49" t="s">
        <v>136</v>
      </c>
    </row>
    <row r="42" spans="2:7">
      <c r="B42" s="1"/>
      <c r="C42" s="1"/>
      <c r="D42" s="51" t="s">
        <v>172</v>
      </c>
      <c r="E42" s="53">
        <v>0</v>
      </c>
    </row>
    <row r="43" spans="2:7">
      <c r="B43" s="1"/>
      <c r="C43" s="1"/>
      <c r="D43" s="1"/>
      <c r="E43" s="1"/>
    </row>
    <row r="44" spans="2:7">
      <c r="B44" s="180" t="s">
        <v>175</v>
      </c>
      <c r="C44" s="180"/>
      <c r="D44" s="180"/>
      <c r="F44" s="181" t="s">
        <v>176</v>
      </c>
    </row>
    <row r="45" spans="2:7">
      <c r="B45" s="11" t="s">
        <v>173</v>
      </c>
      <c r="C45" s="11" t="s">
        <v>174</v>
      </c>
      <c r="D45" s="11" t="s">
        <v>169</v>
      </c>
      <c r="F45" s="181"/>
    </row>
    <row r="46" spans="2:7">
      <c r="B46" s="2" t="s">
        <v>108</v>
      </c>
      <c r="C46" s="10">
        <f>'Demanda Dinamica'!U51</f>
        <v>112</v>
      </c>
      <c r="D46" s="52">
        <f>C46*'Demanda Dinamica'!$L$50*'Demanda Dinamica'!F37</f>
        <v>606666.66666666663</v>
      </c>
      <c r="F46" s="181"/>
    </row>
    <row r="47" spans="2:7">
      <c r="B47" s="2" t="s">
        <v>109</v>
      </c>
      <c r="C47" s="10">
        <f>'Demanda Dinamica'!U52</f>
        <v>72</v>
      </c>
      <c r="D47" s="52">
        <f>C47*'Demanda Dinamica'!$L$50*'Demanda Dinamica'!F37</f>
        <v>389999.99999999994</v>
      </c>
      <c r="F47" s="54">
        <f>E42+D50</f>
        <v>4420000</v>
      </c>
    </row>
    <row r="48" spans="2:7">
      <c r="B48" s="2" t="s">
        <v>110</v>
      </c>
      <c r="C48" s="10">
        <f>'Demanda Dinamica'!U53</f>
        <v>456</v>
      </c>
      <c r="D48" s="52">
        <f>C48*'Demanda Dinamica'!$L$50*'Demanda Dinamica'!F37</f>
        <v>2470000</v>
      </c>
    </row>
    <row r="49" spans="2:7">
      <c r="B49" s="2" t="s">
        <v>111</v>
      </c>
      <c r="C49" s="10">
        <f>'Demanda Dinamica'!U54</f>
        <v>176</v>
      </c>
      <c r="D49" s="52">
        <f>C49*'Demanda Dinamica'!$L$50*'Demanda Dinamica'!F37</f>
        <v>953333.33333333337</v>
      </c>
    </row>
    <row r="50" spans="2:7">
      <c r="B50" s="9"/>
      <c r="C50" s="55" t="s">
        <v>56</v>
      </c>
      <c r="D50" s="56">
        <f>SUM(D46:D49)</f>
        <v>4420000</v>
      </c>
    </row>
    <row r="51" spans="2:7">
      <c r="B51" s="9"/>
      <c r="C51" s="9"/>
      <c r="D51" s="9"/>
    </row>
    <row r="52" spans="2:7">
      <c r="B52" s="208" t="s">
        <v>184</v>
      </c>
      <c r="C52" s="208"/>
      <c r="D52" s="208"/>
      <c r="E52" s="208"/>
      <c r="F52" s="208"/>
      <c r="G52" s="208"/>
    </row>
    <row r="53" spans="2:7">
      <c r="B53" s="201" t="s">
        <v>68</v>
      </c>
      <c r="C53" s="201"/>
      <c r="D53" s="22" t="s">
        <v>177</v>
      </c>
      <c r="E53" s="22" t="s">
        <v>2</v>
      </c>
      <c r="F53" s="22" t="s">
        <v>3</v>
      </c>
      <c r="G53" s="22" t="s">
        <v>43</v>
      </c>
    </row>
    <row r="54" spans="2:7">
      <c r="B54" s="162" t="s">
        <v>178</v>
      </c>
      <c r="C54" s="162"/>
      <c r="D54" s="18">
        <f>E16</f>
        <v>4848000</v>
      </c>
      <c r="E54" s="18">
        <f>D54*1%</f>
        <v>48480</v>
      </c>
      <c r="F54" s="18">
        <f>E54*(1+'Demanda Dinamica'!$D$6)</f>
        <v>51388.800000000003</v>
      </c>
      <c r="G54" s="18">
        <f>F54*(1+'Demanda Dinamica'!$D$7)</f>
        <v>54729.072</v>
      </c>
    </row>
    <row r="55" spans="2:7">
      <c r="B55" s="162" t="s">
        <v>179</v>
      </c>
      <c r="C55" s="162"/>
      <c r="D55" s="18">
        <v>0</v>
      </c>
      <c r="E55" s="18">
        <v>0</v>
      </c>
      <c r="F55" s="18">
        <f>E55*(1+'Demanda Dinamica'!$D$6)</f>
        <v>0</v>
      </c>
      <c r="G55" s="18">
        <f>F55*(1+'Demanda Dinamica'!$D$7)</f>
        <v>0</v>
      </c>
    </row>
    <row r="56" spans="2:7">
      <c r="B56" s="162" t="s">
        <v>180</v>
      </c>
      <c r="C56" s="162"/>
      <c r="D56" s="18">
        <v>10000</v>
      </c>
      <c r="E56" s="18">
        <f>D56*12</f>
        <v>120000</v>
      </c>
      <c r="F56" s="18">
        <f>E56*(1+'Demanda Dinamica'!$D$6)</f>
        <v>127200</v>
      </c>
      <c r="G56" s="18">
        <f>F56*(1+'Demanda Dinamica'!$D$7)</f>
        <v>135468</v>
      </c>
    </row>
    <row r="57" spans="2:7">
      <c r="B57" s="162" t="s">
        <v>181</v>
      </c>
      <c r="C57" s="162"/>
      <c r="D57" s="18">
        <v>0</v>
      </c>
      <c r="E57" s="18">
        <v>0</v>
      </c>
      <c r="F57" s="18">
        <v>0</v>
      </c>
      <c r="G57" s="18">
        <v>0</v>
      </c>
    </row>
    <row r="58" spans="2:7">
      <c r="B58" s="162" t="s">
        <v>182</v>
      </c>
      <c r="C58" s="162"/>
      <c r="D58" s="18">
        <v>0</v>
      </c>
      <c r="E58" s="18">
        <v>0</v>
      </c>
      <c r="F58" s="18">
        <v>0</v>
      </c>
      <c r="G58" s="18">
        <v>0</v>
      </c>
    </row>
    <row r="59" spans="2:7">
      <c r="B59" s="162" t="s">
        <v>183</v>
      </c>
      <c r="C59" s="162"/>
      <c r="D59" s="18">
        <v>0</v>
      </c>
      <c r="E59" s="18">
        <v>0</v>
      </c>
      <c r="F59" s="18">
        <v>0</v>
      </c>
      <c r="G59" s="18">
        <v>0</v>
      </c>
    </row>
    <row r="60" spans="2:7">
      <c r="B60" s="200" t="s">
        <v>185</v>
      </c>
      <c r="C60" s="200"/>
      <c r="D60" s="200"/>
      <c r="E60" s="25">
        <f>SUM(E54:E59)</f>
        <v>168480</v>
      </c>
      <c r="F60" s="25">
        <f t="shared" ref="F60:G60" si="3">SUM(F54:F59)</f>
        <v>178588.79999999999</v>
      </c>
      <c r="G60" s="25">
        <f t="shared" si="3"/>
        <v>190197.07199999999</v>
      </c>
    </row>
    <row r="62" spans="2:7">
      <c r="B62" s="195" t="s">
        <v>200</v>
      </c>
      <c r="C62" s="195"/>
      <c r="D62" s="195"/>
      <c r="E62" s="195"/>
      <c r="F62" s="195"/>
      <c r="G62" s="195"/>
    </row>
    <row r="63" spans="2:7">
      <c r="B63" s="174" t="s">
        <v>68</v>
      </c>
      <c r="C63" s="174"/>
      <c r="D63" s="174"/>
      <c r="E63" s="22" t="s">
        <v>2</v>
      </c>
      <c r="F63" s="22" t="s">
        <v>3</v>
      </c>
      <c r="G63" s="22" t="s">
        <v>43</v>
      </c>
    </row>
    <row r="64" spans="2:7">
      <c r="B64" s="184" t="s">
        <v>194</v>
      </c>
      <c r="C64" s="162" t="s">
        <v>186</v>
      </c>
      <c r="D64" s="162"/>
      <c r="E64" s="19">
        <f>0</f>
        <v>0</v>
      </c>
      <c r="F64" s="19">
        <f>0</f>
        <v>0</v>
      </c>
      <c r="G64" s="19">
        <f>0</f>
        <v>0</v>
      </c>
    </row>
    <row r="65" spans="2:8">
      <c r="B65" s="184"/>
      <c r="C65" s="162" t="s">
        <v>198</v>
      </c>
      <c r="D65" s="162"/>
      <c r="E65" s="19">
        <f>'Demanda Dinamica'!V39</f>
        <v>24963480</v>
      </c>
      <c r="F65" s="19">
        <f>E65*(1+'Demanda Dinamica'!$D$6)</f>
        <v>26461288.800000001</v>
      </c>
      <c r="G65" s="19">
        <f>E65*(1+'Demanda Dinamica'!$D$7)</f>
        <v>26586106.199999999</v>
      </c>
    </row>
    <row r="66" spans="2:8">
      <c r="B66" s="184"/>
      <c r="C66" s="162" t="s">
        <v>197</v>
      </c>
      <c r="D66" s="162"/>
      <c r="E66" s="19">
        <f>'Demanda Dinamica'!$V$42</f>
        <v>4109020</v>
      </c>
      <c r="F66" s="19">
        <f>E66*(1+'Demanda Dinamica'!$D$6)</f>
        <v>4355561.2</v>
      </c>
      <c r="G66" s="19">
        <f>E66*(1+'Demanda Dinamica'!$D$7)</f>
        <v>4376106.3</v>
      </c>
    </row>
    <row r="67" spans="2:8">
      <c r="B67" s="184"/>
      <c r="C67" s="162" t="s">
        <v>199</v>
      </c>
      <c r="D67" s="162"/>
      <c r="E67" s="19">
        <f>'Demanda Dinamica'!V36</f>
        <v>16262030</v>
      </c>
      <c r="F67" s="19">
        <f>E67*(1+'Demanda Dinamica'!$D$6)</f>
        <v>17237751.800000001</v>
      </c>
      <c r="G67" s="19">
        <f>E67*(1+'Demanda Dinamica'!$D$7)</f>
        <v>17319061.949999999</v>
      </c>
    </row>
    <row r="68" spans="2:8">
      <c r="B68" s="184"/>
      <c r="C68" s="162" t="s">
        <v>187</v>
      </c>
      <c r="D68" s="162"/>
      <c r="E68" s="19">
        <v>0</v>
      </c>
      <c r="F68" s="19">
        <f>E68*(1+'Demanda Dinamica'!$D$6)</f>
        <v>0</v>
      </c>
      <c r="G68" s="19">
        <f>E68*(1+'Demanda Dinamica'!$D$7)</f>
        <v>0</v>
      </c>
    </row>
    <row r="69" spans="2:8">
      <c r="B69" s="184"/>
      <c r="C69" s="209" t="s">
        <v>188</v>
      </c>
      <c r="D69" s="209"/>
      <c r="E69" s="57">
        <f>SUM(E64:E67)-E68</f>
        <v>45334530</v>
      </c>
      <c r="F69" s="57">
        <f t="shared" ref="F69:G69" si="4">SUM(F64:F67)-F68</f>
        <v>48054601.799999997</v>
      </c>
      <c r="G69" s="57">
        <f t="shared" si="4"/>
        <v>48281274.450000003</v>
      </c>
      <c r="H69" s="64" t="s">
        <v>201</v>
      </c>
    </row>
    <row r="70" spans="2:8">
      <c r="B70" s="184" t="s">
        <v>195</v>
      </c>
      <c r="C70" s="162" t="s">
        <v>189</v>
      </c>
      <c r="D70" s="162"/>
      <c r="E70" s="19">
        <v>0</v>
      </c>
      <c r="F70" s="19">
        <v>0</v>
      </c>
      <c r="G70" s="19">
        <v>0</v>
      </c>
      <c r="H70" s="19">
        <f>E70/12</f>
        <v>0</v>
      </c>
    </row>
    <row r="71" spans="2:8">
      <c r="B71" s="184"/>
      <c r="C71" s="162" t="s">
        <v>190</v>
      </c>
      <c r="D71" s="162"/>
      <c r="E71" s="19">
        <f>G28</f>
        <v>200000</v>
      </c>
      <c r="F71" s="19">
        <f>E71*(1+'Demanda Dinamica'!$D$6)</f>
        <v>212000</v>
      </c>
      <c r="G71" s="19">
        <f>E71*(1+'Demanda Dinamica'!$D$7)</f>
        <v>213000</v>
      </c>
      <c r="H71" s="19">
        <f t="shared" ref="H71:H73" si="5">E71/12</f>
        <v>16666.666666666668</v>
      </c>
    </row>
    <row r="72" spans="2:8">
      <c r="B72" s="184"/>
      <c r="C72" s="162" t="s">
        <v>191</v>
      </c>
      <c r="D72" s="162"/>
      <c r="E72" s="19">
        <v>0</v>
      </c>
      <c r="F72" s="19">
        <v>0</v>
      </c>
      <c r="G72" s="19">
        <v>0</v>
      </c>
      <c r="H72" s="19">
        <f t="shared" si="5"/>
        <v>0</v>
      </c>
    </row>
    <row r="73" spans="2:8">
      <c r="B73" s="184"/>
      <c r="C73" s="162" t="s">
        <v>192</v>
      </c>
      <c r="D73" s="162"/>
      <c r="E73" s="19">
        <v>0</v>
      </c>
      <c r="F73" s="19">
        <v>0</v>
      </c>
      <c r="G73" s="19">
        <v>0</v>
      </c>
      <c r="H73" s="19">
        <f t="shared" si="5"/>
        <v>0</v>
      </c>
    </row>
    <row r="74" spans="2:8">
      <c r="B74" s="184"/>
      <c r="C74" s="209" t="s">
        <v>193</v>
      </c>
      <c r="D74" s="209"/>
      <c r="E74" s="57">
        <f xml:space="preserve"> SUM(E70:E73)</f>
        <v>200000</v>
      </c>
      <c r="F74" s="57">
        <f t="shared" ref="F74:G74" si="6" xml:space="preserve"> SUM(F70:F73)</f>
        <v>212000</v>
      </c>
      <c r="G74" s="57">
        <f t="shared" si="6"/>
        <v>213000</v>
      </c>
    </row>
    <row r="75" spans="2:8">
      <c r="B75" s="200" t="s">
        <v>196</v>
      </c>
      <c r="C75" s="200"/>
      <c r="D75" s="200"/>
      <c r="E75" s="57">
        <f>E69+E74</f>
        <v>45534530</v>
      </c>
      <c r="F75" s="57">
        <f t="shared" ref="F75:G75" si="7">F69+F74</f>
        <v>48266601.799999997</v>
      </c>
      <c r="G75" s="57">
        <f t="shared" si="7"/>
        <v>48494274.450000003</v>
      </c>
    </row>
    <row r="78" spans="2:8">
      <c r="B78" s="209" t="s">
        <v>202</v>
      </c>
      <c r="C78" s="209"/>
      <c r="D78" s="209"/>
      <c r="E78" s="57">
        <f>E75/('Demanda Dinamica'!$Y$52*12)</f>
        <v>3162.120138888889</v>
      </c>
      <c r="F78" s="57">
        <f>F75/('Demanda Dinamica'!$Y$52*12)</f>
        <v>3351.8473472222222</v>
      </c>
      <c r="G78" s="57">
        <f>G75/('Demanda Dinamica'!$Y$52*12)</f>
        <v>3367.6579479166667</v>
      </c>
    </row>
    <row r="81" spans="2:7">
      <c r="B81" s="211" t="s">
        <v>203</v>
      </c>
      <c r="C81" s="211"/>
      <c r="D81" s="4">
        <v>0.35</v>
      </c>
      <c r="F81" s="211" t="s">
        <v>206</v>
      </c>
      <c r="G81" s="211"/>
    </row>
    <row r="82" spans="2:7">
      <c r="B82" s="211" t="s">
        <v>204</v>
      </c>
      <c r="C82" s="211"/>
      <c r="D82" s="19">
        <f>E78*D81</f>
        <v>1106.7420486111112</v>
      </c>
      <c r="F82" s="2" t="s">
        <v>207</v>
      </c>
      <c r="G82" s="19">
        <f>$D$83*2.5%</f>
        <v>106.72155468750003</v>
      </c>
    </row>
    <row r="83" spans="2:7">
      <c r="B83" s="212" t="s">
        <v>205</v>
      </c>
      <c r="C83" s="212"/>
      <c r="D83" s="65">
        <f>E78*(1+D81)</f>
        <v>4268.8621875000008</v>
      </c>
      <c r="F83" s="2" t="s">
        <v>208</v>
      </c>
      <c r="G83" s="19">
        <f>$D$83*11.04/1000</f>
        <v>47.128238549999999</v>
      </c>
    </row>
    <row r="84" spans="2:7">
      <c r="F84" s="2" t="s">
        <v>209</v>
      </c>
      <c r="G84" s="19">
        <f>$D$83*0.4%</f>
        <v>17.075448750000003</v>
      </c>
    </row>
    <row r="85" spans="2:7">
      <c r="F85" s="2" t="s">
        <v>5</v>
      </c>
      <c r="G85" s="19">
        <f>D$83*0.16</f>
        <v>683.01795000000016</v>
      </c>
    </row>
    <row r="86" spans="2:7">
      <c r="F86" s="21" t="s">
        <v>210</v>
      </c>
      <c r="G86" s="57">
        <f>SUM(G82:G85)</f>
        <v>853.9431919875002</v>
      </c>
    </row>
    <row r="89" spans="2:7">
      <c r="B89" s="200" t="s">
        <v>211</v>
      </c>
      <c r="C89" s="200"/>
      <c r="D89" s="200"/>
      <c r="E89" s="57">
        <f>E78+G86</f>
        <v>4016.063330876389</v>
      </c>
      <c r="F89" s="57">
        <f>F78+G86</f>
        <v>4205.7905392097227</v>
      </c>
      <c r="G89" s="57">
        <f>G78+G86</f>
        <v>4221.6011399041672</v>
      </c>
    </row>
    <row r="92" spans="2:7">
      <c r="B92" s="210" t="s">
        <v>212</v>
      </c>
      <c r="C92" s="210"/>
      <c r="D92" s="68">
        <f>+(D83-E89)/D83</f>
        <v>5.9219259259259402E-2</v>
      </c>
    </row>
    <row r="93" spans="2:7">
      <c r="B93" s="210" t="s">
        <v>213</v>
      </c>
      <c r="C93" s="210"/>
      <c r="D93" s="69">
        <f>E89*D92</f>
        <v>237.82829559277377</v>
      </c>
    </row>
    <row r="95" spans="2:7">
      <c r="B95" s="193" t="s">
        <v>214</v>
      </c>
      <c r="C95" s="193"/>
      <c r="D95" s="193"/>
      <c r="E95" s="193"/>
    </row>
    <row r="96" spans="2:7">
      <c r="B96" s="59" t="s">
        <v>68</v>
      </c>
      <c r="C96" s="59" t="s">
        <v>219</v>
      </c>
      <c r="D96" s="59" t="s">
        <v>220</v>
      </c>
      <c r="E96" s="59" t="s">
        <v>221</v>
      </c>
    </row>
    <row r="97" spans="2:7">
      <c r="B97" s="2" t="s">
        <v>222</v>
      </c>
      <c r="C97" s="73">
        <f>'Demanda Dinamica'!V43</f>
        <v>45334530</v>
      </c>
      <c r="D97" s="73">
        <f>'Demanda Dinamica'!W43</f>
        <v>48054601.800000004</v>
      </c>
      <c r="E97" s="73">
        <f>'Demanda Dinamica'!X43</f>
        <v>51178150.917000011</v>
      </c>
    </row>
    <row r="98" spans="2:7">
      <c r="B98" s="2" t="s">
        <v>223</v>
      </c>
      <c r="C98" s="18">
        <f>E75</f>
        <v>45534530</v>
      </c>
      <c r="D98" s="19">
        <f t="shared" ref="D98:E98" si="8">F75</f>
        <v>48266601.799999997</v>
      </c>
      <c r="E98" s="19">
        <f t="shared" si="8"/>
        <v>48494274.450000003</v>
      </c>
    </row>
    <row r="99" spans="2:7">
      <c r="B99" s="2" t="s">
        <v>224</v>
      </c>
      <c r="C99" s="18">
        <f>E60</f>
        <v>168480</v>
      </c>
      <c r="D99" s="18">
        <f t="shared" ref="D99:E99" si="9">F60</f>
        <v>178588.79999999999</v>
      </c>
      <c r="E99" s="18">
        <f t="shared" si="9"/>
        <v>190197.07199999999</v>
      </c>
    </row>
    <row r="100" spans="2:7">
      <c r="B100" s="21" t="s">
        <v>225</v>
      </c>
      <c r="C100" s="74">
        <f>SUM(C97:C99)</f>
        <v>91037540</v>
      </c>
      <c r="D100" s="74">
        <f t="shared" ref="D100:E100" si="10">SUM(D97:D99)</f>
        <v>96499792.399999991</v>
      </c>
      <c r="E100" s="74">
        <f t="shared" si="10"/>
        <v>99862622.43900001</v>
      </c>
    </row>
    <row r="102" spans="2:7">
      <c r="B102" s="75"/>
      <c r="D102" s="151"/>
    </row>
    <row r="103" spans="2:7">
      <c r="B103" s="194" t="s">
        <v>226</v>
      </c>
      <c r="C103" s="194"/>
      <c r="D103" s="194"/>
      <c r="E103" s="194"/>
      <c r="F103" s="194"/>
      <c r="G103" s="194"/>
    </row>
    <row r="104" spans="2:7">
      <c r="B104" s="174" t="s">
        <v>68</v>
      </c>
      <c r="C104" s="174"/>
      <c r="D104" s="62" t="s">
        <v>236</v>
      </c>
      <c r="E104" s="62" t="s">
        <v>2</v>
      </c>
      <c r="F104" s="62" t="s">
        <v>3</v>
      </c>
      <c r="G104" s="62" t="s">
        <v>43</v>
      </c>
    </row>
    <row r="105" spans="2:7">
      <c r="B105" s="188" t="s">
        <v>227</v>
      </c>
      <c r="C105" s="188"/>
      <c r="D105" s="78">
        <f>'Demanda Dinamica'!I36</f>
        <v>2180290</v>
      </c>
      <c r="E105" s="78">
        <f>'Demanda Dinamica'!V36</f>
        <v>16262030</v>
      </c>
      <c r="F105" s="78">
        <f>'Demanda Dinamica'!W36</f>
        <v>17237751.800000001</v>
      </c>
      <c r="G105" s="78">
        <f>'Demanda Dinamica'!X36</f>
        <v>18358205.667000003</v>
      </c>
    </row>
    <row r="106" spans="2:7">
      <c r="B106" s="188" t="s">
        <v>178</v>
      </c>
      <c r="C106" s="188"/>
      <c r="D106" s="78">
        <f>E16</f>
        <v>4848000</v>
      </c>
      <c r="E106" s="79">
        <f>D106*1%</f>
        <v>48480</v>
      </c>
      <c r="F106" s="78">
        <f>E106*(1+'Demanda Dinamica'!$D$6)</f>
        <v>51388.800000000003</v>
      </c>
      <c r="G106" s="78">
        <f>F106*(1+'Demanda Dinamica'!$D$7)</f>
        <v>54729.072</v>
      </c>
    </row>
    <row r="107" spans="2:7">
      <c r="B107" s="188" t="s">
        <v>228</v>
      </c>
      <c r="C107" s="188"/>
      <c r="D107" s="78">
        <f>D55</f>
        <v>0</v>
      </c>
      <c r="E107" s="78">
        <f t="shared" ref="E107:G107" si="11">E55</f>
        <v>0</v>
      </c>
      <c r="F107" s="78">
        <f t="shared" si="11"/>
        <v>0</v>
      </c>
      <c r="G107" s="78">
        <f t="shared" si="11"/>
        <v>0</v>
      </c>
    </row>
    <row r="108" spans="2:7">
      <c r="B108" s="188" t="s">
        <v>229</v>
      </c>
      <c r="C108" s="188"/>
      <c r="D108" s="78">
        <f>D56</f>
        <v>10000</v>
      </c>
      <c r="E108" s="78">
        <f t="shared" ref="E108:G108" si="12">E56</f>
        <v>120000</v>
      </c>
      <c r="F108" s="78">
        <f t="shared" si="12"/>
        <v>127200</v>
      </c>
      <c r="G108" s="78">
        <f t="shared" si="12"/>
        <v>135468</v>
      </c>
    </row>
    <row r="109" spans="2:7">
      <c r="B109" s="188" t="s">
        <v>230</v>
      </c>
      <c r="C109" s="188"/>
      <c r="D109" s="78">
        <f>D57</f>
        <v>0</v>
      </c>
      <c r="E109" s="78">
        <f t="shared" ref="E109:G109" si="13">E57</f>
        <v>0</v>
      </c>
      <c r="F109" s="78">
        <f t="shared" si="13"/>
        <v>0</v>
      </c>
      <c r="G109" s="78">
        <f t="shared" si="13"/>
        <v>0</v>
      </c>
    </row>
    <row r="110" spans="2:7">
      <c r="B110" s="188" t="s">
        <v>231</v>
      </c>
      <c r="C110" s="188"/>
      <c r="D110" s="78"/>
      <c r="E110" s="78">
        <f>G31</f>
        <v>200000</v>
      </c>
      <c r="F110" s="78">
        <f t="shared" ref="F110:G110" si="14">H31</f>
        <v>200000</v>
      </c>
      <c r="G110" s="78">
        <f t="shared" si="14"/>
        <v>200000</v>
      </c>
    </row>
    <row r="111" spans="2:7">
      <c r="B111" s="188" t="s">
        <v>232</v>
      </c>
      <c r="C111" s="188"/>
      <c r="D111" s="78"/>
      <c r="E111" s="78">
        <f>G31</f>
        <v>200000</v>
      </c>
      <c r="F111" s="78">
        <f t="shared" ref="F111:G111" si="15">H31</f>
        <v>200000</v>
      </c>
      <c r="G111" s="78">
        <f t="shared" si="15"/>
        <v>200000</v>
      </c>
    </row>
    <row r="112" spans="2:7">
      <c r="B112" s="188" t="s">
        <v>233</v>
      </c>
      <c r="C112" s="188"/>
      <c r="D112" s="78"/>
      <c r="E112" s="78">
        <f>E16/3</f>
        <v>1616000</v>
      </c>
      <c r="F112" s="78">
        <f>E112</f>
        <v>1616000</v>
      </c>
      <c r="G112" s="78">
        <f>F112</f>
        <v>1616000</v>
      </c>
    </row>
    <row r="113" spans="1:12">
      <c r="B113" s="188" t="s">
        <v>234</v>
      </c>
      <c r="C113" s="188"/>
      <c r="D113" s="78"/>
      <c r="E113" s="78">
        <v>0</v>
      </c>
      <c r="F113" s="78">
        <v>80000</v>
      </c>
      <c r="G113" s="78">
        <f>F113+(F113*'Demanda Dinamica'!D7)</f>
        <v>85200</v>
      </c>
    </row>
    <row r="114" spans="1:12">
      <c r="B114" s="188" t="s">
        <v>235</v>
      </c>
      <c r="C114" s="188"/>
      <c r="D114" s="78"/>
      <c r="E114" s="78">
        <v>0</v>
      </c>
      <c r="F114" s="78">
        <v>0</v>
      </c>
      <c r="G114" s="78">
        <v>0</v>
      </c>
    </row>
    <row r="115" spans="1:12">
      <c r="B115" s="189" t="s">
        <v>237</v>
      </c>
      <c r="C115" s="190"/>
      <c r="D115" s="191"/>
      <c r="E115" s="82">
        <f>SUM(E105:E114)</f>
        <v>18446510</v>
      </c>
      <c r="F115" s="82">
        <f t="shared" ref="F115:G115" si="16">SUM(F105:F114)</f>
        <v>19512340.600000001</v>
      </c>
      <c r="G115" s="82">
        <f t="shared" si="16"/>
        <v>20649602.739000004</v>
      </c>
    </row>
    <row r="117" spans="1:12">
      <c r="B117" s="192" t="s">
        <v>238</v>
      </c>
      <c r="C117" s="192"/>
      <c r="D117" s="192"/>
      <c r="E117" s="192"/>
    </row>
    <row r="118" spans="1:12">
      <c r="A118" s="83"/>
      <c r="B118" s="84" t="s">
        <v>68</v>
      </c>
      <c r="C118" s="84" t="s">
        <v>241</v>
      </c>
      <c r="D118" s="84" t="s">
        <v>242</v>
      </c>
      <c r="E118" s="84" t="s">
        <v>243</v>
      </c>
      <c r="F118" s="83"/>
    </row>
    <row r="119" spans="1:12">
      <c r="B119" s="2" t="s">
        <v>239</v>
      </c>
      <c r="C119" s="76">
        <f>E115</f>
        <v>18446510</v>
      </c>
      <c r="D119" s="76">
        <f t="shared" ref="D119:E119" si="17">F115</f>
        <v>19512340.600000001</v>
      </c>
      <c r="E119" s="76">
        <f t="shared" si="17"/>
        <v>20649602.739000004</v>
      </c>
    </row>
    <row r="120" spans="1:12">
      <c r="B120" s="2" t="s">
        <v>240</v>
      </c>
      <c r="C120" s="19">
        <f>E75</f>
        <v>45534530</v>
      </c>
      <c r="D120" s="19">
        <f t="shared" ref="D120:E120" si="18">F75</f>
        <v>48266601.799999997</v>
      </c>
      <c r="E120" s="19">
        <f t="shared" si="18"/>
        <v>48494274.450000003</v>
      </c>
    </row>
    <row r="121" spans="1:12">
      <c r="B121" s="85" t="s">
        <v>244</v>
      </c>
      <c r="C121" s="86">
        <f>SUM(C119:C120)</f>
        <v>63981040</v>
      </c>
      <c r="D121" s="86">
        <f t="shared" ref="D121:E121" si="19">SUM(D119:D120)</f>
        <v>67778942.400000006</v>
      </c>
      <c r="E121" s="86">
        <f t="shared" si="19"/>
        <v>69143877.18900001</v>
      </c>
    </row>
    <row r="123" spans="1:12">
      <c r="B123" s="87"/>
      <c r="C123" s="88" t="s">
        <v>245</v>
      </c>
      <c r="D123" s="88" t="s">
        <v>246</v>
      </c>
      <c r="E123" s="88" t="s">
        <v>243</v>
      </c>
    </row>
    <row r="124" spans="1:12">
      <c r="B124" s="2" t="s">
        <v>247</v>
      </c>
      <c r="C124" s="76">
        <f>C121/'Demanda Dinamica'!O13</f>
        <v>29349.100917431191</v>
      </c>
      <c r="D124" s="76">
        <f>D121/'Demanda Dinamica'!P13</f>
        <v>15825.109129115108</v>
      </c>
      <c r="E124" s="76">
        <f>E121/'Demanda Dinamica'!Q13</f>
        <v>14898.486789269557</v>
      </c>
    </row>
    <row r="125" spans="1:12">
      <c r="B125" s="2" t="s">
        <v>248</v>
      </c>
      <c r="C125" s="76">
        <f>C124+(C124*0.3)</f>
        <v>38153.831192660546</v>
      </c>
      <c r="D125" s="76">
        <f t="shared" ref="D125:E125" si="20">D124+(D124*0.3)</f>
        <v>20572.641867849641</v>
      </c>
      <c r="E125" s="76">
        <f t="shared" si="20"/>
        <v>19368.032826050425</v>
      </c>
    </row>
    <row r="127" spans="1:12">
      <c r="B127" s="187" t="s">
        <v>264</v>
      </c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</row>
    <row r="128" spans="1:12">
      <c r="B128" s="177" t="s">
        <v>249</v>
      </c>
      <c r="C128" s="177"/>
      <c r="D128" s="177" t="s">
        <v>256</v>
      </c>
      <c r="E128" s="177" t="s">
        <v>259</v>
      </c>
      <c r="F128" s="177"/>
      <c r="G128" s="177"/>
      <c r="H128" s="172" t="s">
        <v>260</v>
      </c>
      <c r="I128" s="172" t="s">
        <v>261</v>
      </c>
      <c r="J128" s="172" t="s">
        <v>262</v>
      </c>
      <c r="K128" s="172" t="s">
        <v>263</v>
      </c>
      <c r="L128" s="172"/>
    </row>
    <row r="129" spans="2:20">
      <c r="B129" s="177"/>
      <c r="C129" s="177"/>
      <c r="D129" s="177"/>
      <c r="E129" s="60" t="s">
        <v>125</v>
      </c>
      <c r="F129" s="60" t="s">
        <v>257</v>
      </c>
      <c r="G129" s="60" t="s">
        <v>258</v>
      </c>
      <c r="H129" s="172"/>
      <c r="I129" s="172"/>
      <c r="J129" s="172"/>
      <c r="K129" s="172"/>
      <c r="L129" s="172"/>
    </row>
    <row r="130" spans="2:20">
      <c r="B130" s="2" t="s">
        <v>250</v>
      </c>
      <c r="C130" s="2" t="s">
        <v>253</v>
      </c>
      <c r="D130" s="4">
        <v>0</v>
      </c>
      <c r="E130" s="2">
        <v>0</v>
      </c>
      <c r="F130" s="60" t="s">
        <v>257</v>
      </c>
      <c r="G130" s="2">
        <v>0</v>
      </c>
      <c r="H130" s="2">
        <v>0</v>
      </c>
      <c r="I130" s="2">
        <v>0</v>
      </c>
      <c r="J130" s="2">
        <v>0</v>
      </c>
      <c r="K130" s="2"/>
      <c r="L130" s="2"/>
    </row>
    <row r="131" spans="2:20">
      <c r="B131" s="2" t="s">
        <v>251</v>
      </c>
      <c r="C131" s="2" t="s">
        <v>254</v>
      </c>
      <c r="D131" s="4">
        <v>0.5</v>
      </c>
      <c r="E131" s="2">
        <v>3000</v>
      </c>
      <c r="F131" s="60" t="s">
        <v>257</v>
      </c>
      <c r="G131" s="2">
        <f>'Demanda Dinamica'!$O$13/2</f>
        <v>1090</v>
      </c>
      <c r="H131" s="76">
        <f>C125-(C125/4)</f>
        <v>28615.373394495407</v>
      </c>
      <c r="I131" s="76">
        <f>D125-(D125/4)</f>
        <v>15429.481400887231</v>
      </c>
      <c r="J131" s="76">
        <f>E125-(E125/4)</f>
        <v>14526.024619537819</v>
      </c>
      <c r="K131" s="2"/>
      <c r="L131" s="2"/>
    </row>
    <row r="132" spans="2:20">
      <c r="B132" s="2" t="s">
        <v>252</v>
      </c>
      <c r="C132" s="2" t="s">
        <v>255</v>
      </c>
      <c r="D132" s="4">
        <v>0.5</v>
      </c>
      <c r="E132" s="2">
        <v>3000</v>
      </c>
      <c r="F132" s="60" t="s">
        <v>257</v>
      </c>
      <c r="G132" s="2">
        <f>'Demanda Dinamica'!$O$13/2</f>
        <v>1090</v>
      </c>
      <c r="H132" s="76">
        <f>C125</f>
        <v>38153.831192660546</v>
      </c>
      <c r="I132" s="76">
        <f>D125</f>
        <v>20572.641867849641</v>
      </c>
      <c r="J132" s="76">
        <f>E125</f>
        <v>19368.032826050425</v>
      </c>
      <c r="K132" s="2"/>
      <c r="L132" s="2"/>
    </row>
    <row r="133" spans="2:20">
      <c r="D133" s="89">
        <f>SUM(D130:D132)</f>
        <v>1</v>
      </c>
    </row>
    <row r="135" spans="2:20">
      <c r="B135" s="187" t="s">
        <v>282</v>
      </c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</row>
    <row r="136" spans="2:20">
      <c r="B136" s="2" t="s">
        <v>68</v>
      </c>
      <c r="C136" s="2" t="s">
        <v>265</v>
      </c>
      <c r="D136" s="2" t="s">
        <v>266</v>
      </c>
      <c r="E136" s="2" t="s">
        <v>267</v>
      </c>
      <c r="F136" s="2" t="s">
        <v>34</v>
      </c>
      <c r="G136" s="2" t="s">
        <v>268</v>
      </c>
      <c r="H136" s="2" t="s">
        <v>20</v>
      </c>
      <c r="I136" s="2" t="s">
        <v>269</v>
      </c>
      <c r="J136" s="2" t="s">
        <v>41</v>
      </c>
      <c r="K136" s="2" t="s">
        <v>42</v>
      </c>
      <c r="L136" s="2" t="s">
        <v>24</v>
      </c>
      <c r="M136" s="2" t="s">
        <v>25</v>
      </c>
      <c r="N136" s="2" t="s">
        <v>270</v>
      </c>
      <c r="O136" s="2" t="s">
        <v>2</v>
      </c>
      <c r="P136" s="2" t="s">
        <v>3</v>
      </c>
      <c r="Q136" s="2" t="s">
        <v>43</v>
      </c>
    </row>
    <row r="137" spans="2:20">
      <c r="B137" s="2" t="s">
        <v>272</v>
      </c>
      <c r="C137" s="92">
        <f>$H$131*('Demanda Dinamica'!C13/2)</f>
        <v>1201845.6825688072</v>
      </c>
      <c r="D137" s="92">
        <f>$H$131*('Demanda Dinamica'!D13/2)</f>
        <v>2375075.991743119</v>
      </c>
      <c r="E137" s="92">
        <f>$H$131*('Demanda Dinamica'!E13/2)</f>
        <v>3233537.1935779811</v>
      </c>
      <c r="F137" s="92">
        <f>$H$131*('Demanda Dinamica'!F13/2)</f>
        <v>5909074.6059633018</v>
      </c>
      <c r="G137" s="92">
        <f>$H$131*('Demanda Dinamica'!G13/2)</f>
        <v>1874306.9573394491</v>
      </c>
      <c r="H137" s="92">
        <f>$H$131*('Demanda Dinamica'!H13/2)</f>
        <v>1573845.5366972473</v>
      </c>
      <c r="I137" s="92">
        <f>$H$131*('Demanda Dinamica'!I13/2)</f>
        <v>2475229.7986238529</v>
      </c>
      <c r="J137" s="92">
        <f>$H$131*('Demanda Dinamica'!J13/2)</f>
        <v>6552920.5073394487</v>
      </c>
      <c r="K137" s="92">
        <f>$H$131*('Demanda Dinamica'!K13/2)</f>
        <v>6495689.7605504571</v>
      </c>
      <c r="L137" s="92">
        <f>$H$131*('Demanda Dinamica'!L13/2)</f>
        <v>5222305.6444954118</v>
      </c>
      <c r="M137" s="92">
        <f>$H$131*('Demanda Dinamica'!M13/2)</f>
        <v>2189076.0646788985</v>
      </c>
      <c r="N137" s="92">
        <f>$H$131*('Demanda Dinamica'!N13/2)</f>
        <v>1473691.7298165134</v>
      </c>
      <c r="O137" s="92">
        <f t="shared" ref="O137:O144" si="21">SUM(C137:N137)</f>
        <v>40576599.473394483</v>
      </c>
      <c r="P137" s="92">
        <f>O137+(O137*'Demanda Dinamica'!$S$6)</f>
        <v>43822727.43126604</v>
      </c>
      <c r="Q137" s="92">
        <f>P137+(P137*'Demanda Dinamica'!$S$7)</f>
        <v>50396136.545955949</v>
      </c>
    </row>
    <row r="138" spans="2:20" ht="15.75" thickBot="1">
      <c r="B138" s="2" t="s">
        <v>273</v>
      </c>
      <c r="C138" s="92">
        <f>$H$132*('Demanda Dinamica'!C13/2)</f>
        <v>1602460.9100917429</v>
      </c>
      <c r="D138" s="92">
        <f>$H$132*('Demanda Dinamica'!D13/2)</f>
        <v>3166767.9889908251</v>
      </c>
      <c r="E138" s="92">
        <f>$H$132*('Demanda Dinamica'!E13/2)</f>
        <v>4311382.9247706421</v>
      </c>
      <c r="F138" s="92">
        <f>$H$132*('Demanda Dinamica'!F13/2)</f>
        <v>7878766.1412844025</v>
      </c>
      <c r="G138" s="92">
        <f>$H$132*('Demanda Dinamica'!G13/2)</f>
        <v>2499075.9431192656</v>
      </c>
      <c r="H138" s="92">
        <f>$H$132*('Demanda Dinamica'!H13/2)</f>
        <v>2098460.7155963299</v>
      </c>
      <c r="I138" s="92">
        <f>$H$132*('Demanda Dinamica'!I13/2)</f>
        <v>3300306.398165137</v>
      </c>
      <c r="J138" s="92">
        <f>$H$132*('Demanda Dinamica'!J13/2)</f>
        <v>8737227.3431192655</v>
      </c>
      <c r="K138" s="92">
        <f>$H$132*('Demanda Dinamica'!K13/2)</f>
        <v>8660919.6807339434</v>
      </c>
      <c r="L138" s="92">
        <f>$H$132*('Demanda Dinamica'!L13/2)</f>
        <v>6963074.1926605497</v>
      </c>
      <c r="M138" s="92">
        <f>$H$132*('Demanda Dinamica'!M13/2)</f>
        <v>2918768.0862385319</v>
      </c>
      <c r="N138" s="92">
        <f>$H$132*('Demanda Dinamica'!N13/2)</f>
        <v>1964922.3064220182</v>
      </c>
      <c r="O138" s="92">
        <f t="shared" si="21"/>
        <v>54102132.631192647</v>
      </c>
      <c r="P138" s="92">
        <f>O138+(O138*'Demanda Dinamica'!$S$6)</f>
        <v>58430303.241688058</v>
      </c>
      <c r="Q138" s="92">
        <f>P138+(P138*'Demanda Dinamica'!$S$7)</f>
        <v>67194848.72794126</v>
      </c>
    </row>
    <row r="139" spans="2:20" ht="15.75" thickBot="1">
      <c r="B139" s="22" t="s">
        <v>274</v>
      </c>
      <c r="C139" s="93">
        <f>SUM(C137:C138)</f>
        <v>2804306.59266055</v>
      </c>
      <c r="D139" s="93">
        <f t="shared" ref="D139:L139" si="22">SUM(D137:D138)</f>
        <v>5541843.9807339441</v>
      </c>
      <c r="E139" s="93">
        <f t="shared" si="22"/>
        <v>7544920.1183486227</v>
      </c>
      <c r="F139" s="93">
        <f t="shared" si="22"/>
        <v>13787840.747247703</v>
      </c>
      <c r="G139" s="93">
        <f t="shared" si="22"/>
        <v>4373382.9004587149</v>
      </c>
      <c r="H139" s="93">
        <f t="shared" si="22"/>
        <v>3672306.2522935774</v>
      </c>
      <c r="I139" s="93">
        <f t="shared" si="22"/>
        <v>5775536.1967889899</v>
      </c>
      <c r="J139" s="93">
        <f t="shared" si="22"/>
        <v>15290147.850458715</v>
      </c>
      <c r="K139" s="93">
        <f t="shared" si="22"/>
        <v>15156609.441284399</v>
      </c>
      <c r="L139" s="93">
        <f t="shared" si="22"/>
        <v>12185379.837155961</v>
      </c>
      <c r="M139" s="93">
        <f t="shared" ref="M139" si="23">SUM(M137:M138)</f>
        <v>5107844.1509174304</v>
      </c>
      <c r="N139" s="93">
        <f t="shared" ref="N139" si="24">SUM(N137:N138)</f>
        <v>3438614.0362385316</v>
      </c>
      <c r="O139" s="93">
        <f t="shared" si="21"/>
        <v>94678732.104587138</v>
      </c>
      <c r="P139" s="93">
        <f>O139+(O139*'Demanda Dinamica'!$S$6)</f>
        <v>102253030.67295411</v>
      </c>
      <c r="Q139" s="93">
        <f>P139+(P139*'Demanda Dinamica'!$S$7)</f>
        <v>117590985.27389723</v>
      </c>
      <c r="S139" s="90" t="s">
        <v>271</v>
      </c>
      <c r="T139" s="91">
        <v>0.15</v>
      </c>
    </row>
    <row r="140" spans="2:20">
      <c r="B140" s="2" t="s">
        <v>5</v>
      </c>
      <c r="C140" s="92">
        <f>C139*0.19</f>
        <v>532818.25260550447</v>
      </c>
      <c r="D140" s="92">
        <f t="shared" ref="D140:N140" si="25">D139*0.19</f>
        <v>1052950.3563394493</v>
      </c>
      <c r="E140" s="92">
        <f t="shared" si="25"/>
        <v>1433534.8224862383</v>
      </c>
      <c r="F140" s="92">
        <f t="shared" si="25"/>
        <v>2619689.7419770635</v>
      </c>
      <c r="G140" s="92">
        <f t="shared" si="25"/>
        <v>830942.75108715589</v>
      </c>
      <c r="H140" s="92">
        <f t="shared" si="25"/>
        <v>697738.18793577969</v>
      </c>
      <c r="I140" s="92">
        <f t="shared" si="25"/>
        <v>1097351.8773899081</v>
      </c>
      <c r="J140" s="92">
        <f t="shared" si="25"/>
        <v>2905128.0915871561</v>
      </c>
      <c r="K140" s="92">
        <f t="shared" si="25"/>
        <v>2879755.7938440358</v>
      </c>
      <c r="L140" s="92">
        <f t="shared" si="25"/>
        <v>2315222.1690596323</v>
      </c>
      <c r="M140" s="92">
        <f t="shared" si="25"/>
        <v>970490.38867431181</v>
      </c>
      <c r="N140" s="92">
        <f t="shared" si="25"/>
        <v>653336.66688532103</v>
      </c>
      <c r="O140" s="92">
        <f t="shared" si="21"/>
        <v>17988959.099871557</v>
      </c>
      <c r="P140" s="92">
        <f>O140+(O140*'Demanda Dinamica'!$S$6)</f>
        <v>19428075.827861283</v>
      </c>
      <c r="Q140" s="92">
        <f>P140+(P140*'Demanda Dinamica'!$S$7)</f>
        <v>22342287.202040475</v>
      </c>
    </row>
    <row r="141" spans="2:20">
      <c r="B141" s="2" t="s">
        <v>275</v>
      </c>
      <c r="C141" s="92">
        <f>C140*0.15</f>
        <v>79922.737890825665</v>
      </c>
      <c r="D141" s="92">
        <f t="shared" ref="D141:J141" si="26">D140*0.15</f>
        <v>157942.55345091739</v>
      </c>
      <c r="E141" s="92">
        <f t="shared" si="26"/>
        <v>215030.22337293575</v>
      </c>
      <c r="F141" s="92">
        <f t="shared" si="26"/>
        <v>392953.46129655949</v>
      </c>
      <c r="G141" s="92">
        <f t="shared" si="26"/>
        <v>124641.41266307338</v>
      </c>
      <c r="H141" s="92">
        <f t="shared" si="26"/>
        <v>104660.72819036695</v>
      </c>
      <c r="I141" s="92">
        <f t="shared" si="26"/>
        <v>164602.7816084862</v>
      </c>
      <c r="J141" s="92">
        <f t="shared" si="26"/>
        <v>435769.21373807342</v>
      </c>
      <c r="K141" s="92">
        <f t="shared" ref="K141" si="27">K140*0.15</f>
        <v>431963.36907660536</v>
      </c>
      <c r="L141" s="92">
        <f t="shared" ref="L141" si="28">L140*0.15</f>
        <v>347283.32535894483</v>
      </c>
      <c r="M141" s="92">
        <f t="shared" ref="M141" si="29">M140*0.15</f>
        <v>145573.55830114675</v>
      </c>
      <c r="N141" s="92">
        <f t="shared" ref="N141" si="30">N140*0.15</f>
        <v>98000.500032798154</v>
      </c>
      <c r="O141" s="92">
        <f t="shared" si="21"/>
        <v>2698343.864980733</v>
      </c>
      <c r="P141" s="92">
        <f>O141+(O141*'Demanda Dinamica'!$S$6)</f>
        <v>2914211.3741791919</v>
      </c>
      <c r="Q141" s="92">
        <f>P141+(P141*'Demanda Dinamica'!$S$7)</f>
        <v>3351343.0803060709</v>
      </c>
    </row>
    <row r="142" spans="2:20">
      <c r="B142" s="2" t="s">
        <v>276</v>
      </c>
      <c r="C142" s="92">
        <f>C139+C140-C141</f>
        <v>3257202.1073752288</v>
      </c>
      <c r="D142" s="92">
        <f t="shared" ref="D142:N142" si="31">D139+D140-D141</f>
        <v>6436851.7836224753</v>
      </c>
      <c r="E142" s="92">
        <f t="shared" si="31"/>
        <v>8763424.717461925</v>
      </c>
      <c r="F142" s="92">
        <f t="shared" si="31"/>
        <v>16014577.027928207</v>
      </c>
      <c r="G142" s="92">
        <f t="shared" si="31"/>
        <v>5079684.2388827978</v>
      </c>
      <c r="H142" s="92">
        <f t="shared" si="31"/>
        <v>4265383.7120389901</v>
      </c>
      <c r="I142" s="92">
        <f t="shared" si="31"/>
        <v>6708285.2925704112</v>
      </c>
      <c r="J142" s="92">
        <f t="shared" si="31"/>
        <v>17759506.728307799</v>
      </c>
      <c r="K142" s="92">
        <f t="shared" si="31"/>
        <v>17604401.86605183</v>
      </c>
      <c r="L142" s="92">
        <f t="shared" si="31"/>
        <v>14153318.680856649</v>
      </c>
      <c r="M142" s="92">
        <f t="shared" si="31"/>
        <v>5932760.9812905956</v>
      </c>
      <c r="N142" s="92">
        <f t="shared" si="31"/>
        <v>3993950.2030910542</v>
      </c>
      <c r="O142" s="92">
        <f t="shared" si="21"/>
        <v>109969347.33947797</v>
      </c>
      <c r="P142" s="92">
        <f>O142+(O142*'Demanda Dinamica'!$S$6)</f>
        <v>118766895.12663621</v>
      </c>
      <c r="Q142" s="92">
        <f>P142+(P142*'Demanda Dinamica'!$S$7)</f>
        <v>136581929.39563164</v>
      </c>
    </row>
    <row r="143" spans="2:20">
      <c r="B143" s="2" t="s">
        <v>277</v>
      </c>
      <c r="C143" s="92">
        <f>(C138+(C138*0.19))-(C138*0.19*0.15)</f>
        <v>1861258.3470715594</v>
      </c>
      <c r="D143" s="92">
        <f t="shared" ref="D143:N143" si="32">(D138+(D138*0.19))-(D138*0.19*0.15)</f>
        <v>3678201.0192128434</v>
      </c>
      <c r="E143" s="92">
        <f t="shared" si="32"/>
        <v>5007671.2671211008</v>
      </c>
      <c r="F143" s="92">
        <f t="shared" si="32"/>
        <v>9151186.8731018342</v>
      </c>
      <c r="G143" s="92">
        <f t="shared" si="32"/>
        <v>2902676.7079330268</v>
      </c>
      <c r="H143" s="92">
        <f t="shared" si="32"/>
        <v>2437362.1211651373</v>
      </c>
      <c r="I143" s="92">
        <f t="shared" si="32"/>
        <v>3833305.8814688069</v>
      </c>
      <c r="J143" s="92">
        <f t="shared" si="32"/>
        <v>10148289.559033027</v>
      </c>
      <c r="K143" s="92">
        <f t="shared" si="32"/>
        <v>10059658.209172474</v>
      </c>
      <c r="L143" s="92">
        <f t="shared" si="32"/>
        <v>8087610.6747752279</v>
      </c>
      <c r="M143" s="92">
        <f t="shared" si="32"/>
        <v>3390149.1321660546</v>
      </c>
      <c r="N143" s="92">
        <f t="shared" si="32"/>
        <v>2282257.2589091742</v>
      </c>
      <c r="O143" s="92">
        <f t="shared" si="21"/>
        <v>62839627.051130265</v>
      </c>
      <c r="P143" s="92">
        <f>O143+(O143*'Demanda Dinamica'!$S$6)</f>
        <v>67866797.21522069</v>
      </c>
      <c r="Q143" s="92">
        <f>P143+(P143*'Demanda Dinamica'!$S$7)</f>
        <v>78046816.797503799</v>
      </c>
    </row>
    <row r="144" spans="2:20">
      <c r="B144" s="2" t="s">
        <v>281</v>
      </c>
      <c r="C144" s="92">
        <f>(C137+(C137*0.19))-(C137*0.19*0.15)</f>
        <v>1395943.7603036696</v>
      </c>
      <c r="D144" s="92">
        <f t="shared" ref="D144:N144" si="33">(D137+(D137*0.19))-(D137*0.19*0.15)</f>
        <v>2758650.7644096329</v>
      </c>
      <c r="E144" s="92">
        <f t="shared" si="33"/>
        <v>3755753.4503408251</v>
      </c>
      <c r="F144" s="92">
        <f t="shared" si="33"/>
        <v>6863390.1548263747</v>
      </c>
      <c r="G144" s="92">
        <f t="shared" si="33"/>
        <v>2177007.5309497705</v>
      </c>
      <c r="H144" s="92">
        <f t="shared" si="33"/>
        <v>1828021.5908738528</v>
      </c>
      <c r="I144" s="92">
        <f t="shared" si="33"/>
        <v>2874979.4111016053</v>
      </c>
      <c r="J144" s="92">
        <f t="shared" si="33"/>
        <v>7611217.1692747697</v>
      </c>
      <c r="K144" s="92">
        <f t="shared" si="33"/>
        <v>7544743.6568793561</v>
      </c>
      <c r="L144" s="92">
        <f t="shared" si="33"/>
        <v>6065708.0060814209</v>
      </c>
      <c r="M144" s="92">
        <f t="shared" si="33"/>
        <v>2542611.8491245406</v>
      </c>
      <c r="N144" s="92">
        <f t="shared" si="33"/>
        <v>1711692.9441818804</v>
      </c>
      <c r="O144" s="92">
        <f t="shared" si="21"/>
        <v>47129720.288347706</v>
      </c>
      <c r="P144" s="92">
        <f>O144+(O144*'Demanda Dinamica'!$S$6)</f>
        <v>50900097.911415525</v>
      </c>
      <c r="Q144" s="92">
        <f>P144+(P144*'Demanda Dinamica'!$S$7)</f>
        <v>58535112.598127857</v>
      </c>
    </row>
    <row r="145" spans="2:17">
      <c r="B145" s="2" t="s">
        <v>278</v>
      </c>
      <c r="C145" s="92">
        <f>$H$131*'Demanda Dinamica'!C13/2</f>
        <v>1201845.6825688072</v>
      </c>
      <c r="D145" s="92">
        <f>$H$131*'Demanda Dinamica'!D13/2</f>
        <v>2375075.991743119</v>
      </c>
      <c r="E145" s="92">
        <f>$H$131*'Demanda Dinamica'!E13/2</f>
        <v>3233537.1935779811</v>
      </c>
      <c r="F145" s="92">
        <f>$H$131*'Demanda Dinamica'!F13/2</f>
        <v>5909074.6059633018</v>
      </c>
      <c r="G145" s="92">
        <f>$H$131*'Demanda Dinamica'!G13/2</f>
        <v>1874306.9573394491</v>
      </c>
      <c r="H145" s="92">
        <f>$H$131*'Demanda Dinamica'!H13/2</f>
        <v>1573845.5366972473</v>
      </c>
      <c r="I145" s="92">
        <f>$H$131*'Demanda Dinamica'!I13/2</f>
        <v>2475229.7986238529</v>
      </c>
      <c r="J145" s="92">
        <f>$H$131*'Demanda Dinamica'!J13/2</f>
        <v>6552920.5073394487</v>
      </c>
      <c r="K145" s="92">
        <f>$H$131*'Demanda Dinamica'!K13/2</f>
        <v>6495689.7605504571</v>
      </c>
      <c r="L145" s="92">
        <f>$H$131*'Demanda Dinamica'!L13/2</f>
        <v>5222305.6444954118</v>
      </c>
      <c r="M145" s="92">
        <f>$H$131*'Demanda Dinamica'!M13/2</f>
        <v>2189076.0646788985</v>
      </c>
      <c r="N145" s="92">
        <f>$H$131*'Demanda Dinamica'!N13/2</f>
        <v>1473691.7298165134</v>
      </c>
      <c r="O145" s="92">
        <f t="shared" ref="O145:O147" si="34">SUM(C145:N145)</f>
        <v>40576599.473394483</v>
      </c>
      <c r="P145" s="92">
        <f>O145+(O145*'Demanda Dinamica'!$S$6)</f>
        <v>43822727.43126604</v>
      </c>
      <c r="Q145" s="92">
        <f>P145+(P145*'Demanda Dinamica'!$S$7)</f>
        <v>50396136.545955949</v>
      </c>
    </row>
    <row r="146" spans="2:17">
      <c r="B146" s="2" t="s">
        <v>279</v>
      </c>
      <c r="C146" s="92">
        <f>C143+C144</f>
        <v>3257202.1073752288</v>
      </c>
      <c r="D146" s="92">
        <f t="shared" ref="D146:M146" si="35">D143+D144</f>
        <v>6436851.7836224763</v>
      </c>
      <c r="E146" s="92">
        <f t="shared" si="35"/>
        <v>8763424.717461925</v>
      </c>
      <c r="F146" s="92">
        <f t="shared" si="35"/>
        <v>16014577.027928209</v>
      </c>
      <c r="G146" s="92">
        <f t="shared" si="35"/>
        <v>5079684.2388827968</v>
      </c>
      <c r="H146" s="92">
        <f t="shared" si="35"/>
        <v>4265383.7120389901</v>
      </c>
      <c r="I146" s="92">
        <f t="shared" si="35"/>
        <v>6708285.2925704122</v>
      </c>
      <c r="J146" s="92">
        <f t="shared" si="35"/>
        <v>17759506.728307799</v>
      </c>
      <c r="K146" s="92">
        <f t="shared" si="35"/>
        <v>17604401.86605183</v>
      </c>
      <c r="L146" s="92">
        <f t="shared" si="35"/>
        <v>14153318.680856649</v>
      </c>
      <c r="M146" s="92">
        <f t="shared" si="35"/>
        <v>5932760.9812905956</v>
      </c>
      <c r="N146" s="92">
        <f>N143+N144</f>
        <v>3993950.2030910547</v>
      </c>
      <c r="O146" s="92">
        <f t="shared" si="34"/>
        <v>109969347.33947797</v>
      </c>
      <c r="P146" s="92">
        <f>O146+(O146*'Demanda Dinamica'!$S$6)</f>
        <v>118766895.12663621</v>
      </c>
      <c r="Q146" s="92">
        <f>P146+(P146*'Demanda Dinamica'!$S$7)</f>
        <v>136581929.39563164</v>
      </c>
    </row>
    <row r="147" spans="2:17">
      <c r="B147" s="2" t="s">
        <v>280</v>
      </c>
      <c r="C147" s="40">
        <f>$H$131*('Demanda Dinamica'!C13/2)</f>
        <v>1201845.6825688072</v>
      </c>
      <c r="D147" s="40">
        <f>$H$131*('Demanda Dinamica'!D13/2)</f>
        <v>2375075.991743119</v>
      </c>
      <c r="E147" s="40">
        <f>$H$131*('Demanda Dinamica'!E13/2)</f>
        <v>3233537.1935779811</v>
      </c>
      <c r="F147" s="40">
        <f>$H$131*('Demanda Dinamica'!F13/2)</f>
        <v>5909074.6059633018</v>
      </c>
      <c r="G147" s="40">
        <f>$H$131*('Demanda Dinamica'!G13/2)</f>
        <v>1874306.9573394491</v>
      </c>
      <c r="H147" s="40">
        <f>$H$131*('Demanda Dinamica'!H13/2)</f>
        <v>1573845.5366972473</v>
      </c>
      <c r="I147" s="40">
        <f>$H$131*('Demanda Dinamica'!I13/2)</f>
        <v>2475229.7986238529</v>
      </c>
      <c r="J147" s="40">
        <f>$H$131*('Demanda Dinamica'!J13/2)</f>
        <v>6552920.5073394487</v>
      </c>
      <c r="K147" s="40">
        <f>$H$131*('Demanda Dinamica'!K13/2)</f>
        <v>6495689.7605504571</v>
      </c>
      <c r="L147" s="40">
        <f>$H$131*('Demanda Dinamica'!L13/2)</f>
        <v>5222305.6444954118</v>
      </c>
      <c r="M147" s="40">
        <f>$H$131*('Demanda Dinamica'!M13/2)</f>
        <v>2189076.0646788985</v>
      </c>
      <c r="N147" s="40">
        <f>$H$131*('Demanda Dinamica'!N13/2)</f>
        <v>1473691.7298165134</v>
      </c>
      <c r="O147" s="92">
        <f t="shared" si="34"/>
        <v>40576599.473394483</v>
      </c>
      <c r="P147" s="92">
        <f>O147+(O147*'Demanda Dinamica'!$S$6)</f>
        <v>43822727.43126604</v>
      </c>
      <c r="Q147" s="92">
        <f>P147+(P147*'Demanda Dinamica'!$S$7)</f>
        <v>50396136.545955949</v>
      </c>
    </row>
    <row r="149" spans="2:17">
      <c r="B149" s="185" t="s">
        <v>283</v>
      </c>
      <c r="C149" s="185"/>
      <c r="D149" s="185"/>
      <c r="E149" s="185"/>
      <c r="G149" s="186" t="s">
        <v>2</v>
      </c>
      <c r="H149" s="186"/>
      <c r="I149" s="186"/>
      <c r="J149" s="186"/>
      <c r="K149" s="186"/>
    </row>
    <row r="150" spans="2:17">
      <c r="B150" s="22" t="s">
        <v>68</v>
      </c>
      <c r="C150" s="22" t="s">
        <v>2</v>
      </c>
      <c r="D150" s="22" t="s">
        <v>3</v>
      </c>
      <c r="E150" s="22" t="s">
        <v>43</v>
      </c>
      <c r="G150" s="95" t="s">
        <v>290</v>
      </c>
      <c r="H150" s="95" t="s">
        <v>291</v>
      </c>
      <c r="I150" s="95" t="s">
        <v>292</v>
      </c>
      <c r="J150" s="95" t="s">
        <v>293</v>
      </c>
      <c r="K150" s="95" t="s">
        <v>294</v>
      </c>
    </row>
    <row r="151" spans="2:17" ht="21" customHeight="1">
      <c r="B151" s="58" t="s">
        <v>284</v>
      </c>
      <c r="C151" s="98">
        <f>0*'Demanda Dinamica'!O13</f>
        <v>0</v>
      </c>
      <c r="D151" s="98">
        <f>0*'Demanda Dinamica'!P13</f>
        <v>0</v>
      </c>
      <c r="E151" s="98">
        <f>0*'Demanda Dinamica'!Q13</f>
        <v>0</v>
      </c>
      <c r="G151" s="96">
        <f>O139</f>
        <v>94678732.104587138</v>
      </c>
      <c r="H151" s="97">
        <f>C124*'Demanda Dinamica'!O13</f>
        <v>63981040</v>
      </c>
      <c r="I151" s="97">
        <f>G151-H151-J151-K151</f>
        <v>21229818.894128427</v>
      </c>
      <c r="J151" s="97">
        <f>G151*0.05</f>
        <v>4733936.6052293573</v>
      </c>
      <c r="K151" s="97">
        <f>J151</f>
        <v>4733936.6052293573</v>
      </c>
    </row>
    <row r="152" spans="2:17" ht="30">
      <c r="B152" s="58" t="s">
        <v>285</v>
      </c>
      <c r="C152" s="98">
        <f>O139*0.05</f>
        <v>4733936.6052293573</v>
      </c>
      <c r="D152" s="98">
        <f t="shared" ref="D152:E152" si="36">P139*0.05</f>
        <v>5112651.5336477058</v>
      </c>
      <c r="E152" s="98">
        <f t="shared" si="36"/>
        <v>5879549.2636948619</v>
      </c>
    </row>
    <row r="153" spans="2:17" ht="30">
      <c r="B153" s="58" t="s">
        <v>286</v>
      </c>
      <c r="C153" s="98">
        <f>C152</f>
        <v>4733936.6052293573</v>
      </c>
      <c r="D153" s="98">
        <f t="shared" ref="D153:E153" si="37">D152</f>
        <v>5112651.5336477058</v>
      </c>
      <c r="E153" s="98">
        <f t="shared" si="37"/>
        <v>5879549.2636948619</v>
      </c>
    </row>
    <row r="154" spans="2:17" ht="30">
      <c r="B154" s="58" t="s">
        <v>287</v>
      </c>
      <c r="C154" s="98">
        <f>(G151/1000)*11</f>
        <v>1041466.0531504585</v>
      </c>
      <c r="D154" s="98">
        <f>C154+(C154*'Demanda Dinamica'!$D$6)</f>
        <v>1103954.016339486</v>
      </c>
      <c r="E154" s="98">
        <f>D154+('Demanda Dinamica'!$D$7*D154)</f>
        <v>1175711.0274015525</v>
      </c>
    </row>
    <row r="155" spans="2:17" ht="30">
      <c r="B155" s="58" t="s">
        <v>288</v>
      </c>
      <c r="C155" s="98">
        <f>C154*0.15</f>
        <v>156219.90797256876</v>
      </c>
      <c r="D155" s="98">
        <f t="shared" ref="D155:E155" si="38">D154*0.15</f>
        <v>165593.10245092289</v>
      </c>
      <c r="E155" s="98">
        <f t="shared" si="38"/>
        <v>176356.65411023286</v>
      </c>
    </row>
    <row r="156" spans="2:17">
      <c r="B156" s="22" t="s">
        <v>289</v>
      </c>
      <c r="C156" s="99">
        <f>SUM(C151:C155)</f>
        <v>10665559.171581741</v>
      </c>
      <c r="D156" s="99">
        <f t="shared" ref="D156:E156" si="39">SUM(D151:D155)</f>
        <v>11494850.18608582</v>
      </c>
      <c r="E156" s="99">
        <f t="shared" si="39"/>
        <v>13111166.208901508</v>
      </c>
    </row>
    <row r="158" spans="2:17">
      <c r="B158" s="180" t="s">
        <v>318</v>
      </c>
      <c r="C158" s="180"/>
      <c r="D158" s="180"/>
      <c r="E158" s="180"/>
      <c r="F158" s="180"/>
      <c r="G158" s="180"/>
    </row>
    <row r="159" spans="2:17">
      <c r="B159" s="184" t="s">
        <v>68</v>
      </c>
      <c r="C159" s="184"/>
      <c r="D159" s="184"/>
      <c r="E159" s="62" t="s">
        <v>2</v>
      </c>
      <c r="F159" s="62" t="s">
        <v>3</v>
      </c>
      <c r="G159" s="62" t="s">
        <v>43</v>
      </c>
    </row>
    <row r="160" spans="2:17">
      <c r="B160" s="174" t="s">
        <v>295</v>
      </c>
      <c r="C160" s="177" t="s">
        <v>296</v>
      </c>
      <c r="D160" s="177"/>
      <c r="E160" s="2" t="s">
        <v>297</v>
      </c>
      <c r="F160" s="92">
        <f>F113</f>
        <v>80000</v>
      </c>
      <c r="G160" s="92">
        <f>G113</f>
        <v>85200</v>
      </c>
    </row>
    <row r="161" spans="2:7">
      <c r="B161" s="174"/>
      <c r="C161" s="177" t="s">
        <v>298</v>
      </c>
      <c r="D161" s="177"/>
      <c r="E161" s="2" t="s">
        <v>297</v>
      </c>
      <c r="F161" s="92">
        <v>0</v>
      </c>
      <c r="G161" s="92">
        <v>0</v>
      </c>
    </row>
    <row r="162" spans="2:7">
      <c r="B162" s="174"/>
      <c r="C162" s="162" t="s">
        <v>299</v>
      </c>
      <c r="D162" s="162"/>
      <c r="E162" s="76">
        <f>'Demanda Dinamica'!V43</f>
        <v>45334530</v>
      </c>
      <c r="F162" s="76">
        <f>'Demanda Dinamica'!W43</f>
        <v>48054601.800000004</v>
      </c>
      <c r="G162" s="76">
        <f>'Demanda Dinamica'!X43</f>
        <v>51178150.917000011</v>
      </c>
    </row>
    <row r="163" spans="2:7">
      <c r="B163" s="174"/>
      <c r="C163" s="177" t="s">
        <v>300</v>
      </c>
      <c r="D163" s="177"/>
      <c r="E163" s="76">
        <f>'Demanda Dinamica'!V35</f>
        <v>2400000</v>
      </c>
      <c r="F163" s="76">
        <f>'Demanda Dinamica'!W35</f>
        <v>2544000</v>
      </c>
      <c r="G163" s="76">
        <f>'Demanda Dinamica'!X35</f>
        <v>2709360</v>
      </c>
    </row>
    <row r="164" spans="2:7">
      <c r="B164" s="174"/>
      <c r="C164" s="177" t="s">
        <v>301</v>
      </c>
      <c r="D164" s="177"/>
      <c r="E164" s="76">
        <v>0</v>
      </c>
      <c r="F164" s="92">
        <v>0</v>
      </c>
      <c r="G164" s="92">
        <v>0</v>
      </c>
    </row>
    <row r="165" spans="2:7">
      <c r="B165" s="174"/>
      <c r="C165" s="177" t="s">
        <v>302</v>
      </c>
      <c r="D165" s="177"/>
      <c r="E165" s="76">
        <f>E106</f>
        <v>48480</v>
      </c>
      <c r="F165" s="76">
        <f t="shared" ref="F165:G165" si="40">F106</f>
        <v>51388.800000000003</v>
      </c>
      <c r="G165" s="76">
        <f t="shared" si="40"/>
        <v>54729.072</v>
      </c>
    </row>
    <row r="166" spans="2:7">
      <c r="B166" s="174"/>
      <c r="C166" s="177" t="s">
        <v>303</v>
      </c>
      <c r="D166" s="177"/>
      <c r="E166" s="76">
        <f>E107</f>
        <v>0</v>
      </c>
      <c r="F166" s="76">
        <f t="shared" ref="F166:G166" si="41">F107</f>
        <v>0</v>
      </c>
      <c r="G166" s="76">
        <f t="shared" si="41"/>
        <v>0</v>
      </c>
    </row>
    <row r="167" spans="2:7">
      <c r="B167" s="174"/>
      <c r="C167" s="177" t="s">
        <v>304</v>
      </c>
      <c r="D167" s="177"/>
      <c r="E167" s="76">
        <f t="shared" ref="E167:G168" si="42">E108</f>
        <v>120000</v>
      </c>
      <c r="F167" s="76">
        <f t="shared" si="42"/>
        <v>127200</v>
      </c>
      <c r="G167" s="76">
        <f t="shared" si="42"/>
        <v>135468</v>
      </c>
    </row>
    <row r="168" spans="2:7">
      <c r="B168" s="174"/>
      <c r="C168" s="177" t="s">
        <v>305</v>
      </c>
      <c r="D168" s="177"/>
      <c r="E168" s="76">
        <f t="shared" si="42"/>
        <v>0</v>
      </c>
      <c r="F168" s="76">
        <f t="shared" si="42"/>
        <v>0</v>
      </c>
      <c r="G168" s="76">
        <f t="shared" si="42"/>
        <v>0</v>
      </c>
    </row>
    <row r="169" spans="2:7">
      <c r="B169" s="174"/>
      <c r="C169" s="177" t="s">
        <v>161</v>
      </c>
      <c r="D169" s="177"/>
      <c r="E169" s="76">
        <f>E110</f>
        <v>200000</v>
      </c>
      <c r="F169" s="76">
        <f t="shared" ref="F169:G169" si="43">F110</f>
        <v>200000</v>
      </c>
      <c r="G169" s="76">
        <f t="shared" si="43"/>
        <v>200000</v>
      </c>
    </row>
    <row r="170" spans="2:7">
      <c r="B170" s="174"/>
      <c r="C170" s="177" t="s">
        <v>306</v>
      </c>
      <c r="D170" s="177"/>
      <c r="E170" s="76">
        <f>E111</f>
        <v>200000</v>
      </c>
      <c r="F170" s="76">
        <f t="shared" ref="F170:G170" si="44">F111</f>
        <v>200000</v>
      </c>
      <c r="G170" s="76">
        <f t="shared" si="44"/>
        <v>200000</v>
      </c>
    </row>
    <row r="171" spans="2:7">
      <c r="B171" s="174"/>
      <c r="C171" s="177" t="s">
        <v>319</v>
      </c>
      <c r="D171" s="177"/>
      <c r="E171" s="76">
        <v>0</v>
      </c>
      <c r="F171" s="92">
        <v>0</v>
      </c>
      <c r="G171" s="92">
        <v>0</v>
      </c>
    </row>
    <row r="172" spans="2:7">
      <c r="B172" s="174"/>
      <c r="C172" s="184" t="s">
        <v>307</v>
      </c>
      <c r="D172" s="184"/>
      <c r="E172" s="81">
        <f>SUM(E162:E171)</f>
        <v>48303010</v>
      </c>
      <c r="F172" s="93">
        <f>SUM(F160:F171)</f>
        <v>51257190.600000001</v>
      </c>
      <c r="G172" s="93">
        <f>SUM(G160:G171)</f>
        <v>54562907.989000008</v>
      </c>
    </row>
    <row r="173" spans="2:7">
      <c r="B173" s="184" t="s">
        <v>308</v>
      </c>
      <c r="C173" s="177" t="s">
        <v>186</v>
      </c>
      <c r="D173" s="177"/>
      <c r="E173" s="76">
        <f>E64</f>
        <v>0</v>
      </c>
      <c r="F173" s="76">
        <f t="shared" ref="F173:G173" si="45">F64</f>
        <v>0</v>
      </c>
      <c r="G173" s="76">
        <f t="shared" si="45"/>
        <v>0</v>
      </c>
    </row>
    <row r="174" spans="2:7">
      <c r="B174" s="184"/>
      <c r="C174" s="177" t="s">
        <v>309</v>
      </c>
      <c r="D174" s="177"/>
      <c r="E174" s="76">
        <f>0</f>
        <v>0</v>
      </c>
      <c r="F174" s="76">
        <f>0</f>
        <v>0</v>
      </c>
      <c r="G174" s="76">
        <f>0</f>
        <v>0</v>
      </c>
    </row>
    <row r="175" spans="2:7">
      <c r="B175" s="184"/>
      <c r="C175" s="177" t="s">
        <v>310</v>
      </c>
      <c r="D175" s="177"/>
      <c r="E175" s="76">
        <v>0</v>
      </c>
      <c r="F175" s="76">
        <v>0</v>
      </c>
      <c r="G175" s="76">
        <v>0</v>
      </c>
    </row>
    <row r="176" spans="2:7">
      <c r="B176" s="184"/>
      <c r="C176" s="177" t="s">
        <v>311</v>
      </c>
      <c r="D176" s="177"/>
      <c r="E176" s="76">
        <v>0</v>
      </c>
      <c r="F176" s="76">
        <v>0</v>
      </c>
      <c r="G176" s="76">
        <v>0</v>
      </c>
    </row>
    <row r="177" spans="2:7">
      <c r="B177" s="184"/>
      <c r="C177" s="177" t="s">
        <v>284</v>
      </c>
      <c r="D177" s="177"/>
      <c r="E177" s="76">
        <v>0</v>
      </c>
      <c r="F177" s="76">
        <v>0</v>
      </c>
      <c r="G177" s="76">
        <v>0</v>
      </c>
    </row>
    <row r="178" spans="2:7">
      <c r="B178" s="184"/>
      <c r="C178" s="177" t="s">
        <v>312</v>
      </c>
      <c r="D178" s="177"/>
      <c r="E178" s="76">
        <f>C152</f>
        <v>4733936.6052293573</v>
      </c>
      <c r="F178" s="76">
        <f t="shared" ref="F178:G178" si="46">D152</f>
        <v>5112651.5336477058</v>
      </c>
      <c r="G178" s="76">
        <f t="shared" si="46"/>
        <v>5879549.2636948619</v>
      </c>
    </row>
    <row r="179" spans="2:7">
      <c r="B179" s="184"/>
      <c r="C179" s="177" t="s">
        <v>313</v>
      </c>
      <c r="D179" s="177"/>
      <c r="E179" s="76">
        <f>C153</f>
        <v>4733936.6052293573</v>
      </c>
      <c r="F179" s="76">
        <f t="shared" ref="F179:G181" si="47">D153</f>
        <v>5112651.5336477058</v>
      </c>
      <c r="G179" s="76">
        <f t="shared" si="47"/>
        <v>5879549.2636948619</v>
      </c>
    </row>
    <row r="180" spans="2:7">
      <c r="B180" s="184"/>
      <c r="C180" s="177" t="s">
        <v>314</v>
      </c>
      <c r="D180" s="177"/>
      <c r="E180" s="76">
        <f t="shared" ref="E180:E181" si="48">C154</f>
        <v>1041466.0531504585</v>
      </c>
      <c r="F180" s="76">
        <f t="shared" si="47"/>
        <v>1103954.016339486</v>
      </c>
      <c r="G180" s="76">
        <f t="shared" si="47"/>
        <v>1175711.0274015525</v>
      </c>
    </row>
    <row r="181" spans="2:7">
      <c r="B181" s="184"/>
      <c r="C181" s="177" t="s">
        <v>315</v>
      </c>
      <c r="D181" s="177"/>
      <c r="E181" s="76">
        <f t="shared" si="48"/>
        <v>156219.90797256876</v>
      </c>
      <c r="F181" s="76">
        <f t="shared" si="47"/>
        <v>165593.10245092289</v>
      </c>
      <c r="G181" s="76">
        <f t="shared" si="47"/>
        <v>176356.65411023286</v>
      </c>
    </row>
    <row r="182" spans="2:7">
      <c r="B182" s="184"/>
      <c r="C182" s="184" t="s">
        <v>316</v>
      </c>
      <c r="D182" s="184"/>
      <c r="E182" s="81">
        <f>SUM(E173:E181)</f>
        <v>10665559.171581741</v>
      </c>
      <c r="F182" s="81">
        <f t="shared" ref="F182:G182" si="49">SUM(F173:F181)</f>
        <v>11494850.18608582</v>
      </c>
      <c r="G182" s="81">
        <f t="shared" si="49"/>
        <v>13111166.208901508</v>
      </c>
    </row>
    <row r="183" spans="2:7">
      <c r="B183" s="179" t="s">
        <v>317</v>
      </c>
      <c r="C183" s="179"/>
      <c r="D183" s="179"/>
      <c r="E183" s="100">
        <f>E172+E182</f>
        <v>58968569.171581745</v>
      </c>
      <c r="F183" s="100">
        <f t="shared" ref="F183:G183" si="50">F172+F182</f>
        <v>62752040.786085822</v>
      </c>
      <c r="G183" s="100">
        <f t="shared" si="50"/>
        <v>67674074.197901517</v>
      </c>
    </row>
    <row r="184" spans="2:7">
      <c r="B184" s="66"/>
      <c r="C184" s="66"/>
      <c r="D184" s="66"/>
      <c r="E184" s="66"/>
      <c r="F184" s="66"/>
    </row>
    <row r="185" spans="2:7">
      <c r="B185" s="180" t="s">
        <v>321</v>
      </c>
      <c r="C185" s="180"/>
      <c r="D185" s="180"/>
      <c r="E185" s="180"/>
      <c r="F185" s="180"/>
    </row>
    <row r="186" spans="2:7">
      <c r="B186" s="62" t="s">
        <v>68</v>
      </c>
      <c r="C186" s="62" t="s">
        <v>320</v>
      </c>
      <c r="D186" s="62" t="s">
        <v>2</v>
      </c>
      <c r="E186" s="62" t="s">
        <v>3</v>
      </c>
      <c r="F186" s="62" t="s">
        <v>43</v>
      </c>
    </row>
    <row r="187" spans="2:7" ht="30">
      <c r="B187" s="59" t="s">
        <v>322</v>
      </c>
      <c r="C187" s="58" t="s">
        <v>323</v>
      </c>
      <c r="D187" s="2">
        <f>'Demanda Dinamica'!O13</f>
        <v>2180</v>
      </c>
      <c r="E187" s="2">
        <f>'Demanda Dinamica'!P13</f>
        <v>4283</v>
      </c>
      <c r="F187" s="2">
        <f>'Demanda Dinamica'!Q13</f>
        <v>4641</v>
      </c>
    </row>
    <row r="188" spans="2:7" ht="30">
      <c r="B188" s="59" t="s">
        <v>324</v>
      </c>
      <c r="C188" s="58" t="s">
        <v>325</v>
      </c>
      <c r="D188" s="19">
        <f>C121/D187</f>
        <v>29349.100917431191</v>
      </c>
      <c r="E188" s="19">
        <f t="shared" ref="E188:F188" si="51">F75/E187</f>
        <v>11269.344338080784</v>
      </c>
      <c r="F188" s="19">
        <f t="shared" si="51"/>
        <v>10449.100290885586</v>
      </c>
    </row>
    <row r="189" spans="2:7" ht="30">
      <c r="B189" s="59" t="s">
        <v>326</v>
      </c>
      <c r="C189" s="58" t="s">
        <v>327</v>
      </c>
      <c r="D189" s="76">
        <f>E182/D187</f>
        <v>4892.4583355879549</v>
      </c>
      <c r="E189" s="76">
        <f t="shared" ref="E189:F189" si="52">F182/E187</f>
        <v>2683.8314700177025</v>
      </c>
      <c r="F189" s="76">
        <f t="shared" si="52"/>
        <v>2825.0735205562396</v>
      </c>
    </row>
    <row r="190" spans="2:7" ht="30">
      <c r="B190" s="59" t="s">
        <v>328</v>
      </c>
      <c r="C190" s="58" t="s">
        <v>329</v>
      </c>
      <c r="D190" s="76">
        <f>O139/D187</f>
        <v>43430.611057150061</v>
      </c>
      <c r="E190" s="76">
        <f t="shared" ref="E190:F190" si="53">P139/E187</f>
        <v>23874.160792191014</v>
      </c>
      <c r="F190" s="76">
        <f t="shared" si="53"/>
        <v>25337.424105558552</v>
      </c>
    </row>
    <row r="191" spans="2:7" ht="30">
      <c r="B191" s="59" t="s">
        <v>330</v>
      </c>
      <c r="C191" s="58" t="s">
        <v>331</v>
      </c>
      <c r="D191" s="76">
        <f>D190-D189</f>
        <v>38538.152721562103</v>
      </c>
      <c r="E191" s="76">
        <f t="shared" ref="E191:F191" si="54">E190-E189</f>
        <v>21190.329322173311</v>
      </c>
      <c r="F191" s="76">
        <f t="shared" si="54"/>
        <v>22512.350585002314</v>
      </c>
    </row>
    <row r="192" spans="2:7" ht="30">
      <c r="B192" s="59" t="s">
        <v>332</v>
      </c>
      <c r="C192" s="58" t="s">
        <v>333</v>
      </c>
      <c r="D192" s="2">
        <f>E172/D191</f>
        <v>1253.3815605794323</v>
      </c>
      <c r="E192" s="2">
        <f>F172/E191</f>
        <v>2418.8954225626444</v>
      </c>
      <c r="F192" s="2">
        <f>G172/F191</f>
        <v>2423.6877345606777</v>
      </c>
    </row>
    <row r="194" spans="2:17">
      <c r="B194" s="181" t="s">
        <v>336</v>
      </c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</row>
    <row r="195" spans="2:17">
      <c r="B195" s="62" t="s">
        <v>68</v>
      </c>
      <c r="C195" s="61" t="s">
        <v>15</v>
      </c>
      <c r="D195" s="61" t="s">
        <v>334</v>
      </c>
      <c r="E195" s="61" t="s">
        <v>33</v>
      </c>
      <c r="F195" s="61" t="s">
        <v>18</v>
      </c>
      <c r="G195" s="61" t="s">
        <v>268</v>
      </c>
      <c r="H195" s="61" t="s">
        <v>20</v>
      </c>
      <c r="I195" s="61" t="s">
        <v>269</v>
      </c>
      <c r="J195" s="61" t="s">
        <v>41</v>
      </c>
      <c r="K195" s="61" t="s">
        <v>23</v>
      </c>
      <c r="L195" s="61" t="s">
        <v>335</v>
      </c>
      <c r="M195" s="61" t="s">
        <v>25</v>
      </c>
      <c r="N195" s="61" t="s">
        <v>270</v>
      </c>
      <c r="O195" s="61" t="s">
        <v>2</v>
      </c>
      <c r="P195" s="61" t="s">
        <v>3</v>
      </c>
      <c r="Q195" s="61" t="s">
        <v>43</v>
      </c>
    </row>
    <row r="196" spans="2:17">
      <c r="B196" s="62" t="s">
        <v>337</v>
      </c>
      <c r="C196" s="92">
        <f>C139</f>
        <v>2804306.59266055</v>
      </c>
      <c r="D196" s="92">
        <f t="shared" ref="D196:Q196" si="55">D139</f>
        <v>5541843.9807339441</v>
      </c>
      <c r="E196" s="92">
        <f t="shared" si="55"/>
        <v>7544920.1183486227</v>
      </c>
      <c r="F196" s="92">
        <f t="shared" si="55"/>
        <v>13787840.747247703</v>
      </c>
      <c r="G196" s="92">
        <f t="shared" si="55"/>
        <v>4373382.9004587149</v>
      </c>
      <c r="H196" s="92">
        <f t="shared" si="55"/>
        <v>3672306.2522935774</v>
      </c>
      <c r="I196" s="92">
        <f t="shared" si="55"/>
        <v>5775536.1967889899</v>
      </c>
      <c r="J196" s="92">
        <f t="shared" si="55"/>
        <v>15290147.850458715</v>
      </c>
      <c r="K196" s="92">
        <f t="shared" si="55"/>
        <v>15156609.441284399</v>
      </c>
      <c r="L196" s="92">
        <f t="shared" si="55"/>
        <v>12185379.837155961</v>
      </c>
      <c r="M196" s="92">
        <f t="shared" si="55"/>
        <v>5107844.1509174304</v>
      </c>
      <c r="N196" s="92">
        <f t="shared" si="55"/>
        <v>3438614.0362385316</v>
      </c>
      <c r="O196" s="92">
        <f t="shared" si="55"/>
        <v>94678732.104587138</v>
      </c>
      <c r="P196" s="92">
        <f t="shared" si="55"/>
        <v>102253030.67295411</v>
      </c>
      <c r="Q196" s="92">
        <f t="shared" si="55"/>
        <v>117590985.27389723</v>
      </c>
    </row>
    <row r="197" spans="2:17">
      <c r="B197" s="62" t="s">
        <v>338</v>
      </c>
      <c r="C197" s="76">
        <f>$E$183/12</f>
        <v>4914047.4309651451</v>
      </c>
      <c r="D197" s="76">
        <f t="shared" ref="D197:N197" si="56">$E$183/12</f>
        <v>4914047.4309651451</v>
      </c>
      <c r="E197" s="76">
        <f t="shared" si="56"/>
        <v>4914047.4309651451</v>
      </c>
      <c r="F197" s="76">
        <f t="shared" si="56"/>
        <v>4914047.4309651451</v>
      </c>
      <c r="G197" s="76">
        <f t="shared" si="56"/>
        <v>4914047.4309651451</v>
      </c>
      <c r="H197" s="76">
        <f t="shared" si="56"/>
        <v>4914047.4309651451</v>
      </c>
      <c r="I197" s="76">
        <f t="shared" si="56"/>
        <v>4914047.4309651451</v>
      </c>
      <c r="J197" s="76">
        <f t="shared" si="56"/>
        <v>4914047.4309651451</v>
      </c>
      <c r="K197" s="76">
        <f t="shared" si="56"/>
        <v>4914047.4309651451</v>
      </c>
      <c r="L197" s="76">
        <f t="shared" si="56"/>
        <v>4914047.4309651451</v>
      </c>
      <c r="M197" s="76">
        <f t="shared" si="56"/>
        <v>4914047.4309651451</v>
      </c>
      <c r="N197" s="76">
        <f t="shared" si="56"/>
        <v>4914047.4309651451</v>
      </c>
      <c r="O197" s="76">
        <f>E183</f>
        <v>58968569.171581745</v>
      </c>
      <c r="P197" s="76">
        <f t="shared" ref="P197:Q197" si="57">F183</f>
        <v>62752040.786085822</v>
      </c>
      <c r="Q197" s="76">
        <f t="shared" si="57"/>
        <v>67674074.197901517</v>
      </c>
    </row>
    <row r="198" spans="2:17">
      <c r="B198" s="62" t="s">
        <v>339</v>
      </c>
      <c r="C198" s="76">
        <f>C196-C197</f>
        <v>-2109740.8383045951</v>
      </c>
      <c r="D198" s="76">
        <f t="shared" ref="D198:Q198" si="58">D196-D197</f>
        <v>627796.54976879898</v>
      </c>
      <c r="E198" s="76">
        <f t="shared" si="58"/>
        <v>2630872.6873834776</v>
      </c>
      <c r="F198" s="76">
        <f t="shared" si="58"/>
        <v>8873793.3162825592</v>
      </c>
      <c r="G198" s="76">
        <f t="shared" si="58"/>
        <v>-540664.53050643019</v>
      </c>
      <c r="H198" s="76">
        <f t="shared" si="58"/>
        <v>-1241741.1786715677</v>
      </c>
      <c r="I198" s="76">
        <f t="shared" si="58"/>
        <v>861488.76582384482</v>
      </c>
      <c r="J198" s="76">
        <f t="shared" si="58"/>
        <v>10376100.419493571</v>
      </c>
      <c r="K198" s="76">
        <f t="shared" si="58"/>
        <v>10242562.010319255</v>
      </c>
      <c r="L198" s="76">
        <f t="shared" si="58"/>
        <v>7271332.4061908154</v>
      </c>
      <c r="M198" s="76">
        <f t="shared" si="58"/>
        <v>193796.71995228529</v>
      </c>
      <c r="N198" s="76">
        <f t="shared" si="58"/>
        <v>-1475433.3947266135</v>
      </c>
      <c r="O198" s="76">
        <f t="shared" si="58"/>
        <v>35710162.933005393</v>
      </c>
      <c r="P198" s="76">
        <f t="shared" si="58"/>
        <v>39500989.886868291</v>
      </c>
      <c r="Q198" s="76">
        <f t="shared" si="58"/>
        <v>49916911.075995713</v>
      </c>
    </row>
    <row r="200" spans="2:17">
      <c r="B200" s="182" t="s">
        <v>340</v>
      </c>
      <c r="C200" s="182"/>
      <c r="D200" s="182"/>
      <c r="E200" s="182"/>
      <c r="F200" s="182"/>
    </row>
    <row r="201" spans="2:17">
      <c r="B201" s="102" t="s">
        <v>68</v>
      </c>
      <c r="C201" s="61" t="s">
        <v>15</v>
      </c>
      <c r="D201" s="61" t="s">
        <v>16</v>
      </c>
      <c r="E201" s="61" t="s">
        <v>33</v>
      </c>
      <c r="F201" s="61" t="s">
        <v>56</v>
      </c>
    </row>
    <row r="202" spans="2:17">
      <c r="B202" s="102" t="s">
        <v>341</v>
      </c>
      <c r="C202" s="76">
        <f>C197</f>
        <v>4914047.4309651451</v>
      </c>
      <c r="D202" s="76">
        <f t="shared" ref="D202:E202" si="59">D197</f>
        <v>4914047.4309651451</v>
      </c>
      <c r="E202" s="76">
        <f t="shared" si="59"/>
        <v>4914047.4309651451</v>
      </c>
      <c r="F202" s="76">
        <f>SUM(C202:E202)</f>
        <v>14742142.292895436</v>
      </c>
    </row>
    <row r="203" spans="2:17">
      <c r="B203" s="102" t="s">
        <v>342</v>
      </c>
      <c r="C203" s="76">
        <f>-C198</f>
        <v>2109740.8383045951</v>
      </c>
      <c r="D203" s="76">
        <f>D198</f>
        <v>627796.54976879898</v>
      </c>
      <c r="E203" s="2"/>
      <c r="F203" s="76">
        <f>SUM(C203:E203)</f>
        <v>2737537.3880733941</v>
      </c>
    </row>
    <row r="204" spans="2:17">
      <c r="F204" s="76">
        <f>SUM(F202:F203)</f>
        <v>17479679.680968828</v>
      </c>
    </row>
    <row r="205" spans="2:17">
      <c r="B205" s="183" t="s">
        <v>343</v>
      </c>
      <c r="C205" s="183"/>
      <c r="D205" s="183"/>
    </row>
    <row r="206" spans="2:17">
      <c r="B206" s="102" t="s">
        <v>344</v>
      </c>
      <c r="C206" s="18">
        <f>E16</f>
        <v>4848000</v>
      </c>
      <c r="D206" s="103">
        <f>C206/$C$209</f>
        <v>0.21107922381976987</v>
      </c>
    </row>
    <row r="207" spans="2:17">
      <c r="B207" s="102" t="s">
        <v>345</v>
      </c>
      <c r="C207" s="40">
        <f>K12</f>
        <v>640000</v>
      </c>
      <c r="D207" s="103">
        <f t="shared" ref="D207:D209" si="60">C207/$C$209</f>
        <v>2.7865244068616485E-2</v>
      </c>
    </row>
    <row r="208" spans="2:17">
      <c r="B208" s="102" t="s">
        <v>346</v>
      </c>
      <c r="C208" s="76">
        <f>F204</f>
        <v>17479679.680968828</v>
      </c>
      <c r="D208" s="103">
        <f t="shared" si="60"/>
        <v>0.7610555321116137</v>
      </c>
    </row>
    <row r="209" spans="2:4">
      <c r="B209" s="102" t="s">
        <v>56</v>
      </c>
      <c r="C209" s="18">
        <f>SUM(C206:C208)</f>
        <v>22967679.680968828</v>
      </c>
      <c r="D209" s="103">
        <f t="shared" si="60"/>
        <v>1</v>
      </c>
    </row>
  </sheetData>
  <mergeCells count="121">
    <mergeCell ref="B93:C93"/>
    <mergeCell ref="B78:D78"/>
    <mergeCell ref="B81:C81"/>
    <mergeCell ref="B82:C82"/>
    <mergeCell ref="B83:C83"/>
    <mergeCell ref="F81:G81"/>
    <mergeCell ref="B75:D75"/>
    <mergeCell ref="C70:D70"/>
    <mergeCell ref="C71:D71"/>
    <mergeCell ref="C72:D72"/>
    <mergeCell ref="C73:D73"/>
    <mergeCell ref="C74:D74"/>
    <mergeCell ref="B89:D89"/>
    <mergeCell ref="B92:C92"/>
    <mergeCell ref="B54:C54"/>
    <mergeCell ref="B55:C55"/>
    <mergeCell ref="B56:C56"/>
    <mergeCell ref="B57:C57"/>
    <mergeCell ref="B58:C58"/>
    <mergeCell ref="B59:C59"/>
    <mergeCell ref="B52:G52"/>
    <mergeCell ref="B64:B69"/>
    <mergeCell ref="B70:B74"/>
    <mergeCell ref="B63:D63"/>
    <mergeCell ref="C64:D64"/>
    <mergeCell ref="C65:D65"/>
    <mergeCell ref="C67:D67"/>
    <mergeCell ref="C68:D68"/>
    <mergeCell ref="C69:D69"/>
    <mergeCell ref="C66:D66"/>
    <mergeCell ref="H11:J11"/>
    <mergeCell ref="H12:J12"/>
    <mergeCell ref="H2:L2"/>
    <mergeCell ref="J24:J25"/>
    <mergeCell ref="G24:I24"/>
    <mergeCell ref="H3:J3"/>
    <mergeCell ref="H4:J4"/>
    <mergeCell ref="H5:J5"/>
    <mergeCell ref="H6:J6"/>
    <mergeCell ref="H9:J9"/>
    <mergeCell ref="H10:J10"/>
    <mergeCell ref="B23:J23"/>
    <mergeCell ref="B3:F3"/>
    <mergeCell ref="B16:D16"/>
    <mergeCell ref="B95:E95"/>
    <mergeCell ref="B103:G103"/>
    <mergeCell ref="B104:C104"/>
    <mergeCell ref="B105:C105"/>
    <mergeCell ref="B106:C106"/>
    <mergeCell ref="B62:G62"/>
    <mergeCell ref="B18:C18"/>
    <mergeCell ref="F24:F25"/>
    <mergeCell ref="E24:E25"/>
    <mergeCell ref="B24:B25"/>
    <mergeCell ref="C24:C25"/>
    <mergeCell ref="D24:D25"/>
    <mergeCell ref="B34:B35"/>
    <mergeCell ref="C34:C35"/>
    <mergeCell ref="D34:D35"/>
    <mergeCell ref="E34:G34"/>
    <mergeCell ref="B33:G33"/>
    <mergeCell ref="B28:F28"/>
    <mergeCell ref="B31:F31"/>
    <mergeCell ref="B60:D60"/>
    <mergeCell ref="B38:E38"/>
    <mergeCell ref="B44:D44"/>
    <mergeCell ref="F44:F46"/>
    <mergeCell ref="B53:C53"/>
    <mergeCell ref="B112:C112"/>
    <mergeCell ref="B113:C113"/>
    <mergeCell ref="B114:C114"/>
    <mergeCell ref="B115:D115"/>
    <mergeCell ref="B117:E117"/>
    <mergeCell ref="B107:C107"/>
    <mergeCell ref="B108:C108"/>
    <mergeCell ref="B109:C109"/>
    <mergeCell ref="B110:C110"/>
    <mergeCell ref="B111:C111"/>
    <mergeCell ref="I128:I129"/>
    <mergeCell ref="J128:J129"/>
    <mergeCell ref="K128:L129"/>
    <mergeCell ref="B127:L127"/>
    <mergeCell ref="B135:Q135"/>
    <mergeCell ref="E128:G128"/>
    <mergeCell ref="B128:C129"/>
    <mergeCell ref="D128:D129"/>
    <mergeCell ref="H128:H129"/>
    <mergeCell ref="B149:E149"/>
    <mergeCell ref="G149:K149"/>
    <mergeCell ref="B158:G158"/>
    <mergeCell ref="B159:D159"/>
    <mergeCell ref="B160:B172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B183:D183"/>
    <mergeCell ref="B185:F185"/>
    <mergeCell ref="B194:Q194"/>
    <mergeCell ref="B200:F200"/>
    <mergeCell ref="B205:D205"/>
    <mergeCell ref="C171:D171"/>
    <mergeCell ref="C172:D172"/>
    <mergeCell ref="B173:B18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</mergeCells>
  <conditionalFormatting sqref="C198:Q19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9"/>
  <sheetViews>
    <sheetView tabSelected="1" topLeftCell="A140" zoomScale="98" zoomScaleNormal="98" workbookViewId="0">
      <selection activeCell="N143" sqref="N143"/>
    </sheetView>
  </sheetViews>
  <sheetFormatPr baseColWidth="10" defaultRowHeight="15"/>
  <cols>
    <col min="2" max="2" width="12.28515625" customWidth="1"/>
    <col min="3" max="3" width="11.85546875" customWidth="1"/>
    <col min="4" max="4" width="12.5703125" customWidth="1"/>
    <col min="5" max="5" width="16.140625" bestFit="1" customWidth="1"/>
    <col min="6" max="6" width="18.7109375" customWidth="1"/>
    <col min="7" max="10" width="15.28515625" bestFit="1" customWidth="1"/>
    <col min="11" max="11" width="14.28515625" bestFit="1" customWidth="1"/>
    <col min="12" max="12" width="13.85546875" customWidth="1"/>
    <col min="13" max="13" width="16.7109375" customWidth="1"/>
    <col min="14" max="14" width="14.28515625" customWidth="1"/>
    <col min="15" max="17" width="14.28515625" bestFit="1" customWidth="1"/>
    <col min="18" max="18" width="13.28515625" customWidth="1"/>
    <col min="19" max="19" width="14.5703125" customWidth="1"/>
    <col min="20" max="22" width="15.5703125" bestFit="1" customWidth="1"/>
  </cols>
  <sheetData>
    <row r="2" spans="2:7">
      <c r="B2" s="231" t="s">
        <v>349</v>
      </c>
      <c r="C2" s="231"/>
      <c r="D2" s="231"/>
      <c r="E2" s="231"/>
      <c r="F2" s="231"/>
      <c r="G2" s="231"/>
    </row>
    <row r="3" spans="2:7">
      <c r="B3" s="184" t="s">
        <v>68</v>
      </c>
      <c r="C3" s="184"/>
      <c r="D3" s="184"/>
      <c r="E3" s="61" t="s">
        <v>2</v>
      </c>
      <c r="F3" s="61" t="s">
        <v>3</v>
      </c>
      <c r="G3" s="61" t="s">
        <v>43</v>
      </c>
    </row>
    <row r="4" spans="2:7">
      <c r="B4" s="184" t="s">
        <v>337</v>
      </c>
      <c r="C4" s="177" t="s">
        <v>347</v>
      </c>
      <c r="D4" s="177"/>
      <c r="E4" s="77">
        <f>'Presupuesto de Inversion'!O139</f>
        <v>94678732.104587138</v>
      </c>
      <c r="F4" s="77">
        <f>'Presupuesto de Inversion'!P139</f>
        <v>102253030.67295411</v>
      </c>
      <c r="G4" s="77">
        <f>'Presupuesto de Inversion'!Q139</f>
        <v>117590985.27389723</v>
      </c>
    </row>
    <row r="5" spans="2:7" ht="28.5" customHeight="1">
      <c r="B5" s="184"/>
      <c r="C5" s="172" t="s">
        <v>348</v>
      </c>
      <c r="D5" s="172"/>
      <c r="E5" s="77">
        <v>0</v>
      </c>
      <c r="F5" s="77">
        <v>0</v>
      </c>
      <c r="G5" s="77">
        <v>0</v>
      </c>
    </row>
    <row r="6" spans="2:7" ht="16.5" customHeight="1">
      <c r="B6" s="184"/>
      <c r="C6" s="174" t="s">
        <v>354</v>
      </c>
      <c r="D6" s="174"/>
      <c r="E6" s="104">
        <f>SUM(E4:E5)</f>
        <v>94678732.104587138</v>
      </c>
      <c r="F6" s="104">
        <f t="shared" ref="F6:G6" si="0">SUM(F4:F5)</f>
        <v>102253030.67295411</v>
      </c>
      <c r="G6" s="104">
        <f t="shared" si="0"/>
        <v>117590985.27389723</v>
      </c>
    </row>
    <row r="7" spans="2:7">
      <c r="B7" s="184" t="s">
        <v>338</v>
      </c>
      <c r="C7" s="177" t="s">
        <v>223</v>
      </c>
      <c r="D7" s="177"/>
      <c r="E7" s="77">
        <f>'Presupuesto de Inversion'!E75</f>
        <v>45534530</v>
      </c>
      <c r="F7" s="77">
        <f>'Presupuesto de Inversion'!F75</f>
        <v>48266601.799999997</v>
      </c>
      <c r="G7" s="77">
        <f>'Presupuesto de Inversion'!G75</f>
        <v>48494274.450000003</v>
      </c>
    </row>
    <row r="8" spans="2:7">
      <c r="B8" s="184"/>
      <c r="C8" s="162" t="s">
        <v>351</v>
      </c>
      <c r="D8" s="162"/>
      <c r="E8" s="77">
        <f>'Presupuesto de Inversion'!E115</f>
        <v>18446510</v>
      </c>
      <c r="F8" s="77">
        <f>'Presupuesto de Inversion'!F115</f>
        <v>19512340.600000001</v>
      </c>
      <c r="G8" s="77">
        <f>'Presupuesto de Inversion'!G115</f>
        <v>20649602.739000004</v>
      </c>
    </row>
    <row r="9" spans="2:7">
      <c r="B9" s="184"/>
      <c r="C9" s="177" t="s">
        <v>350</v>
      </c>
      <c r="D9" s="177"/>
      <c r="E9" s="77">
        <f>'Presupuesto de Inversion'!C156</f>
        <v>10665559.171581741</v>
      </c>
      <c r="F9" s="77">
        <f>'Presupuesto de Inversion'!D156</f>
        <v>11494850.18608582</v>
      </c>
      <c r="G9" s="77">
        <f>'Presupuesto de Inversion'!E156</f>
        <v>13111166.208901508</v>
      </c>
    </row>
    <row r="10" spans="2:7" ht="32.25" customHeight="1">
      <c r="B10" s="184"/>
      <c r="C10" s="172" t="s">
        <v>352</v>
      </c>
      <c r="D10" s="172"/>
      <c r="E10" s="77">
        <v>0</v>
      </c>
      <c r="F10" s="77">
        <v>0</v>
      </c>
      <c r="G10" s="77">
        <v>0</v>
      </c>
    </row>
    <row r="11" spans="2:7">
      <c r="B11" s="184"/>
      <c r="C11" s="172" t="s">
        <v>353</v>
      </c>
      <c r="D11" s="172"/>
      <c r="E11" s="77">
        <v>0</v>
      </c>
      <c r="F11" s="77">
        <v>0</v>
      </c>
      <c r="G11" s="77">
        <v>0</v>
      </c>
    </row>
    <row r="12" spans="2:7">
      <c r="B12" s="184"/>
      <c r="C12" s="184" t="s">
        <v>355</v>
      </c>
      <c r="D12" s="184"/>
      <c r="E12" s="104">
        <f>SUM(E7:E11)</f>
        <v>74646599.171581745</v>
      </c>
      <c r="F12" s="104">
        <f t="shared" ref="F12:G12" si="1">SUM(F7:F11)</f>
        <v>79273792.586085826</v>
      </c>
      <c r="G12" s="104">
        <f t="shared" si="1"/>
        <v>82255043.39790152</v>
      </c>
    </row>
    <row r="13" spans="2:7" ht="30.75" customHeight="1">
      <c r="B13" s="234" t="s">
        <v>356</v>
      </c>
      <c r="C13" s="234"/>
      <c r="D13" s="234"/>
      <c r="E13" s="77">
        <f>E6-E12</f>
        <v>20032132.933005393</v>
      </c>
      <c r="F13" s="77">
        <f t="shared" ref="F13:G13" si="2">F6-F12</f>
        <v>22979238.086868286</v>
      </c>
      <c r="G13" s="77">
        <f t="shared" si="2"/>
        <v>35335941.87599571</v>
      </c>
    </row>
    <row r="14" spans="2:7">
      <c r="B14" s="177" t="s">
        <v>357</v>
      </c>
      <c r="C14" s="177"/>
      <c r="D14" s="177"/>
      <c r="E14" s="77">
        <f>(E13*0.25)</f>
        <v>5008033.2332513481</v>
      </c>
      <c r="F14" s="77">
        <f t="shared" ref="F14:G14" si="3">(F13*0.25)</f>
        <v>5744809.5217170715</v>
      </c>
      <c r="G14" s="77">
        <f t="shared" si="3"/>
        <v>8833985.4689989276</v>
      </c>
    </row>
    <row r="15" spans="2:7" ht="33.75" customHeight="1">
      <c r="B15" s="235" t="s">
        <v>358</v>
      </c>
      <c r="C15" s="235"/>
      <c r="D15" s="235"/>
      <c r="E15" s="77">
        <f>E13*0.09</f>
        <v>1802891.9639704854</v>
      </c>
      <c r="F15" s="77">
        <f t="shared" ref="F15:G15" si="4">F13*0.09</f>
        <v>2068131.4278181456</v>
      </c>
      <c r="G15" s="77">
        <f t="shared" si="4"/>
        <v>3180234.768839614</v>
      </c>
    </row>
    <row r="16" spans="2:7" ht="29.25" customHeight="1">
      <c r="B16" s="172" t="s">
        <v>359</v>
      </c>
      <c r="C16" s="172"/>
      <c r="D16" s="172"/>
      <c r="E16" s="77">
        <f>E13-E14-E15</f>
        <v>13221207.735783558</v>
      </c>
      <c r="F16" s="77">
        <f t="shared" ref="F16:G16" si="5">F13-F14-F15</f>
        <v>15166297.137333069</v>
      </c>
      <c r="G16" s="77">
        <f t="shared" si="5"/>
        <v>23321721.63815717</v>
      </c>
    </row>
    <row r="17" spans="1:22">
      <c r="B17" s="177" t="s">
        <v>360</v>
      </c>
      <c r="C17" s="177"/>
      <c r="D17" s="177"/>
      <c r="E17" s="77">
        <f>E16*0.1</f>
        <v>1322120.773578356</v>
      </c>
      <c r="F17" s="77">
        <f t="shared" ref="F17:G17" si="6">F16*0.1</f>
        <v>1516629.7137333071</v>
      </c>
      <c r="G17" s="77">
        <f t="shared" si="6"/>
        <v>2332172.1638157172</v>
      </c>
    </row>
    <row r="18" spans="1:22" ht="32.25" customHeight="1">
      <c r="B18" s="232" t="s">
        <v>361</v>
      </c>
      <c r="C18" s="232"/>
      <c r="D18" s="232"/>
      <c r="E18" s="105">
        <f>E16-E17</f>
        <v>11899086.962205201</v>
      </c>
      <c r="F18" s="105">
        <f t="shared" ref="F18:G18" si="7">F16-F17</f>
        <v>13649667.423599761</v>
      </c>
      <c r="G18" s="105">
        <f t="shared" si="7"/>
        <v>20989549.474341452</v>
      </c>
    </row>
    <row r="19" spans="1:22">
      <c r="A19" s="107"/>
    </row>
    <row r="20" spans="1:22">
      <c r="A20" s="107"/>
      <c r="B20" s="233" t="s">
        <v>401</v>
      </c>
      <c r="C20" s="233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</row>
    <row r="21" spans="1:22">
      <c r="A21" s="107"/>
      <c r="B21" s="184" t="s">
        <v>68</v>
      </c>
      <c r="C21" s="184"/>
      <c r="D21" s="184"/>
      <c r="E21" s="184"/>
      <c r="F21" s="184"/>
      <c r="G21" s="61" t="s">
        <v>399</v>
      </c>
      <c r="H21" s="61" t="s">
        <v>15</v>
      </c>
      <c r="I21" s="61" t="s">
        <v>334</v>
      </c>
      <c r="J21" s="61" t="s">
        <v>33</v>
      </c>
      <c r="K21" s="61" t="s">
        <v>34</v>
      </c>
      <c r="L21" s="61" t="s">
        <v>19</v>
      </c>
      <c r="M21" s="61" t="s">
        <v>400</v>
      </c>
      <c r="N21" s="61" t="s">
        <v>21</v>
      </c>
      <c r="O21" s="61" t="s">
        <v>22</v>
      </c>
      <c r="P21" s="61" t="s">
        <v>42</v>
      </c>
      <c r="Q21" s="61" t="s">
        <v>24</v>
      </c>
      <c r="R21" s="61" t="s">
        <v>25</v>
      </c>
      <c r="S21" s="61" t="s">
        <v>26</v>
      </c>
      <c r="T21" s="61" t="s">
        <v>27</v>
      </c>
      <c r="U21" s="61" t="s">
        <v>28</v>
      </c>
      <c r="V21" s="61" t="s">
        <v>43</v>
      </c>
    </row>
    <row r="22" spans="1:22" ht="15.75" customHeight="1">
      <c r="A22" s="107"/>
      <c r="B22" s="184" t="s">
        <v>362</v>
      </c>
      <c r="C22" s="184"/>
      <c r="D22" s="184"/>
      <c r="E22" s="184"/>
      <c r="F22" s="184"/>
      <c r="G22" s="108">
        <f>'Presupuesto de Inversion'!C209</f>
        <v>22967679.680968828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>
      <c r="A23" s="107"/>
      <c r="B23" s="184" t="s">
        <v>337</v>
      </c>
      <c r="C23" s="202" t="s">
        <v>363</v>
      </c>
      <c r="D23" s="202"/>
      <c r="E23" s="202"/>
      <c r="F23" s="202"/>
      <c r="G23" s="108">
        <v>0</v>
      </c>
      <c r="H23" s="108">
        <f>'Presupuesto de Inversion'!C143</f>
        <v>1861258.3470715594</v>
      </c>
      <c r="I23" s="108">
        <f>'Presupuesto de Inversion'!D143</f>
        <v>3678201.0192128434</v>
      </c>
      <c r="J23" s="108">
        <f>'Presupuesto de Inversion'!E143</f>
        <v>5007671.2671211008</v>
      </c>
      <c r="K23" s="108">
        <f>'Presupuesto de Inversion'!F143</f>
        <v>9151186.8731018342</v>
      </c>
      <c r="L23" s="108">
        <f>'Presupuesto de Inversion'!G143</f>
        <v>2902676.7079330268</v>
      </c>
      <c r="M23" s="108">
        <f>'Presupuesto de Inversion'!H143</f>
        <v>2437362.1211651373</v>
      </c>
      <c r="N23" s="108">
        <f>'Presupuesto de Inversion'!I143</f>
        <v>3833305.8814688069</v>
      </c>
      <c r="O23" s="108">
        <f>'Presupuesto de Inversion'!J143</f>
        <v>10148289.559033027</v>
      </c>
      <c r="P23" s="108">
        <f>'Presupuesto de Inversion'!K143</f>
        <v>10059658.209172474</v>
      </c>
      <c r="Q23" s="108">
        <f>'Presupuesto de Inversion'!L143</f>
        <v>8087610.6747752279</v>
      </c>
      <c r="R23" s="108">
        <f>'Presupuesto de Inversion'!M143</f>
        <v>3390149.1321660546</v>
      </c>
      <c r="S23" s="108">
        <f>'Presupuesto de Inversion'!N143</f>
        <v>2282257.2589091742</v>
      </c>
      <c r="T23" s="108">
        <f>'Presupuesto de Inversion'!O143</f>
        <v>62839627.051130265</v>
      </c>
      <c r="U23" s="108">
        <f>'Presupuesto de Inversion'!P143</f>
        <v>67866797.21522069</v>
      </c>
      <c r="V23" s="108">
        <f>'Presupuesto de Inversion'!Q143</f>
        <v>78046816.797503799</v>
      </c>
    </row>
    <row r="24" spans="1:22">
      <c r="A24" s="107"/>
      <c r="B24" s="184"/>
      <c r="C24" s="202" t="s">
        <v>364</v>
      </c>
      <c r="D24" s="202"/>
      <c r="E24" s="202"/>
      <c r="F24" s="202"/>
      <c r="G24" s="108">
        <v>0</v>
      </c>
      <c r="H24" s="108">
        <f>'Presupuesto de Inversion'!C145</f>
        <v>1201845.6825688072</v>
      </c>
      <c r="I24" s="108">
        <f>'Presupuesto de Inversion'!D145</f>
        <v>2375075.991743119</v>
      </c>
      <c r="J24" s="108">
        <f>'Presupuesto de Inversion'!E145</f>
        <v>3233537.1935779811</v>
      </c>
      <c r="K24" s="108">
        <f>'Presupuesto de Inversion'!F145</f>
        <v>5909074.6059633018</v>
      </c>
      <c r="L24" s="108">
        <f>'Presupuesto de Inversion'!G145</f>
        <v>1874306.9573394491</v>
      </c>
      <c r="M24" s="108">
        <f>'Presupuesto de Inversion'!H145</f>
        <v>1573845.5366972473</v>
      </c>
      <c r="N24" s="108">
        <f>'Presupuesto de Inversion'!I145</f>
        <v>2475229.7986238529</v>
      </c>
      <c r="O24" s="108">
        <f>'Presupuesto de Inversion'!J145</f>
        <v>6552920.5073394487</v>
      </c>
      <c r="P24" s="108">
        <f>'Presupuesto de Inversion'!K145</f>
        <v>6495689.7605504571</v>
      </c>
      <c r="Q24" s="108">
        <f>'Presupuesto de Inversion'!L145</f>
        <v>5222305.6444954118</v>
      </c>
      <c r="R24" s="108">
        <f>'Presupuesto de Inversion'!M145</f>
        <v>2189076.0646788985</v>
      </c>
      <c r="S24" s="108">
        <f>'Presupuesto de Inversion'!N145</f>
        <v>1473691.7298165134</v>
      </c>
      <c r="T24" s="108">
        <f>'Presupuesto de Inversion'!O145</f>
        <v>40576599.473394483</v>
      </c>
      <c r="U24" s="108">
        <f>'Presupuesto de Inversion'!P145</f>
        <v>43822727.43126604</v>
      </c>
      <c r="V24" s="108">
        <f>'Presupuesto de Inversion'!Q145</f>
        <v>50396136.545955949</v>
      </c>
    </row>
    <row r="25" spans="1:22" ht="15" customHeight="1">
      <c r="A25" s="107"/>
      <c r="B25" s="184"/>
      <c r="C25" s="188" t="s">
        <v>365</v>
      </c>
      <c r="D25" s="188"/>
      <c r="E25" s="188"/>
      <c r="F25" s="18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>
      <c r="A26" s="107"/>
      <c r="B26" s="184"/>
      <c r="C26" s="202" t="s">
        <v>366</v>
      </c>
      <c r="D26" s="202"/>
      <c r="E26" s="202"/>
      <c r="F26" s="202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>
      <c r="A27" s="107"/>
      <c r="B27" s="184"/>
      <c r="C27" s="202" t="s">
        <v>367</v>
      </c>
      <c r="D27" s="202"/>
      <c r="E27" s="202"/>
      <c r="F27" s="202"/>
      <c r="G27" s="108">
        <f>'Indicadores Financieros'!D9</f>
        <v>6890303.9042906482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>
      <c r="A28" s="107"/>
      <c r="B28" s="186" t="s">
        <v>368</v>
      </c>
      <c r="C28" s="186"/>
      <c r="D28" s="186"/>
      <c r="E28" s="186"/>
      <c r="F28" s="186"/>
      <c r="G28" s="109">
        <f>SUM(G22:G27)</f>
        <v>29857983.585259475</v>
      </c>
      <c r="H28" s="109">
        <f>SUM(H22:H27)</f>
        <v>3063104.0296403663</v>
      </c>
      <c r="I28" s="109">
        <f t="shared" ref="I28:V28" si="8">SUM(I22:I27)</f>
        <v>6053277.0109559624</v>
      </c>
      <c r="J28" s="109">
        <f t="shared" si="8"/>
        <v>8241208.4606990814</v>
      </c>
      <c r="K28" s="109">
        <f t="shared" si="8"/>
        <v>15060261.479065135</v>
      </c>
      <c r="L28" s="109">
        <f t="shared" si="8"/>
        <v>4776983.6652724762</v>
      </c>
      <c r="M28" s="109">
        <f t="shared" si="8"/>
        <v>4011207.6578623848</v>
      </c>
      <c r="N28" s="109">
        <f t="shared" si="8"/>
        <v>6308535.6800926598</v>
      </c>
      <c r="O28" s="109">
        <f t="shared" si="8"/>
        <v>16701210.066372477</v>
      </c>
      <c r="P28" s="109">
        <f t="shared" si="8"/>
        <v>16555347.96972293</v>
      </c>
      <c r="Q28" s="109">
        <f t="shared" si="8"/>
        <v>13309916.319270641</v>
      </c>
      <c r="R28" s="109">
        <f t="shared" si="8"/>
        <v>5579225.1968449531</v>
      </c>
      <c r="S28" s="109">
        <f t="shared" si="8"/>
        <v>3755948.9887256874</v>
      </c>
      <c r="T28" s="109">
        <f t="shared" si="8"/>
        <v>103416226.52452475</v>
      </c>
      <c r="U28" s="109">
        <f t="shared" si="8"/>
        <v>111689524.64648673</v>
      </c>
      <c r="V28" s="109">
        <f t="shared" si="8"/>
        <v>128442953.34345976</v>
      </c>
    </row>
    <row r="29" spans="1:22">
      <c r="A29" s="107"/>
      <c r="B29" s="184" t="s">
        <v>338</v>
      </c>
      <c r="C29" s="174" t="s">
        <v>369</v>
      </c>
      <c r="D29" s="174"/>
      <c r="E29" s="202" t="s">
        <v>370</v>
      </c>
      <c r="F29" s="202"/>
      <c r="G29" s="108">
        <f>'Presupuesto de Inversion'!E16</f>
        <v>4848000</v>
      </c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7"/>
      <c r="B30" s="184"/>
      <c r="C30" s="174"/>
      <c r="D30" s="174"/>
      <c r="E30" s="202" t="s">
        <v>371</v>
      </c>
      <c r="F30" s="202"/>
      <c r="G30" s="108">
        <f>'Presupuesto de Inversion'!K12</f>
        <v>640000</v>
      </c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7"/>
      <c r="B31" s="184"/>
      <c r="C31" s="174"/>
      <c r="D31" s="174"/>
      <c r="E31" s="186" t="s">
        <v>372</v>
      </c>
      <c r="F31" s="186"/>
      <c r="G31" s="112">
        <f>SUM(G29:G30)</f>
        <v>5488000</v>
      </c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</row>
    <row r="32" spans="1:22" ht="15" customHeight="1">
      <c r="A32" s="107"/>
      <c r="B32" s="184"/>
      <c r="C32" s="184" t="s">
        <v>295</v>
      </c>
      <c r="D32" s="184"/>
      <c r="E32" s="174" t="s">
        <v>381</v>
      </c>
      <c r="F32" s="2" t="s">
        <v>373</v>
      </c>
      <c r="G32" s="108"/>
      <c r="H32" s="108">
        <f>'Demanda Dinamica'!$E$43</f>
        <v>5200000</v>
      </c>
      <c r="I32" s="108">
        <f>'Demanda Dinamica'!$E$43</f>
        <v>5200000</v>
      </c>
      <c r="J32" s="108">
        <f>'Demanda Dinamica'!$E$43</f>
        <v>5200000</v>
      </c>
      <c r="K32" s="108">
        <f>'Demanda Dinamica'!$E$43</f>
        <v>5200000</v>
      </c>
      <c r="L32" s="108">
        <f>'Demanda Dinamica'!$E$43</f>
        <v>5200000</v>
      </c>
      <c r="M32" s="108">
        <f>'Demanda Dinamica'!$E$43</f>
        <v>5200000</v>
      </c>
      <c r="N32" s="108">
        <f>'Demanda Dinamica'!$E$43</f>
        <v>5200000</v>
      </c>
      <c r="O32" s="108">
        <f>'Demanda Dinamica'!$E$43</f>
        <v>5200000</v>
      </c>
      <c r="P32" s="108">
        <f>'Demanda Dinamica'!$E$43</f>
        <v>5200000</v>
      </c>
      <c r="Q32" s="108">
        <f>'Demanda Dinamica'!$E$43</f>
        <v>5200000</v>
      </c>
      <c r="R32" s="108">
        <f>'Demanda Dinamica'!$E$43</f>
        <v>5200000</v>
      </c>
      <c r="S32" s="108">
        <f>'Demanda Dinamica'!$E$43</f>
        <v>5200000</v>
      </c>
      <c r="T32" s="108">
        <f>SUM(G32:S32)</f>
        <v>62400000</v>
      </c>
      <c r="U32" s="108">
        <f>T32+(T32*'Demanda Dinamica'!$D$6)</f>
        <v>66144000</v>
      </c>
      <c r="V32" s="108">
        <f>U32+(U32*'Demanda Dinamica'!$D$7)</f>
        <v>70443360</v>
      </c>
    </row>
    <row r="33" spans="1:22" ht="30">
      <c r="A33" s="107"/>
      <c r="B33" s="184"/>
      <c r="C33" s="184"/>
      <c r="D33" s="184"/>
      <c r="E33" s="174"/>
      <c r="F33" s="106" t="s">
        <v>374</v>
      </c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7"/>
      <c r="B34" s="184"/>
      <c r="C34" s="184"/>
      <c r="D34" s="184"/>
      <c r="E34" s="174"/>
      <c r="F34" s="2" t="s">
        <v>375</v>
      </c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7"/>
      <c r="B35" s="184"/>
      <c r="C35" s="184"/>
      <c r="D35" s="184"/>
      <c r="E35" s="174"/>
      <c r="F35" s="2" t="s">
        <v>58</v>
      </c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7"/>
      <c r="B36" s="184"/>
      <c r="C36" s="184"/>
      <c r="D36" s="184"/>
      <c r="E36" s="174"/>
      <c r="F36" s="2" t="s">
        <v>59</v>
      </c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7"/>
      <c r="B37" s="184"/>
      <c r="C37" s="184"/>
      <c r="D37" s="184"/>
      <c r="E37" s="174"/>
      <c r="F37" s="2" t="s">
        <v>376</v>
      </c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7"/>
      <c r="B38" s="184"/>
      <c r="C38" s="184"/>
      <c r="D38" s="184"/>
      <c r="E38" s="174"/>
      <c r="F38" s="2" t="s">
        <v>377</v>
      </c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7"/>
      <c r="B39" s="184"/>
      <c r="C39" s="184"/>
      <c r="D39" s="184"/>
      <c r="E39" s="174"/>
      <c r="F39" s="2" t="s">
        <v>62</v>
      </c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7"/>
      <c r="B40" s="184"/>
      <c r="C40" s="184"/>
      <c r="D40" s="184"/>
      <c r="E40" s="174"/>
      <c r="F40" s="2" t="s">
        <v>65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7"/>
      <c r="B41" s="184"/>
      <c r="C41" s="184"/>
      <c r="D41" s="184"/>
      <c r="E41" s="174"/>
      <c r="F41" s="2" t="s">
        <v>66</v>
      </c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7"/>
      <c r="B42" s="184"/>
      <c r="C42" s="184"/>
      <c r="D42" s="184"/>
      <c r="E42" s="174"/>
      <c r="F42" s="2" t="s">
        <v>378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7"/>
      <c r="B43" s="184"/>
      <c r="C43" s="184"/>
      <c r="D43" s="184"/>
      <c r="E43" s="174"/>
      <c r="F43" s="2" t="s">
        <v>379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7"/>
      <c r="B44" s="184"/>
      <c r="C44" s="184"/>
      <c r="D44" s="184"/>
      <c r="E44" s="174"/>
      <c r="F44" s="113" t="s">
        <v>380</v>
      </c>
      <c r="G44" s="109"/>
      <c r="H44" s="109">
        <f>'Demanda Dinamica'!J43</f>
        <v>2780290</v>
      </c>
      <c r="I44" s="109">
        <f>'Demanda Dinamica'!K43</f>
        <v>2580290</v>
      </c>
      <c r="J44" s="109">
        <f>'Demanda Dinamica'!L43</f>
        <v>2580290</v>
      </c>
      <c r="K44" s="109">
        <f>'Demanda Dinamica'!M43</f>
        <v>3496630</v>
      </c>
      <c r="L44" s="109">
        <f>'Demanda Dinamica'!N43</f>
        <v>3476630</v>
      </c>
      <c r="M44" s="109">
        <f>'Demanda Dinamica'!O43</f>
        <v>4160580</v>
      </c>
      <c r="N44" s="109">
        <f>'Demanda Dinamica'!P43</f>
        <v>4160580</v>
      </c>
      <c r="O44" s="109">
        <f>'Demanda Dinamica'!Q43</f>
        <v>4160580</v>
      </c>
      <c r="P44" s="109">
        <f>'Demanda Dinamica'!R43</f>
        <v>4160580</v>
      </c>
      <c r="Q44" s="109">
        <f>'Demanda Dinamica'!S43</f>
        <v>5456920</v>
      </c>
      <c r="R44" s="109">
        <f>'Demanda Dinamica'!T43</f>
        <v>4160580</v>
      </c>
      <c r="S44" s="109">
        <f>'Demanda Dinamica'!U43</f>
        <v>4160580</v>
      </c>
      <c r="T44" s="109">
        <f>'Demanda Dinamica'!V43</f>
        <v>45334530</v>
      </c>
      <c r="U44" s="109">
        <f>'Demanda Dinamica'!W43</f>
        <v>48054601.800000004</v>
      </c>
      <c r="V44" s="109">
        <f>'Demanda Dinamica'!X43</f>
        <v>51178150.917000011</v>
      </c>
    </row>
    <row r="45" spans="1:22">
      <c r="A45" s="107"/>
      <c r="B45" s="184"/>
      <c r="C45" s="184"/>
      <c r="D45" s="184"/>
      <c r="E45" s="230" t="s">
        <v>382</v>
      </c>
      <c r="F45" s="230"/>
      <c r="G45" s="108"/>
      <c r="H45" s="108">
        <f>'Presupuesto de Inversion'!$E$163/12</f>
        <v>200000</v>
      </c>
      <c r="I45" s="108">
        <f>'Presupuesto de Inversion'!$E$163/12</f>
        <v>200000</v>
      </c>
      <c r="J45" s="108">
        <f>'Presupuesto de Inversion'!$E$163/12</f>
        <v>200000</v>
      </c>
      <c r="K45" s="108">
        <f>'Presupuesto de Inversion'!$E$163/12</f>
        <v>200000</v>
      </c>
      <c r="L45" s="108">
        <f>'Presupuesto de Inversion'!$E$163/12</f>
        <v>200000</v>
      </c>
      <c r="M45" s="108">
        <f>'Presupuesto de Inversion'!$E$163/12</f>
        <v>200000</v>
      </c>
      <c r="N45" s="108">
        <f>'Presupuesto de Inversion'!$E$163/12</f>
        <v>200000</v>
      </c>
      <c r="O45" s="108">
        <f>'Presupuesto de Inversion'!$E$163/12</f>
        <v>200000</v>
      </c>
      <c r="P45" s="108">
        <f>'Presupuesto de Inversion'!$E$163/12</f>
        <v>200000</v>
      </c>
      <c r="Q45" s="108">
        <f>'Presupuesto de Inversion'!$E$163/12</f>
        <v>200000</v>
      </c>
      <c r="R45" s="108">
        <f>'Presupuesto de Inversion'!$E$163/12</f>
        <v>200000</v>
      </c>
      <c r="S45" s="108">
        <f>'Presupuesto de Inversion'!$E$163/12</f>
        <v>200000</v>
      </c>
      <c r="T45" s="114">
        <f>'Presupuesto de Inversion'!E163</f>
        <v>2400000</v>
      </c>
      <c r="U45" s="114">
        <f>'Presupuesto de Inversion'!F163</f>
        <v>2544000</v>
      </c>
      <c r="V45" s="114">
        <f>'Presupuesto de Inversion'!G163</f>
        <v>2709360</v>
      </c>
    </row>
    <row r="46" spans="1:22">
      <c r="A46" s="107"/>
      <c r="B46" s="184"/>
      <c r="C46" s="184"/>
      <c r="D46" s="184"/>
      <c r="E46" s="230" t="s">
        <v>383</v>
      </c>
      <c r="F46" s="230"/>
      <c r="G46" s="108"/>
      <c r="H46" s="108">
        <f>'Presupuesto de Inversion'!$E$164/12</f>
        <v>0</v>
      </c>
      <c r="I46" s="108">
        <f>'Presupuesto de Inversion'!$E$164/12</f>
        <v>0</v>
      </c>
      <c r="J46" s="108">
        <f>'Presupuesto de Inversion'!$E$164/12</f>
        <v>0</v>
      </c>
      <c r="K46" s="108">
        <f>'Presupuesto de Inversion'!$E$164/12</f>
        <v>0</v>
      </c>
      <c r="L46" s="108">
        <f>'Presupuesto de Inversion'!$E$164/12</f>
        <v>0</v>
      </c>
      <c r="M46" s="108">
        <f>'Presupuesto de Inversion'!$E$164/12</f>
        <v>0</v>
      </c>
      <c r="N46" s="108">
        <f>'Presupuesto de Inversion'!$E$164/12</f>
        <v>0</v>
      </c>
      <c r="O46" s="108">
        <f>'Presupuesto de Inversion'!$E$164/12</f>
        <v>0</v>
      </c>
      <c r="P46" s="108">
        <f>'Presupuesto de Inversion'!$E$164/12</f>
        <v>0</v>
      </c>
      <c r="Q46" s="108">
        <f>'Presupuesto de Inversion'!$E$164/12</f>
        <v>0</v>
      </c>
      <c r="R46" s="108">
        <f>'Presupuesto de Inversion'!$E$164/12</f>
        <v>0</v>
      </c>
      <c r="S46" s="108">
        <f>'Presupuesto de Inversion'!$E$164/12</f>
        <v>0</v>
      </c>
      <c r="T46" s="108">
        <f>'Presupuesto de Inversion'!E164</f>
        <v>0</v>
      </c>
      <c r="U46" s="108">
        <f>'Presupuesto de Inversion'!F164</f>
        <v>0</v>
      </c>
      <c r="V46" s="108">
        <f>'Presupuesto de Inversion'!G164</f>
        <v>0</v>
      </c>
    </row>
    <row r="47" spans="1:22">
      <c r="A47" s="107"/>
      <c r="B47" s="184"/>
      <c r="C47" s="184"/>
      <c r="D47" s="184"/>
      <c r="E47" s="230" t="s">
        <v>384</v>
      </c>
      <c r="F47" s="230"/>
      <c r="G47" s="108"/>
      <c r="H47" s="108">
        <f>'Presupuesto de Inversion'!$E$165/12</f>
        <v>4040</v>
      </c>
      <c r="I47" s="108">
        <f>'Presupuesto de Inversion'!$E$165/12</f>
        <v>4040</v>
      </c>
      <c r="J47" s="108">
        <f>'Presupuesto de Inversion'!$E$165/12</f>
        <v>4040</v>
      </c>
      <c r="K47" s="108">
        <f>'Presupuesto de Inversion'!$E$165/12</f>
        <v>4040</v>
      </c>
      <c r="L47" s="108">
        <f>'Presupuesto de Inversion'!$E$165/12</f>
        <v>4040</v>
      </c>
      <c r="M47" s="108">
        <f>'Presupuesto de Inversion'!$E$165/12</f>
        <v>4040</v>
      </c>
      <c r="N47" s="108">
        <f>'Presupuesto de Inversion'!$E$165/12</f>
        <v>4040</v>
      </c>
      <c r="O47" s="108">
        <f>'Presupuesto de Inversion'!$E$165/12</f>
        <v>4040</v>
      </c>
      <c r="P47" s="108">
        <f>'Presupuesto de Inversion'!$E$165/12</f>
        <v>4040</v>
      </c>
      <c r="Q47" s="108">
        <f>'Presupuesto de Inversion'!$E$165/12</f>
        <v>4040</v>
      </c>
      <c r="R47" s="108">
        <f>'Presupuesto de Inversion'!$E$165/12</f>
        <v>4040</v>
      </c>
      <c r="S47" s="108">
        <f>'Presupuesto de Inversion'!$E$165/12</f>
        <v>4040</v>
      </c>
      <c r="T47" s="108">
        <f>'Presupuesto de Inversion'!E165</f>
        <v>48480</v>
      </c>
      <c r="U47" s="108">
        <f>'Presupuesto de Inversion'!F165</f>
        <v>51388.800000000003</v>
      </c>
      <c r="V47" s="108">
        <f>'Presupuesto de Inversion'!G165</f>
        <v>54729.072</v>
      </c>
    </row>
    <row r="48" spans="1:22">
      <c r="A48" s="107"/>
      <c r="B48" s="184"/>
      <c r="C48" s="184"/>
      <c r="D48" s="184"/>
      <c r="E48" s="230" t="s">
        <v>179</v>
      </c>
      <c r="F48" s="230"/>
      <c r="G48" s="108"/>
      <c r="H48" s="108">
        <f>'Presupuesto de Inversion'!$E$166/12</f>
        <v>0</v>
      </c>
      <c r="I48" s="108">
        <f>'Presupuesto de Inversion'!$E$166/12</f>
        <v>0</v>
      </c>
      <c r="J48" s="108">
        <f>'Presupuesto de Inversion'!$E$166/12</f>
        <v>0</v>
      </c>
      <c r="K48" s="108">
        <f>'Presupuesto de Inversion'!$E$166/12</f>
        <v>0</v>
      </c>
      <c r="L48" s="108">
        <f>'Presupuesto de Inversion'!$E$166/12</f>
        <v>0</v>
      </c>
      <c r="M48" s="108">
        <f>'Presupuesto de Inversion'!$E$166/12</f>
        <v>0</v>
      </c>
      <c r="N48" s="108">
        <f>'Presupuesto de Inversion'!$E$166/12</f>
        <v>0</v>
      </c>
      <c r="O48" s="108">
        <f>'Presupuesto de Inversion'!$E$166/12</f>
        <v>0</v>
      </c>
      <c r="P48" s="108">
        <f>'Presupuesto de Inversion'!$E$166/12</f>
        <v>0</v>
      </c>
      <c r="Q48" s="108">
        <f>'Presupuesto de Inversion'!$E$166/12</f>
        <v>0</v>
      </c>
      <c r="R48" s="108">
        <f>'Presupuesto de Inversion'!$E$166/12</f>
        <v>0</v>
      </c>
      <c r="S48" s="108">
        <f>'Presupuesto de Inversion'!$E$166/12</f>
        <v>0</v>
      </c>
      <c r="T48" s="108">
        <f>'Presupuesto de Inversion'!E166</f>
        <v>0</v>
      </c>
      <c r="U48" s="108">
        <f>'Presupuesto de Inversion'!F166</f>
        <v>0</v>
      </c>
      <c r="V48" s="108">
        <f>'Presupuesto de Inversion'!G166</f>
        <v>0</v>
      </c>
    </row>
    <row r="49" spans="1:22">
      <c r="A49" s="107"/>
      <c r="B49" s="184"/>
      <c r="C49" s="184"/>
      <c r="D49" s="184"/>
      <c r="E49" s="230" t="s">
        <v>180</v>
      </c>
      <c r="F49" s="230"/>
      <c r="G49" s="108"/>
      <c r="H49" s="108">
        <f>'Presupuesto de Inversion'!$E$167/12</f>
        <v>10000</v>
      </c>
      <c r="I49" s="108">
        <f>'Presupuesto de Inversion'!$E$167/12</f>
        <v>10000</v>
      </c>
      <c r="J49" s="108">
        <f>'Presupuesto de Inversion'!$E$167/12</f>
        <v>10000</v>
      </c>
      <c r="K49" s="108">
        <f>'Presupuesto de Inversion'!$E$167/12</f>
        <v>10000</v>
      </c>
      <c r="L49" s="108">
        <f>'Presupuesto de Inversion'!$E$167/12</f>
        <v>10000</v>
      </c>
      <c r="M49" s="108">
        <f>'Presupuesto de Inversion'!$E$167/12</f>
        <v>10000</v>
      </c>
      <c r="N49" s="108">
        <f>'Presupuesto de Inversion'!$E$167/12</f>
        <v>10000</v>
      </c>
      <c r="O49" s="108">
        <f>'Presupuesto de Inversion'!$E$167/12</f>
        <v>10000</v>
      </c>
      <c r="P49" s="108">
        <f>'Presupuesto de Inversion'!$E$167/12</f>
        <v>10000</v>
      </c>
      <c r="Q49" s="108">
        <f>'Presupuesto de Inversion'!$E$167/12</f>
        <v>10000</v>
      </c>
      <c r="R49" s="108">
        <f>'Presupuesto de Inversion'!$E$167/12</f>
        <v>10000</v>
      </c>
      <c r="S49" s="108">
        <f>'Presupuesto de Inversion'!$E$167/12</f>
        <v>10000</v>
      </c>
      <c r="T49" s="108">
        <f>'Presupuesto de Inversion'!E167</f>
        <v>120000</v>
      </c>
      <c r="U49" s="108">
        <f>'Presupuesto de Inversion'!F167</f>
        <v>127200</v>
      </c>
      <c r="V49" s="108">
        <f>'Presupuesto de Inversion'!G167</f>
        <v>135468</v>
      </c>
    </row>
    <row r="50" spans="1:22">
      <c r="A50" s="107"/>
      <c r="B50" s="184"/>
      <c r="C50" s="184"/>
      <c r="D50" s="184"/>
      <c r="E50" s="230" t="s">
        <v>385</v>
      </c>
      <c r="F50" s="230"/>
      <c r="G50" s="108"/>
      <c r="H50" s="108">
        <f>'Presupuesto de Inversion'!$E$168/12</f>
        <v>0</v>
      </c>
      <c r="I50" s="108">
        <f>'Presupuesto de Inversion'!$E$168/12</f>
        <v>0</v>
      </c>
      <c r="J50" s="108">
        <f>'Presupuesto de Inversion'!$E$168/12</f>
        <v>0</v>
      </c>
      <c r="K50" s="108">
        <f>'Presupuesto de Inversion'!$E$168/12</f>
        <v>0</v>
      </c>
      <c r="L50" s="108">
        <f>'Presupuesto de Inversion'!$E$168/12</f>
        <v>0</v>
      </c>
      <c r="M50" s="108">
        <f>'Presupuesto de Inversion'!$E$168/12</f>
        <v>0</v>
      </c>
      <c r="N50" s="108">
        <f>'Presupuesto de Inversion'!$E$168/12</f>
        <v>0</v>
      </c>
      <c r="O50" s="108">
        <f>'Presupuesto de Inversion'!$E$168/12</f>
        <v>0</v>
      </c>
      <c r="P50" s="108">
        <f>'Presupuesto de Inversion'!$E$168/12</f>
        <v>0</v>
      </c>
      <c r="Q50" s="108">
        <f>'Presupuesto de Inversion'!$E$168/12</f>
        <v>0</v>
      </c>
      <c r="R50" s="108">
        <f>'Presupuesto de Inversion'!$E$168/12</f>
        <v>0</v>
      </c>
      <c r="S50" s="108">
        <f>'Presupuesto de Inversion'!$E$168/12</f>
        <v>0</v>
      </c>
      <c r="T50" s="108">
        <f>'Presupuesto de Inversion'!E168</f>
        <v>0</v>
      </c>
      <c r="U50" s="108">
        <f>'Presupuesto de Inversion'!F168</f>
        <v>0</v>
      </c>
      <c r="V50" s="108">
        <f>'Presupuesto de Inversion'!G168</f>
        <v>0</v>
      </c>
    </row>
    <row r="51" spans="1:22">
      <c r="A51" s="107"/>
      <c r="B51" s="184"/>
      <c r="C51" s="184"/>
      <c r="D51" s="184"/>
      <c r="E51" s="230" t="s">
        <v>386</v>
      </c>
      <c r="F51" s="230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>
      <c r="A52" s="107"/>
      <c r="B52" s="184"/>
      <c r="C52" s="184"/>
      <c r="D52" s="184"/>
      <c r="E52" s="186" t="s">
        <v>307</v>
      </c>
      <c r="F52" s="186"/>
      <c r="G52" s="109"/>
      <c r="H52" s="109">
        <f>SUM(H45:H51)</f>
        <v>214040</v>
      </c>
      <c r="I52" s="109">
        <f t="shared" ref="I52:V52" si="9">SUM(I45:I51)</f>
        <v>214040</v>
      </c>
      <c r="J52" s="109">
        <f t="shared" si="9"/>
        <v>214040</v>
      </c>
      <c r="K52" s="109">
        <f t="shared" si="9"/>
        <v>214040</v>
      </c>
      <c r="L52" s="109">
        <f t="shared" si="9"/>
        <v>214040</v>
      </c>
      <c r="M52" s="109">
        <f t="shared" si="9"/>
        <v>214040</v>
      </c>
      <c r="N52" s="109">
        <f t="shared" si="9"/>
        <v>214040</v>
      </c>
      <c r="O52" s="109">
        <f t="shared" si="9"/>
        <v>214040</v>
      </c>
      <c r="P52" s="109">
        <f t="shared" si="9"/>
        <v>214040</v>
      </c>
      <c r="Q52" s="109">
        <f t="shared" si="9"/>
        <v>214040</v>
      </c>
      <c r="R52" s="109">
        <f t="shared" si="9"/>
        <v>214040</v>
      </c>
      <c r="S52" s="109">
        <f t="shared" si="9"/>
        <v>214040</v>
      </c>
      <c r="T52" s="109">
        <f t="shared" si="9"/>
        <v>2568480</v>
      </c>
      <c r="U52" s="109">
        <f t="shared" si="9"/>
        <v>2722588.8</v>
      </c>
      <c r="V52" s="109">
        <f t="shared" si="9"/>
        <v>2899557.0720000002</v>
      </c>
    </row>
    <row r="53" spans="1:22">
      <c r="A53" s="107"/>
      <c r="B53" s="184"/>
      <c r="C53" s="213" t="s">
        <v>308</v>
      </c>
      <c r="D53" s="214"/>
      <c r="E53" s="219" t="s">
        <v>494</v>
      </c>
      <c r="F53" s="220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</row>
    <row r="54" spans="1:22">
      <c r="A54" s="107"/>
      <c r="B54" s="184"/>
      <c r="C54" s="215"/>
      <c r="D54" s="216"/>
      <c r="E54" s="219" t="s">
        <v>495</v>
      </c>
      <c r="F54" s="220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</row>
    <row r="55" spans="1:22">
      <c r="A55" s="107"/>
      <c r="B55" s="184"/>
      <c r="C55" s="215"/>
      <c r="D55" s="216"/>
      <c r="E55" s="219" t="s">
        <v>496</v>
      </c>
      <c r="F55" s="220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</row>
    <row r="56" spans="1:22">
      <c r="A56" s="107"/>
      <c r="B56" s="184"/>
      <c r="C56" s="215"/>
      <c r="D56" s="216"/>
      <c r="E56" s="219" t="s">
        <v>311</v>
      </c>
      <c r="F56" s="220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</row>
    <row r="57" spans="1:22">
      <c r="A57" s="107"/>
      <c r="B57" s="184"/>
      <c r="C57" s="215"/>
      <c r="D57" s="216"/>
      <c r="E57" s="219" t="s">
        <v>312</v>
      </c>
      <c r="F57" s="220"/>
      <c r="G57" s="152"/>
      <c r="H57" s="153">
        <f>'Presupuesto de Inversion'!C139*0.05</f>
        <v>140215.32963302752</v>
      </c>
      <c r="I57" s="153">
        <f>'Presupuesto de Inversion'!D139*0.05</f>
        <v>277092.19903669722</v>
      </c>
      <c r="J57" s="153">
        <f>'Presupuesto de Inversion'!E139*0.05</f>
        <v>377246.00591743115</v>
      </c>
      <c r="K57" s="153">
        <f>'Presupuesto de Inversion'!F139*0.05</f>
        <v>689392.03736238519</v>
      </c>
      <c r="L57" s="153">
        <f>'Presupuesto de Inversion'!G139*0.05</f>
        <v>218669.14502293576</v>
      </c>
      <c r="M57" s="153">
        <f>'Presupuesto de Inversion'!H139*0.05</f>
        <v>183615.31261467887</v>
      </c>
      <c r="N57" s="153">
        <f>'Presupuesto de Inversion'!I139*0.05</f>
        <v>288776.80983944953</v>
      </c>
      <c r="O57" s="153">
        <f>'Presupuesto de Inversion'!J139*0.05</f>
        <v>764507.39252293576</v>
      </c>
      <c r="P57" s="153">
        <f>'Presupuesto de Inversion'!K139*0.05</f>
        <v>757830.47206422</v>
      </c>
      <c r="Q57" s="153">
        <f>'Presupuesto de Inversion'!L139*0.05</f>
        <v>609268.99185779807</v>
      </c>
      <c r="R57" s="153">
        <f>'Presupuesto de Inversion'!M139*0.05</f>
        <v>255392.20754587153</v>
      </c>
      <c r="S57" s="153">
        <f>'Presupuesto de Inversion'!N139*0.05</f>
        <v>171930.70181192658</v>
      </c>
      <c r="T57" s="153">
        <f>'Presupuesto de Inversion'!C152</f>
        <v>4733936.6052293573</v>
      </c>
      <c r="U57" s="153">
        <f>'Presupuesto de Inversion'!D152</f>
        <v>5112651.5336477058</v>
      </c>
      <c r="V57" s="153">
        <f>'Presupuesto de Inversion'!E152</f>
        <v>5879549.2636948619</v>
      </c>
    </row>
    <row r="58" spans="1:22">
      <c r="A58" s="107"/>
      <c r="B58" s="184"/>
      <c r="C58" s="215"/>
      <c r="D58" s="216"/>
      <c r="E58" s="219" t="s">
        <v>313</v>
      </c>
      <c r="F58" s="221"/>
      <c r="G58" s="152"/>
      <c r="H58" s="153">
        <f>'Presupuesto de Inversion'!$C$153/12</f>
        <v>394494.71710244642</v>
      </c>
      <c r="I58" s="153">
        <f>'Presupuesto de Inversion'!$C$153/12</f>
        <v>394494.71710244642</v>
      </c>
      <c r="J58" s="153">
        <f>'Presupuesto de Inversion'!$C$153/12</f>
        <v>394494.71710244642</v>
      </c>
      <c r="K58" s="153">
        <f>'Presupuesto de Inversion'!$C$153/12</f>
        <v>394494.71710244642</v>
      </c>
      <c r="L58" s="153">
        <f>'Presupuesto de Inversion'!$C$153/12</f>
        <v>394494.71710244642</v>
      </c>
      <c r="M58" s="153">
        <f>'Presupuesto de Inversion'!$C$153/12</f>
        <v>394494.71710244642</v>
      </c>
      <c r="N58" s="153">
        <f>'Presupuesto de Inversion'!$C$153/12</f>
        <v>394494.71710244642</v>
      </c>
      <c r="O58" s="153">
        <f>'Presupuesto de Inversion'!$C$153/12</f>
        <v>394494.71710244642</v>
      </c>
      <c r="P58" s="153">
        <f>'Presupuesto de Inversion'!$C$153/12</f>
        <v>394494.71710244642</v>
      </c>
      <c r="Q58" s="153">
        <f>'Presupuesto de Inversion'!$C$153/12</f>
        <v>394494.71710244642</v>
      </c>
      <c r="R58" s="153">
        <f>'Presupuesto de Inversion'!$C$153/12</f>
        <v>394494.71710244642</v>
      </c>
      <c r="S58" s="153">
        <f>'Presupuesto de Inversion'!$C$153/12</f>
        <v>394494.71710244642</v>
      </c>
      <c r="T58" s="153">
        <f>'Presupuesto de Inversion'!C153</f>
        <v>4733936.6052293573</v>
      </c>
      <c r="U58" s="153">
        <f>'Presupuesto de Inversion'!D153</f>
        <v>5112651.5336477058</v>
      </c>
      <c r="V58" s="153">
        <f>'Presupuesto de Inversion'!E153</f>
        <v>5879549.2636948619</v>
      </c>
    </row>
    <row r="59" spans="1:22">
      <c r="A59" s="107"/>
      <c r="B59" s="184"/>
      <c r="C59" s="215"/>
      <c r="D59" s="216"/>
      <c r="E59" s="219" t="s">
        <v>497</v>
      </c>
      <c r="F59" s="221"/>
      <c r="G59" s="152"/>
      <c r="H59" s="153">
        <f>'Analisis Prestamo'!D10+'Analisis Prestamo'!F10</f>
        <v>143213.09586082425</v>
      </c>
      <c r="I59" s="153">
        <f>'Analisis Prestamo'!D11+'Analisis Prestamo'!F11</f>
        <v>143213.09586082425</v>
      </c>
      <c r="J59" s="153">
        <f>'Analisis Prestamo'!D12+'Analisis Prestamo'!F12</f>
        <v>132582.21974079567</v>
      </c>
      <c r="K59" s="153">
        <f>'Analisis Prestamo'!D13+'Analisis Prestamo'!F13</f>
        <v>121730.38374700681</v>
      </c>
      <c r="L59" s="153">
        <f>'Analisis Prestamo'!D14+'Analisis Prestamo'!F14</f>
        <v>110652.99528847446</v>
      </c>
      <c r="M59" s="154">
        <f>'Analisis Prestamo'!D15+'Analisis Prestamo'!F15</f>
        <v>849345.36631845881</v>
      </c>
      <c r="N59" s="153">
        <f>'Analisis Prestamo'!D16+'Analisis Prestamo'!F16</f>
        <v>72214.164983316194</v>
      </c>
      <c r="O59" s="153">
        <f>'Analisis Prestamo'!D17+'Analisis Prestamo'!F17</f>
        <v>810107.59536195383</v>
      </c>
      <c r="P59" s="153">
        <f>'Analisis Prestamo'!D18+'Analisis Prestamo'!F18</f>
        <v>32160.847610947087</v>
      </c>
      <c r="Q59" s="153">
        <f>'Analisis Prestamo'!D19+'Analisis Prestamo'!F19</f>
        <v>19221.780662896253</v>
      </c>
      <c r="R59" s="153">
        <f>'Analisis Prestamo'!D20+'Analisis Prestamo'!F20</f>
        <v>6013.778721422721</v>
      </c>
      <c r="S59" s="153">
        <f>'Analisis Prestamo'!D21+'Analisis Prestamo'!F21</f>
        <v>0</v>
      </c>
      <c r="T59" s="153">
        <f>SUM(H59:S59)</f>
        <v>2440455.3241569204</v>
      </c>
      <c r="U59" s="153">
        <v>0</v>
      </c>
      <c r="V59" s="153">
        <v>0</v>
      </c>
    </row>
    <row r="60" spans="1:22">
      <c r="A60" s="107"/>
      <c r="B60" s="184"/>
      <c r="C60" s="215"/>
      <c r="D60" s="216"/>
      <c r="E60" s="219" t="s">
        <v>498</v>
      </c>
      <c r="F60" s="220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</row>
    <row r="61" spans="1:22">
      <c r="A61" s="107"/>
      <c r="B61" s="184"/>
      <c r="C61" s="217"/>
      <c r="D61" s="218"/>
      <c r="E61" s="222" t="s">
        <v>499</v>
      </c>
      <c r="F61" s="223"/>
      <c r="G61" s="109"/>
      <c r="H61" s="109">
        <f>SUM(H53:H60)</f>
        <v>677923.14259629813</v>
      </c>
      <c r="I61" s="109">
        <f t="shared" ref="I61:V61" si="10">SUM(I53:I60)</f>
        <v>814800.01199996786</v>
      </c>
      <c r="J61" s="109">
        <f t="shared" si="10"/>
        <v>904322.94276067324</v>
      </c>
      <c r="K61" s="109">
        <f t="shared" si="10"/>
        <v>1205617.1382118384</v>
      </c>
      <c r="L61" s="109">
        <f t="shared" si="10"/>
        <v>723816.85741385666</v>
      </c>
      <c r="M61" s="109">
        <f t="shared" si="10"/>
        <v>1427455.3960355842</v>
      </c>
      <c r="N61" s="109">
        <f t="shared" si="10"/>
        <v>755485.69192521216</v>
      </c>
      <c r="O61" s="109">
        <f t="shared" si="10"/>
        <v>1969109.704987336</v>
      </c>
      <c r="P61" s="109">
        <f t="shared" si="10"/>
        <v>1184486.0367776135</v>
      </c>
      <c r="Q61" s="109">
        <f t="shared" si="10"/>
        <v>1022985.4896231407</v>
      </c>
      <c r="R61" s="109">
        <f t="shared" si="10"/>
        <v>655900.70336974075</v>
      </c>
      <c r="S61" s="109">
        <f t="shared" si="10"/>
        <v>566425.41891437303</v>
      </c>
      <c r="T61" s="109">
        <f t="shared" si="10"/>
        <v>11908328.534615636</v>
      </c>
      <c r="U61" s="109">
        <f t="shared" si="10"/>
        <v>10225303.067295412</v>
      </c>
      <c r="V61" s="109">
        <f t="shared" si="10"/>
        <v>11759098.527389724</v>
      </c>
    </row>
    <row r="62" spans="1:22">
      <c r="A62" s="107"/>
      <c r="B62" s="184"/>
      <c r="C62" s="184" t="s">
        <v>206</v>
      </c>
      <c r="D62" s="184"/>
      <c r="E62" s="202" t="s">
        <v>387</v>
      </c>
      <c r="F62" s="202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</row>
    <row r="63" spans="1:22">
      <c r="A63" s="107"/>
      <c r="B63" s="184"/>
      <c r="C63" s="184"/>
      <c r="D63" s="184"/>
      <c r="E63" s="202" t="s">
        <v>388</v>
      </c>
      <c r="F63" s="202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>
        <v>0</v>
      </c>
      <c r="U63" s="108">
        <f>'Presupuesto de Inversion'!F160</f>
        <v>80000</v>
      </c>
      <c r="V63" s="108">
        <f>'Presupuesto de Inversion'!G160</f>
        <v>85200</v>
      </c>
    </row>
    <row r="64" spans="1:22">
      <c r="A64" s="107"/>
      <c r="B64" s="184"/>
      <c r="C64" s="184"/>
      <c r="D64" s="184"/>
      <c r="E64" s="202" t="s">
        <v>389</v>
      </c>
      <c r="F64" s="202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>
        <v>0</v>
      </c>
      <c r="U64" s="108">
        <f>'Presupuesto de Inversion'!F161</f>
        <v>0</v>
      </c>
      <c r="V64" s="108">
        <f>'Presupuesto de Inversion'!G161</f>
        <v>0</v>
      </c>
    </row>
    <row r="65" spans="1:22">
      <c r="A65" s="107"/>
      <c r="B65" s="184"/>
      <c r="C65" s="184"/>
      <c r="D65" s="184"/>
      <c r="E65" s="202" t="s">
        <v>390</v>
      </c>
      <c r="F65" s="202"/>
      <c r="G65" s="108"/>
      <c r="H65" s="108">
        <f>'Presupuesto de Inversion'!$C$154/12</f>
        <v>86788.837762538213</v>
      </c>
      <c r="I65" s="108">
        <f>'Presupuesto de Inversion'!$C$154/12</f>
        <v>86788.837762538213</v>
      </c>
      <c r="J65" s="108">
        <f>'Presupuesto de Inversion'!$C$154/12</f>
        <v>86788.837762538213</v>
      </c>
      <c r="K65" s="108">
        <f>'Presupuesto de Inversion'!$C$154/12</f>
        <v>86788.837762538213</v>
      </c>
      <c r="L65" s="108">
        <f>'Presupuesto de Inversion'!$C$154/12</f>
        <v>86788.837762538213</v>
      </c>
      <c r="M65" s="108">
        <f>'Presupuesto de Inversion'!$C$154/12</f>
        <v>86788.837762538213</v>
      </c>
      <c r="N65" s="108">
        <f>'Presupuesto de Inversion'!$C$154/12</f>
        <v>86788.837762538213</v>
      </c>
      <c r="O65" s="108">
        <f>'Presupuesto de Inversion'!$C$154/12</f>
        <v>86788.837762538213</v>
      </c>
      <c r="P65" s="108">
        <f>'Presupuesto de Inversion'!$C$154/12</f>
        <v>86788.837762538213</v>
      </c>
      <c r="Q65" s="108">
        <f>'Presupuesto de Inversion'!$C$154/12</f>
        <v>86788.837762538213</v>
      </c>
      <c r="R65" s="108">
        <f>'Presupuesto de Inversion'!$C$154/12</f>
        <v>86788.837762538213</v>
      </c>
      <c r="S65" s="108">
        <f>'Presupuesto de Inversion'!$C$154/12</f>
        <v>86788.837762538213</v>
      </c>
      <c r="T65" s="108">
        <f>'Presupuesto de Inversion'!C154</f>
        <v>1041466.0531504585</v>
      </c>
      <c r="U65" s="108">
        <f>'Presupuesto de Inversion'!D154</f>
        <v>1103954.016339486</v>
      </c>
      <c r="V65" s="108">
        <f>'Presupuesto de Inversion'!E154</f>
        <v>1175711.0274015525</v>
      </c>
    </row>
    <row r="66" spans="1:22">
      <c r="A66" s="107"/>
      <c r="B66" s="184"/>
      <c r="C66" s="184"/>
      <c r="D66" s="184"/>
      <c r="E66" s="202" t="s">
        <v>391</v>
      </c>
      <c r="F66" s="202"/>
      <c r="G66" s="108"/>
      <c r="H66" s="108">
        <f>'Presupuesto de Inversion'!$C$155/12</f>
        <v>13018.325664380731</v>
      </c>
      <c r="I66" s="108">
        <f>'Presupuesto de Inversion'!$C$155/12</f>
        <v>13018.325664380731</v>
      </c>
      <c r="J66" s="108">
        <f>'Presupuesto de Inversion'!$C$155/12</f>
        <v>13018.325664380731</v>
      </c>
      <c r="K66" s="108">
        <f>'Presupuesto de Inversion'!$C$155/12</f>
        <v>13018.325664380731</v>
      </c>
      <c r="L66" s="108">
        <f>'Presupuesto de Inversion'!$C$155/12</f>
        <v>13018.325664380731</v>
      </c>
      <c r="M66" s="108">
        <f>'Presupuesto de Inversion'!$C$155/12</f>
        <v>13018.325664380731</v>
      </c>
      <c r="N66" s="108">
        <f>'Presupuesto de Inversion'!$C$155/12</f>
        <v>13018.325664380731</v>
      </c>
      <c r="O66" s="108">
        <f>'Presupuesto de Inversion'!$C$155/12</f>
        <v>13018.325664380731</v>
      </c>
      <c r="P66" s="108">
        <f>'Presupuesto de Inversion'!$C$155/12</f>
        <v>13018.325664380731</v>
      </c>
      <c r="Q66" s="108">
        <f>'Presupuesto de Inversion'!$C$155/12</f>
        <v>13018.325664380731</v>
      </c>
      <c r="R66" s="108">
        <f>'Presupuesto de Inversion'!$C$155/12</f>
        <v>13018.325664380731</v>
      </c>
      <c r="S66" s="108">
        <f>'Presupuesto de Inversion'!$C$155/12</f>
        <v>13018.325664380731</v>
      </c>
      <c r="T66" s="108">
        <f>'Presupuesto de Inversion'!C155</f>
        <v>156219.90797256876</v>
      </c>
      <c r="U66" s="108">
        <f>'Presupuesto de Inversion'!D155</f>
        <v>165593.10245092289</v>
      </c>
      <c r="V66" s="108">
        <f>'Presupuesto de Inversion'!E155</f>
        <v>176356.65411023286</v>
      </c>
    </row>
    <row r="67" spans="1:22">
      <c r="A67" s="107"/>
      <c r="B67" s="184"/>
      <c r="C67" s="184"/>
      <c r="D67" s="184"/>
      <c r="E67" s="202" t="s">
        <v>392</v>
      </c>
      <c r="F67" s="202"/>
      <c r="G67" s="108"/>
      <c r="H67" s="108">
        <f>'Presupuesto de Inversion'!C140</f>
        <v>532818.25260550447</v>
      </c>
      <c r="I67" s="108">
        <f>'Presupuesto de Inversion'!D140</f>
        <v>1052950.3563394493</v>
      </c>
      <c r="J67" s="108">
        <f>'Presupuesto de Inversion'!E140</f>
        <v>1433534.8224862383</v>
      </c>
      <c r="K67" s="108">
        <f>'Presupuesto de Inversion'!F140</f>
        <v>2619689.7419770635</v>
      </c>
      <c r="L67" s="108">
        <f>'Presupuesto de Inversion'!G140</f>
        <v>830942.75108715589</v>
      </c>
      <c r="M67" s="108">
        <f>'Presupuesto de Inversion'!H140</f>
        <v>697738.18793577969</v>
      </c>
      <c r="N67" s="108">
        <f>'Presupuesto de Inversion'!I140</f>
        <v>1097351.8773899081</v>
      </c>
      <c r="O67" s="108">
        <f>'Presupuesto de Inversion'!J140</f>
        <v>2905128.0915871561</v>
      </c>
      <c r="P67" s="108">
        <f>'Presupuesto de Inversion'!K140</f>
        <v>2879755.7938440358</v>
      </c>
      <c r="Q67" s="108">
        <f>'Presupuesto de Inversion'!L140</f>
        <v>2315222.1690596323</v>
      </c>
      <c r="R67" s="108">
        <f>'Presupuesto de Inversion'!M140</f>
        <v>970490.38867431181</v>
      </c>
      <c r="S67" s="108">
        <f>'Presupuesto de Inversion'!N140</f>
        <v>653336.66688532103</v>
      </c>
      <c r="T67" s="108">
        <f>'Presupuesto de Inversion'!O140</f>
        <v>17988959.099871557</v>
      </c>
      <c r="U67" s="108">
        <f>'Presupuesto de Inversion'!P140</f>
        <v>19428075.827861283</v>
      </c>
      <c r="V67" s="108">
        <f>'Presupuesto de Inversion'!Q140</f>
        <v>22342287.202040475</v>
      </c>
    </row>
    <row r="68" spans="1:22">
      <c r="A68" s="107"/>
      <c r="B68" s="184"/>
      <c r="C68" s="184"/>
      <c r="D68" s="184"/>
      <c r="E68" s="202" t="s">
        <v>393</v>
      </c>
      <c r="F68" s="202"/>
      <c r="G68" s="108"/>
      <c r="H68" s="108">
        <f>'Presupuesto de Inversion'!C141</f>
        <v>79922.737890825665</v>
      </c>
      <c r="I68" s="108">
        <f>'Presupuesto de Inversion'!D141</f>
        <v>157942.55345091739</v>
      </c>
      <c r="J68" s="108">
        <f>'Presupuesto de Inversion'!E141</f>
        <v>215030.22337293575</v>
      </c>
      <c r="K68" s="108">
        <f>'Presupuesto de Inversion'!F141</f>
        <v>392953.46129655949</v>
      </c>
      <c r="L68" s="108">
        <f>'Presupuesto de Inversion'!G141</f>
        <v>124641.41266307338</v>
      </c>
      <c r="M68" s="108">
        <f>'Presupuesto de Inversion'!H141</f>
        <v>104660.72819036695</v>
      </c>
      <c r="N68" s="108">
        <f>'Presupuesto de Inversion'!I141</f>
        <v>164602.7816084862</v>
      </c>
      <c r="O68" s="108">
        <f>'Presupuesto de Inversion'!J141</f>
        <v>435769.21373807342</v>
      </c>
      <c r="P68" s="108">
        <f>'Presupuesto de Inversion'!K141</f>
        <v>431963.36907660536</v>
      </c>
      <c r="Q68" s="108">
        <f>'Presupuesto de Inversion'!L141</f>
        <v>347283.32535894483</v>
      </c>
      <c r="R68" s="108">
        <f>'Presupuesto de Inversion'!M141</f>
        <v>145573.55830114675</v>
      </c>
      <c r="S68" s="108">
        <f>'Presupuesto de Inversion'!N141</f>
        <v>98000.500032798154</v>
      </c>
      <c r="T68" s="108">
        <f>'Presupuesto de Inversion'!O141</f>
        <v>2698343.864980733</v>
      </c>
      <c r="U68" s="108">
        <f>'Presupuesto de Inversion'!P141</f>
        <v>2914211.3741791919</v>
      </c>
      <c r="V68" s="108">
        <f>'Presupuesto de Inversion'!Q141</f>
        <v>3351343.0803060709</v>
      </c>
    </row>
    <row r="69" spans="1:22">
      <c r="A69" s="107"/>
      <c r="B69" s="184"/>
      <c r="C69" s="184"/>
      <c r="D69" s="184"/>
      <c r="E69" s="202" t="s">
        <v>394</v>
      </c>
      <c r="F69" s="202"/>
      <c r="G69" s="108"/>
      <c r="H69" s="108">
        <f>$E$14/12</f>
        <v>417336.1027709457</v>
      </c>
      <c r="I69" s="108">
        <f t="shared" ref="I69:S69" si="11">$E$14/12</f>
        <v>417336.1027709457</v>
      </c>
      <c r="J69" s="108">
        <f t="shared" si="11"/>
        <v>417336.1027709457</v>
      </c>
      <c r="K69" s="108">
        <f t="shared" si="11"/>
        <v>417336.1027709457</v>
      </c>
      <c r="L69" s="108">
        <f t="shared" si="11"/>
        <v>417336.1027709457</v>
      </c>
      <c r="M69" s="108">
        <f t="shared" si="11"/>
        <v>417336.1027709457</v>
      </c>
      <c r="N69" s="108">
        <f t="shared" si="11"/>
        <v>417336.1027709457</v>
      </c>
      <c r="O69" s="108">
        <f t="shared" si="11"/>
        <v>417336.1027709457</v>
      </c>
      <c r="P69" s="108">
        <f t="shared" si="11"/>
        <v>417336.1027709457</v>
      </c>
      <c r="Q69" s="108">
        <f t="shared" si="11"/>
        <v>417336.1027709457</v>
      </c>
      <c r="R69" s="108">
        <f t="shared" si="11"/>
        <v>417336.1027709457</v>
      </c>
      <c r="S69" s="108">
        <f t="shared" si="11"/>
        <v>417336.1027709457</v>
      </c>
      <c r="T69" s="108">
        <f>E14</f>
        <v>5008033.2332513481</v>
      </c>
      <c r="U69" s="108">
        <f t="shared" ref="U69:V69" si="12">F14</f>
        <v>5744809.5217170715</v>
      </c>
      <c r="V69" s="108">
        <f t="shared" si="12"/>
        <v>8833985.4689989276</v>
      </c>
    </row>
    <row r="70" spans="1:22">
      <c r="A70" s="107"/>
      <c r="B70" s="184"/>
      <c r="C70" s="184"/>
      <c r="D70" s="184"/>
      <c r="E70" s="186" t="s">
        <v>210</v>
      </c>
      <c r="F70" s="186"/>
      <c r="G70" s="109"/>
      <c r="H70" s="109">
        <f>SUM(H62:H69)</f>
        <v>1129884.2566941949</v>
      </c>
      <c r="I70" s="109">
        <f t="shared" ref="I70:V70" si="13">SUM(I62:I69)</f>
        <v>1728036.1759882313</v>
      </c>
      <c r="J70" s="109">
        <f t="shared" si="13"/>
        <v>2165708.3120570388</v>
      </c>
      <c r="K70" s="109">
        <f t="shared" si="13"/>
        <v>3529786.4694714872</v>
      </c>
      <c r="L70" s="109">
        <f t="shared" si="13"/>
        <v>1472727.4299480938</v>
      </c>
      <c r="M70" s="109">
        <f t="shared" si="13"/>
        <v>1319542.1823240113</v>
      </c>
      <c r="N70" s="109">
        <f t="shared" si="13"/>
        <v>1779097.925196259</v>
      </c>
      <c r="O70" s="109">
        <f t="shared" si="13"/>
        <v>3858040.5715230941</v>
      </c>
      <c r="P70" s="109">
        <f t="shared" si="13"/>
        <v>3828862.4291185057</v>
      </c>
      <c r="Q70" s="109">
        <f t="shared" si="13"/>
        <v>3179648.7606164417</v>
      </c>
      <c r="R70" s="109">
        <f t="shared" si="13"/>
        <v>1633207.2131733233</v>
      </c>
      <c r="S70" s="109">
        <f t="shared" si="13"/>
        <v>1268480.4331159838</v>
      </c>
      <c r="T70" s="109">
        <f t="shared" si="13"/>
        <v>26893022.159226663</v>
      </c>
      <c r="U70" s="109">
        <f t="shared" si="13"/>
        <v>29436643.842547957</v>
      </c>
      <c r="V70" s="109">
        <f t="shared" si="13"/>
        <v>35964883.43285726</v>
      </c>
    </row>
    <row r="71" spans="1:22">
      <c r="A71" s="107"/>
      <c r="B71" s="184"/>
      <c r="C71" s="227" t="s">
        <v>395</v>
      </c>
      <c r="D71" s="227"/>
      <c r="E71" s="227"/>
      <c r="F71" s="227"/>
      <c r="G71" s="108"/>
      <c r="H71" s="108">
        <f>$E$17/12</f>
        <v>110176.73113152967</v>
      </c>
      <c r="I71" s="108">
        <f t="shared" ref="I71:S71" si="14">$E$17/12</f>
        <v>110176.73113152967</v>
      </c>
      <c r="J71" s="108">
        <f t="shared" si="14"/>
        <v>110176.73113152967</v>
      </c>
      <c r="K71" s="108">
        <f t="shared" si="14"/>
        <v>110176.73113152967</v>
      </c>
      <c r="L71" s="108">
        <f t="shared" si="14"/>
        <v>110176.73113152967</v>
      </c>
      <c r="M71" s="108">
        <f t="shared" si="14"/>
        <v>110176.73113152967</v>
      </c>
      <c r="N71" s="108">
        <f t="shared" si="14"/>
        <v>110176.73113152967</v>
      </c>
      <c r="O71" s="108">
        <f t="shared" si="14"/>
        <v>110176.73113152967</v>
      </c>
      <c r="P71" s="108">
        <f t="shared" si="14"/>
        <v>110176.73113152967</v>
      </c>
      <c r="Q71" s="108">
        <f t="shared" si="14"/>
        <v>110176.73113152967</v>
      </c>
      <c r="R71" s="108">
        <f t="shared" si="14"/>
        <v>110176.73113152967</v>
      </c>
      <c r="S71" s="108">
        <f t="shared" si="14"/>
        <v>110176.73113152967</v>
      </c>
      <c r="T71" s="108">
        <f>E17</f>
        <v>1322120.773578356</v>
      </c>
      <c r="U71" s="108">
        <f t="shared" ref="U71:V71" si="15">F17</f>
        <v>1516629.7137333071</v>
      </c>
      <c r="V71" s="108">
        <f t="shared" si="15"/>
        <v>2332172.1638157172</v>
      </c>
    </row>
    <row r="72" spans="1:22">
      <c r="A72" s="107"/>
      <c r="B72" s="184"/>
      <c r="C72" s="202" t="s">
        <v>396</v>
      </c>
      <c r="D72" s="202"/>
      <c r="E72" s="202"/>
      <c r="F72" s="202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</row>
    <row r="73" spans="1:22">
      <c r="A73" s="107"/>
      <c r="B73" s="184"/>
      <c r="C73" s="179" t="s">
        <v>355</v>
      </c>
      <c r="D73" s="179"/>
      <c r="E73" s="179"/>
      <c r="F73" s="179"/>
      <c r="G73" s="110">
        <f>G31</f>
        <v>5488000</v>
      </c>
      <c r="H73" s="110">
        <f>H44+H52+H70+H61</f>
        <v>4802137.3992904928</v>
      </c>
      <c r="I73" s="110">
        <f t="shared" ref="I73:V73" si="16">I44+I52+I70+I61</f>
        <v>5337166.1879881984</v>
      </c>
      <c r="J73" s="110">
        <f t="shared" si="16"/>
        <v>5864361.2548177121</v>
      </c>
      <c r="K73" s="110">
        <f t="shared" si="16"/>
        <v>8446073.6076833252</v>
      </c>
      <c r="L73" s="110">
        <f t="shared" si="16"/>
        <v>5887214.2873619497</v>
      </c>
      <c r="M73" s="110">
        <f t="shared" si="16"/>
        <v>7121617.5783595946</v>
      </c>
      <c r="N73" s="110">
        <f t="shared" si="16"/>
        <v>6909203.6171214711</v>
      </c>
      <c r="O73" s="110">
        <f t="shared" si="16"/>
        <v>10201770.27651043</v>
      </c>
      <c r="P73" s="110">
        <f t="shared" si="16"/>
        <v>9387968.4658961184</v>
      </c>
      <c r="Q73" s="110">
        <f t="shared" si="16"/>
        <v>9873594.2502395827</v>
      </c>
      <c r="R73" s="110">
        <f t="shared" si="16"/>
        <v>6663727.9165430637</v>
      </c>
      <c r="S73" s="110">
        <f t="shared" si="16"/>
        <v>6209525.8520303564</v>
      </c>
      <c r="T73" s="110">
        <f t="shared" si="16"/>
        <v>86704360.693842292</v>
      </c>
      <c r="U73" s="110">
        <f t="shared" si="16"/>
        <v>90439137.509843379</v>
      </c>
      <c r="V73" s="110">
        <f t="shared" si="16"/>
        <v>101801689.94924699</v>
      </c>
    </row>
    <row r="74" spans="1:22">
      <c r="A74" s="107"/>
      <c r="B74" s="225" t="s">
        <v>397</v>
      </c>
      <c r="C74" s="225"/>
      <c r="D74" s="225"/>
      <c r="E74" s="225"/>
      <c r="F74" s="225"/>
      <c r="G74" s="112">
        <f>G28-G73</f>
        <v>24369983.585259475</v>
      </c>
      <c r="H74" s="112">
        <f>H28-H73</f>
        <v>-1739033.3696501264</v>
      </c>
      <c r="I74" s="112">
        <f t="shared" ref="I74:V74" si="17">I28-I73</f>
        <v>716110.82296776399</v>
      </c>
      <c r="J74" s="112">
        <f t="shared" si="17"/>
        <v>2376847.2058813693</v>
      </c>
      <c r="K74" s="112">
        <f t="shared" si="17"/>
        <v>6614187.8713818099</v>
      </c>
      <c r="L74" s="112">
        <f t="shared" si="17"/>
        <v>-1110230.6220894735</v>
      </c>
      <c r="M74" s="112">
        <f t="shared" si="17"/>
        <v>-3110409.9204972098</v>
      </c>
      <c r="N74" s="112">
        <f t="shared" si="17"/>
        <v>-600667.93702881131</v>
      </c>
      <c r="O74" s="112">
        <f t="shared" si="17"/>
        <v>6499439.789862046</v>
      </c>
      <c r="P74" s="112">
        <f t="shared" si="17"/>
        <v>7167379.5038268119</v>
      </c>
      <c r="Q74" s="112">
        <f t="shared" si="17"/>
        <v>3436322.0690310579</v>
      </c>
      <c r="R74" s="112">
        <f t="shared" si="17"/>
        <v>-1084502.7196981106</v>
      </c>
      <c r="S74" s="112">
        <f t="shared" si="17"/>
        <v>-2453576.863304669</v>
      </c>
      <c r="T74" s="112">
        <f t="shared" si="17"/>
        <v>16711865.830682456</v>
      </c>
      <c r="U74" s="112">
        <f t="shared" si="17"/>
        <v>21250387.13664335</v>
      </c>
      <c r="V74" s="112">
        <f t="shared" si="17"/>
        <v>26641263.394212767</v>
      </c>
    </row>
    <row r="75" spans="1:22">
      <c r="A75" s="107"/>
      <c r="B75" s="177" t="s">
        <v>398</v>
      </c>
      <c r="C75" s="177"/>
      <c r="D75" s="177"/>
      <c r="E75" s="177"/>
      <c r="F75" s="177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</row>
    <row r="76" spans="1:22">
      <c r="A76" s="107"/>
    </row>
    <row r="77" spans="1:22">
      <c r="B77" s="226" t="s">
        <v>419</v>
      </c>
      <c r="C77" s="226"/>
      <c r="D77" s="226"/>
      <c r="E77" s="226"/>
      <c r="F77" s="226"/>
      <c r="G77" s="226"/>
      <c r="H77" s="226"/>
      <c r="I77" s="226"/>
      <c r="J77" s="226"/>
    </row>
    <row r="78" spans="1:22">
      <c r="B78" s="184" t="s">
        <v>68</v>
      </c>
      <c r="C78" s="184"/>
      <c r="D78" s="184"/>
      <c r="E78" s="184"/>
      <c r="F78" s="184"/>
      <c r="G78" s="61" t="s">
        <v>418</v>
      </c>
      <c r="H78" s="61" t="s">
        <v>2</v>
      </c>
      <c r="I78" s="61" t="s">
        <v>3</v>
      </c>
      <c r="J78" s="61" t="s">
        <v>43</v>
      </c>
    </row>
    <row r="79" spans="1:22">
      <c r="B79" s="184" t="s">
        <v>416</v>
      </c>
      <c r="C79" s="184" t="s">
        <v>406</v>
      </c>
      <c r="D79" s="184"/>
      <c r="E79" s="202" t="s">
        <v>402</v>
      </c>
      <c r="F79" s="202"/>
      <c r="G79" s="108">
        <f>G74</f>
        <v>24369983.585259475</v>
      </c>
      <c r="H79" s="108">
        <f>T74</f>
        <v>16711865.830682456</v>
      </c>
      <c r="I79" s="108">
        <f t="shared" ref="I79:J79" si="18">U74</f>
        <v>21250387.13664335</v>
      </c>
      <c r="J79" s="108">
        <f t="shared" si="18"/>
        <v>26641263.394212767</v>
      </c>
    </row>
    <row r="80" spans="1:22">
      <c r="B80" s="184"/>
      <c r="C80" s="184"/>
      <c r="D80" s="184"/>
      <c r="E80" s="202" t="s">
        <v>403</v>
      </c>
      <c r="F80" s="202"/>
      <c r="G80" s="108">
        <v>0</v>
      </c>
      <c r="H80" s="108">
        <f>T23</f>
        <v>62839627.051130265</v>
      </c>
      <c r="I80" s="108">
        <f t="shared" ref="I80:J80" si="19">U23</f>
        <v>67866797.21522069</v>
      </c>
      <c r="J80" s="108">
        <f t="shared" si="19"/>
        <v>78046816.797503799</v>
      </c>
    </row>
    <row r="81" spans="1:15">
      <c r="B81" s="184"/>
      <c r="C81" s="184"/>
      <c r="D81" s="184"/>
      <c r="E81" s="202" t="s">
        <v>404</v>
      </c>
      <c r="F81" s="202"/>
      <c r="G81" s="108"/>
      <c r="H81" s="108"/>
      <c r="I81" s="108"/>
      <c r="J81" s="108"/>
    </row>
    <row r="82" spans="1:15">
      <c r="B82" s="184"/>
      <c r="C82" s="184"/>
      <c r="D82" s="184"/>
      <c r="E82" s="202" t="s">
        <v>405</v>
      </c>
      <c r="F82" s="202"/>
      <c r="G82" s="108"/>
      <c r="H82" s="108"/>
      <c r="I82" s="108"/>
      <c r="J82" s="108"/>
    </row>
    <row r="83" spans="1:15">
      <c r="B83" s="184"/>
      <c r="C83" s="184"/>
      <c r="D83" s="184"/>
      <c r="E83" s="186" t="s">
        <v>407</v>
      </c>
      <c r="F83" s="186"/>
      <c r="G83" s="109">
        <f>SUM(G79:G82)</f>
        <v>24369983.585259475</v>
      </c>
      <c r="H83" s="109">
        <f t="shared" ref="H83:J83" si="20">SUM(H79:H82)</f>
        <v>79551492.881812721</v>
      </c>
      <c r="I83" s="109">
        <f t="shared" si="20"/>
        <v>89117184.35186404</v>
      </c>
      <c r="J83" s="109">
        <f t="shared" si="20"/>
        <v>104688080.19171657</v>
      </c>
    </row>
    <row r="84" spans="1:15">
      <c r="B84" s="184"/>
      <c r="C84" s="184" t="s">
        <v>417</v>
      </c>
      <c r="D84" s="184"/>
      <c r="E84" s="177" t="s">
        <v>408</v>
      </c>
      <c r="F84" s="177"/>
      <c r="G84" s="108">
        <f>'Presupuesto de Inversion'!E5</f>
        <v>3348000</v>
      </c>
      <c r="H84" s="108"/>
      <c r="I84" s="108"/>
      <c r="J84" s="108"/>
    </row>
    <row r="85" spans="1:15">
      <c r="B85" s="184"/>
      <c r="C85" s="184"/>
      <c r="D85" s="184"/>
      <c r="E85" s="177" t="s">
        <v>409</v>
      </c>
      <c r="F85" s="177"/>
      <c r="G85" s="108">
        <f>'Presupuesto de Inversion'!E8</f>
        <v>1500000</v>
      </c>
      <c r="H85" s="108"/>
      <c r="I85" s="108"/>
      <c r="J85" s="108"/>
      <c r="L85" t="e">
        <f>G83/G104</f>
        <v>#DIV/0!</v>
      </c>
      <c r="M85" s="157">
        <f t="shared" ref="M85:O85" si="21">H83/H104</f>
        <v>2.7722236880234123</v>
      </c>
      <c r="N85" s="157">
        <f t="shared" si="21"/>
        <v>2.8358893129747371</v>
      </c>
      <c r="O85" s="157">
        <f t="shared" si="21"/>
        <v>2.6801919976158226</v>
      </c>
    </row>
    <row r="86" spans="1:15">
      <c r="B86" s="184"/>
      <c r="C86" s="184"/>
      <c r="D86" s="184"/>
      <c r="E86" s="177" t="s">
        <v>410</v>
      </c>
      <c r="F86" s="177"/>
      <c r="G86" s="108">
        <f>'Presupuesto de Inversion'!E11</f>
        <v>0</v>
      </c>
      <c r="H86" s="108"/>
      <c r="I86" s="108"/>
      <c r="J86" s="108"/>
    </row>
    <row r="87" spans="1:15">
      <c r="B87" s="184"/>
      <c r="C87" s="184"/>
      <c r="D87" s="184"/>
      <c r="E87" s="177" t="s">
        <v>411</v>
      </c>
      <c r="F87" s="177"/>
      <c r="G87" s="108">
        <f>0</f>
        <v>0</v>
      </c>
      <c r="H87" s="108"/>
      <c r="I87" s="108"/>
      <c r="J87" s="108"/>
    </row>
    <row r="88" spans="1:15">
      <c r="B88" s="184"/>
      <c r="C88" s="184"/>
      <c r="D88" s="184"/>
      <c r="E88" s="177" t="s">
        <v>412</v>
      </c>
      <c r="F88" s="177"/>
      <c r="G88" s="108">
        <f>'Presupuesto de Inversion'!E15</f>
        <v>0</v>
      </c>
      <c r="H88" s="108"/>
      <c r="I88" s="108"/>
      <c r="J88" s="108"/>
    </row>
    <row r="89" spans="1:15">
      <c r="B89" s="184"/>
      <c r="C89" s="184"/>
      <c r="D89" s="184"/>
      <c r="E89" s="177" t="s">
        <v>413</v>
      </c>
      <c r="F89" s="177"/>
      <c r="G89" s="108"/>
      <c r="H89" s="108">
        <f>'Presupuesto de Inversion'!G31</f>
        <v>200000</v>
      </c>
      <c r="I89" s="108">
        <f>'Presupuesto de Inversion'!H31</f>
        <v>200000</v>
      </c>
      <c r="J89" s="108">
        <f>'Presupuesto de Inversion'!I31</f>
        <v>200000</v>
      </c>
    </row>
    <row r="90" spans="1:15">
      <c r="B90" s="184"/>
      <c r="C90" s="184"/>
      <c r="D90" s="184"/>
      <c r="E90" s="229" t="s">
        <v>414</v>
      </c>
      <c r="F90" s="229"/>
      <c r="G90" s="112">
        <f>SUM(G84:G89)</f>
        <v>4848000</v>
      </c>
      <c r="H90" s="112">
        <f t="shared" ref="H90:J90" si="22">SUM(H84:H89)</f>
        <v>200000</v>
      </c>
      <c r="I90" s="112">
        <f t="shared" si="22"/>
        <v>200000</v>
      </c>
      <c r="J90" s="112">
        <f t="shared" si="22"/>
        <v>200000</v>
      </c>
    </row>
    <row r="91" spans="1:15">
      <c r="B91" s="184"/>
      <c r="C91" s="179" t="s">
        <v>415</v>
      </c>
      <c r="D91" s="179"/>
      <c r="E91" s="179"/>
      <c r="F91" s="179"/>
      <c r="G91" s="115">
        <f>G83+G90</f>
        <v>29217983.585259475</v>
      </c>
      <c r="H91" s="115">
        <f t="shared" ref="H91:J91" si="23">H83+H90</f>
        <v>79751492.881812721</v>
      </c>
      <c r="I91" s="115">
        <f t="shared" si="23"/>
        <v>89317184.35186404</v>
      </c>
      <c r="J91" s="115">
        <f t="shared" si="23"/>
        <v>104888080.19171657</v>
      </c>
    </row>
    <row r="93" spans="1:15">
      <c r="A93" s="107"/>
      <c r="B93" s="226" t="s">
        <v>419</v>
      </c>
      <c r="C93" s="226"/>
      <c r="D93" s="226"/>
      <c r="E93" s="226"/>
      <c r="F93" s="226"/>
      <c r="G93" s="226"/>
      <c r="H93" s="226"/>
      <c r="I93" s="226"/>
      <c r="J93" s="226"/>
    </row>
    <row r="94" spans="1:15">
      <c r="A94" s="107"/>
      <c r="B94" s="184" t="s">
        <v>68</v>
      </c>
      <c r="C94" s="184"/>
      <c r="D94" s="184"/>
      <c r="E94" s="184"/>
      <c r="F94" s="184"/>
      <c r="G94" s="145" t="s">
        <v>443</v>
      </c>
      <c r="H94" s="145" t="s">
        <v>2</v>
      </c>
      <c r="I94" s="145" t="s">
        <v>3</v>
      </c>
      <c r="J94" s="145" t="s">
        <v>43</v>
      </c>
    </row>
    <row r="95" spans="1:15">
      <c r="A95" s="107"/>
      <c r="B95" s="184" t="s">
        <v>434</v>
      </c>
      <c r="C95" s="184" t="s">
        <v>429</v>
      </c>
      <c r="D95" s="184"/>
      <c r="E95" s="202" t="s">
        <v>420</v>
      </c>
      <c r="F95" s="202"/>
      <c r="G95" s="76"/>
      <c r="H95" s="76"/>
      <c r="I95" s="76"/>
      <c r="J95" s="76"/>
    </row>
    <row r="96" spans="1:15">
      <c r="A96" s="107"/>
      <c r="B96" s="184"/>
      <c r="C96" s="184"/>
      <c r="D96" s="184"/>
      <c r="E96" s="202" t="s">
        <v>421</v>
      </c>
      <c r="F96" s="202"/>
      <c r="G96" s="76"/>
      <c r="H96" s="76">
        <f>'Presupuesto de Inversion'!E64</f>
        <v>0</v>
      </c>
      <c r="I96" s="76">
        <f>'Presupuesto de Inversion'!F64</f>
        <v>0</v>
      </c>
      <c r="J96" s="76">
        <f>'Presupuesto de Inversion'!G64</f>
        <v>0</v>
      </c>
    </row>
    <row r="97" spans="1:10">
      <c r="A97" s="107"/>
      <c r="B97" s="184"/>
      <c r="C97" s="184"/>
      <c r="D97" s="184"/>
      <c r="E97" s="227" t="s">
        <v>422</v>
      </c>
      <c r="F97" s="227"/>
      <c r="G97" s="76"/>
      <c r="H97" s="76"/>
      <c r="I97" s="76"/>
      <c r="J97" s="76"/>
    </row>
    <row r="98" spans="1:10">
      <c r="A98" s="107"/>
      <c r="B98" s="184"/>
      <c r="C98" s="184"/>
      <c r="D98" s="184"/>
      <c r="E98" s="227" t="s">
        <v>423</v>
      </c>
      <c r="F98" s="227"/>
      <c r="G98" s="76"/>
      <c r="H98" s="76">
        <f>'Presupuesto de Inversion'!C154</f>
        <v>1041466.0531504585</v>
      </c>
      <c r="I98" s="76">
        <f>'Presupuesto de Inversion'!D154</f>
        <v>1103954.016339486</v>
      </c>
      <c r="J98" s="76">
        <f>'Presupuesto de Inversion'!E154</f>
        <v>1175711.0274015525</v>
      </c>
    </row>
    <row r="99" spans="1:10">
      <c r="A99" s="107"/>
      <c r="B99" s="184"/>
      <c r="C99" s="184"/>
      <c r="D99" s="184"/>
      <c r="E99" s="227" t="s">
        <v>391</v>
      </c>
      <c r="F99" s="227"/>
      <c r="G99" s="76"/>
      <c r="H99" s="76">
        <f>'Presupuesto de Inversion'!C155</f>
        <v>156219.90797256876</v>
      </c>
      <c r="I99" s="76">
        <f>'Presupuesto de Inversion'!D155</f>
        <v>165593.10245092289</v>
      </c>
      <c r="J99" s="76">
        <f>'Presupuesto de Inversion'!E155</f>
        <v>176356.65411023286</v>
      </c>
    </row>
    <row r="100" spans="1:10">
      <c r="A100" s="107"/>
      <c r="B100" s="184"/>
      <c r="C100" s="184"/>
      <c r="D100" s="184"/>
      <c r="E100" s="227" t="s">
        <v>424</v>
      </c>
      <c r="F100" s="227"/>
      <c r="G100" s="76"/>
      <c r="H100" s="76">
        <f>'Presupuesto de Inversion'!O140</f>
        <v>17988959.099871557</v>
      </c>
      <c r="I100" s="76">
        <f>'Presupuesto de Inversion'!P140</f>
        <v>19428075.827861283</v>
      </c>
      <c r="J100" s="76">
        <f>'Presupuesto de Inversion'!Q140</f>
        <v>22342287.202040475</v>
      </c>
    </row>
    <row r="101" spans="1:10">
      <c r="A101" s="107"/>
      <c r="B101" s="184"/>
      <c r="C101" s="184"/>
      <c r="D101" s="184"/>
      <c r="E101" s="227" t="s">
        <v>425</v>
      </c>
      <c r="F101" s="227"/>
      <c r="G101" s="76"/>
      <c r="H101" s="76">
        <f>'Presupuesto de Inversion'!O141</f>
        <v>2698343.864980733</v>
      </c>
      <c r="I101" s="76">
        <f>'Presupuesto de Inversion'!P141</f>
        <v>2914211.3741791919</v>
      </c>
      <c r="J101" s="76">
        <f>'Presupuesto de Inversion'!Q141</f>
        <v>3351343.0803060709</v>
      </c>
    </row>
    <row r="102" spans="1:10">
      <c r="A102" s="107"/>
      <c r="B102" s="184"/>
      <c r="C102" s="184"/>
      <c r="D102" s="184"/>
      <c r="E102" s="227" t="s">
        <v>426</v>
      </c>
      <c r="F102" s="227"/>
      <c r="G102" s="76"/>
      <c r="H102" s="76">
        <f>E14+E15</f>
        <v>6810925.1972218333</v>
      </c>
      <c r="I102" s="76">
        <f t="shared" ref="I102:J102" si="24">F14+F15</f>
        <v>7812940.9495352171</v>
      </c>
      <c r="J102" s="76">
        <f t="shared" si="24"/>
        <v>12014220.237838542</v>
      </c>
    </row>
    <row r="103" spans="1:10">
      <c r="A103" s="107"/>
      <c r="B103" s="184"/>
      <c r="C103" s="184"/>
      <c r="D103" s="184"/>
      <c r="E103" s="227" t="s">
        <v>427</v>
      </c>
      <c r="F103" s="227"/>
      <c r="G103" s="76"/>
      <c r="H103" s="76">
        <v>0</v>
      </c>
      <c r="I103" s="76">
        <v>0</v>
      </c>
      <c r="J103" s="76">
        <v>0</v>
      </c>
    </row>
    <row r="104" spans="1:10">
      <c r="A104" s="107"/>
      <c r="B104" s="184"/>
      <c r="C104" s="184"/>
      <c r="D104" s="184"/>
      <c r="E104" s="228" t="s">
        <v>428</v>
      </c>
      <c r="F104" s="228"/>
      <c r="G104" s="101">
        <f>SUM(G95:G103)</f>
        <v>0</v>
      </c>
      <c r="H104" s="101">
        <f t="shared" ref="H104:J104" si="25">SUM(H95:H103)</f>
        <v>28695914.123197149</v>
      </c>
      <c r="I104" s="101">
        <f t="shared" si="25"/>
        <v>31424775.270366102</v>
      </c>
      <c r="J104" s="101">
        <f t="shared" si="25"/>
        <v>39059918.201696873</v>
      </c>
    </row>
    <row r="105" spans="1:10">
      <c r="A105" s="107"/>
      <c r="B105" s="184"/>
      <c r="C105" s="184" t="s">
        <v>433</v>
      </c>
      <c r="D105" s="184"/>
      <c r="E105" s="202" t="s">
        <v>430</v>
      </c>
      <c r="F105" s="202"/>
      <c r="G105" s="76"/>
      <c r="H105" s="76"/>
      <c r="I105" s="76"/>
      <c r="J105" s="76"/>
    </row>
    <row r="106" spans="1:10">
      <c r="A106" s="107"/>
      <c r="B106" s="184"/>
      <c r="C106" s="184"/>
      <c r="D106" s="184"/>
      <c r="E106" s="147" t="s">
        <v>431</v>
      </c>
      <c r="F106" s="147"/>
      <c r="G106" s="76"/>
      <c r="H106" s="76"/>
      <c r="I106" s="76"/>
      <c r="J106" s="76"/>
    </row>
    <row r="107" spans="1:10">
      <c r="A107" s="107"/>
      <c r="B107" s="184"/>
      <c r="C107" s="184"/>
      <c r="D107" s="184"/>
      <c r="E107" s="202" t="s">
        <v>427</v>
      </c>
      <c r="F107" s="202"/>
      <c r="G107" s="76"/>
      <c r="H107" s="76"/>
      <c r="I107" s="76"/>
      <c r="J107" s="76"/>
    </row>
    <row r="108" spans="1:10">
      <c r="A108" s="107"/>
      <c r="B108" s="184"/>
      <c r="C108" s="184"/>
      <c r="D108" s="184"/>
      <c r="E108" s="186" t="s">
        <v>432</v>
      </c>
      <c r="F108" s="186"/>
      <c r="G108" s="101">
        <f>SUM(G105:G107)</f>
        <v>0</v>
      </c>
      <c r="H108" s="101">
        <f t="shared" ref="H108:J108" si="26">SUM(H105:H107)</f>
        <v>0</v>
      </c>
      <c r="I108" s="101">
        <f t="shared" si="26"/>
        <v>0</v>
      </c>
      <c r="J108" s="101">
        <f t="shared" si="26"/>
        <v>0</v>
      </c>
    </row>
    <row r="109" spans="1:10">
      <c r="A109" s="107"/>
      <c r="B109" s="184"/>
      <c r="C109" s="224" t="s">
        <v>435</v>
      </c>
      <c r="D109" s="224"/>
      <c r="E109" s="224"/>
      <c r="F109" s="224"/>
      <c r="G109" s="116">
        <f>G104+G108</f>
        <v>0</v>
      </c>
      <c r="H109" s="116">
        <f t="shared" ref="H109:J109" si="27">H104+H108</f>
        <v>28695914.123197149</v>
      </c>
      <c r="I109" s="116">
        <f t="shared" si="27"/>
        <v>31424775.270366102</v>
      </c>
      <c r="J109" s="116">
        <f t="shared" si="27"/>
        <v>39059918.201696873</v>
      </c>
    </row>
    <row r="110" spans="1:10">
      <c r="A110" s="107"/>
      <c r="B110" s="184" t="s">
        <v>441</v>
      </c>
      <c r="C110" s="184"/>
      <c r="D110" s="184"/>
      <c r="E110" s="2" t="s">
        <v>436</v>
      </c>
      <c r="F110" s="2"/>
      <c r="G110" s="76"/>
      <c r="H110" s="76"/>
      <c r="I110" s="76"/>
      <c r="J110" s="76"/>
    </row>
    <row r="111" spans="1:10">
      <c r="A111" s="107"/>
      <c r="B111" s="184"/>
      <c r="C111" s="184"/>
      <c r="D111" s="184"/>
      <c r="E111" s="2" t="s">
        <v>437</v>
      </c>
      <c r="F111" s="2"/>
      <c r="G111" s="76"/>
      <c r="H111" s="76">
        <f>E16</f>
        <v>13221207.735783558</v>
      </c>
      <c r="I111" s="76">
        <f t="shared" ref="I111:J111" si="28">F16</f>
        <v>15166297.137333069</v>
      </c>
      <c r="J111" s="76">
        <f t="shared" si="28"/>
        <v>23321721.63815717</v>
      </c>
    </row>
    <row r="112" spans="1:10">
      <c r="A112" s="107"/>
      <c r="B112" s="184"/>
      <c r="C112" s="184"/>
      <c r="D112" s="184"/>
      <c r="E112" s="2" t="s">
        <v>438</v>
      </c>
      <c r="F112" s="2"/>
      <c r="G112" s="76"/>
      <c r="H112" s="76"/>
      <c r="I112" s="76"/>
      <c r="J112" s="76"/>
    </row>
    <row r="113" spans="1:17">
      <c r="A113" s="107"/>
      <c r="B113" s="184"/>
      <c r="C113" s="184"/>
      <c r="D113" s="184"/>
      <c r="E113" s="2" t="s">
        <v>439</v>
      </c>
      <c r="F113" s="2"/>
      <c r="G113" s="76"/>
      <c r="H113" s="76">
        <f>E17</f>
        <v>1322120.773578356</v>
      </c>
      <c r="I113" s="76">
        <f t="shared" ref="I113:J113" si="29">F17</f>
        <v>1516629.7137333071</v>
      </c>
      <c r="J113" s="76">
        <f t="shared" si="29"/>
        <v>2332172.1638157172</v>
      </c>
    </row>
    <row r="114" spans="1:17">
      <c r="A114" s="107"/>
      <c r="B114" s="184"/>
      <c r="C114" s="184"/>
      <c r="D114" s="184"/>
      <c r="E114" s="186" t="s">
        <v>440</v>
      </c>
      <c r="F114" s="186"/>
      <c r="G114" s="101">
        <f>SUM(G110:G113)</f>
        <v>0</v>
      </c>
      <c r="H114" s="101">
        <f t="shared" ref="H114:J114" si="30">SUM(H110:H113)</f>
        <v>14543328.509361915</v>
      </c>
      <c r="I114" s="101">
        <f t="shared" si="30"/>
        <v>16682926.851066377</v>
      </c>
      <c r="J114" s="101">
        <f t="shared" si="30"/>
        <v>25653893.801972888</v>
      </c>
    </row>
    <row r="115" spans="1:17">
      <c r="A115" s="107"/>
      <c r="B115" s="224" t="s">
        <v>442</v>
      </c>
      <c r="C115" s="224"/>
      <c r="D115" s="224"/>
      <c r="E115" s="224"/>
      <c r="F115" s="224"/>
      <c r="G115" s="116">
        <f>G109+G114</f>
        <v>0</v>
      </c>
      <c r="H115" s="116">
        <f>H109+H114</f>
        <v>43239242.632559061</v>
      </c>
      <c r="I115" s="116">
        <f t="shared" ref="I115:J115" si="31">I109+I114</f>
        <v>48107702.121432483</v>
      </c>
      <c r="J115" s="116">
        <f t="shared" si="31"/>
        <v>64713812.003669761</v>
      </c>
    </row>
    <row r="116" spans="1:17">
      <c r="A116" s="107"/>
      <c r="B116" s="177" t="s">
        <v>416</v>
      </c>
      <c r="C116" s="177"/>
      <c r="D116" s="177"/>
      <c r="E116" s="177"/>
      <c r="F116" s="177"/>
      <c r="G116" s="76">
        <f>G91</f>
        <v>29217983.585259475</v>
      </c>
      <c r="H116" s="76">
        <f t="shared" ref="H116:J116" si="32">H91</f>
        <v>79751492.881812721</v>
      </c>
      <c r="I116" s="76">
        <f t="shared" si="32"/>
        <v>89317184.35186404</v>
      </c>
      <c r="J116" s="76">
        <f t="shared" si="32"/>
        <v>104888080.19171657</v>
      </c>
    </row>
    <row r="117" spans="1:17">
      <c r="A117" s="107"/>
      <c r="B117" s="225" t="s">
        <v>444</v>
      </c>
      <c r="C117" s="225"/>
      <c r="D117" s="225"/>
      <c r="E117" s="225"/>
      <c r="F117" s="225"/>
      <c r="G117" s="94">
        <f>G116-(G109+G114)</f>
        <v>29217983.585259475</v>
      </c>
      <c r="H117" s="94">
        <f t="shared" ref="H117:J117" si="33">H116-(H109+H114)</f>
        <v>36512250.24925366</v>
      </c>
      <c r="I117" s="94">
        <f t="shared" si="33"/>
        <v>41209482.230431557</v>
      </c>
      <c r="J117" s="94">
        <f t="shared" si="33"/>
        <v>40174268.188046806</v>
      </c>
    </row>
    <row r="119" spans="1:17">
      <c r="A119" s="159"/>
      <c r="B119" s="184" t="s">
        <v>507</v>
      </c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</row>
    <row r="120" spans="1:17">
      <c r="B120" s="184" t="s">
        <v>68</v>
      </c>
      <c r="C120" s="184"/>
      <c r="D120" s="184"/>
      <c r="E120" s="158" t="s">
        <v>265</v>
      </c>
      <c r="F120" s="158" t="s">
        <v>334</v>
      </c>
      <c r="G120" s="158" t="s">
        <v>33</v>
      </c>
      <c r="H120" s="158" t="s">
        <v>34</v>
      </c>
      <c r="I120" s="158" t="s">
        <v>268</v>
      </c>
      <c r="J120" s="158" t="s">
        <v>20</v>
      </c>
      <c r="K120" s="158" t="s">
        <v>269</v>
      </c>
      <c r="L120" s="158" t="s">
        <v>41</v>
      </c>
      <c r="M120" s="158" t="s">
        <v>42</v>
      </c>
      <c r="N120" s="158" t="s">
        <v>24</v>
      </c>
      <c r="O120" s="158" t="s">
        <v>25</v>
      </c>
      <c r="P120" s="158" t="s">
        <v>270</v>
      </c>
    </row>
    <row r="121" spans="1:17">
      <c r="B121" s="236" t="s">
        <v>508</v>
      </c>
      <c r="C121" s="236"/>
      <c r="D121" s="236"/>
      <c r="E121" s="250">
        <f>'Presupuesto de Inversion'!C139</f>
        <v>2804306.59266055</v>
      </c>
      <c r="F121" s="250">
        <f>'Presupuesto de Inversion'!D139</f>
        <v>5541843.9807339441</v>
      </c>
      <c r="G121" s="250">
        <f>'Presupuesto de Inversion'!E139</f>
        <v>7544920.1183486227</v>
      </c>
      <c r="H121" s="250">
        <f>'Presupuesto de Inversion'!F139</f>
        <v>13787840.747247703</v>
      </c>
      <c r="I121" s="250">
        <f>'Presupuesto de Inversion'!G139</f>
        <v>4373382.9004587149</v>
      </c>
      <c r="J121" s="250">
        <f>'Presupuesto de Inversion'!H139</f>
        <v>3672306.2522935774</v>
      </c>
      <c r="K121" s="250">
        <f>'Presupuesto de Inversion'!I139</f>
        <v>5775536.1967889899</v>
      </c>
      <c r="L121" s="250">
        <f>'Presupuesto de Inversion'!J139</f>
        <v>15290147.850458715</v>
      </c>
      <c r="M121" s="250">
        <f>'Presupuesto de Inversion'!K139</f>
        <v>15156609.441284399</v>
      </c>
      <c r="N121" s="250">
        <f>'Presupuesto de Inversion'!L139</f>
        <v>12185379.837155961</v>
      </c>
      <c r="O121" s="250">
        <f>'Presupuesto de Inversion'!M139</f>
        <v>5107844.1509174304</v>
      </c>
      <c r="P121" s="250">
        <f>'Presupuesto de Inversion'!N139</f>
        <v>3438614.0362385316</v>
      </c>
      <c r="Q121" s="252"/>
    </row>
    <row r="122" spans="1:17">
      <c r="B122" s="202" t="s">
        <v>525</v>
      </c>
      <c r="C122" s="202"/>
      <c r="D122" s="202"/>
      <c r="E122" s="251">
        <v>0</v>
      </c>
      <c r="F122" s="251">
        <v>0</v>
      </c>
      <c r="G122" s="251">
        <v>0</v>
      </c>
      <c r="H122" s="251">
        <v>0</v>
      </c>
      <c r="I122" s="251">
        <v>0</v>
      </c>
      <c r="J122" s="251">
        <v>0</v>
      </c>
      <c r="K122" s="251">
        <v>0</v>
      </c>
      <c r="L122" s="251">
        <v>0</v>
      </c>
      <c r="M122" s="251">
        <v>0</v>
      </c>
      <c r="N122" s="251">
        <v>0</v>
      </c>
      <c r="O122" s="251">
        <v>0</v>
      </c>
      <c r="P122" s="251">
        <v>0</v>
      </c>
      <c r="Q122" s="252"/>
    </row>
    <row r="123" spans="1:17">
      <c r="B123" s="236" t="s">
        <v>509</v>
      </c>
      <c r="C123" s="236"/>
      <c r="D123" s="236"/>
      <c r="E123" s="251">
        <f>E121-E122</f>
        <v>2804306.59266055</v>
      </c>
      <c r="F123" s="251">
        <f t="shared" ref="F123:P123" si="34">F121-F122</f>
        <v>5541843.9807339441</v>
      </c>
      <c r="G123" s="251">
        <f t="shared" si="34"/>
        <v>7544920.1183486227</v>
      </c>
      <c r="H123" s="251">
        <f t="shared" si="34"/>
        <v>13787840.747247703</v>
      </c>
      <c r="I123" s="251">
        <f t="shared" si="34"/>
        <v>4373382.9004587149</v>
      </c>
      <c r="J123" s="251">
        <f t="shared" si="34"/>
        <v>3672306.2522935774</v>
      </c>
      <c r="K123" s="251">
        <f t="shared" si="34"/>
        <v>5775536.1967889899</v>
      </c>
      <c r="L123" s="251">
        <f t="shared" si="34"/>
        <v>15290147.850458715</v>
      </c>
      <c r="M123" s="251">
        <f t="shared" si="34"/>
        <v>15156609.441284399</v>
      </c>
      <c r="N123" s="251">
        <f t="shared" si="34"/>
        <v>12185379.837155961</v>
      </c>
      <c r="O123" s="251">
        <f t="shared" si="34"/>
        <v>5107844.1509174304</v>
      </c>
      <c r="P123" s="251">
        <f t="shared" si="34"/>
        <v>3438614.0362385316</v>
      </c>
      <c r="Q123" s="252"/>
    </row>
    <row r="124" spans="1:17">
      <c r="B124" s="202" t="s">
        <v>510</v>
      </c>
      <c r="C124" s="202"/>
      <c r="D124" s="202"/>
      <c r="E124" s="251">
        <f>'Demanda Dinamica'!C13*'Presupuesto de Inversion'!$E$78</f>
        <v>265618.09166666667</v>
      </c>
      <c r="F124" s="251">
        <f>'Demanda Dinamica'!D13*'Presupuesto de Inversion'!$E$78</f>
        <v>524911.94305555557</v>
      </c>
      <c r="G124" s="251">
        <f>'Demanda Dinamica'!E13*'Presupuesto de Inversion'!$E$78</f>
        <v>714639.15138888895</v>
      </c>
      <c r="H124" s="251">
        <f>'Demanda Dinamica'!F13*'Presupuesto de Inversion'!$E$78</f>
        <v>1305955.6173611111</v>
      </c>
      <c r="I124" s="251">
        <f>'Demanda Dinamica'!G13*'Presupuesto de Inversion'!$E$78</f>
        <v>414237.73819444445</v>
      </c>
      <c r="J124" s="251">
        <f>'Demanda Dinamica'!H13*'Presupuesto de Inversion'!$E$78</f>
        <v>347833.21527777781</v>
      </c>
      <c r="K124" s="251">
        <f>'Demanda Dinamica'!I13*'Presupuesto de Inversion'!$E$78</f>
        <v>547046.78402777785</v>
      </c>
      <c r="L124" s="251">
        <f>'Demanda Dinamica'!J13*'Presupuesto de Inversion'!$E$78</f>
        <v>1448251.0236111111</v>
      </c>
      <c r="M124" s="251">
        <f>'Demanda Dinamica'!K13*'Presupuesto de Inversion'!$E$78</f>
        <v>1435602.5430555556</v>
      </c>
      <c r="N124" s="251">
        <f>'Demanda Dinamica'!L13*'Presupuesto de Inversion'!$E$78</f>
        <v>1154173.8506944445</v>
      </c>
      <c r="O124" s="251">
        <f>'Demanda Dinamica'!M13*'Presupuesto de Inversion'!$E$78</f>
        <v>483804.38125000003</v>
      </c>
      <c r="P124" s="251">
        <f>'Demanda Dinamica'!N13*'Presupuesto de Inversion'!$E$78</f>
        <v>325698.37430555554</v>
      </c>
      <c r="Q124" s="252"/>
    </row>
    <row r="125" spans="1:17">
      <c r="B125" s="236" t="s">
        <v>511</v>
      </c>
      <c r="C125" s="236"/>
      <c r="D125" s="236"/>
      <c r="E125" s="251">
        <f>E123-E124</f>
        <v>2538688.5009938832</v>
      </c>
      <c r="F125" s="251">
        <f t="shared" ref="F125:P125" si="35">F123-F124</f>
        <v>5016932.0376783889</v>
      </c>
      <c r="G125" s="251">
        <f t="shared" si="35"/>
        <v>6830280.9669597335</v>
      </c>
      <c r="H125" s="251">
        <f t="shared" si="35"/>
        <v>12481885.129886592</v>
      </c>
      <c r="I125" s="251">
        <f t="shared" si="35"/>
        <v>3959145.1622642707</v>
      </c>
      <c r="J125" s="251">
        <f t="shared" si="35"/>
        <v>3324473.0370157994</v>
      </c>
      <c r="K125" s="251">
        <f t="shared" si="35"/>
        <v>5228489.4127612123</v>
      </c>
      <c r="L125" s="251">
        <f t="shared" si="35"/>
        <v>13841896.826847604</v>
      </c>
      <c r="M125" s="251">
        <f t="shared" si="35"/>
        <v>13721006.898228845</v>
      </c>
      <c r="N125" s="251">
        <f t="shared" si="35"/>
        <v>11031205.986461516</v>
      </c>
      <c r="O125" s="251">
        <f t="shared" si="35"/>
        <v>4624039.7696674308</v>
      </c>
      <c r="P125" s="251">
        <f t="shared" si="35"/>
        <v>3112915.661932976</v>
      </c>
      <c r="Q125" s="252"/>
    </row>
    <row r="126" spans="1:17">
      <c r="B126" s="202" t="s">
        <v>512</v>
      </c>
      <c r="C126" s="202"/>
      <c r="D126" s="202"/>
      <c r="E126" s="251">
        <f>E127+E128</f>
        <v>3685753.2642984781</v>
      </c>
      <c r="F126" s="251">
        <f t="shared" ref="F126:P126" si="36">F127+F128</f>
        <v>3485753.2642984781</v>
      </c>
      <c r="G126" s="251">
        <f t="shared" si="36"/>
        <v>3485753.2642984781</v>
      </c>
      <c r="H126" s="251">
        <f t="shared" si="36"/>
        <v>4402093.2642984781</v>
      </c>
      <c r="I126" s="251">
        <f t="shared" si="36"/>
        <v>4382093.2642984781</v>
      </c>
      <c r="J126" s="251">
        <f t="shared" si="36"/>
        <v>5066043.2642984781</v>
      </c>
      <c r="K126" s="251">
        <f t="shared" si="36"/>
        <v>5066043.2642984781</v>
      </c>
      <c r="L126" s="251">
        <f t="shared" si="36"/>
        <v>5066043.2642984781</v>
      </c>
      <c r="M126" s="251">
        <f t="shared" si="36"/>
        <v>5066043.2642984781</v>
      </c>
      <c r="N126" s="251">
        <f t="shared" si="36"/>
        <v>6362383.2642984791</v>
      </c>
      <c r="O126" s="251">
        <f t="shared" si="36"/>
        <v>5066043.2642984781</v>
      </c>
      <c r="P126" s="251">
        <f t="shared" si="36"/>
        <v>5066043.2642984781</v>
      </c>
      <c r="Q126" s="252"/>
    </row>
    <row r="127" spans="1:17">
      <c r="B127" s="238" t="s">
        <v>523</v>
      </c>
      <c r="C127" s="239"/>
      <c r="D127" s="240"/>
      <c r="E127" s="251">
        <f>('Presupuesto de Inversion'!$C$156/12)</f>
        <v>888796.59763181175</v>
      </c>
      <c r="F127" s="251">
        <f>('Presupuesto de Inversion'!$C$156/12)</f>
        <v>888796.59763181175</v>
      </c>
      <c r="G127" s="251">
        <f>('Presupuesto de Inversion'!$C$156/12)</f>
        <v>888796.59763181175</v>
      </c>
      <c r="H127" s="251">
        <f>('Presupuesto de Inversion'!$C$156/12)</f>
        <v>888796.59763181175</v>
      </c>
      <c r="I127" s="251">
        <f>('Presupuesto de Inversion'!$C$156/12)</f>
        <v>888796.59763181175</v>
      </c>
      <c r="J127" s="251">
        <f>('Presupuesto de Inversion'!$C$156/12)</f>
        <v>888796.59763181175</v>
      </c>
      <c r="K127" s="251">
        <f>('Presupuesto de Inversion'!$C$156/12)</f>
        <v>888796.59763181175</v>
      </c>
      <c r="L127" s="251">
        <f>('Presupuesto de Inversion'!$C$156/12)</f>
        <v>888796.59763181175</v>
      </c>
      <c r="M127" s="251">
        <f>('Presupuesto de Inversion'!$C$156/12)</f>
        <v>888796.59763181175</v>
      </c>
      <c r="N127" s="251">
        <f>('Presupuesto de Inversion'!$C$156/12)</f>
        <v>888796.59763181175</v>
      </c>
      <c r="O127" s="251">
        <f>('Presupuesto de Inversion'!$C$156/12)</f>
        <v>888796.59763181175</v>
      </c>
      <c r="P127" s="251">
        <f>('Presupuesto de Inversion'!$C$156/12)</f>
        <v>888796.59763181175</v>
      </c>
      <c r="Q127" s="252"/>
    </row>
    <row r="128" spans="1:17">
      <c r="B128" s="238" t="s">
        <v>524</v>
      </c>
      <c r="C128" s="239"/>
      <c r="D128" s="240"/>
      <c r="E128" s="251">
        <f>'Demanda Dinamica'!J36+'Demanda Dinamica'!J39+'Demanda Dinamica'!J42+('Presupuesto de Inversion'!$E$71/12)</f>
        <v>2796956.6666666665</v>
      </c>
      <c r="F128" s="251">
        <f>'Demanda Dinamica'!K36+'Demanda Dinamica'!K39+'Demanda Dinamica'!K42+('Presupuesto de Inversion'!$E$71/12)</f>
        <v>2596956.6666666665</v>
      </c>
      <c r="G128" s="251">
        <f>'Demanda Dinamica'!L36+'Demanda Dinamica'!L39+'Demanda Dinamica'!L42+('Presupuesto de Inversion'!$E$71/12)</f>
        <v>2596956.6666666665</v>
      </c>
      <c r="H128" s="251">
        <f>'Demanda Dinamica'!M36+'Demanda Dinamica'!M39+'Demanda Dinamica'!M42+('Presupuesto de Inversion'!$E$71/12)</f>
        <v>3513296.6666666665</v>
      </c>
      <c r="I128" s="251">
        <f>'Demanda Dinamica'!N36+'Demanda Dinamica'!N39+'Demanda Dinamica'!N42+('Presupuesto de Inversion'!$E$71/12)</f>
        <v>3493296.6666666665</v>
      </c>
      <c r="J128" s="251">
        <f>'Demanda Dinamica'!O36+'Demanda Dinamica'!O39+'Demanda Dinamica'!O42+('Presupuesto de Inversion'!$E$71/12)</f>
        <v>4177246.6666666665</v>
      </c>
      <c r="K128" s="251">
        <f>'Demanda Dinamica'!P36+'Demanda Dinamica'!P39+'Demanda Dinamica'!P42+('Presupuesto de Inversion'!$E$71/12)</f>
        <v>4177246.6666666665</v>
      </c>
      <c r="L128" s="251">
        <f>'Demanda Dinamica'!Q36+'Demanda Dinamica'!Q39+'Demanda Dinamica'!Q42+('Presupuesto de Inversion'!$E$71/12)</f>
        <v>4177246.6666666665</v>
      </c>
      <c r="M128" s="251">
        <f>'Demanda Dinamica'!R36+'Demanda Dinamica'!R39+'Demanda Dinamica'!R42+('Presupuesto de Inversion'!$E$71/12)</f>
        <v>4177246.6666666665</v>
      </c>
      <c r="N128" s="251">
        <f>'Demanda Dinamica'!S36+'Demanda Dinamica'!S39+'Demanda Dinamica'!S42+('Presupuesto de Inversion'!$E$71/12)</f>
        <v>5473586.666666667</v>
      </c>
      <c r="O128" s="251">
        <f>'Demanda Dinamica'!T36+'Demanda Dinamica'!T39+'Demanda Dinamica'!T42+('Presupuesto de Inversion'!$E$71/12)</f>
        <v>4177246.6666666665</v>
      </c>
      <c r="P128" s="251">
        <f>'Demanda Dinamica'!U36+'Demanda Dinamica'!U39+'Demanda Dinamica'!U42+('Presupuesto de Inversion'!$E$71/12)</f>
        <v>4177246.6666666665</v>
      </c>
      <c r="Q128" s="252"/>
    </row>
    <row r="129" spans="2:17">
      <c r="B129" s="202" t="s">
        <v>513</v>
      </c>
      <c r="C129" s="202"/>
      <c r="D129" s="202"/>
      <c r="E129" s="251">
        <f>E130</f>
        <v>382040</v>
      </c>
      <c r="F129" s="251">
        <f t="shared" ref="F129:P129" si="37">F130</f>
        <v>382040</v>
      </c>
      <c r="G129" s="251">
        <f t="shared" si="37"/>
        <v>382040</v>
      </c>
      <c r="H129" s="251">
        <f t="shared" si="37"/>
        <v>382040</v>
      </c>
      <c r="I129" s="251">
        <f t="shared" si="37"/>
        <v>382040</v>
      </c>
      <c r="J129" s="251">
        <f t="shared" si="37"/>
        <v>2362329.9999999995</v>
      </c>
      <c r="K129" s="251">
        <f t="shared" si="37"/>
        <v>2362329.9999999995</v>
      </c>
      <c r="L129" s="251">
        <f t="shared" si="37"/>
        <v>2362329.9999999995</v>
      </c>
      <c r="M129" s="251">
        <f t="shared" si="37"/>
        <v>2362329.9999999995</v>
      </c>
      <c r="N129" s="251">
        <f t="shared" si="37"/>
        <v>2362329.9999999995</v>
      </c>
      <c r="O129" s="251">
        <f t="shared" si="37"/>
        <v>2362329.9999999995</v>
      </c>
      <c r="P129" s="251">
        <f t="shared" si="37"/>
        <v>2362329.9999999995</v>
      </c>
      <c r="Q129" s="252"/>
    </row>
    <row r="130" spans="2:17">
      <c r="B130" s="238" t="s">
        <v>522</v>
      </c>
      <c r="C130" s="239"/>
      <c r="D130" s="240"/>
      <c r="E130" s="251">
        <f>'Demanda Dinamica'!J36+('Presupuesto de Inversion'!$E$106/12)+'Presupuesto de Inversion'!$D$108+('Presupuesto de Inversion'!$E$110/12)+('Presupuesto de Inversion'!$E$111/12)+('Presupuesto de Inversion'!$E$112/12)</f>
        <v>382040</v>
      </c>
      <c r="F130" s="251">
        <f>'Demanda Dinamica'!K36+('Presupuesto de Inversion'!$E$106/12)+'Presupuesto de Inversion'!$D$108+('Presupuesto de Inversion'!$E$110/12)+('Presupuesto de Inversion'!$E$111/12)+('Presupuesto de Inversion'!$E$112/12)</f>
        <v>382040</v>
      </c>
      <c r="G130" s="251">
        <f>'Demanda Dinamica'!L36+('Presupuesto de Inversion'!$E$106/12)+'Presupuesto de Inversion'!$D$108+('Presupuesto de Inversion'!$E$110/12)+('Presupuesto de Inversion'!$E$111/12)+('Presupuesto de Inversion'!$E$112/12)</f>
        <v>382040</v>
      </c>
      <c r="H130" s="251">
        <f>'Demanda Dinamica'!M36+('Presupuesto de Inversion'!$E$106/12)+'Presupuesto de Inversion'!$D$108+('Presupuesto de Inversion'!$E$110/12)+('Presupuesto de Inversion'!$E$111/12)+('Presupuesto de Inversion'!$E$112/12)</f>
        <v>382040</v>
      </c>
      <c r="I130" s="251">
        <f>'Demanda Dinamica'!N36+('Presupuesto de Inversion'!$E$106/12)+'Presupuesto de Inversion'!$D$108+('Presupuesto de Inversion'!$E$110/12)+('Presupuesto de Inversion'!$E$111/12)+('Presupuesto de Inversion'!$E$112/12)</f>
        <v>382040</v>
      </c>
      <c r="J130" s="251">
        <f>'Demanda Dinamica'!O36+('Presupuesto de Inversion'!$E$106/12)+'Presupuesto de Inversion'!$D$108+('Presupuesto de Inversion'!$E$110/12)+('Presupuesto de Inversion'!$E$111/12)+('Presupuesto de Inversion'!$E$112/12)</f>
        <v>2362329.9999999995</v>
      </c>
      <c r="K130" s="251">
        <f>'Demanda Dinamica'!P36+('Presupuesto de Inversion'!$E$106/12)+'Presupuesto de Inversion'!$D$108+('Presupuesto de Inversion'!$E$110/12)+('Presupuesto de Inversion'!$E$111/12)+('Presupuesto de Inversion'!$E$112/12)</f>
        <v>2362329.9999999995</v>
      </c>
      <c r="L130" s="251">
        <f>'Demanda Dinamica'!Q36+('Presupuesto de Inversion'!$E$106/12)+'Presupuesto de Inversion'!$D$108+('Presupuesto de Inversion'!$E$110/12)+('Presupuesto de Inversion'!$E$111/12)+('Presupuesto de Inversion'!$E$112/12)</f>
        <v>2362329.9999999995</v>
      </c>
      <c r="M130" s="251">
        <f>'Demanda Dinamica'!R36+('Presupuesto de Inversion'!$E$106/12)+'Presupuesto de Inversion'!$D$108+('Presupuesto de Inversion'!$E$110/12)+('Presupuesto de Inversion'!$E$111/12)+('Presupuesto de Inversion'!$E$112/12)</f>
        <v>2362329.9999999995</v>
      </c>
      <c r="N130" s="251">
        <f>'Demanda Dinamica'!S36+('Presupuesto de Inversion'!$E$106/12)+'Presupuesto de Inversion'!$D$108+('Presupuesto de Inversion'!$E$110/12)+('Presupuesto de Inversion'!$E$111/12)+('Presupuesto de Inversion'!$E$112/12)</f>
        <v>2362329.9999999995</v>
      </c>
      <c r="O130" s="251">
        <f>'Demanda Dinamica'!T36+('Presupuesto de Inversion'!$E$106/12)+'Presupuesto de Inversion'!$D$108+('Presupuesto de Inversion'!$E$110/12)+('Presupuesto de Inversion'!$E$111/12)+('Presupuesto de Inversion'!$E$112/12)</f>
        <v>2362329.9999999995</v>
      </c>
      <c r="P130" s="251">
        <f>'Demanda Dinamica'!U36+('Presupuesto de Inversion'!$E$106/12)+'Presupuesto de Inversion'!$D$108+('Presupuesto de Inversion'!$E$110/12)+('Presupuesto de Inversion'!$E$111/12)+('Presupuesto de Inversion'!$E$112/12)</f>
        <v>2362329.9999999995</v>
      </c>
      <c r="Q130" s="252"/>
    </row>
    <row r="131" spans="2:17">
      <c r="B131" s="236" t="s">
        <v>514</v>
      </c>
      <c r="C131" s="236"/>
      <c r="D131" s="236"/>
      <c r="E131" s="251">
        <f>E125-(E126+E129)</f>
        <v>-1529104.7633045949</v>
      </c>
      <c r="F131" s="251">
        <f t="shared" ref="F131:P131" si="38">F125-(F126+F129)</f>
        <v>1149138.7733799107</v>
      </c>
      <c r="G131" s="251">
        <f t="shared" si="38"/>
        <v>2962487.7026612554</v>
      </c>
      <c r="H131" s="251">
        <f t="shared" si="38"/>
        <v>7697751.8655881137</v>
      </c>
      <c r="I131" s="251">
        <f t="shared" si="38"/>
        <v>-804988.10203420743</v>
      </c>
      <c r="J131" s="251">
        <f t="shared" si="38"/>
        <v>-4103900.2272826787</v>
      </c>
      <c r="K131" s="251">
        <f t="shared" si="38"/>
        <v>-2199883.8515372658</v>
      </c>
      <c r="L131" s="251">
        <f t="shared" si="38"/>
        <v>6413523.5625491254</v>
      </c>
      <c r="M131" s="251">
        <f t="shared" si="38"/>
        <v>6292633.6339303665</v>
      </c>
      <c r="N131" s="251">
        <f t="shared" si="38"/>
        <v>2306492.7221630383</v>
      </c>
      <c r="O131" s="251">
        <f t="shared" si="38"/>
        <v>-2804333.4946310474</v>
      </c>
      <c r="P131" s="251">
        <f t="shared" si="38"/>
        <v>-4315457.6023655022</v>
      </c>
      <c r="Q131" s="252"/>
    </row>
    <row r="132" spans="2:17">
      <c r="B132" s="202" t="s">
        <v>515</v>
      </c>
      <c r="C132" s="202"/>
      <c r="D132" s="202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2"/>
    </row>
    <row r="133" spans="2:17">
      <c r="B133" s="202" t="s">
        <v>516</v>
      </c>
      <c r="C133" s="202"/>
      <c r="D133" s="202"/>
      <c r="E133" s="251">
        <f>H59</f>
        <v>143213.09586082425</v>
      </c>
      <c r="F133" s="251">
        <f t="shared" ref="F133:P133" si="39">I59</f>
        <v>143213.09586082425</v>
      </c>
      <c r="G133" s="251">
        <f t="shared" si="39"/>
        <v>132582.21974079567</v>
      </c>
      <c r="H133" s="251">
        <f t="shared" si="39"/>
        <v>121730.38374700681</v>
      </c>
      <c r="I133" s="251">
        <f t="shared" si="39"/>
        <v>110652.99528847446</v>
      </c>
      <c r="J133" s="251">
        <f t="shared" si="39"/>
        <v>849345.36631845881</v>
      </c>
      <c r="K133" s="251">
        <f t="shared" si="39"/>
        <v>72214.164983316194</v>
      </c>
      <c r="L133" s="251">
        <f t="shared" si="39"/>
        <v>810107.59536195383</v>
      </c>
      <c r="M133" s="251">
        <f t="shared" si="39"/>
        <v>32160.847610947087</v>
      </c>
      <c r="N133" s="251">
        <f t="shared" si="39"/>
        <v>19221.780662896253</v>
      </c>
      <c r="O133" s="251">
        <f t="shared" si="39"/>
        <v>6013.778721422721</v>
      </c>
      <c r="P133" s="251">
        <f t="shared" si="39"/>
        <v>0</v>
      </c>
      <c r="Q133" s="252"/>
    </row>
    <row r="134" spans="2:17">
      <c r="B134" s="236" t="s">
        <v>517</v>
      </c>
      <c r="C134" s="236"/>
      <c r="D134" s="236"/>
      <c r="E134" s="251">
        <f>E131+E132-E133</f>
        <v>-1672317.8591654191</v>
      </c>
      <c r="F134" s="251">
        <f t="shared" ref="F134:P134" si="40">F131+F132-F133</f>
        <v>1005925.6775190865</v>
      </c>
      <c r="G134" s="251">
        <f t="shared" si="40"/>
        <v>2829905.4829204595</v>
      </c>
      <c r="H134" s="251">
        <f t="shared" si="40"/>
        <v>7576021.4818411069</v>
      </c>
      <c r="I134" s="251">
        <f t="shared" si="40"/>
        <v>-915641.09732268192</v>
      </c>
      <c r="J134" s="251">
        <f t="shared" si="40"/>
        <v>-4953245.5936011374</v>
      </c>
      <c r="K134" s="251">
        <f t="shared" si="40"/>
        <v>-2272098.0165205821</v>
      </c>
      <c r="L134" s="251">
        <f t="shared" si="40"/>
        <v>5603415.9671871718</v>
      </c>
      <c r="M134" s="251">
        <f t="shared" si="40"/>
        <v>6260472.7863194197</v>
      </c>
      <c r="N134" s="251">
        <f t="shared" si="40"/>
        <v>2287270.9415001422</v>
      </c>
      <c r="O134" s="251">
        <f t="shared" si="40"/>
        <v>-2810347.2733524702</v>
      </c>
      <c r="P134" s="251">
        <f t="shared" si="40"/>
        <v>-4315457.6023655022</v>
      </c>
      <c r="Q134" s="252"/>
    </row>
    <row r="135" spans="2:17">
      <c r="B135" s="202" t="s">
        <v>518</v>
      </c>
      <c r="C135" s="202"/>
      <c r="D135" s="202"/>
      <c r="E135" s="251">
        <f>'Presupuesto de Inversion'!C140</f>
        <v>532818.25260550447</v>
      </c>
      <c r="F135" s="251">
        <f>'Presupuesto de Inversion'!D140</f>
        <v>1052950.3563394493</v>
      </c>
      <c r="G135" s="251">
        <f>'Presupuesto de Inversion'!E140</f>
        <v>1433534.8224862383</v>
      </c>
      <c r="H135" s="251">
        <f>'Presupuesto de Inversion'!F140</f>
        <v>2619689.7419770635</v>
      </c>
      <c r="I135" s="251">
        <f>'Presupuesto de Inversion'!G140</f>
        <v>830942.75108715589</v>
      </c>
      <c r="J135" s="251">
        <f>'Presupuesto de Inversion'!H140</f>
        <v>697738.18793577969</v>
      </c>
      <c r="K135" s="251">
        <f>'Presupuesto de Inversion'!I140</f>
        <v>1097351.8773899081</v>
      </c>
      <c r="L135" s="251">
        <f>'Presupuesto de Inversion'!J140</f>
        <v>2905128.0915871561</v>
      </c>
      <c r="M135" s="251">
        <f>'Presupuesto de Inversion'!K140</f>
        <v>2879755.7938440358</v>
      </c>
      <c r="N135" s="251">
        <f>'Presupuesto de Inversion'!L140</f>
        <v>2315222.1690596323</v>
      </c>
      <c r="O135" s="251">
        <f>'Presupuesto de Inversion'!M140</f>
        <v>970490.38867431181</v>
      </c>
      <c r="P135" s="251">
        <f>'Presupuesto de Inversion'!N140</f>
        <v>653336.66688532103</v>
      </c>
      <c r="Q135" s="252"/>
    </row>
    <row r="136" spans="2:17">
      <c r="B136" s="236" t="s">
        <v>519</v>
      </c>
      <c r="C136" s="236"/>
      <c r="D136" s="236"/>
      <c r="E136" s="251">
        <f>E134-E135</f>
        <v>-2205136.1117709237</v>
      </c>
      <c r="F136" s="251">
        <f t="shared" ref="F136:P136" si="41">F134-F135</f>
        <v>-47024.67882036278</v>
      </c>
      <c r="G136" s="251">
        <f t="shared" si="41"/>
        <v>1396370.6604342212</v>
      </c>
      <c r="H136" s="251">
        <f t="shared" si="41"/>
        <v>4956331.7398640439</v>
      </c>
      <c r="I136" s="251">
        <f t="shared" si="41"/>
        <v>-1746583.8484098378</v>
      </c>
      <c r="J136" s="251">
        <f t="shared" si="41"/>
        <v>-5650983.7815369172</v>
      </c>
      <c r="K136" s="251">
        <f t="shared" si="41"/>
        <v>-3369449.89391049</v>
      </c>
      <c r="L136" s="251">
        <f t="shared" si="41"/>
        <v>2698287.8756000157</v>
      </c>
      <c r="M136" s="251">
        <f t="shared" si="41"/>
        <v>3380716.9924753839</v>
      </c>
      <c r="N136" s="251">
        <f t="shared" si="41"/>
        <v>-27951.227559490129</v>
      </c>
      <c r="O136" s="251">
        <f t="shared" si="41"/>
        <v>-3780837.6620267821</v>
      </c>
      <c r="P136" s="251">
        <f t="shared" si="41"/>
        <v>-4968794.2692508232</v>
      </c>
      <c r="Q136" s="252"/>
    </row>
    <row r="137" spans="2:17">
      <c r="B137" s="202" t="s">
        <v>520</v>
      </c>
      <c r="C137" s="202"/>
      <c r="D137" s="202"/>
      <c r="E137" s="251">
        <f>E136*0.1</f>
        <v>-220513.61117709239</v>
      </c>
      <c r="F137" s="251">
        <f t="shared" ref="F137:P137" si="42">F136*0.1</f>
        <v>-4702.4678820362778</v>
      </c>
      <c r="G137" s="251">
        <f t="shared" si="42"/>
        <v>139637.06604342212</v>
      </c>
      <c r="H137" s="251">
        <f t="shared" si="42"/>
        <v>495633.17398640444</v>
      </c>
      <c r="I137" s="251">
        <f t="shared" si="42"/>
        <v>-174658.38484098378</v>
      </c>
      <c r="J137" s="251">
        <f t="shared" si="42"/>
        <v>-565098.37815369177</v>
      </c>
      <c r="K137" s="251">
        <f t="shared" si="42"/>
        <v>-336944.98939104902</v>
      </c>
      <c r="L137" s="251">
        <f t="shared" si="42"/>
        <v>269828.7875600016</v>
      </c>
      <c r="M137" s="251">
        <f t="shared" si="42"/>
        <v>338071.6992475384</v>
      </c>
      <c r="N137" s="251">
        <f t="shared" si="42"/>
        <v>-2795.122755949013</v>
      </c>
      <c r="O137" s="251">
        <f t="shared" si="42"/>
        <v>-378083.76620267821</v>
      </c>
      <c r="P137" s="251">
        <f t="shared" si="42"/>
        <v>-496879.42692508234</v>
      </c>
      <c r="Q137" s="252"/>
    </row>
    <row r="138" spans="2:17">
      <c r="B138" s="236" t="s">
        <v>521</v>
      </c>
      <c r="C138" s="236"/>
      <c r="D138" s="236"/>
      <c r="E138" s="251">
        <f>E136-E137</f>
        <v>-1984622.5005938313</v>
      </c>
      <c r="F138" s="251">
        <f t="shared" ref="F138:P138" si="43">F136-F137</f>
        <v>-42322.210938326505</v>
      </c>
      <c r="G138" s="251">
        <f t="shared" si="43"/>
        <v>1256733.5943907991</v>
      </c>
      <c r="H138" s="251">
        <f t="shared" si="43"/>
        <v>4460698.5658776397</v>
      </c>
      <c r="I138" s="251">
        <f t="shared" si="43"/>
        <v>-1571925.4635688541</v>
      </c>
      <c r="J138" s="251">
        <f t="shared" si="43"/>
        <v>-5085885.4033832252</v>
      </c>
      <c r="K138" s="251">
        <f t="shared" si="43"/>
        <v>-3032504.9045194411</v>
      </c>
      <c r="L138" s="251">
        <f t="shared" si="43"/>
        <v>2428459.0880400143</v>
      </c>
      <c r="M138" s="251">
        <f t="shared" si="43"/>
        <v>3042645.2932278453</v>
      </c>
      <c r="N138" s="251">
        <f t="shared" si="43"/>
        <v>-25156.104803541115</v>
      </c>
      <c r="O138" s="251">
        <f t="shared" si="43"/>
        <v>-3402753.8958241036</v>
      </c>
      <c r="P138" s="251">
        <f t="shared" si="43"/>
        <v>-4471914.8423257405</v>
      </c>
      <c r="Q138" s="252"/>
    </row>
    <row r="139" spans="2:17">
      <c r="B139" s="237"/>
      <c r="C139" s="237"/>
      <c r="D139" s="237"/>
    </row>
    <row r="140" spans="2:17">
      <c r="B140" s="184" t="s">
        <v>527</v>
      </c>
      <c r="C140" s="184"/>
      <c r="D140" s="184"/>
      <c r="E140" s="184"/>
      <c r="F140" s="184"/>
      <c r="G140" s="184"/>
    </row>
    <row r="141" spans="2:17">
      <c r="B141" s="184" t="s">
        <v>68</v>
      </c>
      <c r="C141" s="184"/>
      <c r="D141" s="184"/>
      <c r="E141" s="160" t="s">
        <v>2</v>
      </c>
      <c r="F141" s="160" t="s">
        <v>526</v>
      </c>
      <c r="G141" s="160" t="s">
        <v>43</v>
      </c>
      <c r="K141" s="252"/>
    </row>
    <row r="142" spans="2:17">
      <c r="B142" s="236" t="s">
        <v>508</v>
      </c>
      <c r="C142" s="236"/>
      <c r="D142" s="236"/>
      <c r="E142" s="251">
        <f>SUM(E121:P121)</f>
        <v>94678732.104587138</v>
      </c>
      <c r="F142" s="251">
        <f>E142+(E142*'Demanda Dinamica'!S6)</f>
        <v>102253030.67295411</v>
      </c>
      <c r="G142" s="251">
        <f>E142+(E142*'Demanda Dinamica'!S7)</f>
        <v>108880541.92027521</v>
      </c>
      <c r="K142" s="252"/>
    </row>
    <row r="143" spans="2:17">
      <c r="B143" s="202" t="s">
        <v>525</v>
      </c>
      <c r="C143" s="202"/>
      <c r="D143" s="202"/>
      <c r="E143" s="251">
        <f>SUM(E122:P122)</f>
        <v>0</v>
      </c>
      <c r="F143" s="2">
        <v>0</v>
      </c>
      <c r="G143" s="2">
        <v>0</v>
      </c>
    </row>
    <row r="144" spans="2:17">
      <c r="B144" s="236" t="s">
        <v>509</v>
      </c>
      <c r="C144" s="236"/>
      <c r="D144" s="236"/>
      <c r="E144" s="251">
        <f>E142-E143</f>
        <v>94678732.104587138</v>
      </c>
      <c r="F144" s="251">
        <f t="shared" ref="F144:G144" si="44">F142-F143</f>
        <v>102253030.67295411</v>
      </c>
      <c r="G144" s="251">
        <f t="shared" si="44"/>
        <v>108880541.92027521</v>
      </c>
    </row>
    <row r="145" spans="2:7">
      <c r="B145" s="202" t="s">
        <v>510</v>
      </c>
      <c r="C145" s="202"/>
      <c r="D145" s="202"/>
      <c r="E145" s="251">
        <f>SUM(E124:P124)</f>
        <v>8967772.7138888892</v>
      </c>
      <c r="F145" s="251">
        <f>E145+(E145*'Demanda Dinamica'!$D$6)</f>
        <v>9505839.0767222233</v>
      </c>
      <c r="G145" s="253">
        <f>F145+(F145*'Demanda Dinamica'!$D$7)</f>
        <v>10123718.616709167</v>
      </c>
    </row>
    <row r="146" spans="2:7">
      <c r="B146" s="236" t="s">
        <v>511</v>
      </c>
      <c r="C146" s="236"/>
      <c r="D146" s="236"/>
      <c r="E146" s="251">
        <f>E144-E145</f>
        <v>85710959.390698254</v>
      </c>
      <c r="F146" s="251">
        <f t="shared" ref="F146:G146" si="45">F144-F145</f>
        <v>92747191.596231893</v>
      </c>
      <c r="G146" s="251">
        <f t="shared" si="45"/>
        <v>98756823.303566039</v>
      </c>
    </row>
    <row r="147" spans="2:7">
      <c r="B147" s="202" t="s">
        <v>512</v>
      </c>
      <c r="C147" s="202"/>
      <c r="D147" s="202"/>
      <c r="E147" s="251">
        <f>E148+E149</f>
        <v>13462515.838248409</v>
      </c>
      <c r="F147" s="251">
        <f t="shared" ref="F147:G147" si="46">F148+F149</f>
        <v>14270266.788543314</v>
      </c>
      <c r="G147" s="251">
        <f t="shared" si="46"/>
        <v>15197834.129798628</v>
      </c>
    </row>
    <row r="148" spans="2:7">
      <c r="B148" s="254" t="s">
        <v>523</v>
      </c>
      <c r="C148" s="254"/>
      <c r="D148" s="254"/>
      <c r="E148" s="251">
        <f>SUM(E127:P127)</f>
        <v>10665559.171581743</v>
      </c>
      <c r="F148" s="251">
        <f>E148+(E148*'Demanda Dinamica'!$D$6)</f>
        <v>11305492.721876647</v>
      </c>
      <c r="G148" s="253">
        <f>F148+(F148*'Demanda Dinamica'!$D$7)</f>
        <v>12040349.748798629</v>
      </c>
    </row>
    <row r="149" spans="2:7">
      <c r="B149" s="254" t="s">
        <v>524</v>
      </c>
      <c r="C149" s="254"/>
      <c r="D149" s="254"/>
      <c r="E149" s="251">
        <f>E128:P128</f>
        <v>2796956.6666666665</v>
      </c>
      <c r="F149" s="251">
        <f>E149+(E149*'Demanda Dinamica'!$D$6)</f>
        <v>2964774.0666666664</v>
      </c>
      <c r="G149" s="253">
        <f>F149+(F149*'Demanda Dinamica'!$D$7)</f>
        <v>3157484.3809999996</v>
      </c>
    </row>
    <row r="150" spans="2:7">
      <c r="B150" s="202" t="s">
        <v>513</v>
      </c>
      <c r="C150" s="202"/>
      <c r="D150" s="202"/>
      <c r="E150" s="251">
        <f>E151</f>
        <v>18446510</v>
      </c>
      <c r="F150" s="251">
        <f t="shared" ref="F150:G150" si="47">F151</f>
        <v>19553300.600000001</v>
      </c>
      <c r="G150" s="251">
        <f t="shared" si="47"/>
        <v>20824265.139000002</v>
      </c>
    </row>
    <row r="151" spans="2:7">
      <c r="B151" s="254" t="s">
        <v>522</v>
      </c>
      <c r="C151" s="254"/>
      <c r="D151" s="254"/>
      <c r="E151" s="251">
        <f>SUM(E130:P130)</f>
        <v>18446510</v>
      </c>
      <c r="F151" s="2">
        <f>E150+(E150*'Demanda Dinamica'!$D$6)</f>
        <v>19553300.600000001</v>
      </c>
      <c r="G151" s="2">
        <f>F150+(F150*'Demanda Dinamica'!$D$7)</f>
        <v>20824265.139000002</v>
      </c>
    </row>
    <row r="152" spans="2:7">
      <c r="B152" s="236" t="s">
        <v>514</v>
      </c>
      <c r="C152" s="236"/>
      <c r="D152" s="236"/>
      <c r="E152" s="251">
        <f>E146-E147-E150</f>
        <v>53801933.552449852</v>
      </c>
      <c r="F152" s="251">
        <f t="shared" ref="F152:G152" si="48">F146-F147-F150</f>
        <v>58923624.207688577</v>
      </c>
      <c r="G152" s="251">
        <f t="shared" si="48"/>
        <v>62734724.034767419</v>
      </c>
    </row>
    <row r="153" spans="2:7">
      <c r="B153" s="202" t="s">
        <v>515</v>
      </c>
      <c r="C153" s="202"/>
      <c r="D153" s="202"/>
      <c r="E153" s="251">
        <f>SUM(E132:P132)</f>
        <v>0</v>
      </c>
      <c r="F153" s="251">
        <f>E153+(E153*'Demanda Dinamica'!$D$6)</f>
        <v>0</v>
      </c>
      <c r="G153" s="253">
        <f>F153+(F153*'Demanda Dinamica'!$D$7)</f>
        <v>0</v>
      </c>
    </row>
    <row r="154" spans="2:7">
      <c r="B154" s="202" t="s">
        <v>516</v>
      </c>
      <c r="C154" s="202"/>
      <c r="D154" s="202"/>
      <c r="E154" s="251">
        <f>SUM(E133:P133)</f>
        <v>2440455.3241569204</v>
      </c>
      <c r="F154" s="251">
        <f>E154+(E154*'Demanda Dinamica'!$D$6)</f>
        <v>2586882.6436063359</v>
      </c>
      <c r="G154" s="253">
        <f>F154+(F154*'Demanda Dinamica'!$D$7)</f>
        <v>2755030.0154407476</v>
      </c>
    </row>
    <row r="155" spans="2:7">
      <c r="B155" s="236" t="s">
        <v>517</v>
      </c>
      <c r="C155" s="236"/>
      <c r="D155" s="236"/>
      <c r="E155" s="251">
        <f>E152+E153-E154</f>
        <v>51361478.228292935</v>
      </c>
      <c r="F155" s="251">
        <f t="shared" ref="F155:G155" si="49">F152+F153-F154</f>
        <v>56336741.564082243</v>
      </c>
      <c r="G155" s="251">
        <f t="shared" si="49"/>
        <v>59979694.019326672</v>
      </c>
    </row>
    <row r="156" spans="2:7">
      <c r="B156" s="202" t="s">
        <v>518</v>
      </c>
      <c r="C156" s="202"/>
      <c r="D156" s="202"/>
      <c r="E156" s="251">
        <f>SUM(E135:P135)</f>
        <v>17988959.099871557</v>
      </c>
      <c r="F156" s="251">
        <f>E156+(E156*'Demanda Dinamica'!$D$6)</f>
        <v>19068296.64586385</v>
      </c>
      <c r="G156" s="253">
        <f>F156+(F156*'Demanda Dinamica'!$D$7)</f>
        <v>20307735.927845001</v>
      </c>
    </row>
    <row r="157" spans="2:7">
      <c r="B157" s="236" t="s">
        <v>519</v>
      </c>
      <c r="C157" s="236"/>
      <c r="D157" s="236"/>
      <c r="E157" s="251">
        <f>E155-E156</f>
        <v>33372519.128421377</v>
      </c>
      <c r="F157" s="251">
        <f t="shared" ref="F157:G157" si="50">F155-F156</f>
        <v>37268444.918218389</v>
      </c>
      <c r="G157" s="251">
        <f t="shared" si="50"/>
        <v>39671958.091481671</v>
      </c>
    </row>
    <row r="158" spans="2:7">
      <c r="B158" s="202" t="s">
        <v>520</v>
      </c>
      <c r="C158" s="202"/>
      <c r="D158" s="202"/>
      <c r="E158" s="251">
        <f>E157*0.1</f>
        <v>3337251.9128421377</v>
      </c>
      <c r="F158" s="251">
        <f t="shared" ref="F158:G158" si="51">F157*0.1</f>
        <v>3726844.491821839</v>
      </c>
      <c r="G158" s="251">
        <f t="shared" si="51"/>
        <v>3967195.8091481673</v>
      </c>
    </row>
    <row r="159" spans="2:7">
      <c r="B159" s="236" t="s">
        <v>521</v>
      </c>
      <c r="C159" s="236"/>
      <c r="D159" s="236"/>
      <c r="E159" s="251">
        <f>E157-E158</f>
        <v>30035267.215579242</v>
      </c>
      <c r="F159" s="251">
        <f t="shared" ref="F159:G159" si="52">F157-F158</f>
        <v>33541600.426396549</v>
      </c>
      <c r="G159" s="251">
        <f t="shared" si="52"/>
        <v>35704762.282333501</v>
      </c>
    </row>
  </sheetData>
  <mergeCells count="152">
    <mergeCell ref="B158:D158"/>
    <mergeCell ref="B159:D159"/>
    <mergeCell ref="B140:G140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30:D13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9:P119"/>
    <mergeCell ref="B120:D120"/>
    <mergeCell ref="B121:D121"/>
    <mergeCell ref="B122:D122"/>
    <mergeCell ref="B123:D123"/>
    <mergeCell ref="B124:D124"/>
    <mergeCell ref="B125:D125"/>
    <mergeCell ref="B126:D126"/>
    <mergeCell ref="B129:D129"/>
    <mergeCell ref="B131:D131"/>
    <mergeCell ref="B128:D128"/>
    <mergeCell ref="B127:D127"/>
    <mergeCell ref="B3:D3"/>
    <mergeCell ref="C4:D4"/>
    <mergeCell ref="C5:D5"/>
    <mergeCell ref="B2:G2"/>
    <mergeCell ref="C7:D7"/>
    <mergeCell ref="B16:D16"/>
    <mergeCell ref="B17:D17"/>
    <mergeCell ref="B18:D18"/>
    <mergeCell ref="B21:F21"/>
    <mergeCell ref="B20:V20"/>
    <mergeCell ref="C12:D12"/>
    <mergeCell ref="B4:B6"/>
    <mergeCell ref="B7:B12"/>
    <mergeCell ref="B13:D13"/>
    <mergeCell ref="B14:D14"/>
    <mergeCell ref="B15:D15"/>
    <mergeCell ref="C9:D9"/>
    <mergeCell ref="C8:D8"/>
    <mergeCell ref="C10:D10"/>
    <mergeCell ref="C11:D11"/>
    <mergeCell ref="C6:D6"/>
    <mergeCell ref="E50:F50"/>
    <mergeCell ref="C29:D31"/>
    <mergeCell ref="E29:F29"/>
    <mergeCell ref="E30:F30"/>
    <mergeCell ref="E31:F31"/>
    <mergeCell ref="E32:E44"/>
    <mergeCell ref="B23:B27"/>
    <mergeCell ref="B22:F22"/>
    <mergeCell ref="C27:F27"/>
    <mergeCell ref="B28:F28"/>
    <mergeCell ref="C24:F24"/>
    <mergeCell ref="C25:F25"/>
    <mergeCell ref="C26:F26"/>
    <mergeCell ref="C23:F23"/>
    <mergeCell ref="C71:F71"/>
    <mergeCell ref="C72:F72"/>
    <mergeCell ref="C73:F73"/>
    <mergeCell ref="B29:B73"/>
    <mergeCell ref="B74:F74"/>
    <mergeCell ref="B75:F75"/>
    <mergeCell ref="E65:F65"/>
    <mergeCell ref="E66:F66"/>
    <mergeCell ref="E67:F67"/>
    <mergeCell ref="E68:F68"/>
    <mergeCell ref="E69:F69"/>
    <mergeCell ref="E70:F70"/>
    <mergeCell ref="E51:F51"/>
    <mergeCell ref="E52:F52"/>
    <mergeCell ref="C32:D52"/>
    <mergeCell ref="E62:F62"/>
    <mergeCell ref="E63:F63"/>
    <mergeCell ref="E64:F64"/>
    <mergeCell ref="C62:D70"/>
    <mergeCell ref="E45:F45"/>
    <mergeCell ref="E46:F46"/>
    <mergeCell ref="E47:F47"/>
    <mergeCell ref="E48:F48"/>
    <mergeCell ref="E49:F49"/>
    <mergeCell ref="E90:F90"/>
    <mergeCell ref="C91:F91"/>
    <mergeCell ref="B79:B91"/>
    <mergeCell ref="C84:D90"/>
    <mergeCell ref="B77:J77"/>
    <mergeCell ref="B94:F94"/>
    <mergeCell ref="E84:F84"/>
    <mergeCell ref="E85:F85"/>
    <mergeCell ref="E86:F86"/>
    <mergeCell ref="E87:F87"/>
    <mergeCell ref="E88:F88"/>
    <mergeCell ref="E89:F89"/>
    <mergeCell ref="B78:F78"/>
    <mergeCell ref="E79:F79"/>
    <mergeCell ref="E80:F80"/>
    <mergeCell ref="E81:F81"/>
    <mergeCell ref="E82:F82"/>
    <mergeCell ref="C79:D83"/>
    <mergeCell ref="E83:F83"/>
    <mergeCell ref="B115:F115"/>
    <mergeCell ref="B116:F116"/>
    <mergeCell ref="B117:F117"/>
    <mergeCell ref="B93:J93"/>
    <mergeCell ref="E114:F114"/>
    <mergeCell ref="B110:D114"/>
    <mergeCell ref="E107:F107"/>
    <mergeCell ref="E108:F108"/>
    <mergeCell ref="C105:D108"/>
    <mergeCell ref="B95:B109"/>
    <mergeCell ref="C109:F109"/>
    <mergeCell ref="E101:F101"/>
    <mergeCell ref="E102:F102"/>
    <mergeCell ref="E103:F103"/>
    <mergeCell ref="E104:F104"/>
    <mergeCell ref="C95:D104"/>
    <mergeCell ref="E105:F105"/>
    <mergeCell ref="E95:F95"/>
    <mergeCell ref="E96:F96"/>
    <mergeCell ref="E97:F97"/>
    <mergeCell ref="E98:F98"/>
    <mergeCell ref="E99:F99"/>
    <mergeCell ref="E100:F100"/>
    <mergeCell ref="C53:D61"/>
    <mergeCell ref="E53:F53"/>
    <mergeCell ref="E54:F54"/>
    <mergeCell ref="E55:F55"/>
    <mergeCell ref="E56:F56"/>
    <mergeCell ref="E57:F57"/>
    <mergeCell ref="E58:F58"/>
    <mergeCell ref="E60:F60"/>
    <mergeCell ref="E61:F61"/>
    <mergeCell ref="E59:F59"/>
  </mergeCells>
  <pageMargins left="0.7" right="0.7" top="0.75" bottom="0.75" header="0.3" footer="0.3"/>
  <pageSetup paperSize="9" orientation="portrait" horizontalDpi="0" verticalDpi="0" r:id="rId1"/>
  <ignoredErrors>
    <ignoredError sqref="E124:P124 E144:E145 F145 E155:G155 E158:G158 E1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1"/>
  <sheetViews>
    <sheetView topLeftCell="A7" zoomScale="84" zoomScaleNormal="84" workbookViewId="0">
      <selection activeCell="B61" sqref="B61"/>
    </sheetView>
  </sheetViews>
  <sheetFormatPr baseColWidth="10" defaultRowHeight="15"/>
  <cols>
    <col min="2" max="2" width="22" customWidth="1"/>
    <col min="3" max="3" width="25.28515625" customWidth="1"/>
    <col min="4" max="4" width="15.140625" bestFit="1" customWidth="1"/>
    <col min="5" max="5" width="17.42578125" customWidth="1"/>
    <col min="6" max="6" width="18.42578125" customWidth="1"/>
    <col min="7" max="9" width="14.28515625" bestFit="1" customWidth="1"/>
    <col min="10" max="10" width="22.140625" customWidth="1"/>
    <col min="11" max="14" width="15.28515625" bestFit="1" customWidth="1"/>
  </cols>
  <sheetData>
    <row r="2" spans="2:12">
      <c r="B2" s="117" t="s">
        <v>449</v>
      </c>
      <c r="C2" s="118">
        <f>'Presupuesto de Inversion'!C209</f>
        <v>22967679.680968828</v>
      </c>
      <c r="J2" s="243" t="s">
        <v>1</v>
      </c>
      <c r="K2" s="243"/>
    </row>
    <row r="3" spans="2:12">
      <c r="J3" s="142" t="s">
        <v>2</v>
      </c>
      <c r="K3" s="143">
        <v>5.5E-2</v>
      </c>
    </row>
    <row r="4" spans="2:12">
      <c r="J4" s="142" t="s">
        <v>3</v>
      </c>
      <c r="K4" s="144">
        <v>0.06</v>
      </c>
    </row>
    <row r="5" spans="2:12">
      <c r="B5" s="241" t="s">
        <v>450</v>
      </c>
      <c r="C5" s="241"/>
      <c r="D5" s="241"/>
      <c r="E5" s="241"/>
      <c r="F5" s="241"/>
      <c r="G5" s="241"/>
      <c r="J5" s="142" t="s">
        <v>4</v>
      </c>
      <c r="K5" s="143">
        <v>6.5000000000000002E-2</v>
      </c>
    </row>
    <row r="6" spans="2:12">
      <c r="B6" s="184" t="s">
        <v>68</v>
      </c>
      <c r="C6" s="184"/>
      <c r="D6" s="61" t="s">
        <v>418</v>
      </c>
      <c r="E6" s="61" t="s">
        <v>2</v>
      </c>
      <c r="F6" s="61" t="s">
        <v>3</v>
      </c>
      <c r="G6" s="61" t="s">
        <v>43</v>
      </c>
    </row>
    <row r="7" spans="2:12">
      <c r="B7" s="202" t="s">
        <v>445</v>
      </c>
      <c r="C7" s="202"/>
      <c r="D7" s="19"/>
      <c r="E7" s="19">
        <f>'Analisis Financiero'!T74</f>
        <v>16711865.830682456</v>
      </c>
      <c r="F7" s="19">
        <f>'Analisis Financiero'!U74</f>
        <v>21250387.13664335</v>
      </c>
      <c r="G7" s="19">
        <f>'Analisis Financiero'!V74</f>
        <v>26641263.394212767</v>
      </c>
    </row>
    <row r="8" spans="2:12">
      <c r="B8" s="202" t="s">
        <v>501</v>
      </c>
      <c r="C8" s="202"/>
      <c r="D8" s="19">
        <f>C2*0.7</f>
        <v>16077375.776678178</v>
      </c>
      <c r="E8" s="19">
        <v>0</v>
      </c>
      <c r="F8" s="19">
        <v>0</v>
      </c>
      <c r="G8" s="19">
        <v>0</v>
      </c>
      <c r="J8" s="245" t="s">
        <v>502</v>
      </c>
      <c r="K8" s="245"/>
      <c r="L8" s="245"/>
    </row>
    <row r="9" spans="2:12">
      <c r="B9" s="202" t="s">
        <v>446</v>
      </c>
      <c r="C9" s="202"/>
      <c r="D9" s="19">
        <f>C2*0.3</f>
        <v>6890303.9042906482</v>
      </c>
      <c r="E9" s="19">
        <v>0</v>
      </c>
      <c r="F9" s="19">
        <v>0</v>
      </c>
      <c r="G9" s="19">
        <v>0</v>
      </c>
      <c r="J9" s="155" t="s">
        <v>68</v>
      </c>
      <c r="K9" s="155" t="s">
        <v>505</v>
      </c>
      <c r="L9" s="155" t="s">
        <v>506</v>
      </c>
    </row>
    <row r="10" spans="2:12">
      <c r="B10" s="202" t="s">
        <v>447</v>
      </c>
      <c r="C10" s="202"/>
      <c r="D10" s="19">
        <f>SUM(D8:D9)</f>
        <v>22967679.680968828</v>
      </c>
      <c r="E10" s="19">
        <f t="shared" ref="E10:G10" si="0">SUM(E8:E9)</f>
        <v>0</v>
      </c>
      <c r="F10" s="19">
        <f t="shared" si="0"/>
        <v>0</v>
      </c>
      <c r="G10" s="19">
        <f t="shared" si="0"/>
        <v>0</v>
      </c>
      <c r="J10" s="2" t="s">
        <v>503</v>
      </c>
      <c r="K10" s="19">
        <f>D8</f>
        <v>16077375.776678178</v>
      </c>
      <c r="L10" s="103">
        <f>(K10*100%)/$K$12</f>
        <v>0.7</v>
      </c>
    </row>
    <row r="11" spans="2:12">
      <c r="B11" s="244" t="s">
        <v>448</v>
      </c>
      <c r="C11" s="244"/>
      <c r="D11" s="119">
        <f>D7-D10</f>
        <v>-22967679.680968828</v>
      </c>
      <c r="E11" s="119">
        <f t="shared" ref="E11:G11" si="1">E7-E10</f>
        <v>16711865.830682456</v>
      </c>
      <c r="F11" s="119">
        <f t="shared" si="1"/>
        <v>21250387.13664335</v>
      </c>
      <c r="G11" s="119">
        <f t="shared" si="1"/>
        <v>26641263.394212767</v>
      </c>
      <c r="H11" s="67"/>
      <c r="J11" s="2" t="s">
        <v>504</v>
      </c>
      <c r="K11" s="19">
        <f>D9</f>
        <v>6890303.9042906482</v>
      </c>
      <c r="L11" s="103">
        <f t="shared" ref="L11:L12" si="2">(K11*100%)/$K$12</f>
        <v>0.3</v>
      </c>
    </row>
    <row r="12" spans="2:12">
      <c r="J12" s="134" t="s">
        <v>56</v>
      </c>
      <c r="K12" s="120">
        <f>SUM(K10:K11)</f>
        <v>22967679.680968828</v>
      </c>
      <c r="L12" s="148">
        <f t="shared" si="2"/>
        <v>1</v>
      </c>
    </row>
    <row r="13" spans="2:12">
      <c r="B13" s="242" t="s">
        <v>451</v>
      </c>
      <c r="C13" s="242"/>
      <c r="D13" s="242"/>
      <c r="E13" s="242"/>
    </row>
    <row r="14" spans="2:12">
      <c r="B14" s="61" t="s">
        <v>418</v>
      </c>
      <c r="C14" s="140" t="s">
        <v>2</v>
      </c>
      <c r="D14" s="156" t="s">
        <v>3</v>
      </c>
      <c r="E14" s="61" t="s">
        <v>43</v>
      </c>
    </row>
    <row r="15" spans="2:12">
      <c r="B15" s="19">
        <f>D11</f>
        <v>-22967679.680968828</v>
      </c>
      <c r="C15" s="141">
        <f>B15+E11</f>
        <v>-6255813.850286372</v>
      </c>
      <c r="D15" s="120">
        <f t="shared" ref="D15:E15" si="3">C15+F11</f>
        <v>14994573.286356978</v>
      </c>
      <c r="E15" s="19">
        <f t="shared" si="3"/>
        <v>41635836.680569746</v>
      </c>
    </row>
    <row r="18" spans="2:6">
      <c r="B18" s="134" t="s">
        <v>452</v>
      </c>
      <c r="C18" s="120">
        <f>-C2+(E11/(1+K3))+(F11/((1+K3)*(1+K4)))+(G11/((1+K3)*(1+K4)*(1+K5)))</f>
        <v>34244370.493273146</v>
      </c>
    </row>
    <row r="19" spans="2:6">
      <c r="B19" s="134" t="s">
        <v>453</v>
      </c>
      <c r="C19" s="135">
        <f>C27</f>
        <v>0.84741666120363623</v>
      </c>
    </row>
    <row r="21" spans="2:6">
      <c r="B21" s="20" t="s">
        <v>454</v>
      </c>
      <c r="C21" s="139">
        <f>(((E11+F11+G11)/C2)-1)/3</f>
        <v>0.60426705786725554</v>
      </c>
    </row>
    <row r="22" spans="2:6">
      <c r="B22" s="20" t="s">
        <v>455</v>
      </c>
      <c r="C22" s="20">
        <f>C21*2</f>
        <v>1.2085341157345111</v>
      </c>
    </row>
    <row r="24" spans="2:6">
      <c r="B24" s="136" t="s">
        <v>456</v>
      </c>
      <c r="C24" s="137">
        <f>-C2+(E11/(1+C21))+(F11/((1+C21)^2))+(G11/((1+C21)^3))</f>
        <v>2158740.7008989686</v>
      </c>
    </row>
    <row r="25" spans="2:6">
      <c r="B25" s="136" t="s">
        <v>457</v>
      </c>
      <c r="C25" s="137">
        <f>-C2+(E11/(1+C22))+((F11/(1+C22)^2))+((G11/(1+C22)^3))</f>
        <v>-8570916.0547066908</v>
      </c>
    </row>
    <row r="26" spans="2:6">
      <c r="B26" s="136" t="s">
        <v>458</v>
      </c>
      <c r="C26" s="137">
        <f>-C25</f>
        <v>8570916.0547066908</v>
      </c>
    </row>
    <row r="27" spans="2:6">
      <c r="B27" s="136" t="s">
        <v>453</v>
      </c>
      <c r="C27" s="138">
        <f>C21+((C22-D2)*(C24/(C24+C26)))</f>
        <v>0.84741666120363623</v>
      </c>
    </row>
    <row r="32" spans="2:6">
      <c r="B32" s="184" t="s">
        <v>475</v>
      </c>
      <c r="C32" s="184"/>
      <c r="D32" s="122" t="s">
        <v>2</v>
      </c>
      <c r="E32" s="122" t="s">
        <v>3</v>
      </c>
      <c r="F32" s="122" t="s">
        <v>43</v>
      </c>
    </row>
    <row r="33" spans="2:10">
      <c r="B33" s="249" t="s">
        <v>476</v>
      </c>
      <c r="C33" s="249"/>
      <c r="D33" s="249"/>
      <c r="E33" s="249"/>
      <c r="F33" s="249"/>
      <c r="J33" s="150"/>
    </row>
    <row r="34" spans="2:10">
      <c r="B34" s="202" t="s">
        <v>477</v>
      </c>
      <c r="C34" s="202"/>
      <c r="D34" s="19">
        <f>'Presupuesto de Inversion'!E172</f>
        <v>48303010</v>
      </c>
      <c r="E34" s="19">
        <f>'Presupuesto de Inversion'!F172</f>
        <v>51257190.600000001</v>
      </c>
      <c r="F34" s="19">
        <f>'Presupuesto de Inversion'!G172</f>
        <v>54562907.989000008</v>
      </c>
    </row>
    <row r="35" spans="2:10">
      <c r="B35" s="202" t="s">
        <v>478</v>
      </c>
      <c r="C35" s="202"/>
      <c r="D35" s="19">
        <f>'Presupuesto de Inversion'!O196</f>
        <v>94678732.104587138</v>
      </c>
      <c r="E35" s="19">
        <f>'Presupuesto de Inversion'!P196</f>
        <v>102253030.67295411</v>
      </c>
      <c r="F35" s="19">
        <f>'Presupuesto de Inversion'!Q196</f>
        <v>117590985.27389723</v>
      </c>
    </row>
    <row r="36" spans="2:10">
      <c r="B36" s="202" t="s">
        <v>479</v>
      </c>
      <c r="C36" s="202"/>
      <c r="D36" s="19">
        <f>'Presupuesto de Inversion'!E182</f>
        <v>10665559.171581741</v>
      </c>
      <c r="E36" s="19">
        <f>'Presupuesto de Inversion'!F182</f>
        <v>11494850.18608582</v>
      </c>
      <c r="F36" s="19">
        <f>'Presupuesto de Inversion'!G182</f>
        <v>13111166.208901508</v>
      </c>
    </row>
    <row r="37" spans="2:10">
      <c r="B37" s="134" t="s">
        <v>480</v>
      </c>
      <c r="C37" s="134"/>
      <c r="D37" s="148">
        <f>D34/(D35-D36)</f>
        <v>0.57494566999056518</v>
      </c>
      <c r="E37" s="148">
        <f t="shared" ref="E37:F37" si="4">E34/(E35-E36)</f>
        <v>0.56476661745567225</v>
      </c>
      <c r="F37" s="148">
        <f t="shared" si="4"/>
        <v>0.52223394409840085</v>
      </c>
    </row>
    <row r="38" spans="2:10">
      <c r="B38" s="227" t="s">
        <v>481</v>
      </c>
      <c r="C38" s="227"/>
      <c r="D38" s="227"/>
      <c r="E38" s="227"/>
      <c r="F38" s="227"/>
    </row>
    <row r="39" spans="2:10">
      <c r="B39" s="227" t="s">
        <v>477</v>
      </c>
      <c r="C39" s="227"/>
      <c r="D39" s="19">
        <f>D34</f>
        <v>48303010</v>
      </c>
      <c r="E39" s="19">
        <f t="shared" ref="E39:F39" si="5">E34</f>
        <v>51257190.600000001</v>
      </c>
      <c r="F39" s="19">
        <f t="shared" si="5"/>
        <v>54562907.989000008</v>
      </c>
    </row>
    <row r="40" spans="2:10">
      <c r="B40" s="227" t="s">
        <v>482</v>
      </c>
      <c r="C40" s="227"/>
      <c r="D40" s="19">
        <f>'Presupuesto de Inversion'!D188</f>
        <v>29349.100917431191</v>
      </c>
      <c r="E40" s="19">
        <f>'Presupuesto de Inversion'!E188</f>
        <v>11269.344338080784</v>
      </c>
      <c r="F40" s="19">
        <f>'Presupuesto de Inversion'!F188</f>
        <v>10449.100290885586</v>
      </c>
    </row>
    <row r="41" spans="2:10">
      <c r="B41" s="227" t="s">
        <v>483</v>
      </c>
      <c r="C41" s="227"/>
      <c r="D41" s="19">
        <f>'Presupuesto de Inversion'!D189</f>
        <v>4892.4583355879549</v>
      </c>
      <c r="E41" s="19">
        <f>'Presupuesto de Inversion'!E189</f>
        <v>2683.8314700177025</v>
      </c>
      <c r="F41" s="19">
        <f>'Presupuesto de Inversion'!F189</f>
        <v>2825.0735205562396</v>
      </c>
    </row>
    <row r="42" spans="2:10">
      <c r="B42" s="246" t="s">
        <v>484</v>
      </c>
      <c r="C42" s="246"/>
      <c r="D42" s="134">
        <f>D39/(D40-D41)</f>
        <v>1975.0466499379786</v>
      </c>
      <c r="E42" s="134">
        <f t="shared" ref="E42:F42" si="6">E39/(E40-E41)</f>
        <v>5970.1955360954216</v>
      </c>
      <c r="F42" s="134">
        <f t="shared" si="6"/>
        <v>7156.7046696824455</v>
      </c>
    </row>
    <row r="43" spans="2:10">
      <c r="B43" s="227" t="s">
        <v>485</v>
      </c>
      <c r="C43" s="227"/>
      <c r="D43" s="227"/>
      <c r="E43" s="227"/>
      <c r="F43" s="227"/>
    </row>
    <row r="44" spans="2:10">
      <c r="B44" s="227" t="s">
        <v>477</v>
      </c>
      <c r="C44" s="227"/>
      <c r="D44" s="19">
        <f>D34</f>
        <v>48303010</v>
      </c>
      <c r="E44" s="19">
        <f t="shared" ref="E44:F44" si="7">E34</f>
        <v>51257190.600000001</v>
      </c>
      <c r="F44" s="19">
        <f t="shared" si="7"/>
        <v>54562907.989000008</v>
      </c>
    </row>
    <row r="45" spans="2:10">
      <c r="B45" s="227" t="s">
        <v>486</v>
      </c>
      <c r="C45" s="227"/>
      <c r="D45" s="19">
        <f>D36</f>
        <v>10665559.171581741</v>
      </c>
      <c r="E45" s="19">
        <f t="shared" ref="E45:F45" si="8">E36</f>
        <v>11494850.18608582</v>
      </c>
      <c r="F45" s="19">
        <f t="shared" si="8"/>
        <v>13111166.208901508</v>
      </c>
    </row>
    <row r="46" spans="2:10">
      <c r="B46" s="227" t="s">
        <v>478</v>
      </c>
      <c r="C46" s="227"/>
      <c r="D46" s="19">
        <f>D35</f>
        <v>94678732.104587138</v>
      </c>
      <c r="E46" s="19">
        <f t="shared" ref="E46:F46" si="9">E35</f>
        <v>102253030.67295411</v>
      </c>
      <c r="F46" s="19">
        <f t="shared" si="9"/>
        <v>117590985.27389723</v>
      </c>
    </row>
    <row r="47" spans="2:10">
      <c r="B47" s="246" t="s">
        <v>487</v>
      </c>
      <c r="C47" s="246"/>
      <c r="D47" s="120">
        <f>D44/(1-(D45/D46))</f>
        <v>54435127.063729085</v>
      </c>
      <c r="E47" s="120">
        <f t="shared" ref="E47:F47" si="10">E44/(1-(E45/E46))</f>
        <v>57749098.257755399</v>
      </c>
      <c r="F47" s="120">
        <f t="shared" si="10"/>
        <v>61410004.030004323</v>
      </c>
    </row>
    <row r="48" spans="2:10">
      <c r="B48" s="227" t="s">
        <v>500</v>
      </c>
      <c r="C48" s="227"/>
      <c r="D48" s="227"/>
      <c r="E48" s="227"/>
      <c r="F48" s="227"/>
    </row>
    <row r="49" spans="2:15">
      <c r="B49" s="227" t="s">
        <v>488</v>
      </c>
      <c r="C49" s="227"/>
      <c r="D49" s="19">
        <f>D47</f>
        <v>54435127.063729085</v>
      </c>
      <c r="E49" s="19">
        <f t="shared" ref="E49:F49" si="11">E47</f>
        <v>57749098.257755399</v>
      </c>
      <c r="F49" s="19">
        <f t="shared" si="11"/>
        <v>61410004.030004323</v>
      </c>
    </row>
    <row r="50" spans="2:15">
      <c r="B50" s="247" t="s">
        <v>478</v>
      </c>
      <c r="C50" s="248"/>
      <c r="D50" s="19">
        <f>D35</f>
        <v>94678732.104587138</v>
      </c>
      <c r="E50" s="19">
        <f t="shared" ref="E50:F50" si="12">E35</f>
        <v>102253030.67295411</v>
      </c>
      <c r="F50" s="19">
        <f t="shared" si="12"/>
        <v>117590985.27389723</v>
      </c>
    </row>
    <row r="51" spans="2:15">
      <c r="B51" s="227" t="s">
        <v>489</v>
      </c>
      <c r="C51" s="227"/>
      <c r="D51" s="2">
        <v>243</v>
      </c>
      <c r="E51" s="2">
        <v>244</v>
      </c>
      <c r="F51" s="2">
        <v>245</v>
      </c>
      <c r="H51">
        <f>D34/12</f>
        <v>4025250.8333333335</v>
      </c>
    </row>
    <row r="52" spans="2:15">
      <c r="B52" s="246" t="s">
        <v>490</v>
      </c>
      <c r="C52" s="246"/>
      <c r="D52" s="149">
        <f>D49/(D50/D51)</f>
        <v>139.71179780770734</v>
      </c>
      <c r="E52" s="149">
        <f t="shared" ref="E52:F52" si="13">E49/(E50/E51)</f>
        <v>137.80305465918403</v>
      </c>
      <c r="F52" s="149">
        <f t="shared" si="13"/>
        <v>127.94731630410821</v>
      </c>
    </row>
    <row r="56" spans="2:15">
      <c r="B56" t="s">
        <v>491</v>
      </c>
      <c r="C56" t="s">
        <v>265</v>
      </c>
      <c r="D56" t="s">
        <v>16</v>
      </c>
      <c r="E56" t="s">
        <v>33</v>
      </c>
      <c r="F56" t="s">
        <v>18</v>
      </c>
      <c r="G56" t="s">
        <v>268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270</v>
      </c>
    </row>
    <row r="57" spans="2:15">
      <c r="B57" t="s">
        <v>295</v>
      </c>
      <c r="C57" s="151">
        <f>$H$51</f>
        <v>4025250.8333333335</v>
      </c>
      <c r="D57" s="151">
        <f t="shared" ref="D57:N57" si="14">$H$51</f>
        <v>4025250.8333333335</v>
      </c>
      <c r="E57" s="151">
        <f t="shared" si="14"/>
        <v>4025250.8333333335</v>
      </c>
      <c r="F57" s="151">
        <f t="shared" si="14"/>
        <v>4025250.8333333335</v>
      </c>
      <c r="G57" s="151">
        <f t="shared" si="14"/>
        <v>4025250.8333333335</v>
      </c>
      <c r="H57" s="151">
        <f t="shared" si="14"/>
        <v>4025250.8333333335</v>
      </c>
      <c r="I57" s="151">
        <f t="shared" si="14"/>
        <v>4025250.8333333335</v>
      </c>
      <c r="J57" s="151">
        <f t="shared" si="14"/>
        <v>4025250.8333333335</v>
      </c>
      <c r="K57" s="151">
        <f t="shared" si="14"/>
        <v>4025250.8333333335</v>
      </c>
      <c r="L57" s="151">
        <f t="shared" si="14"/>
        <v>4025250.8333333335</v>
      </c>
      <c r="M57" s="151">
        <f t="shared" si="14"/>
        <v>4025250.8333333335</v>
      </c>
      <c r="N57" s="151">
        <f t="shared" si="14"/>
        <v>4025250.8333333335</v>
      </c>
    </row>
    <row r="58" spans="2:15">
      <c r="B58" t="s">
        <v>492</v>
      </c>
      <c r="C58" s="151">
        <f>'Analisis Financiero'!H61+'Demanda Dinamica'!J43</f>
        <v>3458213.1425962979</v>
      </c>
      <c r="D58" s="151">
        <f>'Analisis Financiero'!I61+'Demanda Dinamica'!K43</f>
        <v>3395090.011999968</v>
      </c>
      <c r="E58" s="151">
        <f>'Analisis Financiero'!J61+'Demanda Dinamica'!L43</f>
        <v>3484612.9427606734</v>
      </c>
      <c r="F58" s="151">
        <f>'Analisis Financiero'!K61+'Demanda Dinamica'!M43</f>
        <v>4702247.1382118389</v>
      </c>
      <c r="G58" s="151">
        <f>'Analisis Financiero'!L61+'Demanda Dinamica'!N43</f>
        <v>4200446.8574138563</v>
      </c>
      <c r="H58" s="151">
        <f>'Analisis Financiero'!M61+'Demanda Dinamica'!O43</f>
        <v>5588035.3960355837</v>
      </c>
      <c r="I58" s="151">
        <f>'Analisis Financiero'!N61+'Demanda Dinamica'!P43</f>
        <v>4916065.6919252118</v>
      </c>
      <c r="J58" s="151">
        <f>'Analisis Financiero'!O61+'Demanda Dinamica'!Q43</f>
        <v>6129689.704987336</v>
      </c>
      <c r="K58" s="151">
        <f>'Analisis Financiero'!P61+'Demanda Dinamica'!R43</f>
        <v>5345066.0367776137</v>
      </c>
      <c r="L58" s="151">
        <f>'Analisis Financiero'!Q61+'Demanda Dinamica'!S43</f>
        <v>6479905.4896231405</v>
      </c>
      <c r="M58" s="151">
        <f>'Analisis Financiero'!R61+'Demanda Dinamica'!T43</f>
        <v>4816480.7033697404</v>
      </c>
      <c r="N58" s="151">
        <f>'Analisis Financiero'!S61+'Demanda Dinamica'!U43</f>
        <v>4727005.418914373</v>
      </c>
      <c r="O58" s="151"/>
    </row>
    <row r="59" spans="2:15">
      <c r="C59" s="151">
        <f>C58</f>
        <v>3458213.1425962979</v>
      </c>
      <c r="D59" s="151">
        <f>C59+D58</f>
        <v>6853303.1545962654</v>
      </c>
      <c r="E59" s="151">
        <f t="shared" ref="E59:N59" si="15">D59+E58</f>
        <v>10337916.097356938</v>
      </c>
      <c r="F59" s="151">
        <f t="shared" si="15"/>
        <v>15040163.235568777</v>
      </c>
      <c r="G59" s="151">
        <f t="shared" si="15"/>
        <v>19240610.092982635</v>
      </c>
      <c r="H59" s="151">
        <f t="shared" si="15"/>
        <v>24828645.489018217</v>
      </c>
      <c r="I59" s="151">
        <f t="shared" si="15"/>
        <v>29744711.180943429</v>
      </c>
      <c r="J59" s="151">
        <f t="shared" si="15"/>
        <v>35874400.885930762</v>
      </c>
      <c r="K59" s="151">
        <f t="shared" si="15"/>
        <v>41219466.922708377</v>
      </c>
      <c r="L59" s="151">
        <f t="shared" si="15"/>
        <v>47699372.412331522</v>
      </c>
      <c r="M59" s="151">
        <f t="shared" si="15"/>
        <v>52515853.115701258</v>
      </c>
      <c r="N59" s="151">
        <f t="shared" si="15"/>
        <v>57242858.534615628</v>
      </c>
    </row>
    <row r="60" spans="2:15">
      <c r="B60" t="s">
        <v>337</v>
      </c>
      <c r="C60" s="151">
        <f>'Presupuesto de Inversion'!C196:N196</f>
        <v>2804306.59266055</v>
      </c>
      <c r="D60" s="151">
        <f>'Presupuesto de Inversion'!D196:O196</f>
        <v>5541843.9807339441</v>
      </c>
      <c r="E60" s="151">
        <f>'Presupuesto de Inversion'!E196:P196</f>
        <v>7544920.1183486227</v>
      </c>
      <c r="F60" s="151">
        <f>'Presupuesto de Inversion'!F196:Q196</f>
        <v>13787840.747247703</v>
      </c>
      <c r="G60" s="151">
        <f>'Presupuesto de Inversion'!G196:R196</f>
        <v>4373382.9004587149</v>
      </c>
      <c r="H60" s="151">
        <f>'Presupuesto de Inversion'!H196:S196</f>
        <v>3672306.2522935774</v>
      </c>
      <c r="I60" s="151">
        <f>'Presupuesto de Inversion'!I196:T196</f>
        <v>5775536.1967889899</v>
      </c>
      <c r="J60" s="151">
        <f>'Presupuesto de Inversion'!J196:U196</f>
        <v>15290147.850458715</v>
      </c>
      <c r="K60" s="151">
        <f>'Presupuesto de Inversion'!K196:V196</f>
        <v>15156609.441284399</v>
      </c>
      <c r="L60" s="151">
        <f>'Presupuesto de Inversion'!L196:W196</f>
        <v>12185379.837155961</v>
      </c>
      <c r="M60" s="151">
        <f>'Presupuesto de Inversion'!M196:X196</f>
        <v>5107844.1509174304</v>
      </c>
      <c r="N60" s="151">
        <f>'Presupuesto de Inversion'!N196:Y196</f>
        <v>3438614.0362385316</v>
      </c>
    </row>
    <row r="61" spans="2:15">
      <c r="B61" t="s">
        <v>493</v>
      </c>
      <c r="C61" s="151">
        <f>C60</f>
        <v>2804306.59266055</v>
      </c>
      <c r="D61" s="151">
        <f>C61+D60</f>
        <v>8346150.5733944941</v>
      </c>
      <c r="E61" s="151">
        <f>D61+E60</f>
        <v>15891070.691743117</v>
      </c>
      <c r="F61" s="151">
        <f t="shared" ref="F61:M61" si="16">E61+F60</f>
        <v>29678911.43899082</v>
      </c>
      <c r="G61" s="151">
        <f t="shared" si="16"/>
        <v>34052294.339449532</v>
      </c>
      <c r="H61" s="151">
        <f t="shared" si="16"/>
        <v>37724600.591743112</v>
      </c>
      <c r="I61" s="151">
        <f t="shared" si="16"/>
        <v>43500136.788532101</v>
      </c>
      <c r="J61" s="151">
        <f t="shared" si="16"/>
        <v>58790284.638990819</v>
      </c>
      <c r="K61" s="151">
        <f t="shared" si="16"/>
        <v>73946894.080275223</v>
      </c>
      <c r="L61" s="151">
        <f t="shared" si="16"/>
        <v>86132273.917431176</v>
      </c>
      <c r="M61" s="151">
        <f t="shared" si="16"/>
        <v>91240118.068348601</v>
      </c>
      <c r="N61" s="151">
        <f>M61+N60</f>
        <v>94678732.104587138</v>
      </c>
    </row>
  </sheetData>
  <mergeCells count="30">
    <mergeCell ref="B32:C32"/>
    <mergeCell ref="B33:F33"/>
    <mergeCell ref="B34:C34"/>
    <mergeCell ref="B35:C35"/>
    <mergeCell ref="B36:C36"/>
    <mergeCell ref="B38:F38"/>
    <mergeCell ref="B39:C39"/>
    <mergeCell ref="B40:C40"/>
    <mergeCell ref="B41:C41"/>
    <mergeCell ref="B42:C42"/>
    <mergeCell ref="B52:C52"/>
    <mergeCell ref="B43:F43"/>
    <mergeCell ref="B44:C44"/>
    <mergeCell ref="B45:C45"/>
    <mergeCell ref="B46:C46"/>
    <mergeCell ref="B47:C47"/>
    <mergeCell ref="B48:F48"/>
    <mergeCell ref="B49:C49"/>
    <mergeCell ref="B50:C50"/>
    <mergeCell ref="B51:C51"/>
    <mergeCell ref="B5:G5"/>
    <mergeCell ref="B13:E13"/>
    <mergeCell ref="J2:K2"/>
    <mergeCell ref="B6:C6"/>
    <mergeCell ref="B7:C7"/>
    <mergeCell ref="B8:C8"/>
    <mergeCell ref="B9:C9"/>
    <mergeCell ref="B10:C10"/>
    <mergeCell ref="B11:C11"/>
    <mergeCell ref="J8:L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D27" sqref="D27"/>
    </sheetView>
  </sheetViews>
  <sheetFormatPr baseColWidth="10" defaultRowHeight="15"/>
  <cols>
    <col min="2" max="2" width="17.42578125" customWidth="1"/>
    <col min="3" max="3" width="23.85546875" customWidth="1"/>
    <col min="4" max="4" width="20.42578125" customWidth="1"/>
    <col min="5" max="5" width="27.5703125" customWidth="1"/>
    <col min="6" max="6" width="15.28515625" customWidth="1"/>
    <col min="7" max="7" width="18.5703125" customWidth="1"/>
    <col min="8" max="8" width="31.140625" customWidth="1"/>
  </cols>
  <sheetData>
    <row r="2" spans="2:8">
      <c r="B2" s="2" t="s">
        <v>459</v>
      </c>
      <c r="C2" s="123">
        <f>'Indicadores Financieros'!D9</f>
        <v>6890303.9042906482</v>
      </c>
      <c r="D2" s="124"/>
      <c r="F2" s="2" t="s">
        <v>460</v>
      </c>
      <c r="G2" s="125">
        <v>12</v>
      </c>
      <c r="H2" s="124" t="s">
        <v>461</v>
      </c>
    </row>
    <row r="3" spans="2:8">
      <c r="B3" s="2" t="s">
        <v>462</v>
      </c>
      <c r="C3" s="125">
        <v>1</v>
      </c>
      <c r="D3" s="124" t="s">
        <v>461</v>
      </c>
      <c r="F3" s="2" t="s">
        <v>463</v>
      </c>
      <c r="G3" s="125">
        <v>12</v>
      </c>
      <c r="H3" s="124" t="s">
        <v>464</v>
      </c>
    </row>
    <row r="4" spans="2:8">
      <c r="B4" s="2" t="s">
        <v>465</v>
      </c>
      <c r="C4" s="126">
        <v>0.28000000000000003</v>
      </c>
      <c r="D4" s="124"/>
      <c r="F4" s="2" t="s">
        <v>466</v>
      </c>
      <c r="G4" s="125">
        <f>((1+C4)^(1/12))-1</f>
        <v>2.0784728489500193E-2</v>
      </c>
      <c r="H4" s="124"/>
    </row>
    <row r="5" spans="2:8">
      <c r="B5" s="107"/>
      <c r="C5" s="127"/>
      <c r="D5" s="107"/>
      <c r="F5" s="2" t="s">
        <v>467</v>
      </c>
      <c r="G5" s="128">
        <f>PMT(G4,G2,C2)</f>
        <v>-654688.43822091108</v>
      </c>
      <c r="H5" s="124"/>
    </row>
    <row r="6" spans="2:8">
      <c r="B6" s="107"/>
      <c r="C6" s="127"/>
      <c r="D6" s="107"/>
      <c r="F6" s="2"/>
      <c r="G6" s="128">
        <f>-G5</f>
        <v>654688.43822091108</v>
      </c>
      <c r="H6" s="124"/>
    </row>
    <row r="8" spans="2:8">
      <c r="B8" s="184" t="s">
        <v>468</v>
      </c>
      <c r="C8" s="174" t="s">
        <v>469</v>
      </c>
      <c r="D8" s="174" t="s">
        <v>470</v>
      </c>
      <c r="E8" s="174" t="s">
        <v>471</v>
      </c>
      <c r="F8" s="174" t="s">
        <v>472</v>
      </c>
      <c r="G8" s="174" t="s">
        <v>473</v>
      </c>
      <c r="H8" s="174" t="s">
        <v>474</v>
      </c>
    </row>
    <row r="9" spans="2:8">
      <c r="B9" s="184"/>
      <c r="C9" s="174"/>
      <c r="D9" s="174"/>
      <c r="E9" s="174"/>
      <c r="F9" s="174"/>
      <c r="G9" s="174"/>
      <c r="H9" s="174"/>
    </row>
    <row r="10" spans="2:8">
      <c r="B10" s="129">
        <v>1</v>
      </c>
      <c r="C10" s="130">
        <f>C2</f>
        <v>6890303.9042906482</v>
      </c>
      <c r="D10" s="130">
        <f>C10*$G$4</f>
        <v>143213.09586082425</v>
      </c>
      <c r="E10" s="130">
        <v>0</v>
      </c>
      <c r="F10" s="130"/>
      <c r="G10" s="130">
        <v>0</v>
      </c>
      <c r="H10" s="130">
        <f>C10</f>
        <v>6890303.9042906482</v>
      </c>
    </row>
    <row r="11" spans="2:8">
      <c r="B11" s="129">
        <v>2</v>
      </c>
      <c r="C11" s="130">
        <f>C2</f>
        <v>6890303.9042906482</v>
      </c>
      <c r="D11" s="130">
        <f t="shared" ref="D11:D20" si="0">C11*$G$4</f>
        <v>143213.09586082425</v>
      </c>
      <c r="E11" s="130">
        <f>IF((C11+D11)&gt;$G$6,$G$6,C11+D11)</f>
        <v>654688.43822091108</v>
      </c>
      <c r="F11" s="130"/>
      <c r="G11" s="130">
        <f>(E11+F11)-D11</f>
        <v>511475.34236008686</v>
      </c>
      <c r="H11" s="130">
        <f>C11-G11</f>
        <v>6378828.5619305614</v>
      </c>
    </row>
    <row r="12" spans="2:8">
      <c r="B12" s="129">
        <v>3</v>
      </c>
      <c r="C12" s="130">
        <f>H11</f>
        <v>6378828.5619305614</v>
      </c>
      <c r="D12" s="130">
        <f t="shared" si="0"/>
        <v>132582.21974079567</v>
      </c>
      <c r="E12" s="130">
        <f t="shared" ref="E12:E21" si="1">IF((C12+D12)&gt;$G$6,$G$6,C12+D12)</f>
        <v>654688.43822091108</v>
      </c>
      <c r="F12" s="130"/>
      <c r="G12" s="130">
        <f t="shared" ref="G12:G21" si="2">(E12+F12)-D12</f>
        <v>522106.21848011541</v>
      </c>
      <c r="H12" s="130">
        <f t="shared" ref="H12:H21" si="3">C12-G12</f>
        <v>5856722.3434504457</v>
      </c>
    </row>
    <row r="13" spans="2:8">
      <c r="B13" s="129">
        <v>4</v>
      </c>
      <c r="C13" s="130">
        <f t="shared" ref="C13:C21" si="4">H12</f>
        <v>5856722.3434504457</v>
      </c>
      <c r="D13" s="130">
        <f t="shared" si="0"/>
        <v>121730.38374700681</v>
      </c>
      <c r="E13" s="130">
        <f t="shared" si="1"/>
        <v>654688.43822091108</v>
      </c>
      <c r="F13" s="130"/>
      <c r="G13" s="130">
        <f t="shared" si="2"/>
        <v>532958.05447390431</v>
      </c>
      <c r="H13" s="130">
        <f t="shared" si="3"/>
        <v>5323764.2889765417</v>
      </c>
    </row>
    <row r="14" spans="2:8">
      <c r="B14" s="129">
        <v>5</v>
      </c>
      <c r="C14" s="130">
        <f t="shared" si="4"/>
        <v>5323764.2889765417</v>
      </c>
      <c r="D14" s="130">
        <f t="shared" si="0"/>
        <v>110652.99528847446</v>
      </c>
      <c r="E14" s="130">
        <f t="shared" si="1"/>
        <v>654688.43822091108</v>
      </c>
      <c r="F14" s="130"/>
      <c r="G14" s="130">
        <f t="shared" si="2"/>
        <v>544035.44293243659</v>
      </c>
      <c r="H14" s="130">
        <f t="shared" si="3"/>
        <v>4779728.8460441055</v>
      </c>
    </row>
    <row r="15" spans="2:8">
      <c r="B15" s="129">
        <v>6</v>
      </c>
      <c r="C15" s="130">
        <f t="shared" si="4"/>
        <v>4779728.8460441055</v>
      </c>
      <c r="D15" s="130">
        <f t="shared" si="0"/>
        <v>99345.366318458793</v>
      </c>
      <c r="E15" s="130">
        <f t="shared" si="1"/>
        <v>654688.43822091108</v>
      </c>
      <c r="F15" s="130">
        <f>1500000/2</f>
        <v>750000</v>
      </c>
      <c r="G15" s="130">
        <f t="shared" si="2"/>
        <v>1305343.0719024525</v>
      </c>
      <c r="H15" s="130">
        <f t="shared" si="3"/>
        <v>3474385.774141653</v>
      </c>
    </row>
    <row r="16" spans="2:8">
      <c r="B16" s="129">
        <v>7</v>
      </c>
      <c r="C16" s="130">
        <f t="shared" si="4"/>
        <v>3474385.774141653</v>
      </c>
      <c r="D16" s="130">
        <f t="shared" si="0"/>
        <v>72214.164983316194</v>
      </c>
      <c r="E16" s="130">
        <f t="shared" si="1"/>
        <v>654688.43822091108</v>
      </c>
      <c r="F16" s="130"/>
      <c r="G16" s="130">
        <f t="shared" si="2"/>
        <v>582474.27323759487</v>
      </c>
      <c r="H16" s="130">
        <f t="shared" si="3"/>
        <v>2891911.5009040581</v>
      </c>
    </row>
    <row r="17" spans="2:8">
      <c r="B17" s="129">
        <v>8</v>
      </c>
      <c r="C17" s="130">
        <f t="shared" si="4"/>
        <v>2891911.5009040581</v>
      </c>
      <c r="D17" s="130">
        <f t="shared" si="0"/>
        <v>60107.595361953841</v>
      </c>
      <c r="E17" s="130">
        <f t="shared" si="1"/>
        <v>654688.43822091108</v>
      </c>
      <c r="F17" s="130">
        <v>750000</v>
      </c>
      <c r="G17" s="130">
        <f t="shared" si="2"/>
        <v>1344580.8428589574</v>
      </c>
      <c r="H17" s="130">
        <f t="shared" si="3"/>
        <v>1547330.6580451007</v>
      </c>
    </row>
    <row r="18" spans="2:8">
      <c r="B18" s="129">
        <v>9</v>
      </c>
      <c r="C18" s="130">
        <f t="shared" si="4"/>
        <v>1547330.6580451007</v>
      </c>
      <c r="D18" s="130">
        <f t="shared" si="0"/>
        <v>32160.847610947087</v>
      </c>
      <c r="E18" s="130">
        <f t="shared" si="1"/>
        <v>654688.43822091108</v>
      </c>
      <c r="F18" s="130"/>
      <c r="G18" s="130">
        <f t="shared" si="2"/>
        <v>622527.59060996398</v>
      </c>
      <c r="H18" s="130">
        <f t="shared" si="3"/>
        <v>924803.06743513676</v>
      </c>
    </row>
    <row r="19" spans="2:8">
      <c r="B19" s="129">
        <v>10</v>
      </c>
      <c r="C19" s="130">
        <f t="shared" si="4"/>
        <v>924803.06743513676</v>
      </c>
      <c r="D19" s="130">
        <f t="shared" si="0"/>
        <v>19221.780662896253</v>
      </c>
      <c r="E19" s="130">
        <f t="shared" si="1"/>
        <v>654688.43822091108</v>
      </c>
      <c r="F19" s="130"/>
      <c r="G19" s="130">
        <f t="shared" si="2"/>
        <v>635466.65755801485</v>
      </c>
      <c r="H19" s="130">
        <f t="shared" si="3"/>
        <v>289336.40987712191</v>
      </c>
    </row>
    <row r="20" spans="2:8">
      <c r="B20" s="129">
        <v>11</v>
      </c>
      <c r="C20" s="130">
        <f t="shared" si="4"/>
        <v>289336.40987712191</v>
      </c>
      <c r="D20" s="130">
        <f t="shared" si="0"/>
        <v>6013.778721422721</v>
      </c>
      <c r="E20" s="130">
        <f t="shared" si="1"/>
        <v>295350.18859854463</v>
      </c>
      <c r="F20" s="130"/>
      <c r="G20" s="130">
        <f t="shared" si="2"/>
        <v>289336.40987712191</v>
      </c>
      <c r="H20" s="130">
        <f t="shared" si="3"/>
        <v>0</v>
      </c>
    </row>
    <row r="21" spans="2:8">
      <c r="B21" s="129">
        <v>12</v>
      </c>
      <c r="C21" s="130">
        <f t="shared" si="4"/>
        <v>0</v>
      </c>
      <c r="D21" s="130">
        <f>C21*$G$4</f>
        <v>0</v>
      </c>
      <c r="E21" s="130">
        <f t="shared" si="1"/>
        <v>0</v>
      </c>
      <c r="F21" s="130"/>
      <c r="G21" s="130">
        <f t="shared" si="2"/>
        <v>0</v>
      </c>
      <c r="H21" s="130">
        <f t="shared" si="3"/>
        <v>0</v>
      </c>
    </row>
    <row r="22" spans="2:8">
      <c r="B22" s="121" t="s">
        <v>56</v>
      </c>
      <c r="C22" s="131"/>
      <c r="D22" s="132">
        <f>SUM(D10:D21)</f>
        <v>940455.32415692043</v>
      </c>
      <c r="E22" s="132">
        <f>SUM(E10:E21)</f>
        <v>6187546.1325867437</v>
      </c>
      <c r="F22" s="132">
        <f>SUM(F10:F21)</f>
        <v>1500000</v>
      </c>
      <c r="G22" s="131"/>
      <c r="H22" s="131"/>
    </row>
    <row r="24" spans="2:8">
      <c r="D24" s="133" t="s">
        <v>127</v>
      </c>
      <c r="E24" s="119">
        <f>$C$2+D22</f>
        <v>7830759.2284475686</v>
      </c>
    </row>
  </sheetData>
  <mergeCells count="7">
    <mergeCell ref="H8:H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Demanda Dinamica</vt:lpstr>
      <vt:lpstr>Presupuesto de Inversion</vt:lpstr>
      <vt:lpstr>Analisis Financiero</vt:lpstr>
      <vt:lpstr>Indicadores Financieros</vt:lpstr>
      <vt:lpstr>Analisis 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Abeja</dc:creator>
  <cp:lastModifiedBy>Abeja</cp:lastModifiedBy>
  <dcterms:created xsi:type="dcterms:W3CDTF">2016-11-21T20:30:02Z</dcterms:created>
  <dcterms:modified xsi:type="dcterms:W3CDTF">2017-02-25T17:27:32Z</dcterms:modified>
</cp:coreProperties>
</file>