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/>
  <mc:AlternateContent xmlns:mc="http://schemas.openxmlformats.org/markup-compatibility/2006">
    <mc:Choice Requires="x15">
      <x15ac:absPath xmlns:x15ac="http://schemas.microsoft.com/office/spreadsheetml/2010/11/ac" url="C:\Users\Abeja\Documents\Respositorios\Inclusoft\DocumentosProyecto\"/>
    </mc:Choice>
  </mc:AlternateContent>
  <bookViews>
    <workbookView xWindow="0" yWindow="0" windowWidth="15360" windowHeight="7530" tabRatio="493" firstSheet="1" activeTab="3"/>
  </bookViews>
  <sheets>
    <sheet name="Demanda Dinamica" sheetId="1" r:id="rId1"/>
    <sheet name="Presupuesto de Inversion" sheetId="2" r:id="rId2"/>
    <sheet name="Analisis Financiero" sheetId="3" r:id="rId3"/>
    <sheet name="Indicadores Financieros" sheetId="4" r:id="rId4"/>
    <sheet name="Analisis Prestamo " sheetId="5" r:id="rId5"/>
  </sheets>
  <externalReferences>
    <externalReference r:id="rId6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59" i="3" l="1"/>
  <c r="U59" i="3"/>
  <c r="T59" i="3"/>
  <c r="S59" i="3"/>
  <c r="R59" i="3"/>
  <c r="Q59" i="3"/>
  <c r="P59" i="3"/>
  <c r="O59" i="3"/>
  <c r="N59" i="3"/>
  <c r="M59" i="3"/>
  <c r="L59" i="3"/>
  <c r="K59" i="3"/>
  <c r="J59" i="3"/>
  <c r="I59" i="3"/>
  <c r="H59" i="3"/>
  <c r="V58" i="3"/>
  <c r="U58" i="3"/>
  <c r="T58" i="3"/>
  <c r="S58" i="3"/>
  <c r="R58" i="3"/>
  <c r="Q58" i="3"/>
  <c r="P58" i="3"/>
  <c r="O58" i="3"/>
  <c r="N58" i="3"/>
  <c r="M58" i="3"/>
  <c r="L58" i="3"/>
  <c r="K58" i="3"/>
  <c r="J58" i="3"/>
  <c r="I58" i="3"/>
  <c r="H58" i="3"/>
  <c r="V57" i="3"/>
  <c r="U57" i="3"/>
  <c r="T57" i="3"/>
  <c r="S57" i="3"/>
  <c r="R57" i="3"/>
  <c r="Q57" i="3"/>
  <c r="P57" i="3"/>
  <c r="O57" i="3"/>
  <c r="N57" i="3"/>
  <c r="M57" i="3"/>
  <c r="L57" i="3"/>
  <c r="K57" i="3"/>
  <c r="J57" i="3"/>
  <c r="I57" i="3"/>
  <c r="H57" i="3"/>
  <c r="V56" i="3"/>
  <c r="U56" i="3"/>
  <c r="T56" i="3"/>
  <c r="S56" i="3"/>
  <c r="R56" i="3"/>
  <c r="Q56" i="3"/>
  <c r="P56" i="3"/>
  <c r="O56" i="3"/>
  <c r="N56" i="3"/>
  <c r="M56" i="3"/>
  <c r="L56" i="3"/>
  <c r="K56" i="3"/>
  <c r="J56" i="3"/>
  <c r="I56" i="3"/>
  <c r="H56" i="3"/>
  <c r="V55" i="3"/>
  <c r="U55" i="3"/>
  <c r="V54" i="3"/>
  <c r="U54" i="3"/>
  <c r="U52" i="3"/>
  <c r="T52" i="3"/>
  <c r="M52" i="3"/>
  <c r="L52" i="3"/>
  <c r="V50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V49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V48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V46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V45" i="3"/>
  <c r="V52" i="3" s="1"/>
  <c r="U45" i="3"/>
  <c r="T45" i="3"/>
  <c r="S45" i="3"/>
  <c r="S52" i="3" s="1"/>
  <c r="R45" i="3"/>
  <c r="R52" i="3" s="1"/>
  <c r="Q45" i="3"/>
  <c r="Q52" i="3" s="1"/>
  <c r="P45" i="3"/>
  <c r="P52" i="3" s="1"/>
  <c r="O45" i="3"/>
  <c r="O52" i="3" s="1"/>
  <c r="N45" i="3"/>
  <c r="N52" i="3" s="1"/>
  <c r="M45" i="3"/>
  <c r="L45" i="3"/>
  <c r="K45" i="3"/>
  <c r="K52" i="3" s="1"/>
  <c r="J45" i="3"/>
  <c r="J52" i="3" s="1"/>
  <c r="I45" i="3"/>
  <c r="I52" i="3" s="1"/>
  <c r="H45" i="3"/>
  <c r="H52" i="3" s="1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T32" i="3"/>
  <c r="U32" i="3" s="1"/>
  <c r="V32" i="3" s="1"/>
  <c r="S32" i="3"/>
  <c r="R32" i="3"/>
  <c r="Q32" i="3"/>
  <c r="P32" i="3"/>
  <c r="O32" i="3"/>
  <c r="N32" i="3"/>
  <c r="M32" i="3"/>
  <c r="L32" i="3"/>
  <c r="K32" i="3"/>
  <c r="J32" i="3"/>
  <c r="I32" i="3"/>
  <c r="H32" i="3"/>
  <c r="G30" i="3"/>
  <c r="G29" i="3"/>
  <c r="G31" i="3" s="1"/>
  <c r="G64" i="3" s="1"/>
  <c r="G27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V23" i="3"/>
  <c r="V28" i="3" s="1"/>
  <c r="U23" i="3"/>
  <c r="U28" i="3" s="1"/>
  <c r="T23" i="3"/>
  <c r="T28" i="3" s="1"/>
  <c r="S23" i="3"/>
  <c r="S28" i="3" s="1"/>
  <c r="R23" i="3"/>
  <c r="R28" i="3" s="1"/>
  <c r="Q23" i="3"/>
  <c r="Q28" i="3" s="1"/>
  <c r="P23" i="3"/>
  <c r="P28" i="3" s="1"/>
  <c r="O23" i="3"/>
  <c r="O28" i="3" s="1"/>
  <c r="N23" i="3"/>
  <c r="N28" i="3" s="1"/>
  <c r="M23" i="3"/>
  <c r="M28" i="3" s="1"/>
  <c r="L23" i="3"/>
  <c r="L28" i="3" s="1"/>
  <c r="K23" i="3"/>
  <c r="K28" i="3" s="1"/>
  <c r="J23" i="3"/>
  <c r="J28" i="3" s="1"/>
  <c r="I23" i="3"/>
  <c r="I28" i="3" s="1"/>
  <c r="H23" i="3"/>
  <c r="H28" i="3" s="1"/>
  <c r="G22" i="3"/>
  <c r="G28" i="3" s="1"/>
  <c r="G65" i="3" s="1"/>
  <c r="E44" i="4" l="1"/>
  <c r="F44" i="4"/>
  <c r="D44" i="4"/>
  <c r="E39" i="4"/>
  <c r="F39" i="4"/>
  <c r="D39" i="4"/>
  <c r="E34" i="4"/>
  <c r="F34" i="4"/>
  <c r="D34" i="4"/>
  <c r="F22" i="5" l="1"/>
  <c r="G4" i="5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E10" i="4" l="1"/>
  <c r="F10" i="4"/>
  <c r="G10" i="4"/>
  <c r="G105" i="3" l="1"/>
  <c r="H99" i="3"/>
  <c r="I99" i="3"/>
  <c r="J99" i="3"/>
  <c r="G99" i="3"/>
  <c r="G95" i="3"/>
  <c r="G100" i="3" s="1"/>
  <c r="G106" i="3" s="1"/>
  <c r="I87" i="3"/>
  <c r="J87" i="3"/>
  <c r="H87" i="3"/>
  <c r="J81" i="3"/>
  <c r="I80" i="3"/>
  <c r="I81" i="3" s="1"/>
  <c r="J80" i="3"/>
  <c r="H80" i="3"/>
  <c r="H81" i="3" s="1"/>
  <c r="G78" i="3"/>
  <c r="G79" i="3"/>
  <c r="G77" i="3"/>
  <c r="G76" i="3"/>
  <c r="G75" i="3"/>
  <c r="G81" i="3" s="1"/>
  <c r="F8" i="3"/>
  <c r="G8" i="3"/>
  <c r="E8" i="3"/>
  <c r="F7" i="3"/>
  <c r="G7" i="3"/>
  <c r="E7" i="3"/>
  <c r="C207" i="2"/>
  <c r="C206" i="2"/>
  <c r="F174" i="2"/>
  <c r="G174" i="2"/>
  <c r="E174" i="2"/>
  <c r="F173" i="2"/>
  <c r="G173" i="2"/>
  <c r="E173" i="2"/>
  <c r="G172" i="2"/>
  <c r="F172" i="2"/>
  <c r="E172" i="2"/>
  <c r="F110" i="2"/>
  <c r="F169" i="2" s="1"/>
  <c r="G110" i="2"/>
  <c r="F170" i="2"/>
  <c r="G170" i="2"/>
  <c r="G169" i="2"/>
  <c r="E170" i="2"/>
  <c r="E169" i="2"/>
  <c r="G167" i="2"/>
  <c r="G168" i="2"/>
  <c r="F167" i="2"/>
  <c r="F168" i="2"/>
  <c r="E167" i="2"/>
  <c r="E168" i="2"/>
  <c r="F166" i="2"/>
  <c r="G166" i="2"/>
  <c r="E166" i="2"/>
  <c r="F165" i="2"/>
  <c r="G165" i="2"/>
  <c r="E165" i="2"/>
  <c r="F163" i="2"/>
  <c r="G163" i="2"/>
  <c r="E163" i="2"/>
  <c r="F162" i="2"/>
  <c r="G162" i="2"/>
  <c r="E162" i="2"/>
  <c r="G160" i="2"/>
  <c r="F160" i="2"/>
  <c r="G113" i="2"/>
  <c r="D133" i="2"/>
  <c r="E109" i="2" l="1"/>
  <c r="F109" i="2"/>
  <c r="G109" i="2"/>
  <c r="D109" i="2"/>
  <c r="D108" i="2"/>
  <c r="E107" i="2"/>
  <c r="D107" i="2"/>
  <c r="F105" i="2"/>
  <c r="G105" i="2"/>
  <c r="E105" i="2"/>
  <c r="D105" i="2"/>
  <c r="D97" i="2"/>
  <c r="E97" i="2"/>
  <c r="X41" i="1"/>
  <c r="X37" i="1"/>
  <c r="X40" i="1"/>
  <c r="X38" i="1"/>
  <c r="X34" i="1"/>
  <c r="X36" i="1"/>
  <c r="X35" i="1"/>
  <c r="W41" i="1"/>
  <c r="W40" i="1"/>
  <c r="W38" i="1"/>
  <c r="W37" i="1"/>
  <c r="W34" i="1"/>
  <c r="W35" i="1"/>
  <c r="E55" i="1"/>
  <c r="H72" i="2" l="1"/>
  <c r="H73" i="2"/>
  <c r="H70" i="2"/>
  <c r="H28" i="2"/>
  <c r="H31" i="2" s="1"/>
  <c r="F111" i="2" s="1"/>
  <c r="I28" i="2"/>
  <c r="I31" i="2" s="1"/>
  <c r="G111" i="2" s="1"/>
  <c r="G68" i="2" l="1"/>
  <c r="F68" i="2"/>
  <c r="V34" i="1" l="1"/>
  <c r="F64" i="2"/>
  <c r="G64" i="2"/>
  <c r="E64" i="2"/>
  <c r="F55" i="2"/>
  <c r="E56" i="2"/>
  <c r="E108" i="2" s="1"/>
  <c r="C46" i="2"/>
  <c r="C27" i="2"/>
  <c r="K12" i="2"/>
  <c r="L5" i="2" s="1"/>
  <c r="E7" i="2"/>
  <c r="E8" i="2" s="1"/>
  <c r="E5" i="2"/>
  <c r="V41" i="1"/>
  <c r="V40" i="1"/>
  <c r="V38" i="1"/>
  <c r="V37" i="1"/>
  <c r="H34" i="1"/>
  <c r="I34" i="1" s="1"/>
  <c r="I35" i="1"/>
  <c r="H41" i="1"/>
  <c r="I41" i="1" s="1"/>
  <c r="X42" i="1"/>
  <c r="X39" i="1"/>
  <c r="X43" i="1"/>
  <c r="U54" i="1"/>
  <c r="T54" i="1" s="1"/>
  <c r="U53" i="1"/>
  <c r="T53" i="1" s="1"/>
  <c r="U52" i="1"/>
  <c r="U51" i="1"/>
  <c r="T51" i="1" s="1"/>
  <c r="L54" i="1"/>
  <c r="L53" i="1"/>
  <c r="L52" i="1"/>
  <c r="L50" i="1"/>
  <c r="L51" i="1" s="1"/>
  <c r="F41" i="1"/>
  <c r="F40" i="1"/>
  <c r="F38" i="1"/>
  <c r="F37" i="1"/>
  <c r="F35" i="1"/>
  <c r="F34" i="1"/>
  <c r="E50" i="1"/>
  <c r="E51" i="1"/>
  <c r="E52" i="1"/>
  <c r="E53" i="1"/>
  <c r="E54" i="1"/>
  <c r="E56" i="1"/>
  <c r="E57" i="1"/>
  <c r="E58" i="1"/>
  <c r="E49" i="1"/>
  <c r="D59" i="1"/>
  <c r="H40" i="1" s="1"/>
  <c r="I40" i="1" s="1"/>
  <c r="E42" i="1"/>
  <c r="G42" i="1"/>
  <c r="J42" i="1"/>
  <c r="K42" i="1"/>
  <c r="L42" i="1"/>
  <c r="M42" i="1"/>
  <c r="N42" i="1"/>
  <c r="O42" i="1"/>
  <c r="P42" i="1"/>
  <c r="Q42" i="1"/>
  <c r="R42" i="1"/>
  <c r="S42" i="1"/>
  <c r="T42" i="1"/>
  <c r="U42" i="1"/>
  <c r="W42" i="1"/>
  <c r="D42" i="1"/>
  <c r="E39" i="1"/>
  <c r="G39" i="1"/>
  <c r="J39" i="1"/>
  <c r="K39" i="1"/>
  <c r="L39" i="1"/>
  <c r="M39" i="1"/>
  <c r="N39" i="1"/>
  <c r="O39" i="1"/>
  <c r="P39" i="1"/>
  <c r="Q39" i="1"/>
  <c r="R39" i="1"/>
  <c r="S39" i="1"/>
  <c r="T39" i="1"/>
  <c r="U39" i="1"/>
  <c r="W39" i="1"/>
  <c r="E36" i="1"/>
  <c r="G36" i="1"/>
  <c r="J36" i="1"/>
  <c r="W36" i="1"/>
  <c r="D39" i="1"/>
  <c r="D36" i="1"/>
  <c r="O12" i="1"/>
  <c r="P12" i="1" s="1"/>
  <c r="Q12" i="1" s="1"/>
  <c r="O11" i="1"/>
  <c r="F56" i="2" l="1"/>
  <c r="G27" i="2"/>
  <c r="G28" i="2" s="1"/>
  <c r="J27" i="2"/>
  <c r="J28" i="2" s="1"/>
  <c r="J31" i="2" s="1"/>
  <c r="G56" i="2"/>
  <c r="G108" i="2" s="1"/>
  <c r="F108" i="2"/>
  <c r="G55" i="2"/>
  <c r="G107" i="2" s="1"/>
  <c r="F107" i="2"/>
  <c r="W43" i="1"/>
  <c r="D46" i="2"/>
  <c r="L57" i="1"/>
  <c r="C49" i="2"/>
  <c r="D49" i="2" s="1"/>
  <c r="H37" i="1"/>
  <c r="I37" i="1" s="1"/>
  <c r="C48" i="2"/>
  <c r="D48" i="2" s="1"/>
  <c r="U55" i="1"/>
  <c r="H38" i="1"/>
  <c r="I38" i="1" s="1"/>
  <c r="C47" i="2"/>
  <c r="D47" i="2" s="1"/>
  <c r="L55" i="1"/>
  <c r="L56" i="1"/>
  <c r="C36" i="2"/>
  <c r="E16" i="2"/>
  <c r="L9" i="2"/>
  <c r="L8" i="2"/>
  <c r="C20" i="2"/>
  <c r="L12" i="2"/>
  <c r="L11" i="2"/>
  <c r="L10" i="2"/>
  <c r="L7" i="2"/>
  <c r="L6" i="2"/>
  <c r="L4" i="2"/>
  <c r="V42" i="1"/>
  <c r="E66" i="2" s="1"/>
  <c r="V39" i="1"/>
  <c r="E65" i="2" s="1"/>
  <c r="J43" i="1"/>
  <c r="K36" i="1"/>
  <c r="K43" i="1" s="1"/>
  <c r="I42" i="1"/>
  <c r="I36" i="1"/>
  <c r="H36" i="1"/>
  <c r="H42" i="1"/>
  <c r="T55" i="1"/>
  <c r="F39" i="1"/>
  <c r="D43" i="1"/>
  <c r="E43" i="1"/>
  <c r="F42" i="1"/>
  <c r="E59" i="1"/>
  <c r="H51" i="1" s="1"/>
  <c r="H52" i="1" s="1"/>
  <c r="T52" i="1"/>
  <c r="P11" i="1"/>
  <c r="Q11" i="1" s="1"/>
  <c r="G43" i="1"/>
  <c r="F36" i="1"/>
  <c r="E151" i="2" l="1"/>
  <c r="F187" i="2"/>
  <c r="F188" i="2" s="1"/>
  <c r="C151" i="2"/>
  <c r="D187" i="2"/>
  <c r="D188" i="2" s="1"/>
  <c r="G131" i="2"/>
  <c r="G132" i="2"/>
  <c r="D54" i="2"/>
  <c r="E54" i="2" s="1"/>
  <c r="E112" i="2"/>
  <c r="F112" i="2" s="1"/>
  <c r="G112" i="2" s="1"/>
  <c r="D106" i="2"/>
  <c r="E106" i="2" s="1"/>
  <c r="G31" i="2"/>
  <c r="E71" i="2"/>
  <c r="F66" i="2"/>
  <c r="G66" i="2"/>
  <c r="Y50" i="1"/>
  <c r="Y51" i="1"/>
  <c r="Y53" i="1"/>
  <c r="H43" i="1"/>
  <c r="I39" i="1"/>
  <c r="G65" i="2"/>
  <c r="H39" i="1"/>
  <c r="F65" i="2"/>
  <c r="D50" i="2"/>
  <c r="F47" i="2" s="1"/>
  <c r="E60" i="2"/>
  <c r="C99" i="2" s="1"/>
  <c r="F54" i="2"/>
  <c r="G36" i="2"/>
  <c r="F36" i="2"/>
  <c r="E36" i="2"/>
  <c r="F16" i="2"/>
  <c r="F11" i="2"/>
  <c r="F15" i="2"/>
  <c r="F7" i="2"/>
  <c r="F5" i="2"/>
  <c r="C19" i="2"/>
  <c r="F8" i="2"/>
  <c r="C21" i="2"/>
  <c r="L36" i="1"/>
  <c r="L43" i="1" s="1"/>
  <c r="I43" i="1"/>
  <c r="F43" i="1"/>
  <c r="D40" i="4" l="1"/>
  <c r="F40" i="4"/>
  <c r="D151" i="2"/>
  <c r="E187" i="2"/>
  <c r="E188" i="2" s="1"/>
  <c r="E74" i="2"/>
  <c r="H71" i="2"/>
  <c r="F71" i="2"/>
  <c r="F74" i="2" s="1"/>
  <c r="G71" i="2"/>
  <c r="G74" i="2" s="1"/>
  <c r="E111" i="2"/>
  <c r="E110" i="2"/>
  <c r="F106" i="2"/>
  <c r="E115" i="2"/>
  <c r="C119" i="2" s="1"/>
  <c r="F60" i="2"/>
  <c r="D99" i="2" s="1"/>
  <c r="G54" i="2"/>
  <c r="G60" i="2" s="1"/>
  <c r="E99" i="2" s="1"/>
  <c r="M36" i="1"/>
  <c r="M43" i="1" s="1"/>
  <c r="E40" i="4" l="1"/>
  <c r="G106" i="2"/>
  <c r="G115" i="2" s="1"/>
  <c r="E119" i="2" s="1"/>
  <c r="F115" i="2"/>
  <c r="D119" i="2" s="1"/>
  <c r="N36" i="1"/>
  <c r="N43" i="1" s="1"/>
  <c r="O36" i="1" l="1"/>
  <c r="O43" i="1" s="1"/>
  <c r="P36" i="1" l="1"/>
  <c r="P43" i="1" s="1"/>
  <c r="Q36" i="1" l="1"/>
  <c r="Q43" i="1" s="1"/>
  <c r="S36" i="1" l="1"/>
  <c r="S43" i="1" s="1"/>
  <c r="R36" i="1"/>
  <c r="R43" i="1" s="1"/>
  <c r="T36" i="1"/>
  <c r="T43" i="1" s="1"/>
  <c r="U36" i="1" l="1"/>
  <c r="U43" i="1" s="1"/>
  <c r="V35" i="1"/>
  <c r="V36" i="1" s="1"/>
  <c r="V43" i="1" l="1"/>
  <c r="C97" i="2" s="1"/>
  <c r="E67" i="2"/>
  <c r="G67" i="2" l="1"/>
  <c r="G69" i="2" s="1"/>
  <c r="G75" i="2" s="1"/>
  <c r="E120" i="2" s="1"/>
  <c r="E121" i="2" s="1"/>
  <c r="E124" i="2" s="1"/>
  <c r="E125" i="2" s="1"/>
  <c r="F67" i="2"/>
  <c r="F69" i="2" s="1"/>
  <c r="F75" i="2" s="1"/>
  <c r="D120" i="2" s="1"/>
  <c r="D121" i="2" s="1"/>
  <c r="D124" i="2" s="1"/>
  <c r="D125" i="2" s="1"/>
  <c r="I131" i="2" s="1"/>
  <c r="E69" i="2"/>
  <c r="E75" i="2" s="1"/>
  <c r="C120" i="2" s="1"/>
  <c r="C121" i="2" s="1"/>
  <c r="C124" i="2" s="1"/>
  <c r="C125" i="2" l="1"/>
  <c r="H132" i="2" s="1"/>
  <c r="H151" i="2"/>
  <c r="J131" i="2"/>
  <c r="J132" i="2"/>
  <c r="I132" i="2"/>
  <c r="E78" i="2"/>
  <c r="D83" i="2" s="1"/>
  <c r="C98" i="2"/>
  <c r="C100" i="2" s="1"/>
  <c r="G78" i="2"/>
  <c r="E98" i="2"/>
  <c r="E100" i="2" s="1"/>
  <c r="F78" i="2"/>
  <c r="D98" i="2"/>
  <c r="D100" i="2" s="1"/>
  <c r="H131" i="2" l="1"/>
  <c r="C147" i="2" s="1"/>
  <c r="C138" i="2"/>
  <c r="C143" i="2" s="1"/>
  <c r="F138" i="2"/>
  <c r="F143" i="2" s="1"/>
  <c r="N138" i="2"/>
  <c r="N143" i="2" s="1"/>
  <c r="G138" i="2"/>
  <c r="G143" i="2" s="1"/>
  <c r="H138" i="2"/>
  <c r="H143" i="2" s="1"/>
  <c r="I138" i="2"/>
  <c r="I143" i="2" s="1"/>
  <c r="J138" i="2"/>
  <c r="J143" i="2" s="1"/>
  <c r="K138" i="2"/>
  <c r="K143" i="2" s="1"/>
  <c r="D138" i="2"/>
  <c r="D143" i="2" s="1"/>
  <c r="L138" i="2"/>
  <c r="L143" i="2" s="1"/>
  <c r="E138" i="2"/>
  <c r="E143" i="2" s="1"/>
  <c r="M138" i="2"/>
  <c r="M143" i="2" s="1"/>
  <c r="D82" i="2"/>
  <c r="G83" i="2"/>
  <c r="G82" i="2"/>
  <c r="G84" i="2"/>
  <c r="G85" i="2"/>
  <c r="N145" i="2" l="1"/>
  <c r="G137" i="2"/>
  <c r="G144" i="2" s="1"/>
  <c r="G146" i="2" s="1"/>
  <c r="N137" i="2"/>
  <c r="N147" i="2"/>
  <c r="F145" i="2"/>
  <c r="E137" i="2"/>
  <c r="J145" i="2"/>
  <c r="M145" i="2"/>
  <c r="D137" i="2"/>
  <c r="E145" i="2"/>
  <c r="K145" i="2"/>
  <c r="I145" i="2"/>
  <c r="J137" i="2"/>
  <c r="J139" i="2" s="1"/>
  <c r="J196" i="2" s="1"/>
  <c r="I147" i="2"/>
  <c r="L147" i="2"/>
  <c r="L137" i="2"/>
  <c r="M147" i="2"/>
  <c r="C145" i="2"/>
  <c r="E147" i="2"/>
  <c r="H145" i="2"/>
  <c r="I137" i="2"/>
  <c r="I139" i="2" s="1"/>
  <c r="H147" i="2"/>
  <c r="D147" i="2"/>
  <c r="F137" i="2"/>
  <c r="F144" i="2" s="1"/>
  <c r="F146" i="2" s="1"/>
  <c r="F147" i="2"/>
  <c r="M137" i="2"/>
  <c r="C137" i="2"/>
  <c r="C144" i="2" s="1"/>
  <c r="C146" i="2" s="1"/>
  <c r="J147" i="2"/>
  <c r="K137" i="2"/>
  <c r="K147" i="2"/>
  <c r="L145" i="2"/>
  <c r="G145" i="2"/>
  <c r="D145" i="2"/>
  <c r="H137" i="2"/>
  <c r="H139" i="2" s="1"/>
  <c r="G147" i="2"/>
  <c r="O143" i="2"/>
  <c r="P143" i="2" s="1"/>
  <c r="Q143" i="2" s="1"/>
  <c r="O138" i="2"/>
  <c r="P138" i="2" s="1"/>
  <c r="Q138" i="2" s="1"/>
  <c r="G86" i="2"/>
  <c r="F89" i="2" s="1"/>
  <c r="E89" i="2"/>
  <c r="D92" i="2" s="1"/>
  <c r="D93" i="2" s="1"/>
  <c r="G89" i="2"/>
  <c r="H140" i="2" l="1"/>
  <c r="H196" i="2"/>
  <c r="I140" i="2"/>
  <c r="I196" i="2"/>
  <c r="G139" i="2"/>
  <c r="O147" i="2"/>
  <c r="P147" i="2" s="1"/>
  <c r="Q147" i="2" s="1"/>
  <c r="F139" i="2"/>
  <c r="O145" i="2"/>
  <c r="I144" i="2"/>
  <c r="I146" i="2" s="1"/>
  <c r="H144" i="2"/>
  <c r="H146" i="2" s="1"/>
  <c r="C139" i="2"/>
  <c r="J144" i="2"/>
  <c r="J146" i="2" s="1"/>
  <c r="D139" i="2"/>
  <c r="D144" i="2"/>
  <c r="D146" i="2" s="1"/>
  <c r="J140" i="2"/>
  <c r="H71" i="3" l="1"/>
  <c r="J141" i="2"/>
  <c r="I141" i="2"/>
  <c r="H141" i="2"/>
  <c r="P145" i="2"/>
  <c r="F140" i="2"/>
  <c r="F196" i="2"/>
  <c r="D140" i="2"/>
  <c r="D196" i="2"/>
  <c r="G140" i="2"/>
  <c r="G196" i="2"/>
  <c r="C140" i="2"/>
  <c r="C196" i="2"/>
  <c r="K144" i="2"/>
  <c r="K146" i="2" s="1"/>
  <c r="K139" i="2"/>
  <c r="E144" i="2"/>
  <c r="E146" i="2" s="1"/>
  <c r="E139" i="2"/>
  <c r="E196" i="2" s="1"/>
  <c r="I71" i="3" l="1"/>
  <c r="I142" i="2"/>
  <c r="J142" i="2"/>
  <c r="H142" i="2"/>
  <c r="D141" i="2"/>
  <c r="G141" i="2"/>
  <c r="F141" i="2"/>
  <c r="C141" i="2"/>
  <c r="Q145" i="2"/>
  <c r="K140" i="2"/>
  <c r="K196" i="2"/>
  <c r="L144" i="2"/>
  <c r="L146" i="2" s="1"/>
  <c r="L139" i="2"/>
  <c r="L196" i="2" s="1"/>
  <c r="E140" i="2"/>
  <c r="J71" i="3" l="1"/>
  <c r="D142" i="2"/>
  <c r="F142" i="2"/>
  <c r="G142" i="2"/>
  <c r="C142" i="2"/>
  <c r="K141" i="2"/>
  <c r="L140" i="2"/>
  <c r="M144" i="2"/>
  <c r="M146" i="2" s="1"/>
  <c r="M139" i="2"/>
  <c r="M196" i="2" s="1"/>
  <c r="E141" i="2"/>
  <c r="K142" i="2" l="1"/>
  <c r="L141" i="2"/>
  <c r="N144" i="2"/>
  <c r="N139" i="2"/>
  <c r="M140" i="2"/>
  <c r="O137" i="2"/>
  <c r="P137" i="2" s="1"/>
  <c r="Q137" i="2" s="1"/>
  <c r="E142" i="2"/>
  <c r="L142" i="2" l="1"/>
  <c r="M141" i="2"/>
  <c r="O139" i="2"/>
  <c r="N196" i="2"/>
  <c r="O144" i="2"/>
  <c r="P144" i="2" s="1"/>
  <c r="Q144" i="2" s="1"/>
  <c r="N146" i="2"/>
  <c r="O146" i="2" s="1"/>
  <c r="P146" i="2" s="1"/>
  <c r="Q146" i="2" s="1"/>
  <c r="N140" i="2"/>
  <c r="M142" i="2" l="1"/>
  <c r="O196" i="2"/>
  <c r="E4" i="3"/>
  <c r="C152" i="2"/>
  <c r="E178" i="2" s="1"/>
  <c r="P139" i="2"/>
  <c r="D190" i="2"/>
  <c r="G151" i="2"/>
  <c r="C154" i="2" s="1"/>
  <c r="N141" i="2"/>
  <c r="O140" i="2"/>
  <c r="H91" i="3" s="1"/>
  <c r="D35" i="4" l="1"/>
  <c r="D50" i="4" s="1"/>
  <c r="H89" i="3"/>
  <c r="P140" i="2"/>
  <c r="I91" i="3" s="1"/>
  <c r="C155" i="2"/>
  <c r="E6" i="3"/>
  <c r="Q139" i="2"/>
  <c r="E152" i="2" s="1"/>
  <c r="G178" i="2" s="1"/>
  <c r="F4" i="3"/>
  <c r="E180" i="2"/>
  <c r="J151" i="2"/>
  <c r="K151" i="2" s="1"/>
  <c r="I151" i="2" s="1"/>
  <c r="D154" i="2"/>
  <c r="P196" i="2"/>
  <c r="E190" i="2"/>
  <c r="D152" i="2"/>
  <c r="F178" i="2" s="1"/>
  <c r="C153" i="2"/>
  <c r="E179" i="2" s="1"/>
  <c r="O141" i="2"/>
  <c r="H92" i="3" s="1"/>
  <c r="N142" i="2"/>
  <c r="O142" i="2" s="1"/>
  <c r="P142" i="2" s="1"/>
  <c r="Q142" i="2" s="1"/>
  <c r="D46" i="4" l="1"/>
  <c r="E35" i="4"/>
  <c r="E50" i="4" s="1"/>
  <c r="H90" i="3"/>
  <c r="I89" i="3"/>
  <c r="P141" i="2"/>
  <c r="I92" i="3" s="1"/>
  <c r="Q140" i="2"/>
  <c r="E181" i="2"/>
  <c r="E182" i="2" s="1"/>
  <c r="F180" i="2"/>
  <c r="F6" i="3"/>
  <c r="F190" i="2"/>
  <c r="Q196" i="2"/>
  <c r="G4" i="3"/>
  <c r="D155" i="2"/>
  <c r="I90" i="3" s="1"/>
  <c r="E154" i="2"/>
  <c r="J89" i="3" s="1"/>
  <c r="D153" i="2"/>
  <c r="F179" i="2" s="1"/>
  <c r="C156" i="2"/>
  <c r="E9" i="3" s="1"/>
  <c r="E12" i="3" s="1"/>
  <c r="E13" i="3" s="1"/>
  <c r="E153" i="2"/>
  <c r="G179" i="2" s="1"/>
  <c r="E46" i="4" l="1"/>
  <c r="F35" i="4"/>
  <c r="F50" i="4" s="1"/>
  <c r="D36" i="4"/>
  <c r="D37" i="4" s="1"/>
  <c r="D189" i="2"/>
  <c r="J91" i="3"/>
  <c r="Q141" i="2"/>
  <c r="F181" i="2"/>
  <c r="F182" i="2" s="1"/>
  <c r="E155" i="2"/>
  <c r="J90" i="3" s="1"/>
  <c r="G6" i="3"/>
  <c r="E183" i="2"/>
  <c r="O197" i="2" s="1"/>
  <c r="O198" i="2" s="1"/>
  <c r="G180" i="2"/>
  <c r="D156" i="2"/>
  <c r="F9" i="3" s="1"/>
  <c r="F46" i="4" l="1"/>
  <c r="D45" i="4"/>
  <c r="D47" i="4" s="1"/>
  <c r="D49" i="4" s="1"/>
  <c r="D52" i="4" s="1"/>
  <c r="E36" i="4"/>
  <c r="E45" i="4" s="1"/>
  <c r="E47" i="4" s="1"/>
  <c r="E49" i="4" s="1"/>
  <c r="E52" i="4" s="1"/>
  <c r="D191" i="2"/>
  <c r="D192" i="2" s="1"/>
  <c r="D41" i="4"/>
  <c r="D42" i="4" s="1"/>
  <c r="E189" i="2"/>
  <c r="J92" i="3"/>
  <c r="G181" i="2"/>
  <c r="G182" i="2" s="1"/>
  <c r="E156" i="2"/>
  <c r="G9" i="3" s="1"/>
  <c r="G12" i="3" s="1"/>
  <c r="G13" i="3" s="1"/>
  <c r="E14" i="3"/>
  <c r="E15" i="3"/>
  <c r="F12" i="3"/>
  <c r="F13" i="3" s="1"/>
  <c r="J197" i="2"/>
  <c r="J198" i="2" s="1"/>
  <c r="G197" i="2"/>
  <c r="G198" i="2" s="1"/>
  <c r="I197" i="2"/>
  <c r="I198" i="2" s="1"/>
  <c r="F197" i="2"/>
  <c r="F198" i="2" s="1"/>
  <c r="L197" i="2"/>
  <c r="L198" i="2" s="1"/>
  <c r="H197" i="2"/>
  <c r="H198" i="2" s="1"/>
  <c r="D197" i="2"/>
  <c r="D198" i="2" s="1"/>
  <c r="D203" i="2" s="1"/>
  <c r="N197" i="2"/>
  <c r="N198" i="2" s="1"/>
  <c r="C197" i="2"/>
  <c r="C202" i="2" s="1"/>
  <c r="M197" i="2"/>
  <c r="M198" i="2" s="1"/>
  <c r="E197" i="2"/>
  <c r="E198" i="2" s="1"/>
  <c r="K197" i="2"/>
  <c r="K198" i="2" s="1"/>
  <c r="F183" i="2"/>
  <c r="P197" i="2" s="1"/>
  <c r="P198" i="2" s="1"/>
  <c r="T60" i="3" l="1"/>
  <c r="T61" i="3" s="1"/>
  <c r="T64" i="3" s="1"/>
  <c r="T65" i="3" s="1"/>
  <c r="L60" i="3"/>
  <c r="L61" i="3" s="1"/>
  <c r="L64" i="3" s="1"/>
  <c r="L65" i="3" s="1"/>
  <c r="R60" i="3"/>
  <c r="R61" i="3" s="1"/>
  <c r="R64" i="3" s="1"/>
  <c r="R65" i="3" s="1"/>
  <c r="N60" i="3"/>
  <c r="N61" i="3" s="1"/>
  <c r="N64" i="3" s="1"/>
  <c r="N65" i="3" s="1"/>
  <c r="S60" i="3"/>
  <c r="S61" i="3" s="1"/>
  <c r="S64" i="3" s="1"/>
  <c r="S65" i="3" s="1"/>
  <c r="K60" i="3"/>
  <c r="K61" i="3" s="1"/>
  <c r="K64" i="3" s="1"/>
  <c r="K65" i="3" s="1"/>
  <c r="J60" i="3"/>
  <c r="J61" i="3" s="1"/>
  <c r="J64" i="3" s="1"/>
  <c r="J65" i="3" s="1"/>
  <c r="O60" i="3"/>
  <c r="O61" i="3" s="1"/>
  <c r="O64" i="3" s="1"/>
  <c r="O65" i="3" s="1"/>
  <c r="Q60" i="3"/>
  <c r="Q61" i="3" s="1"/>
  <c r="Q64" i="3" s="1"/>
  <c r="Q65" i="3" s="1"/>
  <c r="I60" i="3"/>
  <c r="I61" i="3" s="1"/>
  <c r="I64" i="3" s="1"/>
  <c r="I65" i="3" s="1"/>
  <c r="P60" i="3"/>
  <c r="P61" i="3" s="1"/>
  <c r="P64" i="3" s="1"/>
  <c r="P65" i="3" s="1"/>
  <c r="H60" i="3"/>
  <c r="H61" i="3" s="1"/>
  <c r="H64" i="3" s="1"/>
  <c r="H65" i="3" s="1"/>
  <c r="M60" i="3"/>
  <c r="M61" i="3" s="1"/>
  <c r="M64" i="3" s="1"/>
  <c r="M65" i="3" s="1"/>
  <c r="E37" i="4"/>
  <c r="F36" i="4"/>
  <c r="F45" i="4" s="1"/>
  <c r="F47" i="4" s="1"/>
  <c r="F49" i="4" s="1"/>
  <c r="F52" i="4" s="1"/>
  <c r="E191" i="2"/>
  <c r="E192" i="2" s="1"/>
  <c r="E41" i="4"/>
  <c r="E42" i="4" s="1"/>
  <c r="E16" i="3"/>
  <c r="H102" i="3" s="1"/>
  <c r="F189" i="2"/>
  <c r="H93" i="3"/>
  <c r="H95" i="3" s="1"/>
  <c r="H100" i="3" s="1"/>
  <c r="G183" i="2"/>
  <c r="Q197" i="2" s="1"/>
  <c r="Q198" i="2" s="1"/>
  <c r="G14" i="3"/>
  <c r="V60" i="3" s="1"/>
  <c r="V61" i="3" s="1"/>
  <c r="V64" i="3" s="1"/>
  <c r="V65" i="3" s="1"/>
  <c r="G15" i="3"/>
  <c r="F14" i="3"/>
  <c r="U60" i="3" s="1"/>
  <c r="U61" i="3" s="1"/>
  <c r="U64" i="3" s="1"/>
  <c r="U65" i="3" s="1"/>
  <c r="F15" i="3"/>
  <c r="E202" i="2"/>
  <c r="C198" i="2"/>
  <c r="C203" i="2" s="1"/>
  <c r="D202" i="2"/>
  <c r="F37" i="4" l="1"/>
  <c r="F191" i="2"/>
  <c r="F192" i="2" s="1"/>
  <c r="F41" i="4"/>
  <c r="F42" i="4" s="1"/>
  <c r="H70" i="3"/>
  <c r="H74" i="3" s="1"/>
  <c r="H82" i="3" s="1"/>
  <c r="H107" i="3" s="1"/>
  <c r="E7" i="4"/>
  <c r="E11" i="4" s="1"/>
  <c r="G16" i="3"/>
  <c r="J102" i="3" s="1"/>
  <c r="F16" i="3"/>
  <c r="I102" i="3" s="1"/>
  <c r="J93" i="3"/>
  <c r="J95" i="3" s="1"/>
  <c r="J100" i="3" s="1"/>
  <c r="I93" i="3"/>
  <c r="I95" i="3" s="1"/>
  <c r="I100" i="3" s="1"/>
  <c r="E17" i="3"/>
  <c r="F202" i="2"/>
  <c r="F203" i="2"/>
  <c r="N62" i="3" l="1"/>
  <c r="L62" i="3"/>
  <c r="H62" i="3"/>
  <c r="M62" i="3"/>
  <c r="T62" i="3"/>
  <c r="I62" i="3"/>
  <c r="O62" i="3"/>
  <c r="S62" i="3"/>
  <c r="K62" i="3"/>
  <c r="R62" i="3"/>
  <c r="J62" i="3"/>
  <c r="Q62" i="3"/>
  <c r="P62" i="3"/>
  <c r="J70" i="3"/>
  <c r="J74" i="3" s="1"/>
  <c r="J82" i="3" s="1"/>
  <c r="J107" i="3" s="1"/>
  <c r="G7" i="4"/>
  <c r="G11" i="4" s="1"/>
  <c r="I70" i="3"/>
  <c r="I74" i="3" s="1"/>
  <c r="I82" i="3" s="1"/>
  <c r="I107" i="3" s="1"/>
  <c r="F7" i="4"/>
  <c r="F11" i="4" s="1"/>
  <c r="H104" i="3"/>
  <c r="H105" i="3" s="1"/>
  <c r="E18" i="3"/>
  <c r="G17" i="3"/>
  <c r="F17" i="3"/>
  <c r="F204" i="2"/>
  <c r="C208" i="2" s="1"/>
  <c r="C209" i="2" s="1"/>
  <c r="I104" i="3" l="1"/>
  <c r="I105" i="3" s="1"/>
  <c r="I106" i="3" s="1"/>
  <c r="U62" i="3"/>
  <c r="J104" i="3"/>
  <c r="J105" i="3" s="1"/>
  <c r="J106" i="3" s="1"/>
  <c r="V62" i="3"/>
  <c r="G70" i="3"/>
  <c r="G74" i="3" s="1"/>
  <c r="G82" i="3" s="1"/>
  <c r="G107" i="3" s="1"/>
  <c r="G108" i="3" s="1"/>
  <c r="C2" i="4"/>
  <c r="H108" i="3"/>
  <c r="H106" i="3"/>
  <c r="G18" i="3"/>
  <c r="F18" i="3"/>
  <c r="D207" i="2"/>
  <c r="D209" i="2"/>
  <c r="D206" i="2"/>
  <c r="D208" i="2"/>
  <c r="I108" i="3" l="1"/>
  <c r="J108" i="3"/>
  <c r="C18" i="4"/>
  <c r="C21" i="4"/>
  <c r="D8" i="4"/>
  <c r="D9" i="4"/>
  <c r="C2" i="5" l="1"/>
  <c r="C11" i="5" s="1"/>
  <c r="D11" i="5" s="1"/>
  <c r="C22" i="4"/>
  <c r="C25" i="4" s="1"/>
  <c r="C26" i="4" s="1"/>
  <c r="C24" i="4"/>
  <c r="D10" i="4"/>
  <c r="D11" i="4" s="1"/>
  <c r="C10" i="5" l="1"/>
  <c r="H10" i="5" s="1"/>
  <c r="G5" i="5"/>
  <c r="G6" i="5" s="1"/>
  <c r="E11" i="5" s="1"/>
  <c r="C27" i="4"/>
  <c r="C19" i="4" s="1"/>
  <c r="B15" i="4"/>
  <c r="C15" i="4" s="1"/>
  <c r="D15" i="4" s="1"/>
  <c r="E15" i="4" s="1"/>
  <c r="D10" i="5" l="1"/>
  <c r="G11" i="5"/>
  <c r="H11" i="5" s="1"/>
  <c r="C12" i="5" s="1"/>
  <c r="D12" i="5" s="1"/>
  <c r="E12" i="5" l="1"/>
  <c r="G12" i="5" s="1"/>
  <c r="H12" i="5" s="1"/>
  <c r="C13" i="5" s="1"/>
  <c r="D13" i="5" s="1"/>
  <c r="E13" i="5" l="1"/>
  <c r="G13" i="5" s="1"/>
  <c r="H13" i="5" s="1"/>
  <c r="C14" i="5" s="1"/>
  <c r="D14" i="5" s="1"/>
  <c r="E14" i="5" s="1"/>
  <c r="G14" i="5" s="1"/>
  <c r="H14" i="5" s="1"/>
  <c r="C15" i="5" s="1"/>
  <c r="D15" i="5" l="1"/>
  <c r="E15" i="5" l="1"/>
  <c r="G15" i="5" l="1"/>
  <c r="H15" i="5" s="1"/>
  <c r="C16" i="5" s="1"/>
  <c r="D16" i="5" s="1"/>
  <c r="E16" i="5" s="1"/>
  <c r="G16" i="5" s="1"/>
  <c r="H16" i="5" s="1"/>
  <c r="C17" i="5" s="1"/>
  <c r="D17" i="5" s="1"/>
  <c r="E17" i="5" s="1"/>
  <c r="G17" i="5" s="1"/>
  <c r="H17" i="5" s="1"/>
  <c r="C18" i="5" s="1"/>
  <c r="D18" i="5" l="1"/>
  <c r="E18" i="5" s="1"/>
  <c r="G18" i="5" s="1"/>
  <c r="H18" i="5" s="1"/>
  <c r="C19" i="5" s="1"/>
  <c r="D19" i="5" l="1"/>
  <c r="E19" i="5" s="1"/>
  <c r="G19" i="5" s="1"/>
  <c r="H19" i="5" s="1"/>
  <c r="C20" i="5" s="1"/>
  <c r="D20" i="5" l="1"/>
  <c r="E20" i="5" s="1"/>
  <c r="G20" i="5" s="1"/>
  <c r="H20" i="5" s="1"/>
  <c r="C21" i="5" s="1"/>
  <c r="D21" i="5" l="1"/>
  <c r="E21" i="5" l="1"/>
  <c r="D22" i="5"/>
  <c r="E24" i="5" s="1"/>
  <c r="G21" i="5" l="1"/>
  <c r="H21" i="5" s="1"/>
  <c r="E22" i="5"/>
</calcChain>
</file>

<file path=xl/sharedStrings.xml><?xml version="1.0" encoding="utf-8"?>
<sst xmlns="http://schemas.openxmlformats.org/spreadsheetml/2006/main" count="707" uniqueCount="493">
  <si>
    <t>INFORMACIÓN PARA TENER EN CUENTA:</t>
  </si>
  <si>
    <t>Incremento IPC</t>
  </si>
  <si>
    <t>Año 1</t>
  </si>
  <si>
    <t>Año 2</t>
  </si>
  <si>
    <t xml:space="preserve">Año 3 </t>
  </si>
  <si>
    <t>IVA</t>
  </si>
  <si>
    <t>RTE. FTE</t>
  </si>
  <si>
    <t>Pago Compras a Proveedores</t>
  </si>
  <si>
    <t>Al ordenar pedido</t>
  </si>
  <si>
    <t>Plazo a 30 días</t>
  </si>
  <si>
    <t>Incremento Participación en el Mercado</t>
  </si>
  <si>
    <t xml:space="preserve"> Año 2</t>
  </si>
  <si>
    <t xml:space="preserve"> Año 3</t>
  </si>
  <si>
    <t>Lim. Sup</t>
  </si>
  <si>
    <t>Lim. Inf</t>
  </si>
  <si>
    <t>Mes 1</t>
  </si>
  <si>
    <t xml:space="preserve">Mes 2 </t>
  </si>
  <si>
    <t xml:space="preserve">Mes 3 </t>
  </si>
  <si>
    <t>Mes 4</t>
  </si>
  <si>
    <t xml:space="preserve">Mes 5 </t>
  </si>
  <si>
    <t>Mes 6</t>
  </si>
  <si>
    <t xml:space="preserve">Mes 7 </t>
  </si>
  <si>
    <t xml:space="preserve">Mes 8 </t>
  </si>
  <si>
    <t>Mes 9</t>
  </si>
  <si>
    <t xml:space="preserve">Mes 10 </t>
  </si>
  <si>
    <t>Mes 11</t>
  </si>
  <si>
    <t xml:space="preserve">Mes 12 </t>
  </si>
  <si>
    <t xml:space="preserve">Año 1 </t>
  </si>
  <si>
    <t xml:space="preserve">Año 2 </t>
  </si>
  <si>
    <t>PROYECCIÓN DE VENTAS</t>
  </si>
  <si>
    <t>Área</t>
  </si>
  <si>
    <t xml:space="preserve">Cargo </t>
  </si>
  <si>
    <t>No.</t>
  </si>
  <si>
    <t>Mes 3</t>
  </si>
  <si>
    <t xml:space="preserve">Mes 4 </t>
  </si>
  <si>
    <t>Salario Básico Mensual</t>
  </si>
  <si>
    <t xml:space="preserve">Implícito en precios del año 1 </t>
  </si>
  <si>
    <t>Demanda Dinámica</t>
  </si>
  <si>
    <t>Total Salario Básico Mensual</t>
  </si>
  <si>
    <t>Subsidio de Transporte Mensual</t>
  </si>
  <si>
    <t>$ Total Mensual</t>
  </si>
  <si>
    <t>Mes 8</t>
  </si>
  <si>
    <t xml:space="preserve">Mes 9 </t>
  </si>
  <si>
    <t>Año 3</t>
  </si>
  <si>
    <t>Gerente General</t>
  </si>
  <si>
    <t>Auxiliar Contable</t>
  </si>
  <si>
    <t>Total Area Administrativa</t>
  </si>
  <si>
    <t>Administrativa</t>
  </si>
  <si>
    <t>PRESUPUEESTO PERSONAL</t>
  </si>
  <si>
    <t>Ingeniero en Jefe</t>
  </si>
  <si>
    <t>Ingeniería</t>
  </si>
  <si>
    <t>Total Área Ingeniería</t>
  </si>
  <si>
    <t>Agente Comercial</t>
  </si>
  <si>
    <t>Psicologo Cognitvo</t>
  </si>
  <si>
    <t>Total Área Mercado y Atencion</t>
  </si>
  <si>
    <t>Mercadeo y Atención al Cliente</t>
  </si>
  <si>
    <t>Total</t>
  </si>
  <si>
    <t>Caja Compensación Familiar</t>
  </si>
  <si>
    <t>ICBF</t>
  </si>
  <si>
    <t>SENA</t>
  </si>
  <si>
    <t>Pensión</t>
  </si>
  <si>
    <t>Salud EPS</t>
  </si>
  <si>
    <t>ARP</t>
  </si>
  <si>
    <t>Cesantía</t>
  </si>
  <si>
    <t>Intereses Cesantias</t>
  </si>
  <si>
    <t>Prima Semestral</t>
  </si>
  <si>
    <t>Vacaciones</t>
  </si>
  <si>
    <t>Total % Mensual</t>
  </si>
  <si>
    <t>Concepto</t>
  </si>
  <si>
    <t>Pagos Mensuales</t>
  </si>
  <si>
    <t>Pagos Anuales</t>
  </si>
  <si>
    <t>% Mensual</t>
  </si>
  <si>
    <t>Prestasiones SMMLV Mensual</t>
  </si>
  <si>
    <t>Valor de SMMLV para el empleador</t>
  </si>
  <si>
    <t>SMMLV</t>
  </si>
  <si>
    <t>Sub. Transporte</t>
  </si>
  <si>
    <t>Prest. Sociales</t>
  </si>
  <si>
    <t>Prestación Sociales</t>
  </si>
  <si>
    <t>Tecnico Aux</t>
  </si>
  <si>
    <t>$ Horas Laborales</t>
  </si>
  <si>
    <t>Liquidación</t>
  </si>
  <si>
    <t>$</t>
  </si>
  <si>
    <t>Hora Ordinaria (HO)</t>
  </si>
  <si>
    <t>SMMLV/(8h*30)</t>
  </si>
  <si>
    <t>Hora Nocturna (HN)</t>
  </si>
  <si>
    <t>HO*1,35</t>
  </si>
  <si>
    <t>Hora Extra Nocturna (HEN)</t>
  </si>
  <si>
    <t>Hora Extra Diurna (HED)</t>
  </si>
  <si>
    <t>HO*1,25</t>
  </si>
  <si>
    <t>HO*1,75</t>
  </si>
  <si>
    <t>Hora Diurna Dominical o Festiva</t>
  </si>
  <si>
    <t>Hora Nocturna Dominical o Festiva</t>
  </si>
  <si>
    <t>Hora Extra Diurna Dom o Festiva</t>
  </si>
  <si>
    <t>Hora Extra Noct.Dom o Festiva</t>
  </si>
  <si>
    <t>HO*2,1</t>
  </si>
  <si>
    <t>HO*2</t>
  </si>
  <si>
    <t>HO*2,5</t>
  </si>
  <si>
    <t>Truno Unico</t>
  </si>
  <si>
    <t>Horario</t>
  </si>
  <si>
    <t>Lunes-Viernes</t>
  </si>
  <si>
    <t>8 AM - 5 PM</t>
  </si>
  <si>
    <t>Secciones de Trabajo</t>
  </si>
  <si>
    <t>Puesto de Trabajo</t>
  </si>
  <si>
    <t>N Operarios</t>
  </si>
  <si>
    <t xml:space="preserve">Minutos </t>
  </si>
  <si>
    <t>Horas</t>
  </si>
  <si>
    <t>Tiempo de Uni Prod Terminado</t>
  </si>
  <si>
    <t>Cuadro Resumen Secuencia de Fabricación del Producto</t>
  </si>
  <si>
    <t>Analisis de Requerimientos</t>
  </si>
  <si>
    <t>Diseño y Arquitectura</t>
  </si>
  <si>
    <t>Desarrollo</t>
  </si>
  <si>
    <t xml:space="preserve">Pruebas </t>
  </si>
  <si>
    <t>Parquesoft y Domicilio</t>
  </si>
  <si>
    <t>Prestaciones Sociales mensuales</t>
  </si>
  <si>
    <t>Capacidad (Promedio)</t>
  </si>
  <si>
    <t>Tiempo</t>
  </si>
  <si>
    <t>No. H</t>
  </si>
  <si>
    <t>No Ud</t>
  </si>
  <si>
    <t>h</t>
  </si>
  <si>
    <t>Día</t>
  </si>
  <si>
    <t>Semana (5 días)</t>
  </si>
  <si>
    <t>Mensual (4 sem)</t>
  </si>
  <si>
    <t>%</t>
  </si>
  <si>
    <t>Computadores</t>
  </si>
  <si>
    <t>Total Muebles y Enseres Oficina</t>
  </si>
  <si>
    <t>Cantidad</t>
  </si>
  <si>
    <t>Valor Unitario</t>
  </si>
  <si>
    <t>Valor Total</t>
  </si>
  <si>
    <t>Presupuesto de Inversión en Activos Fijos de Arranque</t>
  </si>
  <si>
    <t>Oficina (Arriendo)</t>
  </si>
  <si>
    <t>Maquinas y Equipos</t>
  </si>
  <si>
    <t>Total Maquinas y Equipos</t>
  </si>
  <si>
    <t>Vehiculos</t>
  </si>
  <si>
    <t>144 m2</t>
  </si>
  <si>
    <t>Total Vehiculos</t>
  </si>
  <si>
    <t>Muebles y Enseres de Oficina</t>
  </si>
  <si>
    <t>-</t>
  </si>
  <si>
    <t>Total Inversion En Activos Fijos</t>
  </si>
  <si>
    <t>Elaboración de escritura (Notaría)</t>
  </si>
  <si>
    <t>Costos de inscripción CCBtá</t>
  </si>
  <si>
    <t>Registro mercantil (pago anticipado de 1er año.)</t>
  </si>
  <si>
    <t>Aporte a Bomberos (pago anticipado de 1er año.)</t>
  </si>
  <si>
    <t>Registro de Marca (Superintendencia de Ind. y comercio)</t>
  </si>
  <si>
    <t>Registro de Patente de Diseño de producto y/o Modelo de utilidad</t>
  </si>
  <si>
    <t>Identificación de Productos y/o servicios (GS1 Colombia)</t>
  </si>
  <si>
    <t>Otros impuestos y permisos</t>
  </si>
  <si>
    <t>Total Inversiones Intangibles o Gastos de Arranque</t>
  </si>
  <si>
    <t>Inversiones Intangibles o de G. de Arranque</t>
  </si>
  <si>
    <t>Total Costo de Arranque</t>
  </si>
  <si>
    <t>Total Inversion en Activos Fijos</t>
  </si>
  <si>
    <t>Total Inversion Intangibles</t>
  </si>
  <si>
    <t>Valor Actual</t>
  </si>
  <si>
    <t>Vida Util (años)</t>
  </si>
  <si>
    <t>Valor de Salvamento</t>
  </si>
  <si>
    <t>Valor Final a 3 Años</t>
  </si>
  <si>
    <t>Periodo Depreciado</t>
  </si>
  <si>
    <t>Maquinaria y Equipo</t>
  </si>
  <si>
    <t>Computador</t>
  </si>
  <si>
    <t>Total Depreciación Maquinaria y Equipos</t>
  </si>
  <si>
    <t xml:space="preserve">Total Depreciación </t>
  </si>
  <si>
    <t>$0</t>
  </si>
  <si>
    <t>Depreciación</t>
  </si>
  <si>
    <t>Valor Final total bienes</t>
  </si>
  <si>
    <t>Inversiones Intangibles</t>
  </si>
  <si>
    <t xml:space="preserve">Valor Actual </t>
  </si>
  <si>
    <t>Periodos (años)</t>
  </si>
  <si>
    <t>Periodo Amortizado</t>
  </si>
  <si>
    <t>Amortización</t>
  </si>
  <si>
    <t>Materia Prima</t>
  </si>
  <si>
    <t>Precio</t>
  </si>
  <si>
    <t>Total Materia</t>
  </si>
  <si>
    <t>Costos de Materias Primas por Unidad</t>
  </si>
  <si>
    <t>TOTAL</t>
  </si>
  <si>
    <t>Proceso</t>
  </si>
  <si>
    <t>Tiempo (horas)</t>
  </si>
  <si>
    <t>Costos de Mano de Obra por Unidad (primer año, hora diurno)</t>
  </si>
  <si>
    <t>Costo de produccion de unidad bruto ( sin costos administrativos)</t>
  </si>
  <si>
    <t>Mensual</t>
  </si>
  <si>
    <t>Seguros (1% de Activos Fijos)</t>
  </si>
  <si>
    <t>Gastos de Transporte</t>
  </si>
  <si>
    <t>Gastos de Papeleria</t>
  </si>
  <si>
    <t>Gastos de aseo y mantenimiento de instalaciones</t>
  </si>
  <si>
    <t>Registro Mercantil (1er Año Antici. Invers. Intang)</t>
  </si>
  <si>
    <t>Bomberos (1er Año Antici. Invers. Intang)</t>
  </si>
  <si>
    <t>Presupuesto deGastos Adicionales</t>
  </si>
  <si>
    <t>Total Gastos Adicionales</t>
  </si>
  <si>
    <t>Materiales (MP Básicas)</t>
  </si>
  <si>
    <t>Horas Extra</t>
  </si>
  <si>
    <t>Total Costos Directos</t>
  </si>
  <si>
    <t xml:space="preserve">Servicios Públicos </t>
  </si>
  <si>
    <t>Depreciación Maq. Y Equipos</t>
  </si>
  <si>
    <t>Depreciacion de Vehículo</t>
  </si>
  <si>
    <t>Depreciación Mobiliario Planta Prod</t>
  </si>
  <si>
    <t>Total Costos Indirectos</t>
  </si>
  <si>
    <t>Costos Directos</t>
  </si>
  <si>
    <t>Costos Indirectos</t>
  </si>
  <si>
    <t>Total Costos de Produccion CP</t>
  </si>
  <si>
    <t>Personal de  Mercado y Atencion</t>
  </si>
  <si>
    <t xml:space="preserve">Personal Ingenieria </t>
  </si>
  <si>
    <t>Personal Administrativo</t>
  </si>
  <si>
    <t>Presupuesto de Costos de Producción</t>
  </si>
  <si>
    <t>(Primer Año)</t>
  </si>
  <si>
    <t>Costo Bruto de Producción por Unidad = CP / No. Ud.</t>
  </si>
  <si>
    <t>Margen bruto del producto sin impuestos</t>
  </si>
  <si>
    <t>Ganancia bruta sin impuestos</t>
  </si>
  <si>
    <t>Valor fina de Venta</t>
  </si>
  <si>
    <t>Impuestos</t>
  </si>
  <si>
    <t>Rte Fuente</t>
  </si>
  <si>
    <t>Reteica</t>
  </si>
  <si>
    <t>ReteCREE</t>
  </si>
  <si>
    <t>Total Impuestos</t>
  </si>
  <si>
    <t>Costo de Unidad Total con impuesto</t>
  </si>
  <si>
    <t>Margen Total de ganancia</t>
  </si>
  <si>
    <t>Ganancia Total por Unidad</t>
  </si>
  <si>
    <t>PRESUPUESTO TOTAL DE GASTOS FIJOS</t>
  </si>
  <si>
    <t>2017: 5,5%</t>
  </si>
  <si>
    <t>2018: 6%</t>
  </si>
  <si>
    <t>2019:  6,5%</t>
  </si>
  <si>
    <t xml:space="preserve">$83.140 </t>
  </si>
  <si>
    <t>Mensual (Año 1)</t>
  </si>
  <si>
    <t>Mensual ( Año 2)</t>
  </si>
  <si>
    <t>Mensual (Año 3)</t>
  </si>
  <si>
    <t>Nomina</t>
  </si>
  <si>
    <t>Costos de Produccion</t>
  </si>
  <si>
    <t>Costos Adicionales</t>
  </si>
  <si>
    <t>TOTAL GASTOS ADICIONALES</t>
  </si>
  <si>
    <t>PRESUPUESTO DE GASTOS DE ADMINITRACION</t>
  </si>
  <si>
    <t>Personal Adminsitrativo</t>
  </si>
  <si>
    <t>Gastos transporte</t>
  </si>
  <si>
    <t>Gastos Papeleria</t>
  </si>
  <si>
    <t>Gastos de aseo y mantenimiento de Instalaciones</t>
  </si>
  <si>
    <t>Depreciacion de Muebles y enseres</t>
  </si>
  <si>
    <t xml:space="preserve">Amortización de Intangibles </t>
  </si>
  <si>
    <t>Amortización gastos de arranque</t>
  </si>
  <si>
    <t>Registro Mercantil (1er año anticip. Inves. Intang)</t>
  </si>
  <si>
    <t>Bomberos (1er año anticip. Inves. Intang))</t>
  </si>
  <si>
    <t xml:space="preserve">Mensual </t>
  </si>
  <si>
    <t>Total Gastos Adminsitracion</t>
  </si>
  <si>
    <t>COSTOS DE OPERACIÓN</t>
  </si>
  <si>
    <t>Costos de administración</t>
  </si>
  <si>
    <t>Costos de producción</t>
  </si>
  <si>
    <t>(Año 1)</t>
  </si>
  <si>
    <t>(Año 2)</t>
  </si>
  <si>
    <t>(Año 3)</t>
  </si>
  <si>
    <t>Total costos de Operación</t>
  </si>
  <si>
    <t>(Año 1 )</t>
  </si>
  <si>
    <t xml:space="preserve">(Año 2) </t>
  </si>
  <si>
    <t>Costo Unitario</t>
  </si>
  <si>
    <t>Precio de Venta</t>
  </si>
  <si>
    <t>Clientes</t>
  </si>
  <si>
    <t>Mayoristas</t>
  </si>
  <si>
    <t>Intermediarios</t>
  </si>
  <si>
    <t>Al Detal</t>
  </si>
  <si>
    <t>T1</t>
  </si>
  <si>
    <t>T2</t>
  </si>
  <si>
    <t>T3</t>
  </si>
  <si>
    <t>% de Ventas</t>
  </si>
  <si>
    <t>con</t>
  </si>
  <si>
    <t>Capacidad</t>
  </si>
  <si>
    <t>Rango de  Unidades de Producto/Clientes (Anual)</t>
  </si>
  <si>
    <t>$ Venta/Ud o cliente Año 1</t>
  </si>
  <si>
    <t>$ Venta/Ud o cliente Año 2</t>
  </si>
  <si>
    <t>$ Venta/Ud o cliente Año 3</t>
  </si>
  <si>
    <t>Forma de pago</t>
  </si>
  <si>
    <t>PROYECCION DE PRECIOS DE VENTA POR PRODUCTO/SERVICIO</t>
  </si>
  <si>
    <t xml:space="preserve">Mes 1 </t>
  </si>
  <si>
    <t xml:space="preserve">mes 2 </t>
  </si>
  <si>
    <t xml:space="preserve"> Me 3</t>
  </si>
  <si>
    <t>Mes 5</t>
  </si>
  <si>
    <t>Mes 7</t>
  </si>
  <si>
    <t>Mes 12</t>
  </si>
  <si>
    <t>RETEIVA</t>
  </si>
  <si>
    <t xml:space="preserve">Ventas a Intermediarios </t>
  </si>
  <si>
    <t>Ventas a Detal</t>
  </si>
  <si>
    <t>Total Ventas Brutas ($)</t>
  </si>
  <si>
    <t>Retefuente (No aplica al detal)</t>
  </si>
  <si>
    <t>Ventas Netas</t>
  </si>
  <si>
    <t>Valor de Ventas de contado</t>
  </si>
  <si>
    <t>Recuperacion de Cartera</t>
  </si>
  <si>
    <t>Ingresos Efectivos</t>
  </si>
  <si>
    <t>Cuentas por Cobrar</t>
  </si>
  <si>
    <t>Ventas a Plazos</t>
  </si>
  <si>
    <t>PRESUPUESTO DE INGRESO</t>
  </si>
  <si>
    <t>GASTOS DE VENTA</t>
  </si>
  <si>
    <t>Empaque y embalaje del producto</t>
  </si>
  <si>
    <t>Comisiones de Venta (% de ventas Brutas)</t>
  </si>
  <si>
    <t>Gastos de publicidad (% de Ventas de Brutas)</t>
  </si>
  <si>
    <t>Imp. Industria y Com ( 11*1.000 de Ventas Brutas)</t>
  </si>
  <si>
    <t>Imp. Avisos y Tableros (15% Industria y Comercio)</t>
  </si>
  <si>
    <t>Total Gastos de Ventas</t>
  </si>
  <si>
    <t>V. Brutas</t>
  </si>
  <si>
    <t xml:space="preserve">Costos </t>
  </si>
  <si>
    <t xml:space="preserve">Utilidad </t>
  </si>
  <si>
    <t xml:space="preserve">Comisiones </t>
  </si>
  <si>
    <t>Publicidad</t>
  </si>
  <si>
    <t>Costos Fijos</t>
  </si>
  <si>
    <t>Registro Mercantil (pago ant año 1)</t>
  </si>
  <si>
    <t>No aplica Año 1</t>
  </si>
  <si>
    <t>Bomberos ( pago anticipado año 1)</t>
  </si>
  <si>
    <t>Personal de Planta</t>
  </si>
  <si>
    <t>Asesoría Contable</t>
  </si>
  <si>
    <t>Servicios Públicos</t>
  </si>
  <si>
    <t>Seguros</t>
  </si>
  <si>
    <t>Gasto Transporte</t>
  </si>
  <si>
    <t>Gastos Papelería</t>
  </si>
  <si>
    <t>Gastos aseo y mto Instalaciones</t>
  </si>
  <si>
    <t>Amortización de Intangibles</t>
  </si>
  <si>
    <t>Total Costos Fijos</t>
  </si>
  <si>
    <t>Costos Variables</t>
  </si>
  <si>
    <t>Aditivos/suministros</t>
  </si>
  <si>
    <t>Horas Extras y Festivas</t>
  </si>
  <si>
    <t>Personal Temporal</t>
  </si>
  <si>
    <t>Comisiones por Ventas</t>
  </si>
  <si>
    <t>Gastos de Publicidad</t>
  </si>
  <si>
    <t>Industria y Comercio</t>
  </si>
  <si>
    <t>Avisos y Tableros</t>
  </si>
  <si>
    <t>Total Costos Variables</t>
  </si>
  <si>
    <t>Costo Total</t>
  </si>
  <si>
    <t xml:space="preserve">CLASIFICACIÓN DE COSTOS </t>
  </si>
  <si>
    <t>Impuestos Locales ( Valor 2 % Bodega)</t>
  </si>
  <si>
    <t>Calculo</t>
  </si>
  <si>
    <t>INDICADORES DE COSTOS</t>
  </si>
  <si>
    <t>No. Unidades a Producir o Clientes</t>
  </si>
  <si>
    <t>Demanda unidades</t>
  </si>
  <si>
    <t>Costo Promedio del Producto o Servicio</t>
  </si>
  <si>
    <t>Costo total/ No. ud</t>
  </si>
  <si>
    <t>Costo Variable Unitario</t>
  </si>
  <si>
    <t>Costo variable/ No ud</t>
  </si>
  <si>
    <t>Precio Promedio Unitario (sin IVA)</t>
  </si>
  <si>
    <t>Ventas brutas/No ud</t>
  </si>
  <si>
    <t>Margen Unitario Promedio</t>
  </si>
  <si>
    <t>Precio Prom unit-cost var U</t>
  </si>
  <si>
    <t>Punto de Equilibrio (Ud. a Producir)</t>
  </si>
  <si>
    <t>Costos fijos/ Margen U prom</t>
  </si>
  <si>
    <t>Mes 2</t>
  </si>
  <si>
    <t>Mes 10</t>
  </si>
  <si>
    <t>INGRESO VS EGRESOS</t>
  </si>
  <si>
    <t>Ingresos</t>
  </si>
  <si>
    <t>Egresos</t>
  </si>
  <si>
    <t>Saldo</t>
  </si>
  <si>
    <t>INVERSION EN CAPITAL DE TRABAJO</t>
  </si>
  <si>
    <t>Egresos de los primeros meses</t>
  </si>
  <si>
    <t>Colchon de Efectivo (% Egresos)</t>
  </si>
  <si>
    <t>INVERSION TOTAL</t>
  </si>
  <si>
    <t xml:space="preserve">Activos Fijos </t>
  </si>
  <si>
    <t>Intangibles o Gastos de Aranque</t>
  </si>
  <si>
    <t>Capital de Trabajo</t>
  </si>
  <si>
    <t>Ventas Brutas</t>
  </si>
  <si>
    <t>Otros Ingresos (No Operaciones)</t>
  </si>
  <si>
    <t>ESTADO DE RESULTADOS</t>
  </si>
  <si>
    <t>Gastos de ventas</t>
  </si>
  <si>
    <t>Gastos de Administracion</t>
  </si>
  <si>
    <t>Gastos Financieros (Interes Credito)</t>
  </si>
  <si>
    <t>Otros Egresos</t>
  </si>
  <si>
    <t>Total Ingresos</t>
  </si>
  <si>
    <t>Total Egresos</t>
  </si>
  <si>
    <t>Utilidad Bruta Grabable UBG= Ingresos-Egresos</t>
  </si>
  <si>
    <t>Impuesto d Renta (25% UBG)</t>
  </si>
  <si>
    <t>Utilidad de renta para la equidad CREE=9%</t>
  </si>
  <si>
    <t>Utilidad Neta= UBG-Imp. Renta-Imp Rta CREE</t>
  </si>
  <si>
    <t>Reserva Legal (10% Utilidad Neta)</t>
  </si>
  <si>
    <t>Utilidad del Ejercicio= Utilidad Neta-Res. Legal</t>
  </si>
  <si>
    <t>Caja Inicial</t>
  </si>
  <si>
    <t>Ingresos Ventas de Contado</t>
  </si>
  <si>
    <t>Ingresos Recuperación de Cartera</t>
  </si>
  <si>
    <t>Otros Ingresos no operacionales</t>
  </si>
  <si>
    <t>Aporte de Socios</t>
  </si>
  <si>
    <t>Recursos de Créditos</t>
  </si>
  <si>
    <t>TOTAL DISPONIBLE</t>
  </si>
  <si>
    <t>Inversiones</t>
  </si>
  <si>
    <t>Inversiones en Activos Fijos</t>
  </si>
  <si>
    <t>Inversiones Intangibles o G.Arranque</t>
  </si>
  <si>
    <t>Total Inversiones</t>
  </si>
  <si>
    <t>Salario Basico</t>
  </si>
  <si>
    <t>Subsidio de Transporte</t>
  </si>
  <si>
    <t>Caja Com Familiar</t>
  </si>
  <si>
    <t>Aporte Pension</t>
  </si>
  <si>
    <t>Aporte a Salud EPS</t>
  </si>
  <si>
    <t>Interes de  Cesantia</t>
  </si>
  <si>
    <t>Cesatia</t>
  </si>
  <si>
    <t>Total G. Personal</t>
  </si>
  <si>
    <t>Gastos Personal de Planta</t>
  </si>
  <si>
    <t>Asesoria Contable</t>
  </si>
  <si>
    <t>Servicios Publicos</t>
  </si>
  <si>
    <t>Seguro</t>
  </si>
  <si>
    <t>Gastos de Ase y Mant Instalaciones</t>
  </si>
  <si>
    <t>Coutas + I. Creadito</t>
  </si>
  <si>
    <t>Impuestos Locales (Valorizacion Anual)</t>
  </si>
  <si>
    <t>Registro Mercantil (Anual)</t>
  </si>
  <si>
    <t>Bomberos (Anual)</t>
  </si>
  <si>
    <t>Industria y Comerico (Anual)</t>
  </si>
  <si>
    <t>Avisos y Tableros (Mensual)</t>
  </si>
  <si>
    <t>Iva (Ventas Bimensual)</t>
  </si>
  <si>
    <t>Rte. en la Fuente (Compras Mensual)</t>
  </si>
  <si>
    <t>Imp. Renta (Anual)</t>
  </si>
  <si>
    <t>Reserva Legal (10% Utilidad)</t>
  </si>
  <si>
    <t>Distribucion de  Utilidades</t>
  </si>
  <si>
    <t>CAJA FINAL = Total Disponible - Egresos</t>
  </si>
  <si>
    <t>Saldo Acumulado</t>
  </si>
  <si>
    <t>Periodo 0</t>
  </si>
  <si>
    <t xml:space="preserve">Mes 6 </t>
  </si>
  <si>
    <t>FLUJO DE CAJA</t>
  </si>
  <si>
    <t>Disponible (Cajas y Bancos)</t>
  </si>
  <si>
    <t>Cuentas por Cobrar (Clientes)</t>
  </si>
  <si>
    <t>Inventario (Mat. En proceso y Pto)</t>
  </si>
  <si>
    <t>Activos Diferidos (Amortiz. G)</t>
  </si>
  <si>
    <t>Activo Corriente</t>
  </si>
  <si>
    <t>Total Activo Corriente</t>
  </si>
  <si>
    <t>Bodega (Con Oficinas)</t>
  </si>
  <si>
    <t>Maquinaria y Equipos</t>
  </si>
  <si>
    <t>Vehículos</t>
  </si>
  <si>
    <t>Mobiliario Planta de Producción</t>
  </si>
  <si>
    <t>Muebles y Enseres Oficina</t>
  </si>
  <si>
    <t>Menos: Depreciacion Acumulada</t>
  </si>
  <si>
    <t>Total Activo Fijo</t>
  </si>
  <si>
    <t>Total Activos</t>
  </si>
  <si>
    <t>Activos</t>
  </si>
  <si>
    <t>Activo Fijo</t>
  </si>
  <si>
    <t>Año 0</t>
  </si>
  <si>
    <t>BALANCE GENERAL</t>
  </si>
  <si>
    <t>Prestac. Sociales por pagar</t>
  </si>
  <si>
    <t>Cuentas por pagar a Proveedores</t>
  </si>
  <si>
    <t>Obligaciones Financieras (Cuotas +i)</t>
  </si>
  <si>
    <t>Industria y Comercio (Bimensual)</t>
  </si>
  <si>
    <t>IVA por Pagar (Bimensual)</t>
  </si>
  <si>
    <t>Rte. Fuente por Pagar (Mensual)</t>
  </si>
  <si>
    <t>Impuesto de Renta por Pagar</t>
  </si>
  <si>
    <t>Otros Pasivos</t>
  </si>
  <si>
    <t>Total Pasivo Corriente</t>
  </si>
  <si>
    <t>Pasivo Corriente</t>
  </si>
  <si>
    <t>Obligaciones Finacieras (Créditos)</t>
  </si>
  <si>
    <t>Deudas Hipotecarias o Leasing</t>
  </si>
  <si>
    <t>Total Pasivo a Largo Plazo</t>
  </si>
  <si>
    <t>Pasivo a Largo Plazo</t>
  </si>
  <si>
    <t>Pasivos</t>
  </si>
  <si>
    <t>TOTAL PASIVOS</t>
  </si>
  <si>
    <t>Capital Social (Aporte de Socios)</t>
  </si>
  <si>
    <t>Resultados del Ejercicio (Utilidad Neta)</t>
  </si>
  <si>
    <t>Resultados Ejercicios Anteriores</t>
  </si>
  <si>
    <t>Reserva Legal (10% Result Ej.)</t>
  </si>
  <si>
    <t>Total Patrimonio</t>
  </si>
  <si>
    <t>Patrimonio</t>
  </si>
  <si>
    <t>PASIVOS+PATRIMONIO</t>
  </si>
  <si>
    <t xml:space="preserve">Año 0 </t>
  </si>
  <si>
    <t>BALANCE = ACTIVOS - (PASIVOS + PATRIMONIO)</t>
  </si>
  <si>
    <t>(1) Caja por Periodo</t>
  </si>
  <si>
    <t>b) Creditos</t>
  </si>
  <si>
    <t>a) Aporte de Socios</t>
  </si>
  <si>
    <t>(2)Inversiones Netal del Periodo=a+b</t>
  </si>
  <si>
    <t>Flujo de  Caja Neto=1-2</t>
  </si>
  <si>
    <t>Total Inversion</t>
  </si>
  <si>
    <t>FLUJO DE CAJA NETO</t>
  </si>
  <si>
    <t>PERIODO DE RECUPERACION DEL CAPITAL</t>
  </si>
  <si>
    <t xml:space="preserve">VPN </t>
  </si>
  <si>
    <t>TIR</t>
  </si>
  <si>
    <t>I1</t>
  </si>
  <si>
    <t>I2</t>
  </si>
  <si>
    <t>VPN 1</t>
  </si>
  <si>
    <t>VPN 2</t>
  </si>
  <si>
    <t>VPN 2 (+)</t>
  </si>
  <si>
    <t>Prestamo</t>
  </si>
  <si>
    <t>Periodo de Gracia</t>
  </si>
  <si>
    <t>Tasa Efectiva Anual (IA)</t>
  </si>
  <si>
    <t>Meses</t>
  </si>
  <si>
    <t>Periodo</t>
  </si>
  <si>
    <t>Saldo Inicia  SI=SF(n-1)</t>
  </si>
  <si>
    <t>Interes  I=SI*im</t>
  </si>
  <si>
    <t>Couta    C=(((1+i)^n*i)/((1+i)^n-1))*P</t>
  </si>
  <si>
    <t>Aportes Extraordinarios</t>
  </si>
  <si>
    <t>Amortización   A=C+Ap.Ext-i</t>
  </si>
  <si>
    <t>Saldo Final    SF=SI-Amort</t>
  </si>
  <si>
    <t>n=</t>
  </si>
  <si>
    <t>m=</t>
  </si>
  <si>
    <t xml:space="preserve">Meses </t>
  </si>
  <si>
    <t>Tasa de Interes Im=</t>
  </si>
  <si>
    <t>Couta Fija</t>
  </si>
  <si>
    <t>CÁLCULOS DEL PUNTO DE EQUILIBRIO PE</t>
  </si>
  <si>
    <t>*PE en Capacidad Instalada (%): PECI= CF/(IT-CV)</t>
  </si>
  <si>
    <t>CF: Costos Fijos</t>
  </si>
  <si>
    <t>IT: Ingresos Totales</t>
  </si>
  <si>
    <t>CV:Costos Variables</t>
  </si>
  <si>
    <t>PE en Capacidad Instalada PECI (%) =</t>
  </si>
  <si>
    <t>*PE en Cantidades a Producir (Q): PECP=CF/(PU-CVu)</t>
  </si>
  <si>
    <t>Pu:Precio unitario promedio</t>
  </si>
  <si>
    <t>CVu:Costos Variable Unitario</t>
  </si>
  <si>
    <t>PE en Capacidad a Producir PECP (Q)=</t>
  </si>
  <si>
    <t>*PE en Volumen de Ventas ($): PEVV*=CF / (1-(CV/IT))</t>
  </si>
  <si>
    <t>CV: Costos Variables</t>
  </si>
  <si>
    <t>PE en Volumen de Ventas PEVV ($)=</t>
  </si>
  <si>
    <t>PEVV*: PE en Volumenes de Ventas ($)</t>
  </si>
  <si>
    <t>N: Número de Días Laborales año</t>
  </si>
  <si>
    <t>PE en No. de dias Año PEDA (dias)=</t>
  </si>
  <si>
    <t>*PE en No. de Dias año (dias): PEDA = PEVV*/(IT/N)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</si>
</sst>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44" formatCode="_-* #,##0.00\ &quot;€&quot;_-;\-* #,##0.00\ &quot;€&quot;_-;_-* &quot;-&quot;??\ &quot;€&quot;_-;_-@_-"/>
    <numFmt numFmtId="164" formatCode="#,##0.00\ &quot;€&quot;"/>
    <numFmt numFmtId="165" formatCode="[$$-240A]\ #,##0.00"/>
    <numFmt numFmtId="166" formatCode="[$$-240A]\ #,##0"/>
    <numFmt numFmtId="167" formatCode="_-[$$-240A]\ * #,##0.00_ ;_-[$$-240A]\ * \-#,##0.00\ ;_-[$$-240A]\ * &quot;-&quot;??_ ;_-@_ "/>
    <numFmt numFmtId="168" formatCode="_-[$$-240A]\ * #,##0_ ;_-[$$-240A]\ * \-#,##0\ ;_-[$$-240A]\ * &quot;-&quot;_ ;_-@_ "/>
    <numFmt numFmtId="169" formatCode="_-[$$-240A]\ * #,##0.0_ ;_-[$$-240A]\ * \-#,##0.0\ ;_-[$$-240A]\ * &quot;-&quot;??_ ;_-@_ "/>
    <numFmt numFmtId="170" formatCode="_-[$$-240A]\ * #,##0_ ;_-[$$-240A]\ * \-#,##0\ ;_-[$$-240A]\ * &quot;-&quot;??_ ;_-@_ "/>
    <numFmt numFmtId="171" formatCode="_-[$$-240A]\ * #,##0.0_ ;_-[$$-240A]\ * \-#,##0.0\ ;_-[$$-240A]\ * &quot;-&quot;?_ ;_-@_ "/>
    <numFmt numFmtId="172" formatCode="_-[$$-240A]\ * #,##0_ ;_-[$$-240A]\ * \-#,##0\ ;_-[$$-240A]\ * &quot;-&quot;?_ ;_-@_ "/>
    <numFmt numFmtId="173" formatCode="[$$-240A]\ #,##0.00;[Red][$$-240A]\ #,##0.00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rgb="FF000000"/>
      <name val="Calibri"/>
      <family val="2"/>
      <scheme val="minor"/>
    </font>
    <font>
      <sz val="9"/>
      <color rgb="FF000000"/>
      <name val="Arial"/>
      <family val="2"/>
    </font>
    <font>
      <sz val="10"/>
      <color rgb="FF333333"/>
      <name val="Opensans_regular"/>
    </font>
    <font>
      <sz val="11"/>
      <name val="Calibri"/>
      <family val="2"/>
      <scheme val="minor"/>
    </font>
    <font>
      <sz val="11"/>
      <color rgb="FF000000"/>
      <name val="Arial"/>
      <family val="2"/>
    </font>
    <font>
      <sz val="10"/>
      <name val="Arial"/>
      <family val="2"/>
    </font>
    <font>
      <u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rgb="FF000000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249977111117893"/>
        <bgColor indexed="64"/>
      </patternFill>
    </fill>
  </fills>
  <borders count="1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3" fillId="0" borderId="0"/>
    <xf numFmtId="9" fontId="1" fillId="0" borderId="0" applyFont="0" applyFill="0" applyBorder="0" applyAlignment="0" applyProtection="0"/>
  </cellStyleXfs>
  <cellXfs count="217">
    <xf numFmtId="0" fontId="0" fillId="0" borderId="0" xfId="0"/>
    <xf numFmtId="0" fontId="0" fillId="0" borderId="0" xfId="0" applyAlignment="1">
      <alignment horizontal="center"/>
    </xf>
    <xf numFmtId="0" fontId="0" fillId="0" borderId="9" xfId="0" applyBorder="1"/>
    <xf numFmtId="10" fontId="0" fillId="0" borderId="9" xfId="0" applyNumberFormat="1" applyBorder="1"/>
    <xf numFmtId="9" fontId="0" fillId="0" borderId="9" xfId="0" applyNumberFormat="1" applyBorder="1"/>
    <xf numFmtId="10" fontId="6" fillId="0" borderId="9" xfId="0" applyNumberFormat="1" applyFont="1" applyBorder="1"/>
    <xf numFmtId="9" fontId="5" fillId="2" borderId="4" xfId="2" applyNumberFormat="1" applyFont="1" applyFill="1" applyBorder="1" applyAlignment="1">
      <alignment horizontal="center" vertical="center"/>
    </xf>
    <xf numFmtId="0" fontId="5" fillId="0" borderId="4" xfId="2" applyFont="1" applyBorder="1" applyAlignment="1">
      <alignment horizontal="center"/>
    </xf>
    <xf numFmtId="9" fontId="5" fillId="2" borderId="4" xfId="2" applyNumberFormat="1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1" fontId="0" fillId="0" borderId="9" xfId="0" applyNumberFormat="1" applyBorder="1" applyAlignment="1">
      <alignment horizontal="center" vertical="center"/>
    </xf>
    <xf numFmtId="0" fontId="2" fillId="0" borderId="9" xfId="0" applyFont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/>
    </xf>
    <xf numFmtId="166" fontId="0" fillId="0" borderId="0" xfId="0" applyNumberFormat="1"/>
    <xf numFmtId="0" fontId="0" fillId="6" borderId="0" xfId="0" applyFill="1"/>
    <xf numFmtId="166" fontId="0" fillId="0" borderId="9" xfId="0" applyNumberFormat="1" applyBorder="1"/>
    <xf numFmtId="165" fontId="0" fillId="0" borderId="9" xfId="0" applyNumberFormat="1" applyBorder="1"/>
    <xf numFmtId="0" fontId="0" fillId="6" borderId="9" xfId="0" applyFill="1" applyBorder="1"/>
    <xf numFmtId="0" fontId="2" fillId="6" borderId="9" xfId="0" applyFont="1" applyFill="1" applyBorder="1"/>
    <xf numFmtId="0" fontId="2" fillId="0" borderId="9" xfId="0" applyFont="1" applyBorder="1"/>
    <xf numFmtId="0" fontId="2" fillId="0" borderId="9" xfId="0" applyFont="1" applyBorder="1" applyAlignment="1">
      <alignment horizontal="center" wrapText="1"/>
    </xf>
    <xf numFmtId="9" fontId="2" fillId="6" borderId="9" xfId="0" applyNumberFormat="1" applyFont="1" applyFill="1" applyBorder="1"/>
    <xf numFmtId="166" fontId="2" fillId="6" borderId="9" xfId="0" applyNumberFormat="1" applyFont="1" applyFill="1" applyBorder="1"/>
    <xf numFmtId="166" fontId="7" fillId="0" borderId="9" xfId="0" applyNumberFormat="1" applyFont="1" applyBorder="1" applyAlignment="1">
      <alignment horizontal="center" vertical="center"/>
    </xf>
    <xf numFmtId="166" fontId="0" fillId="0" borderId="9" xfId="0" applyNumberFormat="1" applyBorder="1" applyAlignment="1">
      <alignment horizontal="center" vertical="center"/>
    </xf>
    <xf numFmtId="166" fontId="2" fillId="6" borderId="9" xfId="0" applyNumberFormat="1" applyFont="1" applyFill="1" applyBorder="1" applyAlignment="1">
      <alignment horizontal="center" vertical="center"/>
    </xf>
    <xf numFmtId="3" fontId="0" fillId="0" borderId="9" xfId="0" applyNumberFormat="1" applyBorder="1"/>
    <xf numFmtId="0" fontId="0" fillId="4" borderId="9" xfId="0" applyFill="1" applyBorder="1" applyAlignment="1">
      <alignment horizontal="center" vertical="center"/>
    </xf>
    <xf numFmtId="0" fontId="0" fillId="0" borderId="9" xfId="0" applyFill="1" applyBorder="1"/>
    <xf numFmtId="2" fontId="0" fillId="0" borderId="9" xfId="0" applyNumberFormat="1" applyBorder="1"/>
    <xf numFmtId="2" fontId="2" fillId="6" borderId="9" xfId="0" applyNumberFormat="1" applyFont="1" applyFill="1" applyBorder="1"/>
    <xf numFmtId="0" fontId="0" fillId="0" borderId="9" xfId="0" applyFont="1" applyBorder="1"/>
    <xf numFmtId="0" fontId="0" fillId="6" borderId="9" xfId="0" applyFill="1" applyBorder="1" applyAlignment="1">
      <alignment horizontal="center" vertical="center"/>
    </xf>
    <xf numFmtId="166" fontId="0" fillId="6" borderId="9" xfId="0" applyNumberFormat="1" applyFill="1" applyBorder="1" applyAlignment="1">
      <alignment horizontal="center" vertical="center"/>
    </xf>
    <xf numFmtId="166" fontId="0" fillId="6" borderId="9" xfId="0" applyNumberFormat="1" applyFill="1" applyBorder="1"/>
    <xf numFmtId="10" fontId="0" fillId="6" borderId="9" xfId="0" applyNumberFormat="1" applyFill="1" applyBorder="1"/>
    <xf numFmtId="10" fontId="0" fillId="0" borderId="9" xfId="0" applyNumberFormat="1" applyBorder="1" applyAlignment="1">
      <alignment horizontal="center" vertical="center"/>
    </xf>
    <xf numFmtId="167" fontId="0" fillId="0" borderId="9" xfId="0" applyNumberFormat="1" applyBorder="1"/>
    <xf numFmtId="167" fontId="8" fillId="0" borderId="9" xfId="0" applyNumberFormat="1" applyFont="1" applyBorder="1"/>
    <xf numFmtId="167" fontId="0" fillId="6" borderId="9" xfId="0" applyNumberFormat="1" applyFill="1" applyBorder="1"/>
    <xf numFmtId="9" fontId="0" fillId="6" borderId="9" xfId="0" applyNumberFormat="1" applyFill="1" applyBorder="1"/>
    <xf numFmtId="0" fontId="9" fillId="6" borderId="9" xfId="0" applyFont="1" applyFill="1" applyBorder="1"/>
    <xf numFmtId="166" fontId="9" fillId="6" borderId="9" xfId="0" applyNumberFormat="1" applyFont="1" applyFill="1" applyBorder="1"/>
    <xf numFmtId="0" fontId="0" fillId="0" borderId="9" xfId="0" applyBorder="1" applyAlignment="1">
      <alignment horizontal="left" vertical="center"/>
    </xf>
    <xf numFmtId="0" fontId="10" fillId="6" borderId="0" xfId="0" applyFont="1" applyFill="1"/>
    <xf numFmtId="164" fontId="0" fillId="6" borderId="9" xfId="0" applyNumberFormat="1" applyFill="1" applyBorder="1" applyAlignment="1">
      <alignment horizontal="right"/>
    </xf>
    <xf numFmtId="167" fontId="0" fillId="0" borderId="9" xfId="0" applyNumberFormat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2" fillId="0" borderId="9" xfId="0" applyFont="1" applyBorder="1" applyAlignment="1">
      <alignment horizontal="center"/>
    </xf>
    <xf numFmtId="0" fontId="2" fillId="6" borderId="9" xfId="0" applyFont="1" applyFill="1" applyBorder="1" applyAlignment="1">
      <alignment horizontal="center"/>
    </xf>
    <xf numFmtId="168" fontId="0" fillId="0" borderId="9" xfId="0" applyNumberFormat="1" applyBorder="1" applyAlignment="1">
      <alignment horizontal="center" vertical="center"/>
    </xf>
    <xf numFmtId="166" fontId="0" fillId="6" borderId="9" xfId="1" applyNumberFormat="1" applyFont="1" applyFill="1" applyBorder="1" applyAlignment="1">
      <alignment horizontal="center"/>
    </xf>
    <xf numFmtId="168" fontId="0" fillId="0" borderId="9" xfId="0" applyNumberFormat="1" applyBorder="1"/>
    <xf numFmtId="0" fontId="2" fillId="6" borderId="9" xfId="0" applyFont="1" applyFill="1" applyBorder="1" applyAlignment="1">
      <alignment horizontal="center" vertical="center"/>
    </xf>
    <xf numFmtId="168" fontId="2" fillId="6" borderId="9" xfId="0" applyNumberFormat="1" applyFont="1" applyFill="1" applyBorder="1" applyAlignment="1">
      <alignment horizontal="center" vertical="center"/>
    </xf>
    <xf numFmtId="165" fontId="2" fillId="6" borderId="9" xfId="0" applyNumberFormat="1" applyFont="1" applyFill="1" applyBorder="1"/>
    <xf numFmtId="0" fontId="0" fillId="0" borderId="9" xfId="0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2" fillId="0" borderId="9" xfId="0" applyFont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166" fontId="2" fillId="6" borderId="9" xfId="0" applyNumberFormat="1" applyFont="1" applyFill="1" applyBorder="1" applyAlignment="1">
      <alignment vertical="center" wrapText="1"/>
    </xf>
    <xf numFmtId="0" fontId="2" fillId="6" borderId="0" xfId="0" applyFont="1" applyFill="1" applyAlignment="1">
      <alignment horizontal="center" vertical="center"/>
    </xf>
    <xf numFmtId="165" fontId="0" fillId="7" borderId="9" xfId="0" applyNumberFormat="1" applyFill="1" applyBorder="1"/>
    <xf numFmtId="0" fontId="2" fillId="0" borderId="0" xfId="0" applyFont="1" applyAlignment="1">
      <alignment horizontal="center" vertical="center"/>
    </xf>
    <xf numFmtId="165" fontId="2" fillId="0" borderId="0" xfId="0" applyNumberFormat="1" applyFont="1"/>
    <xf numFmtId="10" fontId="2" fillId="0" borderId="9" xfId="0" applyNumberFormat="1" applyFont="1" applyBorder="1"/>
    <xf numFmtId="165" fontId="2" fillId="0" borderId="9" xfId="0" applyNumberFormat="1" applyFont="1" applyBorder="1"/>
    <xf numFmtId="0" fontId="11" fillId="0" borderId="0" xfId="2" applyFont="1" applyAlignment="1">
      <alignment horizontal="center"/>
    </xf>
    <xf numFmtId="166" fontId="12" fillId="0" borderId="9" xfId="0" applyNumberFormat="1" applyFont="1" applyBorder="1"/>
    <xf numFmtId="166" fontId="12" fillId="0" borderId="9" xfId="0" applyNumberFormat="1" applyFont="1" applyBorder="1" applyAlignment="1">
      <alignment horizontal="center" vertical="center"/>
    </xf>
    <xf numFmtId="170" fontId="0" fillId="0" borderId="9" xfId="1" applyNumberFormat="1" applyFont="1" applyBorder="1"/>
    <xf numFmtId="170" fontId="2" fillId="6" borderId="9" xfId="0" applyNumberFormat="1" applyFont="1" applyFill="1" applyBorder="1"/>
    <xf numFmtId="0" fontId="12" fillId="0" borderId="0" xfId="0" applyFont="1"/>
    <xf numFmtId="171" fontId="0" fillId="0" borderId="9" xfId="0" applyNumberFormat="1" applyBorder="1"/>
    <xf numFmtId="171" fontId="0" fillId="0" borderId="9" xfId="0" applyNumberFormat="1" applyBorder="1" applyAlignment="1">
      <alignment horizontal="center" vertical="center"/>
    </xf>
    <xf numFmtId="171" fontId="0" fillId="0" borderId="9" xfId="0" applyNumberFormat="1" applyBorder="1" applyAlignment="1">
      <alignment horizontal="right" vertical="center"/>
    </xf>
    <xf numFmtId="172" fontId="0" fillId="0" borderId="9" xfId="0" applyNumberFormat="1" applyBorder="1" applyAlignment="1">
      <alignment horizontal="right" vertical="center"/>
    </xf>
    <xf numFmtId="166" fontId="2" fillId="6" borderId="9" xfId="0" applyNumberFormat="1" applyFont="1" applyFill="1" applyBorder="1" applyAlignment="1">
      <alignment vertical="center"/>
    </xf>
    <xf numFmtId="171" fontId="2" fillId="0" borderId="9" xfId="0" applyNumberFormat="1" applyFont="1" applyBorder="1"/>
    <xf numFmtId="171" fontId="2" fillId="6" borderId="9" xfId="0" applyNumberFormat="1" applyFont="1" applyFill="1" applyBorder="1"/>
    <xf numFmtId="0" fontId="9" fillId="0" borderId="0" xfId="0" applyFont="1" applyFill="1"/>
    <xf numFmtId="0" fontId="13" fillId="0" borderId="9" xfId="0" applyFont="1" applyFill="1" applyBorder="1" applyAlignment="1">
      <alignment horizontal="center" vertical="center"/>
    </xf>
    <xf numFmtId="0" fontId="2" fillId="14" borderId="9" xfId="0" applyFont="1" applyFill="1" applyBorder="1"/>
    <xf numFmtId="171" fontId="2" fillId="14" borderId="9" xfId="0" applyNumberFormat="1" applyFont="1" applyFill="1" applyBorder="1"/>
    <xf numFmtId="0" fontId="0" fillId="15" borderId="9" xfId="0" applyFill="1" applyBorder="1"/>
    <xf numFmtId="0" fontId="2" fillId="15" borderId="9" xfId="0" applyFont="1" applyFill="1" applyBorder="1" applyAlignment="1">
      <alignment horizontal="center" vertical="center"/>
    </xf>
    <xf numFmtId="9" fontId="0" fillId="0" borderId="0" xfId="0" applyNumberFormat="1"/>
    <xf numFmtId="0" fontId="14" fillId="3" borderId="15" xfId="0" applyFont="1" applyFill="1" applyBorder="1"/>
    <xf numFmtId="9" fontId="14" fillId="3" borderId="15" xfId="0" applyNumberFormat="1" applyFont="1" applyFill="1" applyBorder="1" applyAlignment="1">
      <alignment horizontal="right"/>
    </xf>
    <xf numFmtId="169" fontId="0" fillId="0" borderId="9" xfId="0" applyNumberFormat="1" applyBorder="1"/>
    <xf numFmtId="169" fontId="2" fillId="0" borderId="9" xfId="0" applyNumberFormat="1" applyFont="1" applyBorder="1"/>
    <xf numFmtId="171" fontId="0" fillId="3" borderId="9" xfId="0" applyNumberFormat="1" applyFill="1" applyBorder="1"/>
    <xf numFmtId="0" fontId="2" fillId="3" borderId="9" xfId="0" applyFont="1" applyFill="1" applyBorder="1" applyAlignment="1">
      <alignment horizontal="center"/>
    </xf>
    <xf numFmtId="169" fontId="0" fillId="3" borderId="9" xfId="0" applyNumberFormat="1" applyFill="1" applyBorder="1" applyAlignment="1">
      <alignment horizontal="center"/>
    </xf>
    <xf numFmtId="171" fontId="0" fillId="3" borderId="9" xfId="0" applyNumberFormat="1" applyFill="1" applyBorder="1" applyAlignment="1">
      <alignment horizontal="center"/>
    </xf>
    <xf numFmtId="167" fontId="0" fillId="0" borderId="9" xfId="1" applyNumberFormat="1" applyFont="1" applyBorder="1"/>
    <xf numFmtId="167" fontId="2" fillId="0" borderId="9" xfId="1" applyNumberFormat="1" applyFont="1" applyBorder="1"/>
    <xf numFmtId="171" fontId="2" fillId="17" borderId="9" xfId="0" applyNumberFormat="1" applyFont="1" applyFill="1" applyBorder="1"/>
    <xf numFmtId="171" fontId="2" fillId="3" borderId="9" xfId="0" applyNumberFormat="1" applyFont="1" applyFill="1" applyBorder="1"/>
    <xf numFmtId="0" fontId="2" fillId="0" borderId="9" xfId="0" applyFont="1" applyFill="1" applyBorder="1" applyAlignment="1">
      <alignment horizontal="center" vertical="center"/>
    </xf>
    <xf numFmtId="9" fontId="0" fillId="0" borderId="9" xfId="3" applyFont="1" applyBorder="1"/>
    <xf numFmtId="171" fontId="2" fillId="0" borderId="9" xfId="0" applyNumberFormat="1" applyFont="1" applyBorder="1" applyAlignment="1">
      <alignment horizontal="center" vertical="center"/>
    </xf>
    <xf numFmtId="171" fontId="0" fillId="3" borderId="9" xfId="0" applyNumberFormat="1" applyFill="1" applyBorder="1" applyAlignment="1">
      <alignment horizontal="center" vertical="center"/>
    </xf>
    <xf numFmtId="0" fontId="0" fillId="0" borderId="9" xfId="0" applyBorder="1" applyAlignment="1">
      <alignment wrapText="1"/>
    </xf>
    <xf numFmtId="0" fontId="0" fillId="0" borderId="0" xfId="0" applyBorder="1"/>
    <xf numFmtId="171" fontId="0" fillId="0" borderId="9" xfId="1" applyNumberFormat="1" applyFont="1" applyBorder="1"/>
    <xf numFmtId="171" fontId="2" fillId="3" borderId="9" xfId="1" applyNumberFormat="1" applyFont="1" applyFill="1" applyBorder="1"/>
    <xf numFmtId="171" fontId="2" fillId="17" borderId="9" xfId="1" applyNumberFormat="1" applyFont="1" applyFill="1" applyBorder="1"/>
    <xf numFmtId="0" fontId="0" fillId="3" borderId="9" xfId="0" applyFill="1" applyBorder="1" applyAlignment="1">
      <alignment horizontal="center" vertical="center"/>
    </xf>
    <xf numFmtId="171" fontId="0" fillId="3" borderId="9" xfId="1" applyNumberFormat="1" applyFont="1" applyFill="1" applyBorder="1"/>
    <xf numFmtId="0" fontId="2" fillId="3" borderId="9" xfId="0" applyFont="1" applyFill="1" applyBorder="1" applyAlignment="1">
      <alignment vertical="center"/>
    </xf>
    <xf numFmtId="171" fontId="0" fillId="0" borderId="9" xfId="1" quotePrefix="1" applyNumberFormat="1" applyFont="1" applyBorder="1"/>
    <xf numFmtId="171" fontId="0" fillId="17" borderId="9" xfId="1" applyNumberFormat="1" applyFont="1" applyFill="1" applyBorder="1"/>
    <xf numFmtId="0" fontId="0" fillId="0" borderId="9" xfId="0" applyBorder="1" applyAlignment="1">
      <alignment horizontal="left"/>
    </xf>
    <xf numFmtId="0" fontId="2" fillId="3" borderId="9" xfId="0" applyFont="1" applyFill="1" applyBorder="1" applyAlignment="1">
      <alignment horizontal="center"/>
    </xf>
    <xf numFmtId="171" fontId="0" fillId="17" borderId="9" xfId="0" applyNumberFormat="1" applyFill="1" applyBorder="1"/>
    <xf numFmtId="0" fontId="0" fillId="13" borderId="9" xfId="0" applyFill="1" applyBorder="1"/>
    <xf numFmtId="165" fontId="0" fillId="13" borderId="9" xfId="0" applyNumberFormat="1" applyFill="1" applyBorder="1"/>
    <xf numFmtId="165" fontId="2" fillId="17" borderId="9" xfId="0" applyNumberFormat="1" applyFont="1" applyFill="1" applyBorder="1"/>
    <xf numFmtId="0" fontId="2" fillId="17" borderId="9" xfId="0" applyFont="1" applyFill="1" applyBorder="1" applyAlignment="1">
      <alignment horizontal="center"/>
    </xf>
    <xf numFmtId="165" fontId="0" fillId="17" borderId="9" xfId="0" applyNumberFormat="1" applyFill="1" applyBorder="1"/>
    <xf numFmtId="0" fontId="2" fillId="0" borderId="9" xfId="0" applyFont="1" applyBorder="1" applyAlignment="1">
      <alignment horizontal="center"/>
    </xf>
    <xf numFmtId="0" fontId="0" fillId="17" borderId="9" xfId="0" applyFill="1" applyBorder="1"/>
    <xf numFmtId="10" fontId="0" fillId="17" borderId="9" xfId="0" applyNumberFormat="1" applyFill="1" applyBorder="1"/>
    <xf numFmtId="0" fontId="0" fillId="0" borderId="9" xfId="0" applyNumberFormat="1" applyBorder="1"/>
    <xf numFmtId="165" fontId="0" fillId="0" borderId="9" xfId="3" applyNumberFormat="1" applyFont="1" applyBorder="1"/>
    <xf numFmtId="0" fontId="0" fillId="0" borderId="9" xfId="0" applyFont="1" applyBorder="1" applyAlignment="1">
      <alignment horizontal="center"/>
    </xf>
    <xf numFmtId="165" fontId="0" fillId="0" borderId="12" xfId="0" applyNumberFormat="1" applyBorder="1"/>
    <xf numFmtId="0" fontId="0" fillId="0" borderId="14" xfId="0" applyBorder="1"/>
    <xf numFmtId="0" fontId="0" fillId="0" borderId="12" xfId="0" applyBorder="1"/>
    <xf numFmtId="9" fontId="0" fillId="0" borderId="12" xfId="0" applyNumberFormat="1" applyBorder="1"/>
    <xf numFmtId="9" fontId="0" fillId="0" borderId="0" xfId="0" applyNumberFormat="1" applyBorder="1"/>
    <xf numFmtId="165" fontId="0" fillId="0" borderId="9" xfId="0" applyNumberFormat="1" applyFont="1" applyBorder="1"/>
    <xf numFmtId="0" fontId="2" fillId="17" borderId="9" xfId="0" applyFont="1" applyFill="1" applyBorder="1"/>
    <xf numFmtId="0" fontId="2" fillId="3" borderId="9" xfId="0" applyFont="1" applyFill="1" applyBorder="1"/>
    <xf numFmtId="165" fontId="2" fillId="3" borderId="9" xfId="0" applyNumberFormat="1" applyFont="1" applyFill="1" applyBorder="1"/>
    <xf numFmtId="173" fontId="0" fillId="0" borderId="12" xfId="0" applyNumberFormat="1" applyBorder="1"/>
    <xf numFmtId="0" fontId="2" fillId="0" borderId="9" xfId="0" applyFont="1" applyBorder="1" applyAlignment="1">
      <alignment horizontal="center"/>
    </xf>
    <xf numFmtId="0" fontId="0" fillId="0" borderId="0" xfId="0" applyAlignment="1">
      <alignment horizontal="left"/>
    </xf>
    <xf numFmtId="9" fontId="0" fillId="17" borderId="9" xfId="3" applyFont="1" applyFill="1" applyBorder="1"/>
    <xf numFmtId="2" fontId="0" fillId="17" borderId="9" xfId="0" applyNumberFormat="1" applyFill="1" applyBorder="1"/>
    <xf numFmtId="0" fontId="4" fillId="0" borderId="0" xfId="2" applyFont="1" applyAlignment="1">
      <alignment horizontal="center"/>
    </xf>
    <xf numFmtId="0" fontId="0" fillId="0" borderId="9" xfId="0" applyBorder="1" applyAlignment="1">
      <alignment horizontal="center"/>
    </xf>
    <xf numFmtId="0" fontId="5" fillId="0" borderId="1" xfId="2" applyFont="1" applyBorder="1" applyAlignment="1">
      <alignment horizontal="left"/>
    </xf>
    <xf numFmtId="0" fontId="5" fillId="0" borderId="3" xfId="2" applyFont="1" applyBorder="1"/>
    <xf numFmtId="0" fontId="4" fillId="0" borderId="1" xfId="2" applyFont="1" applyBorder="1" applyAlignment="1">
      <alignment horizontal="center"/>
    </xf>
    <xf numFmtId="0" fontId="5" fillId="0" borderId="2" xfId="2" applyFont="1" applyBorder="1"/>
    <xf numFmtId="0" fontId="4" fillId="0" borderId="5" xfId="2" applyFont="1" applyBorder="1" applyAlignment="1">
      <alignment horizontal="center" vertical="center" wrapText="1"/>
    </xf>
    <xf numFmtId="0" fontId="5" fillId="0" borderId="6" xfId="2" applyFont="1" applyBorder="1"/>
    <xf numFmtId="0" fontId="5" fillId="0" borderId="7" xfId="2" applyFont="1" applyBorder="1"/>
    <xf numFmtId="0" fontId="5" fillId="0" borderId="8" xfId="2" applyFont="1" applyBorder="1"/>
    <xf numFmtId="0" fontId="2" fillId="4" borderId="9" xfId="0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2" fillId="4" borderId="10" xfId="0" applyFont="1" applyFill="1" applyBorder="1" applyAlignment="1">
      <alignment horizontal="center"/>
    </xf>
    <xf numFmtId="0" fontId="2" fillId="0" borderId="9" xfId="0" applyFont="1" applyBorder="1" applyAlignment="1">
      <alignment horizontal="center" vertical="center" wrapText="1"/>
    </xf>
    <xf numFmtId="0" fontId="0" fillId="4" borderId="9" xfId="0" applyFill="1" applyBorder="1" applyAlignment="1">
      <alignment horizontal="center" vertical="center" wrapText="1"/>
    </xf>
    <xf numFmtId="0" fontId="0" fillId="4" borderId="9" xfId="0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2" fillId="17" borderId="9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 wrapText="1"/>
    </xf>
    <xf numFmtId="0" fontId="2" fillId="18" borderId="9" xfId="0" applyFont="1" applyFill="1" applyBorder="1" applyAlignment="1">
      <alignment horizontal="center" vertical="center"/>
    </xf>
    <xf numFmtId="0" fontId="2" fillId="9" borderId="9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16" borderId="9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0" fillId="16" borderId="9" xfId="0" applyFill="1" applyBorder="1" applyAlignment="1">
      <alignment horizontal="center" vertical="center" wrapText="1"/>
    </xf>
    <xf numFmtId="0" fontId="0" fillId="0" borderId="9" xfId="0" applyBorder="1" applyAlignment="1">
      <alignment horizontal="left" vertical="center" wrapText="1"/>
    </xf>
    <xf numFmtId="0" fontId="2" fillId="6" borderId="12" xfId="0" applyFont="1" applyFill="1" applyBorder="1" applyAlignment="1">
      <alignment horizontal="center" vertical="center"/>
    </xf>
    <xf numFmtId="0" fontId="2" fillId="6" borderId="13" xfId="0" applyFont="1" applyFill="1" applyBorder="1" applyAlignment="1">
      <alignment horizontal="center" vertical="center"/>
    </xf>
    <xf numFmtId="0" fontId="2" fillId="6" borderId="14" xfId="0" applyFont="1" applyFill="1" applyBorder="1" applyAlignment="1">
      <alignment horizontal="center" vertical="center"/>
    </xf>
    <xf numFmtId="0" fontId="2" fillId="15" borderId="9" xfId="0" applyFont="1" applyFill="1" applyBorder="1" applyAlignment="1">
      <alignment horizontal="center" vertical="center"/>
    </xf>
    <xf numFmtId="0" fontId="2" fillId="10" borderId="9" xfId="0" applyFont="1" applyFill="1" applyBorder="1" applyAlignment="1">
      <alignment horizontal="center" vertical="center" wrapText="1"/>
    </xf>
    <xf numFmtId="0" fontId="2" fillId="15" borderId="9" xfId="0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wrapText="1"/>
    </xf>
    <xf numFmtId="0" fontId="2" fillId="5" borderId="9" xfId="0" applyFont="1" applyFill="1" applyBorder="1" applyAlignment="1">
      <alignment horizontal="center" vertical="center" wrapText="1"/>
    </xf>
    <xf numFmtId="0" fontId="2" fillId="6" borderId="12" xfId="0" applyFont="1" applyFill="1" applyBorder="1" applyAlignment="1">
      <alignment horizontal="center" vertical="center" wrapText="1"/>
    </xf>
    <xf numFmtId="0" fontId="2" fillId="6" borderId="13" xfId="0" applyFont="1" applyFill="1" applyBorder="1" applyAlignment="1">
      <alignment horizontal="center" vertical="center" wrapText="1"/>
    </xf>
    <xf numFmtId="0" fontId="2" fillId="6" borderId="14" xfId="0" applyFont="1" applyFill="1" applyBorder="1" applyAlignment="1">
      <alignment horizontal="center" vertical="center" wrapText="1"/>
    </xf>
    <xf numFmtId="0" fontId="2" fillId="6" borderId="9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/>
    </xf>
    <xf numFmtId="0" fontId="0" fillId="0" borderId="9" xfId="0" applyBorder="1" applyAlignment="1">
      <alignment horizontal="left" vertical="center"/>
    </xf>
    <xf numFmtId="0" fontId="0" fillId="6" borderId="9" xfId="0" applyFill="1" applyBorder="1" applyAlignment="1">
      <alignment horizontal="center"/>
    </xf>
    <xf numFmtId="0" fontId="2" fillId="5" borderId="11" xfId="0" applyFont="1" applyFill="1" applyBorder="1" applyAlignment="1">
      <alignment horizontal="center"/>
    </xf>
    <xf numFmtId="0" fontId="2" fillId="5" borderId="10" xfId="0" applyFont="1" applyFill="1" applyBorder="1" applyAlignment="1">
      <alignment horizontal="center"/>
    </xf>
    <xf numFmtId="0" fontId="0" fillId="0" borderId="9" xfId="0" applyBorder="1" applyAlignment="1">
      <alignment horizontal="center" wrapText="1"/>
    </xf>
    <xf numFmtId="0" fontId="2" fillId="6" borderId="9" xfId="0" applyFont="1" applyFill="1" applyBorder="1" applyAlignment="1">
      <alignment horizontal="center" vertical="center" wrapText="1"/>
    </xf>
    <xf numFmtId="0" fontId="0" fillId="6" borderId="9" xfId="0" applyFill="1" applyBorder="1" applyAlignment="1">
      <alignment horizontal="center" vertical="center" wrapText="1"/>
    </xf>
    <xf numFmtId="0" fontId="2" fillId="5" borderId="9" xfId="0" applyFont="1" applyFill="1" applyBorder="1" applyAlignment="1">
      <alignment horizontal="center" wrapText="1"/>
    </xf>
    <xf numFmtId="0" fontId="2" fillId="6" borderId="9" xfId="0" applyFont="1" applyFill="1" applyBorder="1" applyAlignment="1">
      <alignment horizontal="center"/>
    </xf>
    <xf numFmtId="0" fontId="2" fillId="10" borderId="9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/>
    </xf>
    <xf numFmtId="0" fontId="2" fillId="7" borderId="9" xfId="0" applyFont="1" applyFill="1" applyBorder="1" applyAlignment="1">
      <alignment horizontal="center"/>
    </xf>
    <xf numFmtId="0" fontId="0" fillId="17" borderId="9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2" fillId="12" borderId="9" xfId="0" applyFont="1" applyFill="1" applyBorder="1" applyAlignment="1">
      <alignment horizontal="center" vertical="center"/>
    </xf>
    <xf numFmtId="0" fontId="0" fillId="0" borderId="9" xfId="0" applyBorder="1" applyAlignment="1">
      <alignment horizontal="left"/>
    </xf>
    <xf numFmtId="0" fontId="2" fillId="3" borderId="9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 wrapText="1"/>
    </xf>
    <xf numFmtId="0" fontId="0" fillId="0" borderId="9" xfId="0" applyBorder="1" applyAlignment="1">
      <alignment vertical="center"/>
    </xf>
    <xf numFmtId="0" fontId="0" fillId="12" borderId="9" xfId="0" applyFill="1" applyBorder="1" applyAlignment="1">
      <alignment horizontal="center" vertical="center"/>
    </xf>
    <xf numFmtId="0" fontId="0" fillId="0" borderId="9" xfId="0" applyFont="1" applyBorder="1" applyAlignment="1">
      <alignment horizontal="center" vertical="center" wrapText="1"/>
    </xf>
    <xf numFmtId="0" fontId="0" fillId="8" borderId="9" xfId="0" applyFill="1" applyBorder="1" applyAlignment="1">
      <alignment horizontal="center" vertical="center" wrapText="1"/>
    </xf>
    <xf numFmtId="0" fontId="2" fillId="11" borderId="9" xfId="0" applyFont="1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 wrapText="1"/>
    </xf>
    <xf numFmtId="0" fontId="0" fillId="17" borderId="9" xfId="0" applyFill="1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9" xfId="0" applyBorder="1" applyAlignment="1"/>
    <xf numFmtId="0" fontId="0" fillId="13" borderId="9" xfId="0" applyFill="1" applyBorder="1" applyAlignment="1">
      <alignment horizontal="center" vertical="center" wrapText="1"/>
    </xf>
    <xf numFmtId="0" fontId="2" fillId="13" borderId="9" xfId="0" applyFont="1" applyFill="1" applyBorder="1" applyAlignment="1">
      <alignment horizontal="center" vertical="center"/>
    </xf>
    <xf numFmtId="0" fontId="2" fillId="17" borderId="9" xfId="0" applyFont="1" applyFill="1" applyBorder="1" applyAlignment="1">
      <alignment horizontal="center"/>
    </xf>
  </cellXfs>
  <cellStyles count="4">
    <cellStyle name="Moneda" xfId="1" builtinId="4"/>
    <cellStyle name="Normal" xfId="0" builtinId="0"/>
    <cellStyle name="Normal 2" xfId="2"/>
    <cellStyle name="Porcentaje" xfId="3" builtinId="5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Demanda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'Demanda Dinamica'!$C$13:$N$13</c:f>
              <c:numCache>
                <c:formatCode>General</c:formatCode>
                <c:ptCount val="12"/>
                <c:pt idx="0">
                  <c:v>249</c:v>
                </c:pt>
                <c:pt idx="1">
                  <c:v>164</c:v>
                </c:pt>
                <c:pt idx="2">
                  <c:v>267</c:v>
                </c:pt>
                <c:pt idx="3">
                  <c:v>237</c:v>
                </c:pt>
                <c:pt idx="4">
                  <c:v>134</c:v>
                </c:pt>
                <c:pt idx="5">
                  <c:v>109</c:v>
                </c:pt>
                <c:pt idx="6">
                  <c:v>172</c:v>
                </c:pt>
                <c:pt idx="7">
                  <c:v>312</c:v>
                </c:pt>
                <c:pt idx="8">
                  <c:v>523</c:v>
                </c:pt>
                <c:pt idx="9">
                  <c:v>436</c:v>
                </c:pt>
                <c:pt idx="10">
                  <c:v>292</c:v>
                </c:pt>
                <c:pt idx="11">
                  <c:v>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76-4F04-A213-84A6CAC1957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85167216"/>
        <c:axId val="724782112"/>
      </c:lineChart>
      <c:catAx>
        <c:axId val="685167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Meses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24782112"/>
        <c:crosses val="autoZero"/>
        <c:auto val="1"/>
        <c:lblAlgn val="ctr"/>
        <c:lblOffset val="100"/>
        <c:noMultiLvlLbl val="0"/>
      </c:catAx>
      <c:valAx>
        <c:axId val="72478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# DE licencias VENDIDAS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85167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2158880139982502"/>
          <c:y val="0.90798556430446198"/>
          <c:w val="0.14350387744648407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Proyección de Ventas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'Demanda Dinamica'!$O$13:$Q$13</c:f>
              <c:numCache>
                <c:formatCode>General</c:formatCode>
                <c:ptCount val="3"/>
                <c:pt idx="0">
                  <c:v>3361</c:v>
                </c:pt>
                <c:pt idx="1">
                  <c:v>2380</c:v>
                </c:pt>
                <c:pt idx="2">
                  <c:v>5136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92-4420-B571-E6A65797B6F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93163776"/>
        <c:axId val="723244944"/>
      </c:barChart>
      <c:catAx>
        <c:axId val="193163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Año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23244944"/>
        <c:crosses val="autoZero"/>
        <c:auto val="1"/>
        <c:lblAlgn val="ctr"/>
        <c:lblOffset val="100"/>
        <c:noMultiLvlLbl val="0"/>
      </c:catAx>
      <c:valAx>
        <c:axId val="723244944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Licencias Vendidas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crossAx val="193163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471487</xdr:colOff>
      <xdr:row>14</xdr:row>
      <xdr:rowOff>123825</xdr:rowOff>
    </xdr:from>
    <xdr:to>
      <xdr:col>5</xdr:col>
      <xdr:colOff>42862</xdr:colOff>
      <xdr:row>29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D6AD07B-3D2A-482B-9528-54D069B5E7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104775</xdr:colOff>
      <xdr:row>14</xdr:row>
      <xdr:rowOff>152400</xdr:rowOff>
    </xdr:from>
    <xdr:to>
      <xdr:col>13</xdr:col>
      <xdr:colOff>104775</xdr:colOff>
      <xdr:row>29</xdr:row>
      <xdr:rowOff>38100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FA88268-2822-4D78-9EF9-13BC4A642C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1079499</xdr:colOff>
      <xdr:row>14</xdr:row>
      <xdr:rowOff>142874</xdr:rowOff>
    </xdr:from>
    <xdr:to>
      <xdr:col>20</xdr:col>
      <xdr:colOff>273434</xdr:colOff>
      <xdr:row>27</xdr:row>
      <xdr:rowOff>95249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3346E7E6-17DA-41D2-85D1-42E9DD1801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79499" y="2825749"/>
          <a:ext cx="24308185" cy="242887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studio_financiero_Estatic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manda Dinamica"/>
      <sheetName val="Presupuesto de Inversion"/>
      <sheetName val="Analisis Financiero"/>
      <sheetName val="Indicadores Financieros"/>
      <sheetName val="Analisis Prestamo"/>
    </sheetNames>
    <sheetDataSet>
      <sheetData sheetId="0">
        <row r="6">
          <cell r="D6">
            <v>0.06</v>
          </cell>
        </row>
        <row r="7">
          <cell r="D7">
            <v>6.5000000000000002E-2</v>
          </cell>
        </row>
        <row r="43">
          <cell r="E43">
            <v>5200000</v>
          </cell>
          <cell r="J43">
            <v>2780290</v>
          </cell>
          <cell r="K43">
            <v>2580290</v>
          </cell>
          <cell r="L43">
            <v>2580290</v>
          </cell>
          <cell r="M43">
            <v>3496630</v>
          </cell>
          <cell r="N43">
            <v>3476630</v>
          </cell>
          <cell r="O43">
            <v>4160580</v>
          </cell>
          <cell r="P43">
            <v>4160580</v>
          </cell>
          <cell r="Q43">
            <v>4160580</v>
          </cell>
          <cell r="R43">
            <v>4160580</v>
          </cell>
          <cell r="S43">
            <v>5456920</v>
          </cell>
          <cell r="T43">
            <v>4160580</v>
          </cell>
          <cell r="U43">
            <v>4160580</v>
          </cell>
          <cell r="V43">
            <v>45334530</v>
          </cell>
          <cell r="W43">
            <v>48054601.800000004</v>
          </cell>
          <cell r="X43">
            <v>51178150.917000011</v>
          </cell>
        </row>
      </sheetData>
      <sheetData sheetId="1">
        <row r="12">
          <cell r="K12">
            <v>640000</v>
          </cell>
        </row>
        <row r="16">
          <cell r="E16">
            <v>4848000</v>
          </cell>
        </row>
        <row r="140">
          <cell r="C140">
            <v>922185.43720183475</v>
          </cell>
          <cell r="D140">
            <v>1822414.0782798163</v>
          </cell>
          <cell r="E140">
            <v>2481117.9619954126</v>
          </cell>
          <cell r="F140">
            <v>4534078.399575687</v>
          </cell>
          <cell r="G140">
            <v>1438170.1461123852</v>
          </cell>
          <cell r="H140">
            <v>1207623.7868119266</v>
          </cell>
          <cell r="I140">
            <v>1899262.8647133026</v>
          </cell>
          <cell r="J140">
            <v>5028106.312362385</v>
          </cell>
          <cell r="K140">
            <v>4984192.7201146781</v>
          </cell>
          <cell r="L140">
            <v>4007115.2926032105</v>
          </cell>
          <cell r="M140">
            <v>1679694.9034747705</v>
          </cell>
          <cell r="N140">
            <v>1130775.0003784401</v>
          </cell>
          <cell r="O140">
            <v>31134736.903623849</v>
          </cell>
          <cell r="P140">
            <v>33625515.855913758</v>
          </cell>
          <cell r="Q140">
            <v>38669343.234300822</v>
          </cell>
        </row>
        <row r="141">
          <cell r="C141">
            <v>138327.8155802752</v>
          </cell>
          <cell r="D141">
            <v>273362.11174197245</v>
          </cell>
          <cell r="E141">
            <v>372167.6942993119</v>
          </cell>
          <cell r="F141">
            <v>680111.75993635308</v>
          </cell>
          <cell r="G141">
            <v>215725.52191685778</v>
          </cell>
          <cell r="H141">
            <v>181143.56802178899</v>
          </cell>
          <cell r="I141">
            <v>284889.42970699538</v>
          </cell>
          <cell r="J141">
            <v>754215.94685435772</v>
          </cell>
          <cell r="K141">
            <v>747628.9080172017</v>
          </cell>
          <cell r="L141">
            <v>601067.29389048158</v>
          </cell>
          <cell r="M141">
            <v>251954.23552121557</v>
          </cell>
          <cell r="N141">
            <v>169616.250056766</v>
          </cell>
          <cell r="O141">
            <v>4670210.5355435777</v>
          </cell>
          <cell r="P141">
            <v>5043827.3783870637</v>
          </cell>
          <cell r="Q141">
            <v>5800401.4851451237</v>
          </cell>
        </row>
        <row r="143">
          <cell r="C143">
            <v>3221408.6776238531</v>
          </cell>
          <cell r="D143">
            <v>6366117.1486376151</v>
          </cell>
          <cell r="E143">
            <v>8667123.3469403666</v>
          </cell>
          <cell r="F143">
            <v>15838592.664983943</v>
          </cell>
          <cell r="G143">
            <v>5023863.5329610091</v>
          </cell>
          <cell r="H143">
            <v>4218511.3635550449</v>
          </cell>
          <cell r="I143">
            <v>6634567.8717729356</v>
          </cell>
          <cell r="J143">
            <v>17564347.31371101</v>
          </cell>
          <cell r="K143">
            <v>17410946.900490824</v>
          </cell>
          <cell r="L143">
            <v>13997787.706341743</v>
          </cell>
          <cell r="M143">
            <v>5867565.8056720179</v>
          </cell>
          <cell r="N143">
            <v>3950060.6404197244</v>
          </cell>
          <cell r="O143">
            <v>108760892.97311008</v>
          </cell>
          <cell r="P143">
            <v>117461764.41095889</v>
          </cell>
          <cell r="Q143">
            <v>135081029.07260272</v>
          </cell>
        </row>
        <row r="145">
          <cell r="C145">
            <v>2080117.5275229355</v>
          </cell>
          <cell r="D145">
            <v>4110708.4472477059</v>
          </cell>
          <cell r="E145">
            <v>5596506.6811926598</v>
          </cell>
          <cell r="F145">
            <v>10227244.510321099</v>
          </cell>
          <cell r="G145">
            <v>3243992.810779816</v>
          </cell>
          <cell r="H145">
            <v>2723963.4288990824</v>
          </cell>
          <cell r="I145">
            <v>4284051.5745412838</v>
          </cell>
          <cell r="J145">
            <v>11341593.185779816</v>
          </cell>
          <cell r="K145">
            <v>11242539.970183484</v>
          </cell>
          <cell r="L145">
            <v>9038605.9231651369</v>
          </cell>
          <cell r="M145">
            <v>3788785.4965596325</v>
          </cell>
          <cell r="N145">
            <v>2550620.3016055045</v>
          </cell>
          <cell r="O145">
            <v>70228729.857798159</v>
          </cell>
          <cell r="P145">
            <v>75847028.246422008</v>
          </cell>
          <cell r="Q145">
            <v>87224082.48338531</v>
          </cell>
        </row>
        <row r="154">
          <cell r="C154">
            <v>1802537.3996834862</v>
          </cell>
          <cell r="D154">
            <v>1910689.6436644953</v>
          </cell>
          <cell r="E154">
            <v>2034884.4705026876</v>
          </cell>
        </row>
        <row r="155">
          <cell r="C155">
            <v>270380.60995252291</v>
          </cell>
          <cell r="D155">
            <v>286603.44654967426</v>
          </cell>
          <cell r="E155">
            <v>305232.67057540314</v>
          </cell>
        </row>
        <row r="160">
          <cell r="F160">
            <v>80000</v>
          </cell>
          <cell r="G160">
            <v>85200</v>
          </cell>
        </row>
        <row r="161">
          <cell r="F161">
            <v>0</v>
          </cell>
          <cell r="G161">
            <v>0</v>
          </cell>
        </row>
        <row r="163">
          <cell r="E163">
            <v>2400000</v>
          </cell>
          <cell r="F163">
            <v>2544000</v>
          </cell>
          <cell r="G163">
            <v>2709360</v>
          </cell>
        </row>
        <row r="164">
          <cell r="E164">
            <v>0</v>
          </cell>
          <cell r="F164">
            <v>0</v>
          </cell>
          <cell r="G164">
            <v>0</v>
          </cell>
        </row>
        <row r="165">
          <cell r="E165">
            <v>48480</v>
          </cell>
          <cell r="F165">
            <v>51388.800000000003</v>
          </cell>
          <cell r="G165">
            <v>54729.072</v>
          </cell>
        </row>
        <row r="166">
          <cell r="E166">
            <v>0</v>
          </cell>
          <cell r="F166">
            <v>0</v>
          </cell>
          <cell r="G166">
            <v>0</v>
          </cell>
        </row>
        <row r="167">
          <cell r="E167">
            <v>120000</v>
          </cell>
          <cell r="F167">
            <v>127200</v>
          </cell>
          <cell r="G167">
            <v>135468</v>
          </cell>
        </row>
        <row r="168">
          <cell r="E168">
            <v>0</v>
          </cell>
          <cell r="F168">
            <v>0</v>
          </cell>
          <cell r="G168">
            <v>0</v>
          </cell>
        </row>
        <row r="209">
          <cell r="C209">
            <v>26916703.390138358</v>
          </cell>
        </row>
      </sheetData>
      <sheetData sheetId="2" refreshError="1"/>
      <sheetData sheetId="3">
        <row r="9">
          <cell r="D9">
            <v>8075011.0170415072</v>
          </cell>
        </row>
      </sheetData>
      <sheetData sheetId="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59"/>
  <sheetViews>
    <sheetView topLeftCell="A19" zoomScale="60" zoomScaleNormal="60" workbookViewId="0">
      <selection activeCell="E13" sqref="E13"/>
    </sheetView>
  </sheetViews>
  <sheetFormatPr baseColWidth="10" defaultRowHeight="15"/>
  <cols>
    <col min="1" max="1" width="21.7109375" customWidth="1"/>
    <col min="2" max="2" width="19" customWidth="1"/>
    <col min="3" max="3" width="30" customWidth="1"/>
    <col min="5" max="5" width="18.7109375" customWidth="1"/>
    <col min="6" max="6" width="18.42578125" customWidth="1"/>
    <col min="7" max="7" width="20" customWidth="1"/>
    <col min="8" max="8" width="22" customWidth="1"/>
    <col min="9" max="9" width="21.5703125" customWidth="1"/>
    <col min="10" max="10" width="31.140625" customWidth="1"/>
    <col min="11" max="11" width="17.7109375" customWidth="1"/>
    <col min="12" max="13" width="13.140625" bestFit="1" customWidth="1"/>
    <col min="14" max="14" width="15.85546875" customWidth="1"/>
    <col min="15" max="16" width="13.140625" bestFit="1" customWidth="1"/>
    <col min="17" max="17" width="26.85546875" customWidth="1"/>
    <col min="18" max="18" width="20.5703125" customWidth="1"/>
    <col min="19" max="19" width="16.28515625" customWidth="1"/>
    <col min="20" max="20" width="13.140625" customWidth="1"/>
    <col min="21" max="21" width="16.5703125" customWidth="1"/>
    <col min="22" max="22" width="14.140625" bestFit="1" customWidth="1"/>
    <col min="23" max="23" width="18.140625" customWidth="1"/>
    <col min="24" max="24" width="11.5703125" bestFit="1" customWidth="1"/>
  </cols>
  <sheetData>
    <row r="2" spans="1:19">
      <c r="A2" s="145" t="s">
        <v>0</v>
      </c>
      <c r="B2" s="145"/>
      <c r="C2" s="145"/>
      <c r="D2" s="145"/>
    </row>
    <row r="4" spans="1:19">
      <c r="A4" s="71" t="s">
        <v>215</v>
      </c>
      <c r="C4" s="146" t="s">
        <v>1</v>
      </c>
      <c r="D4" s="146"/>
      <c r="I4" s="2" t="s">
        <v>5</v>
      </c>
      <c r="J4" s="4">
        <v>0.19</v>
      </c>
      <c r="M4" s="149" t="s">
        <v>7</v>
      </c>
      <c r="N4" s="150"/>
      <c r="O4" s="148"/>
      <c r="R4" s="151" t="s">
        <v>10</v>
      </c>
      <c r="S4" s="152"/>
    </row>
    <row r="5" spans="1:19">
      <c r="A5" s="71" t="s">
        <v>216</v>
      </c>
      <c r="C5" s="2" t="s">
        <v>2</v>
      </c>
      <c r="D5" s="3">
        <v>5.5E-2</v>
      </c>
      <c r="E5" t="s">
        <v>36</v>
      </c>
      <c r="I5" s="2" t="s">
        <v>6</v>
      </c>
      <c r="J5" s="5">
        <v>3.5000000000000003E-2</v>
      </c>
      <c r="M5" s="6">
        <v>0.5</v>
      </c>
      <c r="N5" s="147" t="s">
        <v>8</v>
      </c>
      <c r="O5" s="148"/>
      <c r="R5" s="153"/>
      <c r="S5" s="154"/>
    </row>
    <row r="6" spans="1:19">
      <c r="A6" s="71" t="s">
        <v>217</v>
      </c>
      <c r="C6" s="2" t="s">
        <v>3</v>
      </c>
      <c r="D6" s="4">
        <v>0.06</v>
      </c>
      <c r="M6" s="6">
        <v>0.5</v>
      </c>
      <c r="N6" s="147" t="s">
        <v>9</v>
      </c>
      <c r="O6" s="148"/>
      <c r="R6" s="7" t="s">
        <v>11</v>
      </c>
      <c r="S6" s="8">
        <v>0.08</v>
      </c>
    </row>
    <row r="7" spans="1:19">
      <c r="C7" s="2" t="s">
        <v>4</v>
      </c>
      <c r="D7" s="3">
        <v>6.5000000000000002E-2</v>
      </c>
      <c r="R7" s="7" t="s">
        <v>12</v>
      </c>
      <c r="S7" s="8">
        <v>0.15</v>
      </c>
    </row>
    <row r="9" spans="1:19">
      <c r="B9" s="155" t="s">
        <v>29</v>
      </c>
      <c r="C9" s="155"/>
      <c r="D9" s="155"/>
      <c r="E9" s="155"/>
      <c r="F9" s="155"/>
      <c r="G9" s="155"/>
      <c r="H9" s="155"/>
      <c r="I9" s="155"/>
      <c r="J9" s="155"/>
      <c r="K9" s="155"/>
      <c r="L9" s="155"/>
      <c r="M9" s="155"/>
      <c r="N9" s="155"/>
      <c r="O9" s="155"/>
      <c r="P9" s="155"/>
      <c r="Q9" s="155"/>
    </row>
    <row r="10" spans="1:19">
      <c r="B10" s="10"/>
      <c r="C10" s="11" t="s">
        <v>15</v>
      </c>
      <c r="D10" s="11" t="s">
        <v>16</v>
      </c>
      <c r="E10" s="11" t="s">
        <v>17</v>
      </c>
      <c r="F10" s="11" t="s">
        <v>18</v>
      </c>
      <c r="G10" s="11" t="s">
        <v>19</v>
      </c>
      <c r="H10" s="11" t="s">
        <v>20</v>
      </c>
      <c r="I10" s="11" t="s">
        <v>21</v>
      </c>
      <c r="J10" s="11" t="s">
        <v>22</v>
      </c>
      <c r="K10" s="11" t="s">
        <v>23</v>
      </c>
      <c r="L10" s="11" t="s">
        <v>24</v>
      </c>
      <c r="M10" s="11" t="s">
        <v>25</v>
      </c>
      <c r="N10" s="11" t="s">
        <v>26</v>
      </c>
      <c r="O10" s="11" t="s">
        <v>27</v>
      </c>
      <c r="P10" s="11" t="s">
        <v>28</v>
      </c>
      <c r="Q10" s="11" t="s">
        <v>4</v>
      </c>
    </row>
    <row r="11" spans="1:19">
      <c r="B11" s="10" t="s">
        <v>13</v>
      </c>
      <c r="C11" s="10">
        <v>300</v>
      </c>
      <c r="D11" s="10">
        <v>330</v>
      </c>
      <c r="E11" s="10">
        <v>350</v>
      </c>
      <c r="F11" s="10">
        <v>500</v>
      </c>
      <c r="G11" s="10">
        <v>300</v>
      </c>
      <c r="H11" s="10">
        <v>150</v>
      </c>
      <c r="I11" s="10">
        <v>250</v>
      </c>
      <c r="J11" s="10">
        <v>500</v>
      </c>
      <c r="K11" s="10">
        <v>600</v>
      </c>
      <c r="L11" s="10">
        <v>450</v>
      </c>
      <c r="M11" s="10">
        <v>300</v>
      </c>
      <c r="N11" s="10">
        <v>150</v>
      </c>
      <c r="O11" s="10">
        <f>SUM(C11:N11)</f>
        <v>4180</v>
      </c>
      <c r="P11" s="12">
        <f>O11+(O11*$S$6)</f>
        <v>4514.3999999999996</v>
      </c>
      <c r="Q11" s="12">
        <f>P11+(P11*$S$7)</f>
        <v>5191.5599999999995</v>
      </c>
    </row>
    <row r="12" spans="1:19">
      <c r="B12" s="10" t="s">
        <v>14</v>
      </c>
      <c r="C12" s="10">
        <v>50</v>
      </c>
      <c r="D12" s="10">
        <v>100</v>
      </c>
      <c r="E12" s="10">
        <v>150</v>
      </c>
      <c r="F12" s="10">
        <v>200</v>
      </c>
      <c r="G12" s="10">
        <v>100</v>
      </c>
      <c r="H12" s="10">
        <v>60</v>
      </c>
      <c r="I12" s="10">
        <v>100</v>
      </c>
      <c r="J12" s="10">
        <v>300</v>
      </c>
      <c r="K12" s="10">
        <v>450</v>
      </c>
      <c r="L12" s="10">
        <v>300</v>
      </c>
      <c r="M12" s="10">
        <v>150</v>
      </c>
      <c r="N12" s="10">
        <v>100</v>
      </c>
      <c r="O12" s="10">
        <f t="shared" ref="O12" si="0">SUM(C12:N12)</f>
        <v>2060</v>
      </c>
      <c r="P12" s="12">
        <f>O12+(O12*$S$6)</f>
        <v>2224.8000000000002</v>
      </c>
      <c r="Q12" s="12">
        <f>P12+(P12*$S$7)</f>
        <v>2558.5200000000004</v>
      </c>
    </row>
    <row r="13" spans="1:19" ht="51" customHeight="1">
      <c r="B13" s="14" t="s">
        <v>37</v>
      </c>
      <c r="C13" s="15">
        <f ca="1">RANDBETWEEN(C12,C11)</f>
        <v>249</v>
      </c>
      <c r="D13" s="112">
        <f t="shared" ref="D13:N13" ca="1" si="1">RANDBETWEEN(D12,D11)</f>
        <v>164</v>
      </c>
      <c r="E13" s="112">
        <f t="shared" ca="1" si="1"/>
        <v>267</v>
      </c>
      <c r="F13" s="112">
        <f t="shared" ca="1" si="1"/>
        <v>237</v>
      </c>
      <c r="G13" s="112">
        <f t="shared" ca="1" si="1"/>
        <v>134</v>
      </c>
      <c r="H13" s="112">
        <f t="shared" ca="1" si="1"/>
        <v>109</v>
      </c>
      <c r="I13" s="112">
        <f t="shared" ca="1" si="1"/>
        <v>172</v>
      </c>
      <c r="J13" s="112">
        <f t="shared" ca="1" si="1"/>
        <v>312</v>
      </c>
      <c r="K13" s="112">
        <f t="shared" ca="1" si="1"/>
        <v>523</v>
      </c>
      <c r="L13" s="112">
        <f t="shared" ca="1" si="1"/>
        <v>436</v>
      </c>
      <c r="M13" s="112">
        <f t="shared" ca="1" si="1"/>
        <v>292</v>
      </c>
      <c r="N13" s="112">
        <f t="shared" ca="1" si="1"/>
        <v>108</v>
      </c>
      <c r="O13" s="15">
        <f t="shared" ref="O13" ca="1" si="2">RANDBETWEEN(O12,O11)</f>
        <v>3361</v>
      </c>
      <c r="P13" s="15">
        <f t="shared" ref="P13" ca="1" si="3">RANDBETWEEN(P12,P11)</f>
        <v>2380</v>
      </c>
      <c r="Q13" s="15">
        <f t="shared" ref="Q13" ca="1" si="4">RANDBETWEEN(Q12,Q11)</f>
        <v>5136</v>
      </c>
    </row>
    <row r="32" spans="2:24">
      <c r="B32" s="157" t="s">
        <v>48</v>
      </c>
      <c r="C32" s="157"/>
      <c r="D32" s="157"/>
      <c r="E32" s="157"/>
      <c r="F32" s="157"/>
      <c r="G32" s="157"/>
      <c r="H32" s="157"/>
      <c r="I32" s="157"/>
      <c r="J32" s="157"/>
      <c r="K32" s="157"/>
      <c r="L32" s="157"/>
      <c r="M32" s="157"/>
      <c r="N32" s="157"/>
      <c r="O32" s="157"/>
      <c r="P32" s="157"/>
      <c r="Q32" s="157"/>
      <c r="R32" s="157"/>
      <c r="S32" s="157"/>
      <c r="T32" s="157"/>
      <c r="U32" s="157"/>
      <c r="V32" s="157"/>
      <c r="W32" s="157"/>
      <c r="X32" s="157"/>
    </row>
    <row r="33" spans="2:25" ht="27.75" customHeight="1">
      <c r="B33" s="11" t="s">
        <v>30</v>
      </c>
      <c r="C33" s="11" t="s">
        <v>31</v>
      </c>
      <c r="D33" s="11" t="s">
        <v>32</v>
      </c>
      <c r="E33" s="13" t="s">
        <v>35</v>
      </c>
      <c r="F33" s="13" t="s">
        <v>38</v>
      </c>
      <c r="G33" s="13" t="s">
        <v>39</v>
      </c>
      <c r="H33" s="13" t="s">
        <v>113</v>
      </c>
      <c r="I33" s="13" t="s">
        <v>40</v>
      </c>
      <c r="J33" s="11" t="s">
        <v>15</v>
      </c>
      <c r="K33" s="11" t="s">
        <v>16</v>
      </c>
      <c r="L33" s="11" t="s">
        <v>33</v>
      </c>
      <c r="M33" s="11" t="s">
        <v>34</v>
      </c>
      <c r="N33" s="11" t="s">
        <v>19</v>
      </c>
      <c r="O33" s="11" t="s">
        <v>20</v>
      </c>
      <c r="P33" s="11" t="s">
        <v>21</v>
      </c>
      <c r="Q33" s="11" t="s">
        <v>41</v>
      </c>
      <c r="R33" s="11" t="s">
        <v>42</v>
      </c>
      <c r="S33" s="11" t="s">
        <v>24</v>
      </c>
      <c r="T33" s="11" t="s">
        <v>25</v>
      </c>
      <c r="U33" s="11" t="s">
        <v>26</v>
      </c>
      <c r="V33" s="11" t="s">
        <v>2</v>
      </c>
      <c r="W33" s="11" t="s">
        <v>3</v>
      </c>
      <c r="X33" s="11" t="s">
        <v>43</v>
      </c>
    </row>
    <row r="34" spans="2:25">
      <c r="B34" s="156" t="s">
        <v>47</v>
      </c>
      <c r="C34" s="2" t="s">
        <v>44</v>
      </c>
      <c r="D34" s="2">
        <v>1</v>
      </c>
      <c r="E34" s="18">
        <v>1300000</v>
      </c>
      <c r="F34" s="32">
        <f>E34/$H$49</f>
        <v>1.7621933614109475</v>
      </c>
      <c r="G34" s="2">
        <v>0</v>
      </c>
      <c r="H34" s="18">
        <f>E34*$D$59</f>
        <v>680290</v>
      </c>
      <c r="I34" s="18">
        <f>E34+G34+H34</f>
        <v>1980290</v>
      </c>
      <c r="J34" s="18">
        <v>0</v>
      </c>
      <c r="K34" s="18">
        <v>0</v>
      </c>
      <c r="L34" s="18">
        <v>0</v>
      </c>
      <c r="M34" s="18">
        <v>0</v>
      </c>
      <c r="N34" s="18">
        <v>0</v>
      </c>
      <c r="O34" s="18">
        <v>1980290</v>
      </c>
      <c r="P34" s="18">
        <v>1980290</v>
      </c>
      <c r="Q34" s="18">
        <v>1980290</v>
      </c>
      <c r="R34" s="18">
        <v>1980290</v>
      </c>
      <c r="S34" s="18">
        <v>1980290</v>
      </c>
      <c r="T34" s="18">
        <v>1980290</v>
      </c>
      <c r="U34" s="18">
        <v>1980290</v>
      </c>
      <c r="V34" s="18">
        <f>SUM(J34:U34)</f>
        <v>13862030</v>
      </c>
      <c r="W34" s="18">
        <f>V34+(V34*$D$6)</f>
        <v>14693751.800000001</v>
      </c>
      <c r="X34" s="18">
        <f>W34+(W34*$D$7)</f>
        <v>15648845.667000001</v>
      </c>
    </row>
    <row r="35" spans="2:25">
      <c r="B35" s="156"/>
      <c r="C35" s="2" t="s">
        <v>45</v>
      </c>
      <c r="D35" s="2">
        <v>1</v>
      </c>
      <c r="E35" s="18">
        <v>200000</v>
      </c>
      <c r="F35" s="32">
        <f>E35/$H$49</f>
        <v>0.27110667098629965</v>
      </c>
      <c r="G35" s="2">
        <v>0</v>
      </c>
      <c r="H35" s="18">
        <v>0</v>
      </c>
      <c r="I35" s="18">
        <f>E35+G35+H35</f>
        <v>200000</v>
      </c>
      <c r="J35" s="18">
        <v>200000</v>
      </c>
      <c r="K35" s="18">
        <v>200000</v>
      </c>
      <c r="L35" s="18">
        <v>200000</v>
      </c>
      <c r="M35" s="18">
        <v>200000</v>
      </c>
      <c r="N35" s="18">
        <v>200000</v>
      </c>
      <c r="O35" s="18">
        <v>200000</v>
      </c>
      <c r="P35" s="18">
        <v>200000</v>
      </c>
      <c r="Q35" s="18">
        <v>200000</v>
      </c>
      <c r="R35" s="18">
        <v>200000</v>
      </c>
      <c r="S35" s="18">
        <v>200000</v>
      </c>
      <c r="T35" s="18">
        <v>200000</v>
      </c>
      <c r="U35" s="18">
        <v>200000</v>
      </c>
      <c r="V35" s="18">
        <f>SUM(J35:U35)</f>
        <v>2400000</v>
      </c>
      <c r="W35" s="18">
        <f>V35+(V35*$D$6)</f>
        <v>2544000</v>
      </c>
      <c r="X35" s="18">
        <f>W35+(W35*$D$7)</f>
        <v>2709360</v>
      </c>
    </row>
    <row r="36" spans="2:25">
      <c r="B36" s="156"/>
      <c r="C36" s="21" t="s">
        <v>46</v>
      </c>
      <c r="D36" s="21">
        <f>SUM(D34:D35)</f>
        <v>2</v>
      </c>
      <c r="E36" s="25">
        <f t="shared" ref="E36:V36" si="5">SUM(E34:E35)</f>
        <v>1500000</v>
      </c>
      <c r="F36" s="33">
        <f t="shared" si="5"/>
        <v>2.0333000323972472</v>
      </c>
      <c r="G36" s="21">
        <f t="shared" si="5"/>
        <v>0</v>
      </c>
      <c r="H36" s="25">
        <f t="shared" si="5"/>
        <v>680290</v>
      </c>
      <c r="I36" s="25">
        <f t="shared" si="5"/>
        <v>2180290</v>
      </c>
      <c r="J36" s="25">
        <f t="shared" si="5"/>
        <v>200000</v>
      </c>
      <c r="K36" s="25">
        <f t="shared" si="5"/>
        <v>200000</v>
      </c>
      <c r="L36" s="25">
        <f t="shared" si="5"/>
        <v>200000</v>
      </c>
      <c r="M36" s="25">
        <f t="shared" si="5"/>
        <v>200000</v>
      </c>
      <c r="N36" s="25">
        <f t="shared" si="5"/>
        <v>200000</v>
      </c>
      <c r="O36" s="25">
        <f t="shared" si="5"/>
        <v>2180290</v>
      </c>
      <c r="P36" s="25">
        <f t="shared" si="5"/>
        <v>2180290</v>
      </c>
      <c r="Q36" s="25">
        <f t="shared" si="5"/>
        <v>2180290</v>
      </c>
      <c r="R36" s="25">
        <f t="shared" si="5"/>
        <v>2180290</v>
      </c>
      <c r="S36" s="25">
        <f t="shared" si="5"/>
        <v>2180290</v>
      </c>
      <c r="T36" s="25">
        <f t="shared" si="5"/>
        <v>2180290</v>
      </c>
      <c r="U36" s="25">
        <f t="shared" si="5"/>
        <v>2180290</v>
      </c>
      <c r="V36" s="25">
        <f t="shared" si="5"/>
        <v>16262030</v>
      </c>
      <c r="W36" s="25">
        <f>SUM(W34:W35)</f>
        <v>17237751.800000001</v>
      </c>
      <c r="X36" s="25">
        <f>SUM(X34:X35)</f>
        <v>18358205.667000003</v>
      </c>
    </row>
    <row r="37" spans="2:25">
      <c r="B37" s="156" t="s">
        <v>50</v>
      </c>
      <c r="C37" s="2" t="s">
        <v>49</v>
      </c>
      <c r="D37" s="2">
        <v>1</v>
      </c>
      <c r="E37" s="18">
        <v>1300000</v>
      </c>
      <c r="F37" s="32">
        <f>E37/$H$49</f>
        <v>1.7621933614109475</v>
      </c>
      <c r="G37" s="2">
        <v>0</v>
      </c>
      <c r="H37" s="18">
        <f>E37*$D$59</f>
        <v>680290</v>
      </c>
      <c r="I37" s="18">
        <f>E37+G37+H37</f>
        <v>1980290</v>
      </c>
      <c r="J37" s="18">
        <v>1980290</v>
      </c>
      <c r="K37" s="18">
        <v>1980290</v>
      </c>
      <c r="L37" s="18">
        <v>1980290</v>
      </c>
      <c r="M37" s="18">
        <v>1980290</v>
      </c>
      <c r="N37" s="18">
        <v>1980290</v>
      </c>
      <c r="O37" s="18">
        <v>1980290</v>
      </c>
      <c r="P37" s="18">
        <v>1980290</v>
      </c>
      <c r="Q37" s="18">
        <v>1980290</v>
      </c>
      <c r="R37" s="18">
        <v>1980290</v>
      </c>
      <c r="S37" s="18">
        <v>1980290</v>
      </c>
      <c r="T37" s="18">
        <v>1980290</v>
      </c>
      <c r="U37" s="18">
        <v>1980290</v>
      </c>
      <c r="V37" s="18">
        <f>SUM(J37:U37)</f>
        <v>23763480</v>
      </c>
      <c r="W37" s="18">
        <f>V37+(V37*$D$6)</f>
        <v>25189288.800000001</v>
      </c>
      <c r="X37" s="18">
        <f>W37+(W37*$D$7)</f>
        <v>26826592.572000001</v>
      </c>
    </row>
    <row r="38" spans="2:25">
      <c r="B38" s="156"/>
      <c r="C38" s="2" t="s">
        <v>78</v>
      </c>
      <c r="D38" s="2">
        <v>1</v>
      </c>
      <c r="E38" s="18">
        <v>800000</v>
      </c>
      <c r="F38" s="32">
        <f>E38/$H$49</f>
        <v>1.0844266839451986</v>
      </c>
      <c r="G38" s="29">
        <v>77700</v>
      </c>
      <c r="H38" s="18">
        <f>E38*$D$59</f>
        <v>418640</v>
      </c>
      <c r="I38" s="18">
        <f>E38+G38+H38</f>
        <v>1296340</v>
      </c>
      <c r="J38" s="18">
        <v>400000</v>
      </c>
      <c r="K38" s="18">
        <v>400000</v>
      </c>
      <c r="L38" s="18">
        <v>400000</v>
      </c>
      <c r="M38" s="18">
        <v>0</v>
      </c>
      <c r="N38" s="18">
        <v>0</v>
      </c>
      <c r="O38" s="18">
        <v>0</v>
      </c>
      <c r="P38" s="18">
        <v>0</v>
      </c>
      <c r="Q38" s="18">
        <v>0</v>
      </c>
      <c r="R38" s="18">
        <v>0</v>
      </c>
      <c r="S38" s="18">
        <v>0</v>
      </c>
      <c r="T38" s="18">
        <v>0</v>
      </c>
      <c r="U38" s="18">
        <v>0</v>
      </c>
      <c r="V38" s="18">
        <f>SUM(J38:U38)</f>
        <v>1200000</v>
      </c>
      <c r="W38" s="18">
        <f>V38+(V38*$D$6)</f>
        <v>1272000</v>
      </c>
      <c r="X38" s="18">
        <f>W38+(W38*$D$7)</f>
        <v>1354680</v>
      </c>
    </row>
    <row r="39" spans="2:25">
      <c r="B39" s="156"/>
      <c r="C39" s="21" t="s">
        <v>51</v>
      </c>
      <c r="D39" s="21">
        <f>SUM(D37:D38)</f>
        <v>2</v>
      </c>
      <c r="E39" s="25">
        <f t="shared" ref="E39:X39" si="6">SUM(E37:E38)</f>
        <v>2100000</v>
      </c>
      <c r="F39" s="33">
        <f t="shared" si="6"/>
        <v>2.8466200453561461</v>
      </c>
      <c r="G39" s="21">
        <f t="shared" si="6"/>
        <v>77700</v>
      </c>
      <c r="H39" s="25">
        <f t="shared" si="6"/>
        <v>1098930</v>
      </c>
      <c r="I39" s="25">
        <f t="shared" si="6"/>
        <v>3276630</v>
      </c>
      <c r="J39" s="25">
        <f t="shared" si="6"/>
        <v>2380290</v>
      </c>
      <c r="K39" s="25">
        <f t="shared" si="6"/>
        <v>2380290</v>
      </c>
      <c r="L39" s="25">
        <f t="shared" si="6"/>
        <v>2380290</v>
      </c>
      <c r="M39" s="25">
        <f t="shared" si="6"/>
        <v>1980290</v>
      </c>
      <c r="N39" s="25">
        <f t="shared" si="6"/>
        <v>1980290</v>
      </c>
      <c r="O39" s="25">
        <f t="shared" si="6"/>
        <v>1980290</v>
      </c>
      <c r="P39" s="25">
        <f t="shared" si="6"/>
        <v>1980290</v>
      </c>
      <c r="Q39" s="25">
        <f t="shared" si="6"/>
        <v>1980290</v>
      </c>
      <c r="R39" s="25">
        <f t="shared" si="6"/>
        <v>1980290</v>
      </c>
      <c r="S39" s="25">
        <f t="shared" si="6"/>
        <v>1980290</v>
      </c>
      <c r="T39" s="25">
        <f t="shared" si="6"/>
        <v>1980290</v>
      </c>
      <c r="U39" s="25">
        <f t="shared" si="6"/>
        <v>1980290</v>
      </c>
      <c r="V39" s="25">
        <f t="shared" si="6"/>
        <v>24963480</v>
      </c>
      <c r="W39" s="25">
        <f t="shared" si="6"/>
        <v>26461288.800000001</v>
      </c>
      <c r="X39" s="25">
        <f t="shared" si="6"/>
        <v>28181272.572000001</v>
      </c>
    </row>
    <row r="40" spans="2:25">
      <c r="B40" s="156" t="s">
        <v>55</v>
      </c>
      <c r="C40" s="2" t="s">
        <v>52</v>
      </c>
      <c r="D40" s="2">
        <v>1</v>
      </c>
      <c r="E40" s="18">
        <v>800000</v>
      </c>
      <c r="F40" s="32">
        <f>E40/$H$49</f>
        <v>1.0844266839451986</v>
      </c>
      <c r="G40" s="29">
        <v>77700</v>
      </c>
      <c r="H40" s="18">
        <f>E40*$D$59</f>
        <v>418640</v>
      </c>
      <c r="I40" s="18">
        <f>E40+G40+H40</f>
        <v>1296340</v>
      </c>
      <c r="J40" s="18">
        <v>0</v>
      </c>
      <c r="K40" s="18">
        <v>0</v>
      </c>
      <c r="L40" s="18">
        <v>0</v>
      </c>
      <c r="M40" s="18">
        <v>1296340</v>
      </c>
      <c r="N40" s="18">
        <v>1296340</v>
      </c>
      <c r="O40" s="18">
        <v>0</v>
      </c>
      <c r="P40" s="18">
        <v>0</v>
      </c>
      <c r="Q40" s="18">
        <v>0</v>
      </c>
      <c r="R40" s="18">
        <v>0</v>
      </c>
      <c r="S40" s="18">
        <v>1296340</v>
      </c>
      <c r="T40" s="18">
        <v>0</v>
      </c>
      <c r="U40" s="18">
        <v>0</v>
      </c>
      <c r="V40" s="18">
        <f>SUM(J40:U40)</f>
        <v>3889020</v>
      </c>
      <c r="W40" s="18">
        <f>V40+(V40*$D$6)</f>
        <v>4122361.2</v>
      </c>
      <c r="X40" s="18">
        <f>W40+(W40*$D$7)</f>
        <v>4390314.6780000003</v>
      </c>
    </row>
    <row r="41" spans="2:25">
      <c r="B41" s="156"/>
      <c r="C41" s="2" t="s">
        <v>53</v>
      </c>
      <c r="D41" s="2">
        <v>1</v>
      </c>
      <c r="E41" s="18">
        <v>800000</v>
      </c>
      <c r="F41" s="32">
        <f>E41/$H$49</f>
        <v>1.0844266839451986</v>
      </c>
      <c r="G41" s="29">
        <v>77700</v>
      </c>
      <c r="H41" s="18">
        <f>E41*$D$59</f>
        <v>418640</v>
      </c>
      <c r="I41" s="18">
        <f>E41+G41+H41</f>
        <v>1296340</v>
      </c>
      <c r="J41" s="18">
        <v>200000</v>
      </c>
      <c r="K41" s="18">
        <v>0</v>
      </c>
      <c r="L41" s="18">
        <v>0</v>
      </c>
      <c r="M41" s="18">
        <v>20000</v>
      </c>
      <c r="N41" s="18">
        <v>0</v>
      </c>
      <c r="O41" s="18">
        <v>0</v>
      </c>
      <c r="P41" s="18">
        <v>0</v>
      </c>
      <c r="Q41" s="18">
        <v>0</v>
      </c>
      <c r="R41" s="18">
        <v>0</v>
      </c>
      <c r="S41" s="18">
        <v>0</v>
      </c>
      <c r="T41" s="18">
        <v>0</v>
      </c>
      <c r="U41" s="18">
        <v>0</v>
      </c>
      <c r="V41" s="18">
        <f>SUM(J41:U41)</f>
        <v>220000</v>
      </c>
      <c r="W41" s="18">
        <f>V41+(V41*$D$6)</f>
        <v>233200</v>
      </c>
      <c r="X41" s="18">
        <f>W41+(W41*$D$7)</f>
        <v>248358</v>
      </c>
    </row>
    <row r="42" spans="2:25">
      <c r="B42" s="156"/>
      <c r="C42" s="21" t="s">
        <v>54</v>
      </c>
      <c r="D42" s="21">
        <f>SUM(D40:D41)</f>
        <v>2</v>
      </c>
      <c r="E42" s="25">
        <f t="shared" ref="E42:X42" si="7">SUM(E40:E41)</f>
        <v>1600000</v>
      </c>
      <c r="F42" s="33">
        <f t="shared" si="7"/>
        <v>2.1688533678903972</v>
      </c>
      <c r="G42" s="21">
        <f t="shared" si="7"/>
        <v>155400</v>
      </c>
      <c r="H42" s="25">
        <f t="shared" si="7"/>
        <v>837280</v>
      </c>
      <c r="I42" s="25">
        <f t="shared" si="7"/>
        <v>2592680</v>
      </c>
      <c r="J42" s="25">
        <f t="shared" si="7"/>
        <v>200000</v>
      </c>
      <c r="K42" s="25">
        <f t="shared" si="7"/>
        <v>0</v>
      </c>
      <c r="L42" s="25">
        <f t="shared" si="7"/>
        <v>0</v>
      </c>
      <c r="M42" s="25">
        <f t="shared" si="7"/>
        <v>1316340</v>
      </c>
      <c r="N42" s="25">
        <f t="shared" si="7"/>
        <v>1296340</v>
      </c>
      <c r="O42" s="25">
        <f t="shared" si="7"/>
        <v>0</v>
      </c>
      <c r="P42" s="25">
        <f t="shared" si="7"/>
        <v>0</v>
      </c>
      <c r="Q42" s="25">
        <f t="shared" si="7"/>
        <v>0</v>
      </c>
      <c r="R42" s="25">
        <f t="shared" si="7"/>
        <v>0</v>
      </c>
      <c r="S42" s="25">
        <f t="shared" si="7"/>
        <v>1296340</v>
      </c>
      <c r="T42" s="25">
        <f t="shared" si="7"/>
        <v>0</v>
      </c>
      <c r="U42" s="25">
        <f t="shared" si="7"/>
        <v>0</v>
      </c>
      <c r="V42" s="25">
        <f t="shared" si="7"/>
        <v>4109020</v>
      </c>
      <c r="W42" s="25">
        <f t="shared" si="7"/>
        <v>4355561.2</v>
      </c>
      <c r="X42" s="25">
        <f t="shared" si="7"/>
        <v>4638672.6780000003</v>
      </c>
    </row>
    <row r="43" spans="2:25">
      <c r="C43" s="21" t="s">
        <v>56</v>
      </c>
      <c r="D43" s="21">
        <f>D36+D39+D42</f>
        <v>6</v>
      </c>
      <c r="E43" s="25">
        <f>E36+E39+E42</f>
        <v>5200000</v>
      </c>
      <c r="F43" s="33">
        <f t="shared" ref="F43:V43" si="8">F36+F39+F42</f>
        <v>7.0487734456437909</v>
      </c>
      <c r="G43" s="25">
        <f t="shared" si="8"/>
        <v>233100</v>
      </c>
      <c r="H43" s="25">
        <f t="shared" si="8"/>
        <v>2616500</v>
      </c>
      <c r="I43" s="25">
        <f t="shared" si="8"/>
        <v>8049600</v>
      </c>
      <c r="J43" s="25">
        <f t="shared" si="8"/>
        <v>2780290</v>
      </c>
      <c r="K43" s="25">
        <f t="shared" si="8"/>
        <v>2580290</v>
      </c>
      <c r="L43" s="25">
        <f t="shared" si="8"/>
        <v>2580290</v>
      </c>
      <c r="M43" s="25">
        <f t="shared" si="8"/>
        <v>3496630</v>
      </c>
      <c r="N43" s="25">
        <f t="shared" si="8"/>
        <v>3476630</v>
      </c>
      <c r="O43" s="25">
        <f t="shared" si="8"/>
        <v>4160580</v>
      </c>
      <c r="P43" s="25">
        <f t="shared" si="8"/>
        <v>4160580</v>
      </c>
      <c r="Q43" s="25">
        <f t="shared" si="8"/>
        <v>4160580</v>
      </c>
      <c r="R43" s="25">
        <f t="shared" si="8"/>
        <v>4160580</v>
      </c>
      <c r="S43" s="25">
        <f t="shared" si="8"/>
        <v>5456920</v>
      </c>
      <c r="T43" s="25">
        <f t="shared" si="8"/>
        <v>4160580</v>
      </c>
      <c r="U43" s="25">
        <f t="shared" si="8"/>
        <v>4160580</v>
      </c>
      <c r="V43" s="25">
        <f t="shared" si="8"/>
        <v>45334530</v>
      </c>
      <c r="W43" s="25">
        <f>W36+W39+W42</f>
        <v>48054601.800000004</v>
      </c>
      <c r="X43" s="25">
        <f>X36+X39+X42</f>
        <v>51178150.917000011</v>
      </c>
    </row>
    <row r="47" spans="2:25">
      <c r="B47" s="155" t="s">
        <v>77</v>
      </c>
      <c r="C47" s="155"/>
      <c r="D47" s="155"/>
      <c r="E47" s="155"/>
    </row>
    <row r="48" spans="2:25" ht="27.75" customHeight="1">
      <c r="B48" s="158" t="s">
        <v>68</v>
      </c>
      <c r="C48" s="158"/>
      <c r="D48" s="22" t="s">
        <v>71</v>
      </c>
      <c r="E48" s="23" t="s">
        <v>72</v>
      </c>
      <c r="G48" s="159" t="s">
        <v>73</v>
      </c>
      <c r="H48" s="159"/>
      <c r="J48" s="159" t="s">
        <v>79</v>
      </c>
      <c r="K48" s="159"/>
      <c r="L48" s="159"/>
      <c r="N48" s="30" t="s">
        <v>97</v>
      </c>
      <c r="O48" s="30" t="s">
        <v>98</v>
      </c>
      <c r="Q48" s="162" t="s">
        <v>107</v>
      </c>
      <c r="R48" s="162"/>
      <c r="S48" s="162"/>
      <c r="T48" s="162"/>
      <c r="U48" s="162"/>
      <c r="W48" s="160" t="s">
        <v>114</v>
      </c>
      <c r="X48" s="160"/>
      <c r="Y48" s="160"/>
    </row>
    <row r="49" spans="2:25">
      <c r="B49" s="158" t="s">
        <v>69</v>
      </c>
      <c r="C49" s="2" t="s">
        <v>57</v>
      </c>
      <c r="D49" s="4">
        <v>0.04</v>
      </c>
      <c r="E49" s="18">
        <f>$H$49*D49</f>
        <v>29508.68</v>
      </c>
      <c r="G49" s="2" t="s">
        <v>74</v>
      </c>
      <c r="H49" s="26">
        <v>737717</v>
      </c>
      <c r="J49" s="2" t="s">
        <v>68</v>
      </c>
      <c r="K49" s="2" t="s">
        <v>80</v>
      </c>
      <c r="L49" s="2" t="s">
        <v>81</v>
      </c>
      <c r="N49" s="2" t="s">
        <v>99</v>
      </c>
      <c r="O49" s="2" t="s">
        <v>100</v>
      </c>
      <c r="Q49" s="156" t="s">
        <v>101</v>
      </c>
      <c r="R49" s="161" t="s">
        <v>102</v>
      </c>
      <c r="S49" s="161" t="s">
        <v>103</v>
      </c>
      <c r="T49" s="161" t="s">
        <v>106</v>
      </c>
      <c r="U49" s="161"/>
      <c r="W49" s="34" t="s">
        <v>115</v>
      </c>
      <c r="X49" s="34" t="s">
        <v>116</v>
      </c>
      <c r="Y49" s="34" t="s">
        <v>117</v>
      </c>
    </row>
    <row r="50" spans="2:25">
      <c r="B50" s="158"/>
      <c r="C50" s="2" t="s">
        <v>58</v>
      </c>
      <c r="D50" s="4">
        <v>0.03</v>
      </c>
      <c r="E50" s="18">
        <f t="shared" ref="E50:E58" si="9">$H$49*D50</f>
        <v>22131.51</v>
      </c>
      <c r="G50" s="2" t="s">
        <v>75</v>
      </c>
      <c r="H50" s="26" t="s">
        <v>218</v>
      </c>
      <c r="J50" s="2" t="s">
        <v>82</v>
      </c>
      <c r="K50" s="2" t="s">
        <v>83</v>
      </c>
      <c r="L50" s="19">
        <f>H49/(8*30)</f>
        <v>3073.8208333333332</v>
      </c>
      <c r="N50" s="2" t="s">
        <v>105</v>
      </c>
      <c r="O50" s="2">
        <v>8</v>
      </c>
      <c r="Q50" s="156"/>
      <c r="R50" s="161"/>
      <c r="S50" s="161"/>
      <c r="T50" s="10" t="s">
        <v>104</v>
      </c>
      <c r="U50" s="10" t="s">
        <v>105</v>
      </c>
      <c r="W50" s="34" t="s">
        <v>118</v>
      </c>
      <c r="X50" s="34">
        <v>1</v>
      </c>
      <c r="Y50" s="34">
        <f>X50/$U$55</f>
        <v>1.2254901960784314E-3</v>
      </c>
    </row>
    <row r="51" spans="2:25">
      <c r="B51" s="158"/>
      <c r="C51" s="2" t="s">
        <v>59</v>
      </c>
      <c r="D51" s="4">
        <v>0.02</v>
      </c>
      <c r="E51" s="18">
        <f t="shared" si="9"/>
        <v>14754.34</v>
      </c>
      <c r="G51" s="2" t="s">
        <v>76</v>
      </c>
      <c r="H51" s="27">
        <f>E59</f>
        <v>386047.30609999999</v>
      </c>
      <c r="J51" s="2" t="s">
        <v>84</v>
      </c>
      <c r="K51" s="2" t="s">
        <v>85</v>
      </c>
      <c r="L51" s="19">
        <f>L50*1.35</f>
        <v>4149.6581249999999</v>
      </c>
      <c r="Q51" s="2" t="s">
        <v>108</v>
      </c>
      <c r="R51" s="2" t="s">
        <v>112</v>
      </c>
      <c r="S51" s="2">
        <v>2</v>
      </c>
      <c r="T51" s="2">
        <f>60*U51</f>
        <v>6720</v>
      </c>
      <c r="U51" s="2">
        <f>14*O50</f>
        <v>112</v>
      </c>
      <c r="W51" s="34" t="s">
        <v>119</v>
      </c>
      <c r="X51" s="34">
        <v>8</v>
      </c>
      <c r="Y51" s="34">
        <f t="shared" ref="Y51:Y53" si="10">X51/$U$55</f>
        <v>9.8039215686274508E-3</v>
      </c>
    </row>
    <row r="52" spans="2:25">
      <c r="B52" s="158"/>
      <c r="C52" s="2" t="s">
        <v>60</v>
      </c>
      <c r="D52" s="4">
        <v>0.12</v>
      </c>
      <c r="E52" s="18">
        <f t="shared" si="9"/>
        <v>88526.04</v>
      </c>
      <c r="G52" s="21" t="s">
        <v>56</v>
      </c>
      <c r="H52" s="28">
        <f>SUM(H49:H51)</f>
        <v>1123764.3060999999</v>
      </c>
      <c r="J52" s="2" t="s">
        <v>87</v>
      </c>
      <c r="K52" s="2" t="s">
        <v>88</v>
      </c>
      <c r="L52" s="19">
        <f>L50*1.25</f>
        <v>3842.2760416666665</v>
      </c>
      <c r="Q52" s="2" t="s">
        <v>109</v>
      </c>
      <c r="R52" s="2" t="s">
        <v>112</v>
      </c>
      <c r="S52" s="2">
        <v>2</v>
      </c>
      <c r="T52" s="2">
        <f>U52*60</f>
        <v>4320</v>
      </c>
      <c r="U52" s="2">
        <f>9*O50</f>
        <v>72</v>
      </c>
      <c r="W52" s="34" t="s">
        <v>120</v>
      </c>
      <c r="X52" s="34">
        <v>40</v>
      </c>
      <c r="Y52" s="34">
        <v>1200</v>
      </c>
    </row>
    <row r="53" spans="2:25">
      <c r="B53" s="158"/>
      <c r="C53" s="2" t="s">
        <v>61</v>
      </c>
      <c r="D53" s="3">
        <v>8.5000000000000006E-2</v>
      </c>
      <c r="E53" s="18">
        <f t="shared" si="9"/>
        <v>62705.945000000007</v>
      </c>
      <c r="J53" s="2" t="s">
        <v>86</v>
      </c>
      <c r="K53" s="2" t="s">
        <v>89</v>
      </c>
      <c r="L53" s="19">
        <f>L50*1.75</f>
        <v>5379.1864583333336</v>
      </c>
      <c r="Q53" s="2" t="s">
        <v>110</v>
      </c>
      <c r="R53" s="2" t="s">
        <v>112</v>
      </c>
      <c r="S53" s="2">
        <v>3</v>
      </c>
      <c r="T53" s="2">
        <f>U53*60</f>
        <v>27360</v>
      </c>
      <c r="U53" s="2">
        <f>57*O50</f>
        <v>456</v>
      </c>
      <c r="W53" s="34" t="s">
        <v>121</v>
      </c>
      <c r="X53" s="34">
        <v>160</v>
      </c>
      <c r="Y53" s="34">
        <f t="shared" si="10"/>
        <v>0.19607843137254902</v>
      </c>
    </row>
    <row r="54" spans="2:25">
      <c r="B54" s="158"/>
      <c r="C54" s="2" t="s">
        <v>62</v>
      </c>
      <c r="D54" s="4">
        <v>0.01</v>
      </c>
      <c r="E54" s="72">
        <f t="shared" si="9"/>
        <v>7377.17</v>
      </c>
      <c r="J54" s="2" t="s">
        <v>90</v>
      </c>
      <c r="K54" s="2" t="s">
        <v>89</v>
      </c>
      <c r="L54" s="19">
        <f>L50*1.75</f>
        <v>5379.1864583333336</v>
      </c>
      <c r="Q54" s="2" t="s">
        <v>111</v>
      </c>
      <c r="R54" s="2" t="s">
        <v>112</v>
      </c>
      <c r="S54" s="2">
        <v>2</v>
      </c>
      <c r="T54" s="2">
        <f>60*U54</f>
        <v>10560</v>
      </c>
      <c r="U54" s="2">
        <f>22*O50</f>
        <v>176</v>
      </c>
    </row>
    <row r="55" spans="2:25">
      <c r="B55" s="158" t="s">
        <v>70</v>
      </c>
      <c r="C55" s="2" t="s">
        <v>63</v>
      </c>
      <c r="D55" s="3">
        <v>8.3299999999999999E-2</v>
      </c>
      <c r="E55" s="18">
        <f>$H$49*D55</f>
        <v>61451.826099999998</v>
      </c>
      <c r="J55" s="2" t="s">
        <v>91</v>
      </c>
      <c r="K55" s="2" t="s">
        <v>94</v>
      </c>
      <c r="L55" s="19">
        <f>L50*2.1</f>
        <v>6455.0237500000003</v>
      </c>
      <c r="R55" s="31" t="s">
        <v>56</v>
      </c>
      <c r="S55" s="31">
        <v>3</v>
      </c>
      <c r="T55" s="2">
        <f>SUM(T51:T54)</f>
        <v>48960</v>
      </c>
      <c r="U55" s="2">
        <f>SUM(U51:U54)</f>
        <v>816</v>
      </c>
    </row>
    <row r="56" spans="2:25">
      <c r="B56" s="158"/>
      <c r="C56" s="2" t="s">
        <v>64</v>
      </c>
      <c r="D56" s="4">
        <v>0.01</v>
      </c>
      <c r="E56" s="18">
        <f t="shared" si="9"/>
        <v>7377.17</v>
      </c>
      <c r="J56" s="2" t="s">
        <v>92</v>
      </c>
      <c r="K56" s="2" t="s">
        <v>95</v>
      </c>
      <c r="L56" s="19">
        <f>L50*2</f>
        <v>6147.6416666666664</v>
      </c>
    </row>
    <row r="57" spans="2:25">
      <c r="B57" s="158"/>
      <c r="C57" s="2" t="s">
        <v>65</v>
      </c>
      <c r="D57" s="3">
        <v>8.3299999999999999E-2</v>
      </c>
      <c r="E57" s="18">
        <f t="shared" si="9"/>
        <v>61451.826099999998</v>
      </c>
      <c r="J57" s="2" t="s">
        <v>93</v>
      </c>
      <c r="K57" s="2" t="s">
        <v>96</v>
      </c>
      <c r="L57" s="19">
        <f>L50*2.5</f>
        <v>7684.552083333333</v>
      </c>
    </row>
    <row r="58" spans="2:25">
      <c r="B58" s="158"/>
      <c r="C58" s="2" t="s">
        <v>66</v>
      </c>
      <c r="D58" s="3">
        <v>4.1700000000000001E-2</v>
      </c>
      <c r="E58" s="18">
        <f t="shared" si="9"/>
        <v>30762.798900000002</v>
      </c>
    </row>
    <row r="59" spans="2:25">
      <c r="C59" s="21" t="s">
        <v>67</v>
      </c>
      <c r="D59" s="24">
        <f>SUM(D49:D58)</f>
        <v>0.52329999999999999</v>
      </c>
      <c r="E59" s="25">
        <f>SUM(E49:E58)</f>
        <v>386047.30609999999</v>
      </c>
    </row>
  </sheetData>
  <mergeCells count="23">
    <mergeCell ref="W48:Y48"/>
    <mergeCell ref="J48:L48"/>
    <mergeCell ref="Q49:Q50"/>
    <mergeCell ref="R49:R50"/>
    <mergeCell ref="S49:S50"/>
    <mergeCell ref="T49:U49"/>
    <mergeCell ref="Q48:U48"/>
    <mergeCell ref="B40:B42"/>
    <mergeCell ref="B48:C48"/>
    <mergeCell ref="B49:B54"/>
    <mergeCell ref="B55:B58"/>
    <mergeCell ref="G48:H48"/>
    <mergeCell ref="B47:E47"/>
    <mergeCell ref="R4:S5"/>
    <mergeCell ref="B9:Q9"/>
    <mergeCell ref="B34:B36"/>
    <mergeCell ref="B37:B39"/>
    <mergeCell ref="B32:X32"/>
    <mergeCell ref="A2:D2"/>
    <mergeCell ref="C4:D4"/>
    <mergeCell ref="N5:O5"/>
    <mergeCell ref="M4:O4"/>
    <mergeCell ref="N6:O6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209"/>
  <sheetViews>
    <sheetView topLeftCell="A55" workbookViewId="0">
      <selection activeCell="E183" sqref="E183"/>
    </sheetView>
  </sheetViews>
  <sheetFormatPr baseColWidth="10" defaultRowHeight="15"/>
  <cols>
    <col min="2" max="2" width="30.85546875" customWidth="1"/>
    <col min="3" max="3" width="16.7109375" customWidth="1"/>
    <col min="4" max="4" width="18.5703125" customWidth="1"/>
    <col min="5" max="5" width="15.5703125" customWidth="1"/>
    <col min="6" max="6" width="22.7109375" customWidth="1"/>
    <col min="7" max="7" width="15.28515625" bestFit="1" customWidth="1"/>
    <col min="8" max="8" width="16.42578125" customWidth="1"/>
    <col min="9" max="9" width="19.140625" customWidth="1"/>
    <col min="10" max="10" width="21.28515625" customWidth="1"/>
    <col min="11" max="11" width="16.28515625" customWidth="1"/>
    <col min="12" max="13" width="14.5703125" bestFit="1" customWidth="1"/>
    <col min="14" max="14" width="16" customWidth="1"/>
    <col min="15" max="15" width="18.140625" customWidth="1"/>
    <col min="16" max="17" width="15.5703125" bestFit="1" customWidth="1"/>
  </cols>
  <sheetData>
    <row r="2" spans="2:12">
      <c r="H2" s="188" t="s">
        <v>147</v>
      </c>
      <c r="I2" s="189"/>
      <c r="J2" s="189"/>
      <c r="K2" s="189"/>
      <c r="L2" s="189"/>
    </row>
    <row r="3" spans="2:12">
      <c r="B3" s="165" t="s">
        <v>128</v>
      </c>
      <c r="C3" s="165"/>
      <c r="D3" s="165"/>
      <c r="E3" s="165"/>
      <c r="F3" s="165"/>
      <c r="H3" s="186" t="s">
        <v>68</v>
      </c>
      <c r="I3" s="186"/>
      <c r="J3" s="186"/>
      <c r="K3" s="2" t="s">
        <v>81</v>
      </c>
      <c r="L3" s="2" t="s">
        <v>122</v>
      </c>
    </row>
    <row r="4" spans="2:12" ht="15.75" customHeight="1">
      <c r="B4" s="10" t="s">
        <v>68</v>
      </c>
      <c r="C4" s="10" t="s">
        <v>125</v>
      </c>
      <c r="D4" s="10" t="s">
        <v>126</v>
      </c>
      <c r="E4" s="10" t="s">
        <v>127</v>
      </c>
      <c r="F4" s="10" t="s">
        <v>122</v>
      </c>
      <c r="H4" s="186" t="s">
        <v>138</v>
      </c>
      <c r="I4" s="186"/>
      <c r="J4" s="186"/>
      <c r="K4" s="40">
        <v>0</v>
      </c>
      <c r="L4" s="4">
        <f t="shared" ref="L4:L12" si="0">K4/K$12</f>
        <v>0</v>
      </c>
    </row>
    <row r="5" spans="2:12" ht="15.75" customHeight="1">
      <c r="B5" s="20" t="s">
        <v>129</v>
      </c>
      <c r="C5" s="35" t="s">
        <v>133</v>
      </c>
      <c r="D5" s="36">
        <v>279000</v>
      </c>
      <c r="E5" s="36">
        <f>D5*12</f>
        <v>3348000</v>
      </c>
      <c r="F5" s="38">
        <f>E5/$E$16</f>
        <v>0.69059405940594054</v>
      </c>
      <c r="H5" s="186" t="s">
        <v>139</v>
      </c>
      <c r="I5" s="186"/>
      <c r="J5" s="186"/>
      <c r="K5" s="40">
        <v>51000</v>
      </c>
      <c r="L5" s="4">
        <f t="shared" si="0"/>
        <v>7.9687499999999994E-2</v>
      </c>
    </row>
    <row r="6" spans="2:12" ht="15.75" customHeight="1">
      <c r="B6" s="22" t="s">
        <v>130</v>
      </c>
      <c r="C6" s="10"/>
      <c r="D6" s="73"/>
      <c r="E6" s="27"/>
      <c r="F6" s="3"/>
      <c r="H6" s="186" t="s">
        <v>140</v>
      </c>
      <c r="I6" s="186"/>
      <c r="J6" s="186"/>
      <c r="K6" s="40">
        <v>0</v>
      </c>
      <c r="L6" s="4">
        <f t="shared" si="0"/>
        <v>0</v>
      </c>
    </row>
    <row r="7" spans="2:12" ht="15.75" customHeight="1">
      <c r="B7" s="2" t="s">
        <v>123</v>
      </c>
      <c r="C7" s="10">
        <v>1</v>
      </c>
      <c r="D7" s="27">
        <v>1500000</v>
      </c>
      <c r="E7" s="27">
        <f>C7*D7</f>
        <v>1500000</v>
      </c>
      <c r="F7" s="38">
        <f>E7/$E$16</f>
        <v>0.3094059405940594</v>
      </c>
      <c r="H7" s="46" t="s">
        <v>141</v>
      </c>
      <c r="I7" s="46"/>
      <c r="J7" s="46"/>
      <c r="K7" s="40">
        <v>0</v>
      </c>
      <c r="L7" s="4">
        <f t="shared" si="0"/>
        <v>0</v>
      </c>
    </row>
    <row r="8" spans="2:12" ht="15.75" customHeight="1">
      <c r="B8" s="21" t="s">
        <v>131</v>
      </c>
      <c r="C8" s="35"/>
      <c r="D8" s="36"/>
      <c r="E8" s="36">
        <f>E7</f>
        <v>1500000</v>
      </c>
      <c r="F8" s="38">
        <f>E8/$E$16</f>
        <v>0.3094059405940594</v>
      </c>
      <c r="H8" s="46" t="s">
        <v>142</v>
      </c>
      <c r="I8" s="46"/>
      <c r="J8" s="46"/>
      <c r="K8" s="41">
        <v>589000</v>
      </c>
      <c r="L8" s="4">
        <f t="shared" si="0"/>
        <v>0.92031249999999998</v>
      </c>
    </row>
    <row r="9" spans="2:12" ht="30" customHeight="1">
      <c r="B9" s="22" t="s">
        <v>132</v>
      </c>
      <c r="C9" s="10"/>
      <c r="D9" s="27"/>
      <c r="E9" s="27"/>
      <c r="F9" s="3"/>
      <c r="H9" s="172" t="s">
        <v>143</v>
      </c>
      <c r="I9" s="172"/>
      <c r="J9" s="172"/>
      <c r="K9" s="40">
        <v>0</v>
      </c>
      <c r="L9" s="4">
        <f t="shared" si="0"/>
        <v>0</v>
      </c>
    </row>
    <row r="10" spans="2:12" ht="15.75" customHeight="1">
      <c r="B10" s="22" t="s">
        <v>136</v>
      </c>
      <c r="C10" s="10" t="s">
        <v>136</v>
      </c>
      <c r="D10" s="27" t="s">
        <v>136</v>
      </c>
      <c r="E10" s="27" t="s">
        <v>136</v>
      </c>
      <c r="F10" s="39" t="s">
        <v>136</v>
      </c>
      <c r="H10" s="186" t="s">
        <v>144</v>
      </c>
      <c r="I10" s="186"/>
      <c r="J10" s="186"/>
      <c r="K10" s="40">
        <v>0</v>
      </c>
      <c r="L10" s="4">
        <f t="shared" si="0"/>
        <v>0</v>
      </c>
    </row>
    <row r="11" spans="2:12" ht="15.75" customHeight="1">
      <c r="B11" s="21" t="s">
        <v>134</v>
      </c>
      <c r="C11" s="35"/>
      <c r="D11" s="36"/>
      <c r="E11" s="36">
        <v>0</v>
      </c>
      <c r="F11" s="38">
        <f>E11/$E$16</f>
        <v>0</v>
      </c>
      <c r="H11" s="186" t="s">
        <v>145</v>
      </c>
      <c r="I11" s="186"/>
      <c r="J11" s="186"/>
      <c r="K11" s="40">
        <v>0</v>
      </c>
      <c r="L11" s="4">
        <f t="shared" si="0"/>
        <v>0</v>
      </c>
    </row>
    <row r="12" spans="2:12">
      <c r="B12" s="22" t="s">
        <v>135</v>
      </c>
      <c r="C12" s="10"/>
      <c r="D12" s="27"/>
      <c r="E12" s="27"/>
      <c r="F12" s="3"/>
      <c r="H12" s="187" t="s">
        <v>146</v>
      </c>
      <c r="I12" s="187"/>
      <c r="J12" s="187"/>
      <c r="K12" s="42">
        <f>SUM(K4:K11)</f>
        <v>640000</v>
      </c>
      <c r="L12" s="43">
        <f t="shared" si="0"/>
        <v>1</v>
      </c>
    </row>
    <row r="13" spans="2:12">
      <c r="B13" s="22" t="s">
        <v>136</v>
      </c>
      <c r="C13" s="10" t="s">
        <v>136</v>
      </c>
      <c r="D13" s="27" t="s">
        <v>136</v>
      </c>
      <c r="E13" s="27" t="s">
        <v>136</v>
      </c>
      <c r="F13" s="39" t="s">
        <v>136</v>
      </c>
    </row>
    <row r="14" spans="2:12">
      <c r="B14" s="22" t="s">
        <v>136</v>
      </c>
      <c r="C14" s="10" t="s">
        <v>136</v>
      </c>
      <c r="D14" s="27" t="s">
        <v>136</v>
      </c>
      <c r="E14" s="27" t="s">
        <v>136</v>
      </c>
      <c r="F14" s="39" t="s">
        <v>136</v>
      </c>
    </row>
    <row r="15" spans="2:12">
      <c r="B15" s="21" t="s">
        <v>124</v>
      </c>
      <c r="C15" s="35"/>
      <c r="D15" s="36"/>
      <c r="E15" s="36">
        <v>0</v>
      </c>
      <c r="F15" s="38">
        <f>E15/$E$16</f>
        <v>0</v>
      </c>
    </row>
    <row r="16" spans="2:12">
      <c r="B16" s="191" t="s">
        <v>137</v>
      </c>
      <c r="C16" s="192"/>
      <c r="D16" s="192"/>
      <c r="E16" s="37">
        <f>E5+E8+E11+E15</f>
        <v>4848000</v>
      </c>
      <c r="F16" s="38">
        <f>E16/$E$16</f>
        <v>1</v>
      </c>
    </row>
    <row r="17" spans="2:12">
      <c r="D17" s="16"/>
      <c r="E17" s="16"/>
    </row>
    <row r="18" spans="2:12">
      <c r="B18" s="180" t="s">
        <v>148</v>
      </c>
      <c r="C18" s="180"/>
      <c r="D18" s="16"/>
      <c r="E18" s="16"/>
    </row>
    <row r="19" spans="2:12">
      <c r="B19" s="2" t="s">
        <v>149</v>
      </c>
      <c r="C19" s="18">
        <f>E16</f>
        <v>4848000</v>
      </c>
      <c r="D19" s="16"/>
      <c r="E19" s="16"/>
    </row>
    <row r="20" spans="2:12">
      <c r="B20" s="2" t="s">
        <v>150</v>
      </c>
      <c r="C20" s="40">
        <f>K12</f>
        <v>640000</v>
      </c>
      <c r="D20" s="16"/>
      <c r="E20" s="16"/>
    </row>
    <row r="21" spans="2:12">
      <c r="B21" s="44" t="s">
        <v>56</v>
      </c>
      <c r="C21" s="45">
        <f>SUM(C19:C20)</f>
        <v>5488000</v>
      </c>
      <c r="D21" s="16"/>
      <c r="E21" s="16"/>
    </row>
    <row r="23" spans="2:12">
      <c r="B23" s="164" t="s">
        <v>161</v>
      </c>
      <c r="C23" s="164"/>
      <c r="D23" s="164"/>
      <c r="E23" s="164"/>
      <c r="F23" s="164"/>
      <c r="G23" s="164"/>
      <c r="H23" s="164"/>
      <c r="I23" s="164"/>
      <c r="J23" s="164"/>
    </row>
    <row r="24" spans="2:12">
      <c r="B24" s="161" t="s">
        <v>68</v>
      </c>
      <c r="C24" s="161" t="s">
        <v>151</v>
      </c>
      <c r="D24" s="161" t="s">
        <v>125</v>
      </c>
      <c r="E24" s="161" t="s">
        <v>152</v>
      </c>
      <c r="F24" s="161" t="s">
        <v>153</v>
      </c>
      <c r="G24" s="190" t="s">
        <v>155</v>
      </c>
      <c r="H24" s="190"/>
      <c r="I24" s="190"/>
      <c r="J24" s="161" t="s">
        <v>154</v>
      </c>
    </row>
    <row r="25" spans="2:12">
      <c r="B25" s="161"/>
      <c r="C25" s="161"/>
      <c r="D25" s="161"/>
      <c r="E25" s="161"/>
      <c r="F25" s="161"/>
      <c r="G25" s="2" t="s">
        <v>2</v>
      </c>
      <c r="H25" s="2" t="s">
        <v>3</v>
      </c>
      <c r="I25" s="2" t="s">
        <v>43</v>
      </c>
      <c r="J25" s="161"/>
    </row>
    <row r="26" spans="2:12">
      <c r="B26" s="22" t="s">
        <v>156</v>
      </c>
      <c r="C26" s="2"/>
      <c r="D26" s="2"/>
      <c r="E26" s="2"/>
      <c r="F26" s="2"/>
      <c r="G26" s="2"/>
      <c r="H26" s="2"/>
      <c r="I26" s="2"/>
      <c r="J26" s="2"/>
    </row>
    <row r="27" spans="2:12">
      <c r="B27" s="2" t="s">
        <v>157</v>
      </c>
      <c r="C27" s="18">
        <f>D7</f>
        <v>1500000</v>
      </c>
      <c r="D27" s="2">
        <v>1</v>
      </c>
      <c r="E27" s="2">
        <v>5</v>
      </c>
      <c r="F27" s="18">
        <v>500000</v>
      </c>
      <c r="G27" s="18">
        <f>(C27-F27)/E27</f>
        <v>200000</v>
      </c>
      <c r="H27" s="18">
        <v>200000</v>
      </c>
      <c r="I27" s="18">
        <v>200000</v>
      </c>
      <c r="J27" s="18">
        <f>(C27-G27-H27-I27)*D27</f>
        <v>900000</v>
      </c>
    </row>
    <row r="28" spans="2:12" ht="15" customHeight="1">
      <c r="B28" s="181" t="s">
        <v>158</v>
      </c>
      <c r="C28" s="182"/>
      <c r="D28" s="182"/>
      <c r="E28" s="182"/>
      <c r="F28" s="183"/>
      <c r="G28" s="64">
        <f>G27</f>
        <v>200000</v>
      </c>
      <c r="H28" s="64">
        <f t="shared" ref="H28:I28" si="1">H27</f>
        <v>200000</v>
      </c>
      <c r="I28" s="64">
        <f t="shared" si="1"/>
        <v>200000</v>
      </c>
      <c r="J28" s="37">
        <f>J27</f>
        <v>900000</v>
      </c>
    </row>
    <row r="29" spans="2:12">
      <c r="B29" s="21" t="s">
        <v>132</v>
      </c>
      <c r="C29" s="35" t="s">
        <v>136</v>
      </c>
      <c r="D29" s="35" t="s">
        <v>136</v>
      </c>
      <c r="E29" s="35" t="s">
        <v>136</v>
      </c>
      <c r="F29" s="35" t="s">
        <v>136</v>
      </c>
      <c r="G29" s="35">
        <v>0</v>
      </c>
      <c r="H29" s="35">
        <v>0</v>
      </c>
      <c r="I29" s="35">
        <v>0</v>
      </c>
      <c r="J29" s="48" t="s">
        <v>160</v>
      </c>
    </row>
    <row r="30" spans="2:12">
      <c r="B30" s="20" t="s">
        <v>135</v>
      </c>
      <c r="C30" s="35" t="s">
        <v>136</v>
      </c>
      <c r="D30" s="35" t="s">
        <v>136</v>
      </c>
      <c r="E30" s="35" t="s">
        <v>136</v>
      </c>
      <c r="F30" s="35" t="s">
        <v>136</v>
      </c>
      <c r="G30" s="35">
        <v>0</v>
      </c>
      <c r="H30" s="35">
        <v>0</v>
      </c>
      <c r="I30" s="35">
        <v>0</v>
      </c>
      <c r="J30" s="48" t="s">
        <v>160</v>
      </c>
    </row>
    <row r="31" spans="2:12">
      <c r="B31" s="173" t="s">
        <v>159</v>
      </c>
      <c r="C31" s="174"/>
      <c r="D31" s="174"/>
      <c r="E31" s="174"/>
      <c r="F31" s="175"/>
      <c r="G31" s="81">
        <f>G28+G30+G29</f>
        <v>200000</v>
      </c>
      <c r="H31" s="81">
        <f t="shared" ref="H31:I31" si="2">H28+H30+H29</f>
        <v>200000</v>
      </c>
      <c r="I31" s="81">
        <f t="shared" si="2"/>
        <v>200000</v>
      </c>
      <c r="J31" s="37">
        <f>SUM(J28:J30)</f>
        <v>900000</v>
      </c>
      <c r="K31" s="47" t="s">
        <v>162</v>
      </c>
      <c r="L31" s="17"/>
    </row>
    <row r="33" spans="2:7">
      <c r="B33" s="164" t="s">
        <v>167</v>
      </c>
      <c r="C33" s="164"/>
      <c r="D33" s="164"/>
      <c r="E33" s="164"/>
      <c r="F33" s="164"/>
      <c r="G33" s="164"/>
    </row>
    <row r="34" spans="2:7">
      <c r="B34" s="161" t="s">
        <v>68</v>
      </c>
      <c r="C34" s="161" t="s">
        <v>164</v>
      </c>
      <c r="D34" s="161" t="s">
        <v>165</v>
      </c>
      <c r="E34" s="161" t="s">
        <v>166</v>
      </c>
      <c r="F34" s="161"/>
      <c r="G34" s="161"/>
    </row>
    <row r="35" spans="2:7">
      <c r="B35" s="161"/>
      <c r="C35" s="161"/>
      <c r="D35" s="161"/>
      <c r="E35" s="10" t="s">
        <v>2</v>
      </c>
      <c r="F35" s="10" t="s">
        <v>3</v>
      </c>
      <c r="G35" s="10" t="s">
        <v>43</v>
      </c>
    </row>
    <row r="36" spans="2:7">
      <c r="B36" s="10" t="s">
        <v>163</v>
      </c>
      <c r="C36" s="49">
        <f>K12</f>
        <v>640000</v>
      </c>
      <c r="D36" s="10">
        <v>3</v>
      </c>
      <c r="E36" s="49">
        <f>C$36/D$36</f>
        <v>213333.33333333334</v>
      </c>
      <c r="F36" s="49">
        <f>C$36/D$36</f>
        <v>213333.33333333334</v>
      </c>
      <c r="G36" s="10">
        <f>C$36/D$36</f>
        <v>213333.33333333334</v>
      </c>
    </row>
    <row r="38" spans="2:7">
      <c r="B38" s="164" t="s">
        <v>171</v>
      </c>
      <c r="C38" s="164"/>
      <c r="D38" s="164"/>
      <c r="E38" s="164"/>
    </row>
    <row r="39" spans="2:7">
      <c r="B39" s="51" t="s">
        <v>168</v>
      </c>
      <c r="C39" s="51" t="s">
        <v>125</v>
      </c>
      <c r="D39" s="51" t="s">
        <v>169</v>
      </c>
      <c r="E39" s="51" t="s">
        <v>170</v>
      </c>
    </row>
    <row r="40" spans="2:7">
      <c r="B40" s="50" t="s">
        <v>136</v>
      </c>
      <c r="C40" s="50" t="s">
        <v>136</v>
      </c>
      <c r="D40" s="50" t="s">
        <v>136</v>
      </c>
      <c r="E40" s="50" t="s">
        <v>136</v>
      </c>
    </row>
    <row r="41" spans="2:7">
      <c r="B41" s="50" t="s">
        <v>136</v>
      </c>
      <c r="C41" s="50" t="s">
        <v>136</v>
      </c>
      <c r="D41" s="50" t="s">
        <v>136</v>
      </c>
      <c r="E41" s="50" t="s">
        <v>136</v>
      </c>
    </row>
    <row r="42" spans="2:7">
      <c r="B42" s="1"/>
      <c r="C42" s="1"/>
      <c r="D42" s="52" t="s">
        <v>172</v>
      </c>
      <c r="E42" s="54">
        <v>0</v>
      </c>
    </row>
    <row r="43" spans="2:7">
      <c r="B43" s="1"/>
      <c r="C43" s="1"/>
      <c r="D43" s="1"/>
      <c r="E43" s="1"/>
    </row>
    <row r="44" spans="2:7">
      <c r="B44" s="164" t="s">
        <v>175</v>
      </c>
      <c r="C44" s="164"/>
      <c r="D44" s="164"/>
      <c r="F44" s="165" t="s">
        <v>176</v>
      </c>
    </row>
    <row r="45" spans="2:7">
      <c r="B45" s="11" t="s">
        <v>173</v>
      </c>
      <c r="C45" s="11" t="s">
        <v>174</v>
      </c>
      <c r="D45" s="11" t="s">
        <v>169</v>
      </c>
      <c r="F45" s="165"/>
    </row>
    <row r="46" spans="2:7">
      <c r="B46" s="2" t="s">
        <v>108</v>
      </c>
      <c r="C46" s="10">
        <f>'Demanda Dinamica'!U51</f>
        <v>112</v>
      </c>
      <c r="D46" s="53">
        <f>C46*'Demanda Dinamica'!$L$50*'Demanda Dinamica'!F37</f>
        <v>606666.66666666663</v>
      </c>
      <c r="F46" s="165"/>
    </row>
    <row r="47" spans="2:7">
      <c r="B47" s="2" t="s">
        <v>109</v>
      </c>
      <c r="C47" s="10">
        <f>'Demanda Dinamica'!U52</f>
        <v>72</v>
      </c>
      <c r="D47" s="53">
        <f>C47*'Demanda Dinamica'!$L$50*'Demanda Dinamica'!F37</f>
        <v>389999.99999999994</v>
      </c>
      <c r="F47" s="55">
        <f>E42+D50</f>
        <v>4420000</v>
      </c>
    </row>
    <row r="48" spans="2:7">
      <c r="B48" s="2" t="s">
        <v>110</v>
      </c>
      <c r="C48" s="10">
        <f>'Demanda Dinamica'!U53</f>
        <v>456</v>
      </c>
      <c r="D48" s="53">
        <f>C48*'Demanda Dinamica'!$L$50*'Demanda Dinamica'!F37</f>
        <v>2470000</v>
      </c>
    </row>
    <row r="49" spans="2:7">
      <c r="B49" s="2" t="s">
        <v>111</v>
      </c>
      <c r="C49" s="10">
        <f>'Demanda Dinamica'!U54</f>
        <v>176</v>
      </c>
      <c r="D49" s="53">
        <f>C49*'Demanda Dinamica'!$L$50*'Demanda Dinamica'!F37</f>
        <v>953333.33333333337</v>
      </c>
    </row>
    <row r="50" spans="2:7">
      <c r="B50" s="9"/>
      <c r="C50" s="56" t="s">
        <v>56</v>
      </c>
      <c r="D50" s="57">
        <f>SUM(D46:D49)</f>
        <v>4420000</v>
      </c>
    </row>
    <row r="51" spans="2:7">
      <c r="B51" s="9"/>
      <c r="C51" s="9"/>
      <c r="D51" s="9"/>
    </row>
    <row r="52" spans="2:7">
      <c r="B52" s="193" t="s">
        <v>184</v>
      </c>
      <c r="C52" s="193"/>
      <c r="D52" s="193"/>
      <c r="E52" s="193"/>
      <c r="F52" s="193"/>
      <c r="G52" s="193"/>
    </row>
    <row r="53" spans="2:7">
      <c r="B53" s="185" t="s">
        <v>68</v>
      </c>
      <c r="C53" s="185"/>
      <c r="D53" s="22" t="s">
        <v>177</v>
      </c>
      <c r="E53" s="22" t="s">
        <v>2</v>
      </c>
      <c r="F53" s="22" t="s">
        <v>3</v>
      </c>
      <c r="G53" s="22" t="s">
        <v>43</v>
      </c>
    </row>
    <row r="54" spans="2:7">
      <c r="B54" s="146" t="s">
        <v>178</v>
      </c>
      <c r="C54" s="146"/>
      <c r="D54" s="18">
        <f>E16</f>
        <v>4848000</v>
      </c>
      <c r="E54" s="18">
        <f>D54*1%</f>
        <v>48480</v>
      </c>
      <c r="F54" s="18">
        <f>E54*(1+'Demanda Dinamica'!$D$6)</f>
        <v>51388.800000000003</v>
      </c>
      <c r="G54" s="18">
        <f>F54*(1+'Demanda Dinamica'!$D$7)</f>
        <v>54729.072</v>
      </c>
    </row>
    <row r="55" spans="2:7">
      <c r="B55" s="146" t="s">
        <v>179</v>
      </c>
      <c r="C55" s="146"/>
      <c r="D55" s="18">
        <v>0</v>
      </c>
      <c r="E55" s="18">
        <v>0</v>
      </c>
      <c r="F55" s="18">
        <f>E55*(1+'Demanda Dinamica'!$D$6)</f>
        <v>0</v>
      </c>
      <c r="G55" s="18">
        <f>F55*(1+'Demanda Dinamica'!$D$7)</f>
        <v>0</v>
      </c>
    </row>
    <row r="56" spans="2:7">
      <c r="B56" s="146" t="s">
        <v>180</v>
      </c>
      <c r="C56" s="146"/>
      <c r="D56" s="18">
        <v>10000</v>
      </c>
      <c r="E56" s="18">
        <f>D56*12</f>
        <v>120000</v>
      </c>
      <c r="F56" s="18">
        <f>E56*(1+'Demanda Dinamica'!$D$6)</f>
        <v>127200</v>
      </c>
      <c r="G56" s="18">
        <f>F56*(1+'Demanda Dinamica'!$D$7)</f>
        <v>135468</v>
      </c>
    </row>
    <row r="57" spans="2:7">
      <c r="B57" s="146" t="s">
        <v>181</v>
      </c>
      <c r="C57" s="146"/>
      <c r="D57" s="18">
        <v>0</v>
      </c>
      <c r="E57" s="18">
        <v>0</v>
      </c>
      <c r="F57" s="18">
        <v>0</v>
      </c>
      <c r="G57" s="18">
        <v>0</v>
      </c>
    </row>
    <row r="58" spans="2:7">
      <c r="B58" s="146" t="s">
        <v>182</v>
      </c>
      <c r="C58" s="146"/>
      <c r="D58" s="18">
        <v>0</v>
      </c>
      <c r="E58" s="18">
        <v>0</v>
      </c>
      <c r="F58" s="18">
        <v>0</v>
      </c>
      <c r="G58" s="18">
        <v>0</v>
      </c>
    </row>
    <row r="59" spans="2:7">
      <c r="B59" s="146" t="s">
        <v>183</v>
      </c>
      <c r="C59" s="146"/>
      <c r="D59" s="18">
        <v>0</v>
      </c>
      <c r="E59" s="18">
        <v>0</v>
      </c>
      <c r="F59" s="18">
        <v>0</v>
      </c>
      <c r="G59" s="18">
        <v>0</v>
      </c>
    </row>
    <row r="60" spans="2:7">
      <c r="B60" s="184" t="s">
        <v>185</v>
      </c>
      <c r="C60" s="184"/>
      <c r="D60" s="184"/>
      <c r="E60" s="25">
        <f>SUM(E54:E59)</f>
        <v>168480</v>
      </c>
      <c r="F60" s="25">
        <f t="shared" ref="F60:G60" si="3">SUM(F54:F59)</f>
        <v>178588.79999999999</v>
      </c>
      <c r="G60" s="25">
        <f t="shared" si="3"/>
        <v>190197.07199999999</v>
      </c>
    </row>
    <row r="62" spans="2:7">
      <c r="B62" s="179" t="s">
        <v>200</v>
      </c>
      <c r="C62" s="179"/>
      <c r="D62" s="179"/>
      <c r="E62" s="179"/>
      <c r="F62" s="179"/>
      <c r="G62" s="179"/>
    </row>
    <row r="63" spans="2:7">
      <c r="B63" s="158" t="s">
        <v>68</v>
      </c>
      <c r="C63" s="158"/>
      <c r="D63" s="158"/>
      <c r="E63" s="22" t="s">
        <v>2</v>
      </c>
      <c r="F63" s="22" t="s">
        <v>3</v>
      </c>
      <c r="G63" s="22" t="s">
        <v>43</v>
      </c>
    </row>
    <row r="64" spans="2:7">
      <c r="B64" s="168" t="s">
        <v>194</v>
      </c>
      <c r="C64" s="146" t="s">
        <v>186</v>
      </c>
      <c r="D64" s="146"/>
      <c r="E64" s="19">
        <f>0</f>
        <v>0</v>
      </c>
      <c r="F64" s="19">
        <f>0</f>
        <v>0</v>
      </c>
      <c r="G64" s="19">
        <f>0</f>
        <v>0</v>
      </c>
    </row>
    <row r="65" spans="2:8">
      <c r="B65" s="168"/>
      <c r="C65" s="146" t="s">
        <v>198</v>
      </c>
      <c r="D65" s="146"/>
      <c r="E65" s="19">
        <f>'Demanda Dinamica'!V39</f>
        <v>24963480</v>
      </c>
      <c r="F65" s="19">
        <f>E65*(1+'Demanda Dinamica'!$D$6)</f>
        <v>26461288.800000001</v>
      </c>
      <c r="G65" s="19">
        <f>E65*(1+'Demanda Dinamica'!$D$7)</f>
        <v>26586106.199999999</v>
      </c>
    </row>
    <row r="66" spans="2:8">
      <c r="B66" s="168"/>
      <c r="C66" s="146" t="s">
        <v>197</v>
      </c>
      <c r="D66" s="146"/>
      <c r="E66" s="19">
        <f>'Demanda Dinamica'!$V$42</f>
        <v>4109020</v>
      </c>
      <c r="F66" s="19">
        <f>E66*(1+'Demanda Dinamica'!$D$6)</f>
        <v>4355561.2</v>
      </c>
      <c r="G66" s="19">
        <f>E66*(1+'Demanda Dinamica'!$D$7)</f>
        <v>4376106.3</v>
      </c>
    </row>
    <row r="67" spans="2:8">
      <c r="B67" s="168"/>
      <c r="C67" s="146" t="s">
        <v>199</v>
      </c>
      <c r="D67" s="146"/>
      <c r="E67" s="19">
        <f>'Demanda Dinamica'!V36</f>
        <v>16262030</v>
      </c>
      <c r="F67" s="19">
        <f>E67*(1+'Demanda Dinamica'!$D$6)</f>
        <v>17237751.800000001</v>
      </c>
      <c r="G67" s="19">
        <f>E67*(1+'Demanda Dinamica'!$D$7)</f>
        <v>17319061.949999999</v>
      </c>
    </row>
    <row r="68" spans="2:8">
      <c r="B68" s="168"/>
      <c r="C68" s="146" t="s">
        <v>187</v>
      </c>
      <c r="D68" s="146"/>
      <c r="E68" s="19">
        <v>0</v>
      </c>
      <c r="F68" s="19">
        <f>E68*(1+'Demanda Dinamica'!$D$6)</f>
        <v>0</v>
      </c>
      <c r="G68" s="19">
        <f>E68*(1+'Demanda Dinamica'!$D$7)</f>
        <v>0</v>
      </c>
    </row>
    <row r="69" spans="2:8">
      <c r="B69" s="168"/>
      <c r="C69" s="194" t="s">
        <v>188</v>
      </c>
      <c r="D69" s="194"/>
      <c r="E69" s="58">
        <f>SUM(E64:E67)-E68</f>
        <v>45334530</v>
      </c>
      <c r="F69" s="58">
        <f t="shared" ref="F69:G69" si="4">SUM(F64:F67)-F68</f>
        <v>48054601.799999997</v>
      </c>
      <c r="G69" s="58">
        <f t="shared" si="4"/>
        <v>48281274.450000003</v>
      </c>
      <c r="H69" s="65" t="s">
        <v>201</v>
      </c>
    </row>
    <row r="70" spans="2:8">
      <c r="B70" s="168" t="s">
        <v>195</v>
      </c>
      <c r="C70" s="146" t="s">
        <v>189</v>
      </c>
      <c r="D70" s="146"/>
      <c r="E70" s="19">
        <v>0</v>
      </c>
      <c r="F70" s="19">
        <v>0</v>
      </c>
      <c r="G70" s="19">
        <v>0</v>
      </c>
      <c r="H70" s="19">
        <f>E70/12</f>
        <v>0</v>
      </c>
    </row>
    <row r="71" spans="2:8">
      <c r="B71" s="168"/>
      <c r="C71" s="146" t="s">
        <v>190</v>
      </c>
      <c r="D71" s="146"/>
      <c r="E71" s="19">
        <f>G28</f>
        <v>200000</v>
      </c>
      <c r="F71" s="19">
        <f>E71*(1+'Demanda Dinamica'!$D$6)</f>
        <v>212000</v>
      </c>
      <c r="G71" s="19">
        <f>E71*(1+'Demanda Dinamica'!$D$7)</f>
        <v>213000</v>
      </c>
      <c r="H71" s="19">
        <f t="shared" ref="H71:H73" si="5">E71/12</f>
        <v>16666.666666666668</v>
      </c>
    </row>
    <row r="72" spans="2:8">
      <c r="B72" s="168"/>
      <c r="C72" s="146" t="s">
        <v>191</v>
      </c>
      <c r="D72" s="146"/>
      <c r="E72" s="19">
        <v>0</v>
      </c>
      <c r="F72" s="19">
        <v>0</v>
      </c>
      <c r="G72" s="19">
        <v>0</v>
      </c>
      <c r="H72" s="19">
        <f t="shared" si="5"/>
        <v>0</v>
      </c>
    </row>
    <row r="73" spans="2:8">
      <c r="B73" s="168"/>
      <c r="C73" s="146" t="s">
        <v>192</v>
      </c>
      <c r="D73" s="146"/>
      <c r="E73" s="19">
        <v>0</v>
      </c>
      <c r="F73" s="19">
        <v>0</v>
      </c>
      <c r="G73" s="19">
        <v>0</v>
      </c>
      <c r="H73" s="19">
        <f t="shared" si="5"/>
        <v>0</v>
      </c>
    </row>
    <row r="74" spans="2:8">
      <c r="B74" s="168"/>
      <c r="C74" s="194" t="s">
        <v>193</v>
      </c>
      <c r="D74" s="194"/>
      <c r="E74" s="58">
        <f xml:space="preserve"> SUM(E70:E73)</f>
        <v>200000</v>
      </c>
      <c r="F74" s="58">
        <f t="shared" ref="F74:G74" si="6" xml:space="preserve"> SUM(F70:F73)</f>
        <v>212000</v>
      </c>
      <c r="G74" s="58">
        <f t="shared" si="6"/>
        <v>213000</v>
      </c>
    </row>
    <row r="75" spans="2:8">
      <c r="B75" s="184" t="s">
        <v>196</v>
      </c>
      <c r="C75" s="184"/>
      <c r="D75" s="184"/>
      <c r="E75" s="58">
        <f>E69+E74</f>
        <v>45534530</v>
      </c>
      <c r="F75" s="58">
        <f t="shared" ref="F75:G75" si="7">F69+F74</f>
        <v>48266601.799999997</v>
      </c>
      <c r="G75" s="58">
        <f t="shared" si="7"/>
        <v>48494274.450000003</v>
      </c>
    </row>
    <row r="78" spans="2:8">
      <c r="B78" s="194" t="s">
        <v>202</v>
      </c>
      <c r="C78" s="194"/>
      <c r="D78" s="194"/>
      <c r="E78" s="58">
        <f>E75/('Demanda Dinamica'!$Y$52*12)</f>
        <v>3162.120138888889</v>
      </c>
      <c r="F78" s="58">
        <f>F75/('Demanda Dinamica'!$Y$52*12)</f>
        <v>3351.8473472222222</v>
      </c>
      <c r="G78" s="58">
        <f>G75/('Demanda Dinamica'!$Y$52*12)</f>
        <v>3367.6579479166667</v>
      </c>
    </row>
    <row r="81" spans="2:7">
      <c r="B81" s="196" t="s">
        <v>203</v>
      </c>
      <c r="C81" s="196"/>
      <c r="D81" s="4">
        <v>0.35</v>
      </c>
      <c r="F81" s="196" t="s">
        <v>206</v>
      </c>
      <c r="G81" s="196"/>
    </row>
    <row r="82" spans="2:7">
      <c r="B82" s="196" t="s">
        <v>204</v>
      </c>
      <c r="C82" s="196"/>
      <c r="D82" s="19">
        <f>E78*D81</f>
        <v>1106.7420486111112</v>
      </c>
      <c r="F82" s="2" t="s">
        <v>207</v>
      </c>
      <c r="G82" s="19">
        <f>$D$83*2.5%</f>
        <v>106.72155468750003</v>
      </c>
    </row>
    <row r="83" spans="2:7">
      <c r="B83" s="197" t="s">
        <v>205</v>
      </c>
      <c r="C83" s="197"/>
      <c r="D83" s="66">
        <f>E78*(1+D81)</f>
        <v>4268.8621875000008</v>
      </c>
      <c r="F83" s="2" t="s">
        <v>208</v>
      </c>
      <c r="G83" s="19">
        <f>$D$83*11.04/1000</f>
        <v>47.128238549999999</v>
      </c>
    </row>
    <row r="84" spans="2:7">
      <c r="F84" s="2" t="s">
        <v>209</v>
      </c>
      <c r="G84" s="19">
        <f>$D$83*0.4%</f>
        <v>17.075448750000003</v>
      </c>
    </row>
    <row r="85" spans="2:7">
      <c r="F85" s="2" t="s">
        <v>5</v>
      </c>
      <c r="G85" s="19">
        <f>D$83*0.16</f>
        <v>683.01795000000016</v>
      </c>
    </row>
    <row r="86" spans="2:7">
      <c r="F86" s="21" t="s">
        <v>210</v>
      </c>
      <c r="G86" s="58">
        <f>SUM(G82:G85)</f>
        <v>853.9431919875002</v>
      </c>
    </row>
    <row r="89" spans="2:7">
      <c r="B89" s="184" t="s">
        <v>211</v>
      </c>
      <c r="C89" s="184"/>
      <c r="D89" s="184"/>
      <c r="E89" s="58">
        <f>E78+G86</f>
        <v>4016.063330876389</v>
      </c>
      <c r="F89" s="58">
        <f>F78+G86</f>
        <v>4205.7905392097227</v>
      </c>
      <c r="G89" s="58">
        <f>G78+G86</f>
        <v>4221.6011399041672</v>
      </c>
    </row>
    <row r="92" spans="2:7">
      <c r="B92" s="195" t="s">
        <v>212</v>
      </c>
      <c r="C92" s="195"/>
      <c r="D92" s="69">
        <f>+(D83-E89)/D83</f>
        <v>5.9219259259259402E-2</v>
      </c>
    </row>
    <row r="93" spans="2:7">
      <c r="B93" s="195" t="s">
        <v>213</v>
      </c>
      <c r="C93" s="195"/>
      <c r="D93" s="70">
        <f>E89*D92</f>
        <v>237.82829559277377</v>
      </c>
    </row>
    <row r="95" spans="2:7">
      <c r="B95" s="177" t="s">
        <v>214</v>
      </c>
      <c r="C95" s="177"/>
      <c r="D95" s="177"/>
      <c r="E95" s="177"/>
    </row>
    <row r="96" spans="2:7">
      <c r="B96" s="60" t="s">
        <v>68</v>
      </c>
      <c r="C96" s="60" t="s">
        <v>219</v>
      </c>
      <c r="D96" s="60" t="s">
        <v>220</v>
      </c>
      <c r="E96" s="60" t="s">
        <v>221</v>
      </c>
    </row>
    <row r="97" spans="2:7">
      <c r="B97" s="2" t="s">
        <v>222</v>
      </c>
      <c r="C97" s="74">
        <f>'Demanda Dinamica'!V43</f>
        <v>45334530</v>
      </c>
      <c r="D97" s="74">
        <f>'Demanda Dinamica'!W43</f>
        <v>48054601.800000004</v>
      </c>
      <c r="E97" s="74">
        <f>'Demanda Dinamica'!X43</f>
        <v>51178150.917000011</v>
      </c>
    </row>
    <row r="98" spans="2:7">
      <c r="B98" s="2" t="s">
        <v>223</v>
      </c>
      <c r="C98" s="18">
        <f>E75</f>
        <v>45534530</v>
      </c>
      <c r="D98" s="19">
        <f t="shared" ref="D98:E98" si="8">F75</f>
        <v>48266601.799999997</v>
      </c>
      <c r="E98" s="19">
        <f t="shared" si="8"/>
        <v>48494274.450000003</v>
      </c>
    </row>
    <row r="99" spans="2:7">
      <c r="B99" s="2" t="s">
        <v>224</v>
      </c>
      <c r="C99" s="18">
        <f>E60</f>
        <v>168480</v>
      </c>
      <c r="D99" s="18">
        <f t="shared" ref="D99:E99" si="9">F60</f>
        <v>178588.79999999999</v>
      </c>
      <c r="E99" s="18">
        <f t="shared" si="9"/>
        <v>190197.07199999999</v>
      </c>
    </row>
    <row r="100" spans="2:7">
      <c r="B100" s="21" t="s">
        <v>225</v>
      </c>
      <c r="C100" s="75">
        <f>SUM(C97:C99)</f>
        <v>91037540</v>
      </c>
      <c r="D100" s="75">
        <f t="shared" ref="D100:E100" si="10">SUM(D97:D99)</f>
        <v>96499792.399999991</v>
      </c>
      <c r="E100" s="75">
        <f t="shared" si="10"/>
        <v>99862622.43900001</v>
      </c>
    </row>
    <row r="102" spans="2:7">
      <c r="B102" s="76"/>
    </row>
    <row r="103" spans="2:7">
      <c r="B103" s="178" t="s">
        <v>226</v>
      </c>
      <c r="C103" s="178"/>
      <c r="D103" s="178"/>
      <c r="E103" s="178"/>
      <c r="F103" s="178"/>
      <c r="G103" s="178"/>
    </row>
    <row r="104" spans="2:7">
      <c r="B104" s="158" t="s">
        <v>68</v>
      </c>
      <c r="C104" s="158"/>
      <c r="D104" s="63" t="s">
        <v>236</v>
      </c>
      <c r="E104" s="63" t="s">
        <v>2</v>
      </c>
      <c r="F104" s="63" t="s">
        <v>3</v>
      </c>
      <c r="G104" s="63" t="s">
        <v>43</v>
      </c>
    </row>
    <row r="105" spans="2:7">
      <c r="B105" s="172" t="s">
        <v>227</v>
      </c>
      <c r="C105" s="172"/>
      <c r="D105" s="79">
        <f>'Demanda Dinamica'!I36</f>
        <v>2180290</v>
      </c>
      <c r="E105" s="79">
        <f>'Demanda Dinamica'!V36</f>
        <v>16262030</v>
      </c>
      <c r="F105" s="79">
        <f>'Demanda Dinamica'!W36</f>
        <v>17237751.800000001</v>
      </c>
      <c r="G105" s="79">
        <f>'Demanda Dinamica'!X36</f>
        <v>18358205.667000003</v>
      </c>
    </row>
    <row r="106" spans="2:7">
      <c r="B106" s="172" t="s">
        <v>178</v>
      </c>
      <c r="C106" s="172"/>
      <c r="D106" s="79">
        <f>E16</f>
        <v>4848000</v>
      </c>
      <c r="E106" s="80">
        <f>D106*1%</f>
        <v>48480</v>
      </c>
      <c r="F106" s="79">
        <f>E106*(1+'Demanda Dinamica'!$D$6)</f>
        <v>51388.800000000003</v>
      </c>
      <c r="G106" s="79">
        <f>F106*(1+'Demanda Dinamica'!$D$7)</f>
        <v>54729.072</v>
      </c>
    </row>
    <row r="107" spans="2:7">
      <c r="B107" s="172" t="s">
        <v>228</v>
      </c>
      <c r="C107" s="172"/>
      <c r="D107" s="79">
        <f>D55</f>
        <v>0</v>
      </c>
      <c r="E107" s="79">
        <f t="shared" ref="E107:G107" si="11">E55</f>
        <v>0</v>
      </c>
      <c r="F107" s="79">
        <f t="shared" si="11"/>
        <v>0</v>
      </c>
      <c r="G107" s="79">
        <f t="shared" si="11"/>
        <v>0</v>
      </c>
    </row>
    <row r="108" spans="2:7">
      <c r="B108" s="172" t="s">
        <v>229</v>
      </c>
      <c r="C108" s="172"/>
      <c r="D108" s="79">
        <f>D56</f>
        <v>10000</v>
      </c>
      <c r="E108" s="79">
        <f t="shared" ref="E108:G108" si="12">E56</f>
        <v>120000</v>
      </c>
      <c r="F108" s="79">
        <f t="shared" si="12"/>
        <v>127200</v>
      </c>
      <c r="G108" s="79">
        <f t="shared" si="12"/>
        <v>135468</v>
      </c>
    </row>
    <row r="109" spans="2:7">
      <c r="B109" s="172" t="s">
        <v>230</v>
      </c>
      <c r="C109" s="172"/>
      <c r="D109" s="79">
        <f>D57</f>
        <v>0</v>
      </c>
      <c r="E109" s="79">
        <f t="shared" ref="E109:G109" si="13">E57</f>
        <v>0</v>
      </c>
      <c r="F109" s="79">
        <f t="shared" si="13"/>
        <v>0</v>
      </c>
      <c r="G109" s="79">
        <f t="shared" si="13"/>
        <v>0</v>
      </c>
    </row>
    <row r="110" spans="2:7">
      <c r="B110" s="172" t="s">
        <v>231</v>
      </c>
      <c r="C110" s="172"/>
      <c r="D110" s="79"/>
      <c r="E110" s="79">
        <f>G31</f>
        <v>200000</v>
      </c>
      <c r="F110" s="79">
        <f t="shared" ref="F110:G110" si="14">H31</f>
        <v>200000</v>
      </c>
      <c r="G110" s="79">
        <f t="shared" si="14"/>
        <v>200000</v>
      </c>
    </row>
    <row r="111" spans="2:7">
      <c r="B111" s="172" t="s">
        <v>232</v>
      </c>
      <c r="C111" s="172"/>
      <c r="D111" s="79"/>
      <c r="E111" s="79">
        <f>G31</f>
        <v>200000</v>
      </c>
      <c r="F111" s="79">
        <f t="shared" ref="F111:G111" si="15">H31</f>
        <v>200000</v>
      </c>
      <c r="G111" s="79">
        <f t="shared" si="15"/>
        <v>200000</v>
      </c>
    </row>
    <row r="112" spans="2:7">
      <c r="B112" s="172" t="s">
        <v>233</v>
      </c>
      <c r="C112" s="172"/>
      <c r="D112" s="79"/>
      <c r="E112" s="79">
        <f>E16/3</f>
        <v>1616000</v>
      </c>
      <c r="F112" s="79">
        <f>E112</f>
        <v>1616000</v>
      </c>
      <c r="G112" s="79">
        <f>F112</f>
        <v>1616000</v>
      </c>
    </row>
    <row r="113" spans="1:12">
      <c r="B113" s="172" t="s">
        <v>234</v>
      </c>
      <c r="C113" s="172"/>
      <c r="D113" s="79"/>
      <c r="E113" s="79">
        <v>0</v>
      </c>
      <c r="F113" s="79">
        <v>80000</v>
      </c>
      <c r="G113" s="79">
        <f>F113+(F113*'Demanda Dinamica'!D7)</f>
        <v>85200</v>
      </c>
    </row>
    <row r="114" spans="1:12">
      <c r="B114" s="172" t="s">
        <v>235</v>
      </c>
      <c r="C114" s="172"/>
      <c r="D114" s="79"/>
      <c r="E114" s="79">
        <v>0</v>
      </c>
      <c r="F114" s="79">
        <v>0</v>
      </c>
      <c r="G114" s="79">
        <v>0</v>
      </c>
    </row>
    <row r="115" spans="1:12">
      <c r="B115" s="173" t="s">
        <v>237</v>
      </c>
      <c r="C115" s="174"/>
      <c r="D115" s="175"/>
      <c r="E115" s="83">
        <f>SUM(E105:E114)</f>
        <v>18446510</v>
      </c>
      <c r="F115" s="83">
        <f t="shared" ref="F115:G115" si="16">SUM(F105:F114)</f>
        <v>19512340.600000001</v>
      </c>
      <c r="G115" s="83">
        <f t="shared" si="16"/>
        <v>20649602.739000004</v>
      </c>
    </row>
    <row r="117" spans="1:12">
      <c r="B117" s="176" t="s">
        <v>238</v>
      </c>
      <c r="C117" s="176"/>
      <c r="D117" s="176"/>
      <c r="E117" s="176"/>
    </row>
    <row r="118" spans="1:12">
      <c r="A118" s="84"/>
      <c r="B118" s="85" t="s">
        <v>68</v>
      </c>
      <c r="C118" s="85" t="s">
        <v>241</v>
      </c>
      <c r="D118" s="85" t="s">
        <v>242</v>
      </c>
      <c r="E118" s="85" t="s">
        <v>243</v>
      </c>
      <c r="F118" s="84"/>
    </row>
    <row r="119" spans="1:12">
      <c r="B119" s="2" t="s">
        <v>239</v>
      </c>
      <c r="C119" s="77">
        <f>E115</f>
        <v>18446510</v>
      </c>
      <c r="D119" s="77">
        <f t="shared" ref="D119:E119" si="17">F115</f>
        <v>19512340.600000001</v>
      </c>
      <c r="E119" s="77">
        <f t="shared" si="17"/>
        <v>20649602.739000004</v>
      </c>
    </row>
    <row r="120" spans="1:12">
      <c r="B120" s="2" t="s">
        <v>240</v>
      </c>
      <c r="C120" s="19">
        <f>E75</f>
        <v>45534530</v>
      </c>
      <c r="D120" s="19">
        <f t="shared" ref="D120:E120" si="18">F75</f>
        <v>48266601.799999997</v>
      </c>
      <c r="E120" s="19">
        <f t="shared" si="18"/>
        <v>48494274.450000003</v>
      </c>
    </row>
    <row r="121" spans="1:12">
      <c r="B121" s="86" t="s">
        <v>244</v>
      </c>
      <c r="C121" s="87">
        <f>SUM(C119:C120)</f>
        <v>63981040</v>
      </c>
      <c r="D121" s="87">
        <f t="shared" ref="D121:E121" si="19">SUM(D119:D120)</f>
        <v>67778942.400000006</v>
      </c>
      <c r="E121" s="87">
        <f t="shared" si="19"/>
        <v>69143877.18900001</v>
      </c>
    </row>
    <row r="123" spans="1:12">
      <c r="B123" s="88"/>
      <c r="C123" s="89" t="s">
        <v>245</v>
      </c>
      <c r="D123" s="89" t="s">
        <v>246</v>
      </c>
      <c r="E123" s="89" t="s">
        <v>243</v>
      </c>
    </row>
    <row r="124" spans="1:12">
      <c r="B124" s="2" t="s">
        <v>247</v>
      </c>
      <c r="C124" s="77">
        <f ca="1">C121/'Demanda Dinamica'!O13</f>
        <v>19036.31062183874</v>
      </c>
      <c r="D124" s="77">
        <f ca="1">D121/'Demanda Dinamica'!P13</f>
        <v>28478.547226890758</v>
      </c>
      <c r="E124" s="77">
        <f ca="1">E121/'Demanda Dinamica'!Q13</f>
        <v>13462.592910630843</v>
      </c>
    </row>
    <row r="125" spans="1:12">
      <c r="B125" s="2" t="s">
        <v>248</v>
      </c>
      <c r="C125" s="77">
        <f ca="1">C124+(C124*1.25)</f>
        <v>42831.698899137162</v>
      </c>
      <c r="D125" s="77">
        <f t="shared" ref="D125:E125" ca="1" si="20">D124+(D124*1.25)</f>
        <v>64076.73126050421</v>
      </c>
      <c r="E125" s="77">
        <f t="shared" ca="1" si="20"/>
        <v>30290.834048919398</v>
      </c>
    </row>
    <row r="127" spans="1:12">
      <c r="B127" s="171" t="s">
        <v>264</v>
      </c>
      <c r="C127" s="171"/>
      <c r="D127" s="171"/>
      <c r="E127" s="171"/>
      <c r="F127" s="171"/>
      <c r="G127" s="171"/>
      <c r="H127" s="171"/>
      <c r="I127" s="171"/>
      <c r="J127" s="171"/>
      <c r="K127" s="171"/>
      <c r="L127" s="171"/>
    </row>
    <row r="128" spans="1:12">
      <c r="B128" s="161" t="s">
        <v>249</v>
      </c>
      <c r="C128" s="161"/>
      <c r="D128" s="161" t="s">
        <v>256</v>
      </c>
      <c r="E128" s="161" t="s">
        <v>259</v>
      </c>
      <c r="F128" s="161"/>
      <c r="G128" s="161"/>
      <c r="H128" s="156" t="s">
        <v>260</v>
      </c>
      <c r="I128" s="156" t="s">
        <v>261</v>
      </c>
      <c r="J128" s="156" t="s">
        <v>262</v>
      </c>
      <c r="K128" s="156" t="s">
        <v>263</v>
      </c>
      <c r="L128" s="156"/>
    </row>
    <row r="129" spans="2:20">
      <c r="B129" s="161"/>
      <c r="C129" s="161"/>
      <c r="D129" s="161"/>
      <c r="E129" s="61" t="s">
        <v>125</v>
      </c>
      <c r="F129" s="61" t="s">
        <v>257</v>
      </c>
      <c r="G129" s="61" t="s">
        <v>258</v>
      </c>
      <c r="H129" s="156"/>
      <c r="I129" s="156"/>
      <c r="J129" s="156"/>
      <c r="K129" s="156"/>
      <c r="L129" s="156"/>
    </row>
    <row r="130" spans="2:20">
      <c r="B130" s="2" t="s">
        <v>250</v>
      </c>
      <c r="C130" s="2" t="s">
        <v>253</v>
      </c>
      <c r="D130" s="4">
        <v>0</v>
      </c>
      <c r="E130" s="2">
        <v>0</v>
      </c>
      <c r="F130" s="61" t="s">
        <v>257</v>
      </c>
      <c r="G130" s="2">
        <v>0</v>
      </c>
      <c r="H130" s="2">
        <v>0</v>
      </c>
      <c r="I130" s="2">
        <v>0</v>
      </c>
      <c r="J130" s="2">
        <v>0</v>
      </c>
      <c r="K130" s="2"/>
      <c r="L130" s="2"/>
    </row>
    <row r="131" spans="2:20">
      <c r="B131" s="2" t="s">
        <v>251</v>
      </c>
      <c r="C131" s="2" t="s">
        <v>254</v>
      </c>
      <c r="D131" s="4">
        <v>0.5</v>
      </c>
      <c r="E131" s="2">
        <v>3000</v>
      </c>
      <c r="F131" s="61" t="s">
        <v>257</v>
      </c>
      <c r="G131" s="2">
        <f ca="1">'Demanda Dinamica'!$O$13/2</f>
        <v>1680.5</v>
      </c>
      <c r="H131" s="77">
        <f ca="1">C125-(C125/4)</f>
        <v>32123.774174352871</v>
      </c>
      <c r="I131" s="77">
        <f ca="1">D125-(D125/4)</f>
        <v>48057.548445378154</v>
      </c>
      <c r="J131" s="77">
        <f ca="1">E125-(E125/4)</f>
        <v>22718.125536689549</v>
      </c>
      <c r="K131" s="2"/>
      <c r="L131" s="2"/>
    </row>
    <row r="132" spans="2:20">
      <c r="B132" s="2" t="s">
        <v>252</v>
      </c>
      <c r="C132" s="2" t="s">
        <v>255</v>
      </c>
      <c r="D132" s="4">
        <v>0.5</v>
      </c>
      <c r="E132" s="2">
        <v>3000</v>
      </c>
      <c r="F132" s="61" t="s">
        <v>257</v>
      </c>
      <c r="G132" s="2">
        <f ca="1">'Demanda Dinamica'!$O$13/2</f>
        <v>1680.5</v>
      </c>
      <c r="H132" s="77">
        <f ca="1">C125</f>
        <v>42831.698899137162</v>
      </c>
      <c r="I132" s="77">
        <f ca="1">D125</f>
        <v>64076.73126050421</v>
      </c>
      <c r="J132" s="77">
        <f ca="1">E125</f>
        <v>30290.834048919398</v>
      </c>
      <c r="K132" s="2"/>
      <c r="L132" s="2"/>
    </row>
    <row r="133" spans="2:20">
      <c r="D133" s="90">
        <f>SUM(D130:D132)</f>
        <v>1</v>
      </c>
    </row>
    <row r="135" spans="2:20">
      <c r="B135" s="171" t="s">
        <v>282</v>
      </c>
      <c r="C135" s="171"/>
      <c r="D135" s="171"/>
      <c r="E135" s="171"/>
      <c r="F135" s="171"/>
      <c r="G135" s="171"/>
      <c r="H135" s="171"/>
      <c r="I135" s="171"/>
      <c r="J135" s="171"/>
      <c r="K135" s="171"/>
      <c r="L135" s="171"/>
      <c r="M135" s="171"/>
      <c r="N135" s="171"/>
      <c r="O135" s="171"/>
      <c r="P135" s="171"/>
      <c r="Q135" s="171"/>
    </row>
    <row r="136" spans="2:20">
      <c r="B136" s="2" t="s">
        <v>68</v>
      </c>
      <c r="C136" s="2" t="s">
        <v>265</v>
      </c>
      <c r="D136" s="2" t="s">
        <v>266</v>
      </c>
      <c r="E136" s="2" t="s">
        <v>267</v>
      </c>
      <c r="F136" s="2" t="s">
        <v>34</v>
      </c>
      <c r="G136" s="2" t="s">
        <v>268</v>
      </c>
      <c r="H136" s="2" t="s">
        <v>20</v>
      </c>
      <c r="I136" s="2" t="s">
        <v>269</v>
      </c>
      <c r="J136" s="2" t="s">
        <v>41</v>
      </c>
      <c r="K136" s="2" t="s">
        <v>42</v>
      </c>
      <c r="L136" s="2" t="s">
        <v>24</v>
      </c>
      <c r="M136" s="2" t="s">
        <v>25</v>
      </c>
      <c r="N136" s="2" t="s">
        <v>270</v>
      </c>
      <c r="O136" s="2" t="s">
        <v>2</v>
      </c>
      <c r="P136" s="2" t="s">
        <v>3</v>
      </c>
      <c r="Q136" s="2" t="s">
        <v>43</v>
      </c>
    </row>
    <row r="137" spans="2:20">
      <c r="B137" s="2" t="s">
        <v>272</v>
      </c>
      <c r="C137" s="93">
        <f ca="1">$H$131*('Demanda Dinamica'!C13/2)</f>
        <v>3999409.8847069326</v>
      </c>
      <c r="D137" s="93">
        <f ca="1">$H$131*('Demanda Dinamica'!D13/2)</f>
        <v>2634149.4822969353</v>
      </c>
      <c r="E137" s="93">
        <f ca="1">$H$131*('Demanda Dinamica'!E13/2)</f>
        <v>4288523.8522761082</v>
      </c>
      <c r="F137" s="93">
        <f ca="1">$H$131*('Demanda Dinamica'!F13/2)</f>
        <v>3806667.2396608153</v>
      </c>
      <c r="G137" s="93">
        <f ca="1">$H$131*('Demanda Dinamica'!G13/2)</f>
        <v>2152292.8696816424</v>
      </c>
      <c r="H137" s="93">
        <f ca="1">$H$131*('Demanda Dinamica'!H13/2)</f>
        <v>1750745.6925022316</v>
      </c>
      <c r="I137" s="93">
        <f ca="1">$H$131*('Demanda Dinamica'!I13/2)</f>
        <v>2762644.5789943468</v>
      </c>
      <c r="J137" s="93">
        <f ca="1">$H$131*('Demanda Dinamica'!J13/2)</f>
        <v>5011308.7711990476</v>
      </c>
      <c r="K137" s="93">
        <f ca="1">$H$131*('Demanda Dinamica'!K13/2)</f>
        <v>8400366.9465932753</v>
      </c>
      <c r="L137" s="93">
        <f ca="1">$H$131*('Demanda Dinamica'!L13/2)</f>
        <v>7002982.7700089263</v>
      </c>
      <c r="M137" s="93">
        <f ca="1">$H$131*('Demanda Dinamica'!M13/2)</f>
        <v>4690071.0294555193</v>
      </c>
      <c r="N137" s="93">
        <f ca="1">$H$131*('Demanda Dinamica'!N13/2)</f>
        <v>1734683.805415055</v>
      </c>
      <c r="O137" s="93">
        <f t="shared" ref="O137:O144" ca="1" si="21">SUM(C137:N137)</f>
        <v>48233846.92279084</v>
      </c>
      <c r="P137" s="93">
        <f ca="1">O137+(O137*'Demanda Dinamica'!$S$6)</f>
        <v>52092554.676614106</v>
      </c>
      <c r="Q137" s="93">
        <f ca="1">P137+(P137*'Demanda Dinamica'!$S$7)</f>
        <v>59906437.878106222</v>
      </c>
    </row>
    <row r="138" spans="2:20" ht="15.75" thickBot="1">
      <c r="B138" s="2" t="s">
        <v>273</v>
      </c>
      <c r="C138" s="93">
        <f ca="1">$H$132*('Demanda Dinamica'!C13/2)</f>
        <v>5332546.5129425768</v>
      </c>
      <c r="D138" s="93">
        <f ca="1">$H$132*('Demanda Dinamica'!D13/2)</f>
        <v>3512199.3097292474</v>
      </c>
      <c r="E138" s="93">
        <f ca="1">$H$132*('Demanda Dinamica'!E13/2)</f>
        <v>5718031.8030348113</v>
      </c>
      <c r="F138" s="93">
        <f ca="1">$H$132*('Demanda Dinamica'!F13/2)</f>
        <v>5075556.3195477538</v>
      </c>
      <c r="G138" s="93">
        <f ca="1">$H$132*('Demanda Dinamica'!G13/2)</f>
        <v>2869723.8262421899</v>
      </c>
      <c r="H138" s="93">
        <f ca="1">$H$132*('Demanda Dinamica'!H13/2)</f>
        <v>2334327.5900029754</v>
      </c>
      <c r="I138" s="93">
        <f ca="1">$H$132*('Demanda Dinamica'!I13/2)</f>
        <v>3683526.1053257957</v>
      </c>
      <c r="J138" s="93">
        <f ca="1">$H$132*('Demanda Dinamica'!J13/2)</f>
        <v>6681745.0282653971</v>
      </c>
      <c r="K138" s="93">
        <f ca="1">$H$132*('Demanda Dinamica'!K13/2)</f>
        <v>11200489.262124367</v>
      </c>
      <c r="L138" s="93">
        <f ca="1">$H$132*('Demanda Dinamica'!L13/2)</f>
        <v>9337310.3600119017</v>
      </c>
      <c r="M138" s="93">
        <f ca="1">$H$132*('Demanda Dinamica'!M13/2)</f>
        <v>6253428.0392740257</v>
      </c>
      <c r="N138" s="93">
        <f ca="1">$H$132*('Demanda Dinamica'!N13/2)</f>
        <v>2312911.7405534065</v>
      </c>
      <c r="O138" s="93">
        <f t="shared" ca="1" si="21"/>
        <v>64311795.897054449</v>
      </c>
      <c r="P138" s="93">
        <f ca="1">O138+(O138*'Demanda Dinamica'!$S$6)</f>
        <v>69456739.568818808</v>
      </c>
      <c r="Q138" s="93">
        <f ca="1">P138+(P138*'Demanda Dinamica'!$S$7)</f>
        <v>79875250.504141629</v>
      </c>
    </row>
    <row r="139" spans="2:20" ht="15.75" thickBot="1">
      <c r="B139" s="22" t="s">
        <v>274</v>
      </c>
      <c r="C139" s="94">
        <f ca="1">SUM(C137:C138)</f>
        <v>9331956.3976495098</v>
      </c>
      <c r="D139" s="94">
        <f t="shared" ref="D139:L139" ca="1" si="22">SUM(D137:D138)</f>
        <v>6146348.7920261826</v>
      </c>
      <c r="E139" s="94">
        <f t="shared" ca="1" si="22"/>
        <v>10006555.65531092</v>
      </c>
      <c r="F139" s="94">
        <f t="shared" ca="1" si="22"/>
        <v>8882223.5592085682</v>
      </c>
      <c r="G139" s="94">
        <f t="shared" ca="1" si="22"/>
        <v>5022016.6959238322</v>
      </c>
      <c r="H139" s="94">
        <f t="shared" ca="1" si="22"/>
        <v>4085073.2825052068</v>
      </c>
      <c r="I139" s="94">
        <f t="shared" ca="1" si="22"/>
        <v>6446170.6843201425</v>
      </c>
      <c r="J139" s="94">
        <f t="shared" ca="1" si="22"/>
        <v>11693053.799464446</v>
      </c>
      <c r="K139" s="94">
        <f t="shared" ca="1" si="22"/>
        <v>19600856.208717644</v>
      </c>
      <c r="L139" s="94">
        <f t="shared" ca="1" si="22"/>
        <v>16340293.130020827</v>
      </c>
      <c r="M139" s="94">
        <f t="shared" ref="M139" ca="1" si="23">SUM(M137:M138)</f>
        <v>10943499.068729546</v>
      </c>
      <c r="N139" s="94">
        <f t="shared" ref="N139" ca="1" si="24">SUM(N137:N138)</f>
        <v>4047595.5459684618</v>
      </c>
      <c r="O139" s="94">
        <f t="shared" ca="1" si="21"/>
        <v>112545642.81984529</v>
      </c>
      <c r="P139" s="94">
        <f ca="1">O139+(O139*'Demanda Dinamica'!$S$6)</f>
        <v>121549294.24543291</v>
      </c>
      <c r="Q139" s="94">
        <f ca="1">P139+(P139*'Demanda Dinamica'!$S$7)</f>
        <v>139781688.38224787</v>
      </c>
      <c r="S139" s="91" t="s">
        <v>271</v>
      </c>
      <c r="T139" s="92">
        <v>0.15</v>
      </c>
    </row>
    <row r="140" spans="2:20">
      <c r="B140" s="2" t="s">
        <v>5</v>
      </c>
      <c r="C140" s="93">
        <f ca="1">C139*0.19</f>
        <v>1773071.7155534069</v>
      </c>
      <c r="D140" s="93">
        <f t="shared" ref="D140:N140" ca="1" si="25">D139*0.19</f>
        <v>1167806.2704849746</v>
      </c>
      <c r="E140" s="93">
        <f t="shared" ca="1" si="25"/>
        <v>1901245.5745090747</v>
      </c>
      <c r="F140" s="93">
        <f t="shared" ca="1" si="25"/>
        <v>1687622.476249628</v>
      </c>
      <c r="G140" s="93">
        <f t="shared" ca="1" si="25"/>
        <v>954183.17222552816</v>
      </c>
      <c r="H140" s="93">
        <f t="shared" ca="1" si="25"/>
        <v>776163.92367598927</v>
      </c>
      <c r="I140" s="93">
        <f t="shared" ca="1" si="25"/>
        <v>1224772.4300208271</v>
      </c>
      <c r="J140" s="93">
        <f t="shared" ca="1" si="25"/>
        <v>2221680.2218982447</v>
      </c>
      <c r="K140" s="93">
        <f t="shared" ca="1" si="25"/>
        <v>3724162.6796563524</v>
      </c>
      <c r="L140" s="93">
        <f t="shared" ca="1" si="25"/>
        <v>3104655.6947039571</v>
      </c>
      <c r="M140" s="93">
        <f t="shared" ca="1" si="25"/>
        <v>2079264.8230586138</v>
      </c>
      <c r="N140" s="93">
        <f t="shared" ca="1" si="25"/>
        <v>769043.15373400773</v>
      </c>
      <c r="O140" s="93">
        <f t="shared" ca="1" si="21"/>
        <v>21383672.135770604</v>
      </c>
      <c r="P140" s="93">
        <f ca="1">O140+(O140*'Demanda Dinamica'!$S$6)</f>
        <v>23094365.906632252</v>
      </c>
      <c r="Q140" s="93">
        <f ca="1">P140+(P140*'Demanda Dinamica'!$S$7)</f>
        <v>26558520.792627089</v>
      </c>
    </row>
    <row r="141" spans="2:20">
      <c r="B141" s="2" t="s">
        <v>275</v>
      </c>
      <c r="C141" s="93">
        <f ca="1">C140*0.15</f>
        <v>265960.75733301102</v>
      </c>
      <c r="D141" s="93">
        <f t="shared" ref="D141:J141" ca="1" si="26">D140*0.15</f>
        <v>175170.94057274619</v>
      </c>
      <c r="E141" s="93">
        <f t="shared" ca="1" si="26"/>
        <v>285186.83617636119</v>
      </c>
      <c r="F141" s="93">
        <f t="shared" ca="1" si="26"/>
        <v>253143.37143744418</v>
      </c>
      <c r="G141" s="93">
        <f t="shared" ca="1" si="26"/>
        <v>143127.47583382923</v>
      </c>
      <c r="H141" s="93">
        <f t="shared" ca="1" si="26"/>
        <v>116424.58855139838</v>
      </c>
      <c r="I141" s="93">
        <f t="shared" ca="1" si="26"/>
        <v>183715.86450312406</v>
      </c>
      <c r="J141" s="93">
        <f t="shared" ca="1" si="26"/>
        <v>333252.03328473668</v>
      </c>
      <c r="K141" s="93">
        <f t="shared" ref="K141" ca="1" si="27">K140*0.15</f>
        <v>558624.40194845281</v>
      </c>
      <c r="L141" s="93">
        <f t="shared" ref="L141" ca="1" si="28">L140*0.15</f>
        <v>465698.35420559352</v>
      </c>
      <c r="M141" s="93">
        <f t="shared" ref="M141" ca="1" si="29">M140*0.15</f>
        <v>311889.72345879208</v>
      </c>
      <c r="N141" s="93">
        <f t="shared" ref="N141" ca="1" si="30">N140*0.15</f>
        <v>115356.47306010115</v>
      </c>
      <c r="O141" s="93">
        <f t="shared" ca="1" si="21"/>
        <v>3207550.8203655905</v>
      </c>
      <c r="P141" s="93">
        <f ca="1">O141+(O141*'Demanda Dinamica'!$S$6)</f>
        <v>3464154.8859948376</v>
      </c>
      <c r="Q141" s="93">
        <f ca="1">P141+(P141*'Demanda Dinamica'!$S$7)</f>
        <v>3983778.1188940634</v>
      </c>
    </row>
    <row r="142" spans="2:20">
      <c r="B142" s="2" t="s">
        <v>276</v>
      </c>
      <c r="C142" s="93">
        <f ca="1">C139+C140-C141</f>
        <v>10839067.355869906</v>
      </c>
      <c r="D142" s="93">
        <f t="shared" ref="D142:N142" ca="1" si="31">D139+D140-D141</f>
        <v>7138984.1219384111</v>
      </c>
      <c r="E142" s="93">
        <f t="shared" ca="1" si="31"/>
        <v>11622614.393643633</v>
      </c>
      <c r="F142" s="93">
        <f t="shared" ca="1" si="31"/>
        <v>10316702.664020753</v>
      </c>
      <c r="G142" s="93">
        <f t="shared" ca="1" si="31"/>
        <v>5833072.3923155311</v>
      </c>
      <c r="H142" s="93">
        <f t="shared" ca="1" si="31"/>
        <v>4744812.6176297981</v>
      </c>
      <c r="I142" s="93">
        <f t="shared" ca="1" si="31"/>
        <v>7487227.2498378456</v>
      </c>
      <c r="J142" s="93">
        <f t="shared" ca="1" si="31"/>
        <v>13581481.988077953</v>
      </c>
      <c r="K142" s="93">
        <f t="shared" ca="1" si="31"/>
        <v>22766394.486425545</v>
      </c>
      <c r="L142" s="93">
        <f t="shared" ca="1" si="31"/>
        <v>18979250.470519193</v>
      </c>
      <c r="M142" s="93">
        <f t="shared" ca="1" si="31"/>
        <v>12710874.168329369</v>
      </c>
      <c r="N142" s="93">
        <f t="shared" ca="1" si="31"/>
        <v>4701282.2266423684</v>
      </c>
      <c r="O142" s="93">
        <f t="shared" ca="1" si="21"/>
        <v>130721764.13525032</v>
      </c>
      <c r="P142" s="93">
        <f ca="1">O142+(O142*'Demanda Dinamica'!$S$6)</f>
        <v>141179505.26607034</v>
      </c>
      <c r="Q142" s="93">
        <f ca="1">P142+(P142*'Demanda Dinamica'!$S$7)</f>
        <v>162356431.05598089</v>
      </c>
    </row>
    <row r="143" spans="2:20">
      <c r="B143" s="2" t="s">
        <v>277</v>
      </c>
      <c r="C143" s="93">
        <f ca="1">(C138+(C138*0.19))-(C138*0.19*0.15)</f>
        <v>6193752.7747828029</v>
      </c>
      <c r="D143" s="93">
        <f t="shared" ref="D143:N143" ca="1" si="32">(D138+(D138*0.19))-(D138*0.19*0.15)</f>
        <v>4079419.4982505208</v>
      </c>
      <c r="E143" s="93">
        <f t="shared" ca="1" si="32"/>
        <v>6641493.9392249333</v>
      </c>
      <c r="F143" s="93">
        <f t="shared" ca="1" si="32"/>
        <v>5895258.665154716</v>
      </c>
      <c r="G143" s="93">
        <f t="shared" ca="1" si="32"/>
        <v>3333184.2241803035</v>
      </c>
      <c r="H143" s="93">
        <f t="shared" ca="1" si="32"/>
        <v>2711321.4957884559</v>
      </c>
      <c r="I143" s="93">
        <f t="shared" ca="1" si="32"/>
        <v>4278415.5713359118</v>
      </c>
      <c r="J143" s="93">
        <f t="shared" ca="1" si="32"/>
        <v>7760846.8503302587</v>
      </c>
      <c r="K143" s="93">
        <f t="shared" ca="1" si="32"/>
        <v>13009368.277957452</v>
      </c>
      <c r="L143" s="93">
        <f t="shared" ca="1" si="32"/>
        <v>10845285.983153824</v>
      </c>
      <c r="M143" s="93">
        <f t="shared" ca="1" si="32"/>
        <v>7263356.6676167808</v>
      </c>
      <c r="N143" s="93">
        <f t="shared" ca="1" si="32"/>
        <v>2686446.9866527817</v>
      </c>
      <c r="O143" s="93">
        <f t="shared" ca="1" si="21"/>
        <v>74698150.934428737</v>
      </c>
      <c r="P143" s="93">
        <f ca="1">O143+(O143*'Demanda Dinamica'!$S$6)</f>
        <v>80674003.009183034</v>
      </c>
      <c r="Q143" s="93">
        <f ca="1">P143+(P143*'Demanda Dinamica'!$S$7)</f>
        <v>92775103.460560486</v>
      </c>
    </row>
    <row r="144" spans="2:20">
      <c r="B144" s="2" t="s">
        <v>281</v>
      </c>
      <c r="C144" s="93">
        <f ca="1">(C137+(C137*0.19))-(C137*0.19*0.15)</f>
        <v>4645314.5810871022</v>
      </c>
      <c r="D144" s="93">
        <f t="shared" ref="D144:N144" ca="1" si="33">(D137+(D137*0.19))-(D137*0.19*0.15)</f>
        <v>3059564.6236878904</v>
      </c>
      <c r="E144" s="93">
        <f t="shared" ca="1" si="33"/>
        <v>4981120.4544187002</v>
      </c>
      <c r="F144" s="93">
        <f t="shared" ca="1" si="33"/>
        <v>4421443.9988660365</v>
      </c>
      <c r="G144" s="93">
        <f t="shared" ca="1" si="33"/>
        <v>2499888.1681352276</v>
      </c>
      <c r="H144" s="93">
        <f t="shared" ca="1" si="33"/>
        <v>2033491.121841342</v>
      </c>
      <c r="I144" s="93">
        <f t="shared" ca="1" si="33"/>
        <v>3208811.6785019338</v>
      </c>
      <c r="J144" s="93">
        <f t="shared" ca="1" si="33"/>
        <v>5820635.1377476938</v>
      </c>
      <c r="K144" s="93">
        <f t="shared" ca="1" si="33"/>
        <v>9757026.2084680889</v>
      </c>
      <c r="L144" s="93">
        <f t="shared" ca="1" si="33"/>
        <v>8133964.4873653678</v>
      </c>
      <c r="M144" s="93">
        <f t="shared" ca="1" si="33"/>
        <v>5447517.5007125856</v>
      </c>
      <c r="N144" s="93">
        <f t="shared" ca="1" si="33"/>
        <v>2014835.2399895864</v>
      </c>
      <c r="O144" s="93">
        <f t="shared" ca="1" si="21"/>
        <v>56023613.200821556</v>
      </c>
      <c r="P144" s="93">
        <f ca="1">O144+(O144*'Demanda Dinamica'!$S$6)</f>
        <v>60505502.256887279</v>
      </c>
      <c r="Q144" s="93">
        <f ca="1">P144+(P144*'Demanda Dinamica'!$S$7)</f>
        <v>69581327.595420375</v>
      </c>
    </row>
    <row r="145" spans="2:17">
      <c r="B145" s="2" t="s">
        <v>278</v>
      </c>
      <c r="C145" s="93">
        <f ca="1">$H$131*'Demanda Dinamica'!C13/2</f>
        <v>3999409.8847069326</v>
      </c>
      <c r="D145" s="93">
        <f ca="1">$H$131*'Demanda Dinamica'!D13/2</f>
        <v>2634149.4822969353</v>
      </c>
      <c r="E145" s="93">
        <f ca="1">$H$131*'Demanda Dinamica'!E13/2</f>
        <v>4288523.8522761082</v>
      </c>
      <c r="F145" s="93">
        <f ca="1">$H$131*'Demanda Dinamica'!F13/2</f>
        <v>3806667.2396608153</v>
      </c>
      <c r="G145" s="93">
        <f ca="1">$H$131*'Demanda Dinamica'!G13/2</f>
        <v>2152292.8696816424</v>
      </c>
      <c r="H145" s="93">
        <f ca="1">$H$131*'Demanda Dinamica'!H13/2</f>
        <v>1750745.6925022316</v>
      </c>
      <c r="I145" s="93">
        <f ca="1">$H$131*'Demanda Dinamica'!I13/2</f>
        <v>2762644.5789943468</v>
      </c>
      <c r="J145" s="93">
        <f ca="1">$H$131*'Demanda Dinamica'!J13/2</f>
        <v>5011308.7711990476</v>
      </c>
      <c r="K145" s="93">
        <f ca="1">$H$131*'Demanda Dinamica'!K13/2</f>
        <v>8400366.9465932753</v>
      </c>
      <c r="L145" s="93">
        <f ca="1">$H$131*'Demanda Dinamica'!L13/2</f>
        <v>7002982.7700089263</v>
      </c>
      <c r="M145" s="93">
        <f ca="1">$H$131*'Demanda Dinamica'!M13/2</f>
        <v>4690071.0294555193</v>
      </c>
      <c r="N145" s="93">
        <f ca="1">$H$131*'Demanda Dinamica'!N13/2</f>
        <v>1734683.805415055</v>
      </c>
      <c r="O145" s="93">
        <f t="shared" ref="O145:O147" ca="1" si="34">SUM(C145:N145)</f>
        <v>48233846.92279084</v>
      </c>
      <c r="P145" s="93">
        <f ca="1">O145+(O145*'Demanda Dinamica'!$S$6)</f>
        <v>52092554.676614106</v>
      </c>
      <c r="Q145" s="93">
        <f ca="1">P145+(P145*'Demanda Dinamica'!$S$7)</f>
        <v>59906437.878106222</v>
      </c>
    </row>
    <row r="146" spans="2:17">
      <c r="B146" s="2" t="s">
        <v>279</v>
      </c>
      <c r="C146" s="93">
        <f ca="1">C143+C144</f>
        <v>10839067.355869904</v>
      </c>
      <c r="D146" s="93">
        <f t="shared" ref="D146:M146" ca="1" si="35">D143+D144</f>
        <v>7138984.1219384111</v>
      </c>
      <c r="E146" s="93">
        <f t="shared" ca="1" si="35"/>
        <v>11622614.393643633</v>
      </c>
      <c r="F146" s="93">
        <f t="shared" ca="1" si="35"/>
        <v>10316702.664020753</v>
      </c>
      <c r="G146" s="93">
        <f t="shared" ca="1" si="35"/>
        <v>5833072.3923155311</v>
      </c>
      <c r="H146" s="93">
        <f t="shared" ca="1" si="35"/>
        <v>4744812.6176297981</v>
      </c>
      <c r="I146" s="93">
        <f t="shared" ca="1" si="35"/>
        <v>7487227.2498378456</v>
      </c>
      <c r="J146" s="93">
        <f t="shared" ca="1" si="35"/>
        <v>13581481.988077953</v>
      </c>
      <c r="K146" s="93">
        <f t="shared" ca="1" si="35"/>
        <v>22766394.486425541</v>
      </c>
      <c r="L146" s="93">
        <f t="shared" ca="1" si="35"/>
        <v>18979250.470519193</v>
      </c>
      <c r="M146" s="93">
        <f t="shared" ca="1" si="35"/>
        <v>12710874.168329366</v>
      </c>
      <c r="N146" s="93">
        <f ca="1">N143+N144</f>
        <v>4701282.2266423684</v>
      </c>
      <c r="O146" s="93">
        <f t="shared" ca="1" si="34"/>
        <v>130721764.13525027</v>
      </c>
      <c r="P146" s="93">
        <f ca="1">O146+(O146*'Demanda Dinamica'!$S$6)</f>
        <v>141179505.26607031</v>
      </c>
      <c r="Q146" s="93">
        <f ca="1">P146+(P146*'Demanda Dinamica'!$S$7)</f>
        <v>162356431.05598086</v>
      </c>
    </row>
    <row r="147" spans="2:17">
      <c r="B147" s="2" t="s">
        <v>280</v>
      </c>
      <c r="C147" s="40">
        <f ca="1">$H$131*('Demanda Dinamica'!C13/2)</f>
        <v>3999409.8847069326</v>
      </c>
      <c r="D147" s="40">
        <f ca="1">$H$131*('Demanda Dinamica'!D13/2)</f>
        <v>2634149.4822969353</v>
      </c>
      <c r="E147" s="40">
        <f ca="1">$H$131*('Demanda Dinamica'!E13/2)</f>
        <v>4288523.8522761082</v>
      </c>
      <c r="F147" s="40">
        <f ca="1">$H$131*('Demanda Dinamica'!F13/2)</f>
        <v>3806667.2396608153</v>
      </c>
      <c r="G147" s="40">
        <f ca="1">$H$131*('Demanda Dinamica'!G13/2)</f>
        <v>2152292.8696816424</v>
      </c>
      <c r="H147" s="40">
        <f ca="1">$H$131*('Demanda Dinamica'!H13/2)</f>
        <v>1750745.6925022316</v>
      </c>
      <c r="I147" s="40">
        <f ca="1">$H$131*('Demanda Dinamica'!I13/2)</f>
        <v>2762644.5789943468</v>
      </c>
      <c r="J147" s="40">
        <f ca="1">$H$131*('Demanda Dinamica'!J13/2)</f>
        <v>5011308.7711990476</v>
      </c>
      <c r="K147" s="40">
        <f ca="1">$H$131*('Demanda Dinamica'!K13/2)</f>
        <v>8400366.9465932753</v>
      </c>
      <c r="L147" s="40">
        <f ca="1">$H$131*('Demanda Dinamica'!L13/2)</f>
        <v>7002982.7700089263</v>
      </c>
      <c r="M147" s="40">
        <f ca="1">$H$131*('Demanda Dinamica'!M13/2)</f>
        <v>4690071.0294555193</v>
      </c>
      <c r="N147" s="40">
        <f ca="1">$H$131*('Demanda Dinamica'!N13/2)</f>
        <v>1734683.805415055</v>
      </c>
      <c r="O147" s="93">
        <f t="shared" ca="1" si="34"/>
        <v>48233846.92279084</v>
      </c>
      <c r="P147" s="93">
        <f ca="1">O147+(O147*'Demanda Dinamica'!$S$6)</f>
        <v>52092554.676614106</v>
      </c>
      <c r="Q147" s="93">
        <f ca="1">P147+(P147*'Demanda Dinamica'!$S$7)</f>
        <v>59906437.878106222</v>
      </c>
    </row>
    <row r="149" spans="2:17">
      <c r="B149" s="169" t="s">
        <v>283</v>
      </c>
      <c r="C149" s="169"/>
      <c r="D149" s="169"/>
      <c r="E149" s="169"/>
      <c r="G149" s="170" t="s">
        <v>2</v>
      </c>
      <c r="H149" s="170"/>
      <c r="I149" s="170"/>
      <c r="J149" s="170"/>
      <c r="K149" s="170"/>
    </row>
    <row r="150" spans="2:17">
      <c r="B150" s="22" t="s">
        <v>68</v>
      </c>
      <c r="C150" s="22" t="s">
        <v>2</v>
      </c>
      <c r="D150" s="22" t="s">
        <v>3</v>
      </c>
      <c r="E150" s="22" t="s">
        <v>43</v>
      </c>
      <c r="G150" s="96" t="s">
        <v>290</v>
      </c>
      <c r="H150" s="96" t="s">
        <v>291</v>
      </c>
      <c r="I150" s="96" t="s">
        <v>292</v>
      </c>
      <c r="J150" s="96" t="s">
        <v>293</v>
      </c>
      <c r="K150" s="96" t="s">
        <v>294</v>
      </c>
    </row>
    <row r="151" spans="2:17" ht="21" customHeight="1">
      <c r="B151" s="59" t="s">
        <v>284</v>
      </c>
      <c r="C151" s="99">
        <f ca="1">0*'Demanda Dinamica'!O13</f>
        <v>0</v>
      </c>
      <c r="D151" s="99">
        <f ca="1">0*'Demanda Dinamica'!P13</f>
        <v>0</v>
      </c>
      <c r="E151" s="99">
        <f ca="1">0*'Demanda Dinamica'!Q13</f>
        <v>0</v>
      </c>
      <c r="G151" s="97">
        <f ca="1">O139</f>
        <v>112545642.81984529</v>
      </c>
      <c r="H151" s="98">
        <f ca="1">C124*'Demanda Dinamica'!O13</f>
        <v>63981040.000000007</v>
      </c>
      <c r="I151" s="98">
        <f ca="1">G151-H151-J151-K151</f>
        <v>37310038.537860751</v>
      </c>
      <c r="J151" s="98">
        <f ca="1">G151*0.05</f>
        <v>5627282.1409922652</v>
      </c>
      <c r="K151" s="98">
        <f ca="1">J151</f>
        <v>5627282.1409922652</v>
      </c>
    </row>
    <row r="152" spans="2:17" ht="30">
      <c r="B152" s="59" t="s">
        <v>285</v>
      </c>
      <c r="C152" s="99">
        <f ca="1">O139*0.05</f>
        <v>5627282.1409922652</v>
      </c>
      <c r="D152" s="99">
        <f t="shared" ref="D152:E152" ca="1" si="36">P139*0.05</f>
        <v>6077464.7122716457</v>
      </c>
      <c r="E152" s="99">
        <f t="shared" ca="1" si="36"/>
        <v>6989084.4191123936</v>
      </c>
    </row>
    <row r="153" spans="2:17" ht="30">
      <c r="B153" s="59" t="s">
        <v>286</v>
      </c>
      <c r="C153" s="99">
        <f ca="1">C152</f>
        <v>5627282.1409922652</v>
      </c>
      <c r="D153" s="99">
        <f t="shared" ref="D153:E153" ca="1" si="37">D152</f>
        <v>6077464.7122716457</v>
      </c>
      <c r="E153" s="99">
        <f t="shared" ca="1" si="37"/>
        <v>6989084.4191123936</v>
      </c>
    </row>
    <row r="154" spans="2:17" ht="30">
      <c r="B154" s="59" t="s">
        <v>287</v>
      </c>
      <c r="C154" s="99">
        <f ca="1">(G151/1000)*11</f>
        <v>1238002.0710182982</v>
      </c>
      <c r="D154" s="99">
        <f ca="1">C154+(C154*'Demanda Dinamica'!$D$6)</f>
        <v>1312282.1952793961</v>
      </c>
      <c r="E154" s="99">
        <f ca="1">D154+('Demanda Dinamica'!$D$7*D154)</f>
        <v>1397580.5379725569</v>
      </c>
    </row>
    <row r="155" spans="2:17" ht="30">
      <c r="B155" s="59" t="s">
        <v>288</v>
      </c>
      <c r="C155" s="99">
        <f ca="1">C154*0.15</f>
        <v>185700.31065274472</v>
      </c>
      <c r="D155" s="99">
        <f t="shared" ref="D155:E155" ca="1" si="38">D154*0.15</f>
        <v>196842.32929190941</v>
      </c>
      <c r="E155" s="99">
        <f t="shared" ca="1" si="38"/>
        <v>209637.08069588352</v>
      </c>
    </row>
    <row r="156" spans="2:17">
      <c r="B156" s="22" t="s">
        <v>289</v>
      </c>
      <c r="C156" s="100">
        <f ca="1">SUM(C151:C155)</f>
        <v>12678266.663655572</v>
      </c>
      <c r="D156" s="100">
        <f t="shared" ref="D156:E156" ca="1" si="39">SUM(D151:D155)</f>
        <v>13664053.949114598</v>
      </c>
      <c r="E156" s="100">
        <f t="shared" ca="1" si="39"/>
        <v>15585386.456893228</v>
      </c>
    </row>
    <row r="158" spans="2:17">
      <c r="B158" s="164" t="s">
        <v>318</v>
      </c>
      <c r="C158" s="164"/>
      <c r="D158" s="164"/>
      <c r="E158" s="164"/>
      <c r="F158" s="164"/>
      <c r="G158" s="164"/>
    </row>
    <row r="159" spans="2:17">
      <c r="B159" s="168" t="s">
        <v>68</v>
      </c>
      <c r="C159" s="168"/>
      <c r="D159" s="168"/>
      <c r="E159" s="63" t="s">
        <v>2</v>
      </c>
      <c r="F159" s="63" t="s">
        <v>3</v>
      </c>
      <c r="G159" s="63" t="s">
        <v>43</v>
      </c>
    </row>
    <row r="160" spans="2:17">
      <c r="B160" s="158" t="s">
        <v>295</v>
      </c>
      <c r="C160" s="161" t="s">
        <v>296</v>
      </c>
      <c r="D160" s="161"/>
      <c r="E160" s="2" t="s">
        <v>297</v>
      </c>
      <c r="F160" s="93">
        <f>F113</f>
        <v>80000</v>
      </c>
      <c r="G160" s="93">
        <f>G113</f>
        <v>85200</v>
      </c>
    </row>
    <row r="161" spans="2:7">
      <c r="B161" s="158"/>
      <c r="C161" s="161" t="s">
        <v>298</v>
      </c>
      <c r="D161" s="161"/>
      <c r="E161" s="2" t="s">
        <v>297</v>
      </c>
      <c r="F161" s="93">
        <v>0</v>
      </c>
      <c r="G161" s="93">
        <v>0</v>
      </c>
    </row>
    <row r="162" spans="2:7">
      <c r="B162" s="158"/>
      <c r="C162" s="146" t="s">
        <v>299</v>
      </c>
      <c r="D162" s="146"/>
      <c r="E162" s="77">
        <f>'Demanda Dinamica'!V43</f>
        <v>45334530</v>
      </c>
      <c r="F162" s="77">
        <f>'Demanda Dinamica'!W43</f>
        <v>48054601.800000004</v>
      </c>
      <c r="G162" s="77">
        <f>'Demanda Dinamica'!X43</f>
        <v>51178150.917000011</v>
      </c>
    </row>
    <row r="163" spans="2:7">
      <c r="B163" s="158"/>
      <c r="C163" s="161" t="s">
        <v>300</v>
      </c>
      <c r="D163" s="161"/>
      <c r="E163" s="77">
        <f>'Demanda Dinamica'!V35</f>
        <v>2400000</v>
      </c>
      <c r="F163" s="77">
        <f>'Demanda Dinamica'!W35</f>
        <v>2544000</v>
      </c>
      <c r="G163" s="77">
        <f>'Demanda Dinamica'!X35</f>
        <v>2709360</v>
      </c>
    </row>
    <row r="164" spans="2:7">
      <c r="B164" s="158"/>
      <c r="C164" s="161" t="s">
        <v>301</v>
      </c>
      <c r="D164" s="161"/>
      <c r="E164" s="77">
        <v>0</v>
      </c>
      <c r="F164" s="93">
        <v>0</v>
      </c>
      <c r="G164" s="93">
        <v>0</v>
      </c>
    </row>
    <row r="165" spans="2:7">
      <c r="B165" s="158"/>
      <c r="C165" s="161" t="s">
        <v>302</v>
      </c>
      <c r="D165" s="161"/>
      <c r="E165" s="77">
        <f>E106</f>
        <v>48480</v>
      </c>
      <c r="F165" s="77">
        <f t="shared" ref="F165:G165" si="40">F106</f>
        <v>51388.800000000003</v>
      </c>
      <c r="G165" s="77">
        <f t="shared" si="40"/>
        <v>54729.072</v>
      </c>
    </row>
    <row r="166" spans="2:7">
      <c r="B166" s="158"/>
      <c r="C166" s="161" t="s">
        <v>303</v>
      </c>
      <c r="D166" s="161"/>
      <c r="E166" s="77">
        <f>E107</f>
        <v>0</v>
      </c>
      <c r="F166" s="77">
        <f t="shared" ref="F166:G166" si="41">F107</f>
        <v>0</v>
      </c>
      <c r="G166" s="77">
        <f t="shared" si="41"/>
        <v>0</v>
      </c>
    </row>
    <row r="167" spans="2:7">
      <c r="B167" s="158"/>
      <c r="C167" s="161" t="s">
        <v>304</v>
      </c>
      <c r="D167" s="161"/>
      <c r="E167" s="77">
        <f t="shared" ref="E167:G168" si="42">E108</f>
        <v>120000</v>
      </c>
      <c r="F167" s="77">
        <f t="shared" si="42"/>
        <v>127200</v>
      </c>
      <c r="G167" s="77">
        <f t="shared" si="42"/>
        <v>135468</v>
      </c>
    </row>
    <row r="168" spans="2:7">
      <c r="B168" s="158"/>
      <c r="C168" s="161" t="s">
        <v>305</v>
      </c>
      <c r="D168" s="161"/>
      <c r="E168" s="77">
        <f t="shared" si="42"/>
        <v>0</v>
      </c>
      <c r="F168" s="77">
        <f t="shared" si="42"/>
        <v>0</v>
      </c>
      <c r="G168" s="77">
        <f t="shared" si="42"/>
        <v>0</v>
      </c>
    </row>
    <row r="169" spans="2:7">
      <c r="B169" s="158"/>
      <c r="C169" s="161" t="s">
        <v>161</v>
      </c>
      <c r="D169" s="161"/>
      <c r="E169" s="77">
        <f>E110</f>
        <v>200000</v>
      </c>
      <c r="F169" s="77">
        <f t="shared" ref="F169:G169" si="43">F110</f>
        <v>200000</v>
      </c>
      <c r="G169" s="77">
        <f t="shared" si="43"/>
        <v>200000</v>
      </c>
    </row>
    <row r="170" spans="2:7">
      <c r="B170" s="158"/>
      <c r="C170" s="161" t="s">
        <v>306</v>
      </c>
      <c r="D170" s="161"/>
      <c r="E170" s="77">
        <f>E111</f>
        <v>200000</v>
      </c>
      <c r="F170" s="77">
        <f t="shared" ref="F170:G170" si="44">F111</f>
        <v>200000</v>
      </c>
      <c r="G170" s="77">
        <f t="shared" si="44"/>
        <v>200000</v>
      </c>
    </row>
    <row r="171" spans="2:7">
      <c r="B171" s="158"/>
      <c r="C171" s="161" t="s">
        <v>319</v>
      </c>
      <c r="D171" s="161"/>
      <c r="E171" s="77">
        <v>0</v>
      </c>
      <c r="F171" s="93">
        <v>0</v>
      </c>
      <c r="G171" s="93">
        <v>0</v>
      </c>
    </row>
    <row r="172" spans="2:7">
      <c r="B172" s="158"/>
      <c r="C172" s="168" t="s">
        <v>307</v>
      </c>
      <c r="D172" s="168"/>
      <c r="E172" s="82">
        <f>SUM(E162:E171)</f>
        <v>48303010</v>
      </c>
      <c r="F172" s="94">
        <f>SUM(F160:F171)</f>
        <v>51257190.600000001</v>
      </c>
      <c r="G172" s="94">
        <f>SUM(G160:G171)</f>
        <v>54562907.989000008</v>
      </c>
    </row>
    <row r="173" spans="2:7">
      <c r="B173" s="168" t="s">
        <v>308</v>
      </c>
      <c r="C173" s="161" t="s">
        <v>186</v>
      </c>
      <c r="D173" s="161"/>
      <c r="E173" s="77">
        <f>E64</f>
        <v>0</v>
      </c>
      <c r="F173" s="77">
        <f t="shared" ref="F173:G173" si="45">F64</f>
        <v>0</v>
      </c>
      <c r="G173" s="77">
        <f t="shared" si="45"/>
        <v>0</v>
      </c>
    </row>
    <row r="174" spans="2:7">
      <c r="B174" s="168"/>
      <c r="C174" s="161" t="s">
        <v>309</v>
      </c>
      <c r="D174" s="161"/>
      <c r="E174" s="77">
        <f>0</f>
        <v>0</v>
      </c>
      <c r="F174" s="77">
        <f>0</f>
        <v>0</v>
      </c>
      <c r="G174" s="77">
        <f>0</f>
        <v>0</v>
      </c>
    </row>
    <row r="175" spans="2:7">
      <c r="B175" s="168"/>
      <c r="C175" s="161" t="s">
        <v>310</v>
      </c>
      <c r="D175" s="161"/>
      <c r="E175" s="77">
        <v>0</v>
      </c>
      <c r="F175" s="77">
        <v>0</v>
      </c>
      <c r="G175" s="77">
        <v>0</v>
      </c>
    </row>
    <row r="176" spans="2:7">
      <c r="B176" s="168"/>
      <c r="C176" s="161" t="s">
        <v>311</v>
      </c>
      <c r="D176" s="161"/>
      <c r="E176" s="77">
        <v>0</v>
      </c>
      <c r="F176" s="77">
        <v>0</v>
      </c>
      <c r="G176" s="77">
        <v>0</v>
      </c>
    </row>
    <row r="177" spans="2:7">
      <c r="B177" s="168"/>
      <c r="C177" s="161" t="s">
        <v>284</v>
      </c>
      <c r="D177" s="161"/>
      <c r="E177" s="77">
        <v>0</v>
      </c>
      <c r="F177" s="77">
        <v>0</v>
      </c>
      <c r="G177" s="77">
        <v>0</v>
      </c>
    </row>
    <row r="178" spans="2:7">
      <c r="B178" s="168"/>
      <c r="C178" s="161" t="s">
        <v>312</v>
      </c>
      <c r="D178" s="161"/>
      <c r="E178" s="77">
        <f ca="1">C152</f>
        <v>5627282.1409922652</v>
      </c>
      <c r="F178" s="77">
        <f t="shared" ref="F178:G178" ca="1" si="46">D152</f>
        <v>6077464.7122716457</v>
      </c>
      <c r="G178" s="77">
        <f t="shared" ca="1" si="46"/>
        <v>6989084.4191123936</v>
      </c>
    </row>
    <row r="179" spans="2:7">
      <c r="B179" s="168"/>
      <c r="C179" s="161" t="s">
        <v>313</v>
      </c>
      <c r="D179" s="161"/>
      <c r="E179" s="77">
        <f ca="1">C153</f>
        <v>5627282.1409922652</v>
      </c>
      <c r="F179" s="77">
        <f t="shared" ref="F179:G181" ca="1" si="47">D153</f>
        <v>6077464.7122716457</v>
      </c>
      <c r="G179" s="77">
        <f t="shared" ca="1" si="47"/>
        <v>6989084.4191123936</v>
      </c>
    </row>
    <row r="180" spans="2:7">
      <c r="B180" s="168"/>
      <c r="C180" s="161" t="s">
        <v>314</v>
      </c>
      <c r="D180" s="161"/>
      <c r="E180" s="77">
        <f t="shared" ref="E180:E181" ca="1" si="48">C154</f>
        <v>1238002.0710182982</v>
      </c>
      <c r="F180" s="77">
        <f t="shared" ca="1" si="47"/>
        <v>1312282.1952793961</v>
      </c>
      <c r="G180" s="77">
        <f t="shared" ca="1" si="47"/>
        <v>1397580.5379725569</v>
      </c>
    </row>
    <row r="181" spans="2:7">
      <c r="B181" s="168"/>
      <c r="C181" s="161" t="s">
        <v>315</v>
      </c>
      <c r="D181" s="161"/>
      <c r="E181" s="77">
        <f t="shared" ca="1" si="48"/>
        <v>185700.31065274472</v>
      </c>
      <c r="F181" s="77">
        <f t="shared" ca="1" si="47"/>
        <v>196842.32929190941</v>
      </c>
      <c r="G181" s="77">
        <f t="shared" ca="1" si="47"/>
        <v>209637.08069588352</v>
      </c>
    </row>
    <row r="182" spans="2:7">
      <c r="B182" s="168"/>
      <c r="C182" s="168" t="s">
        <v>316</v>
      </c>
      <c r="D182" s="168"/>
      <c r="E182" s="82">
        <f ca="1">SUM(E173:E181)</f>
        <v>12678266.663655572</v>
      </c>
      <c r="F182" s="82">
        <f t="shared" ref="F182:G182" ca="1" si="49">SUM(F173:F181)</f>
        <v>13664053.949114598</v>
      </c>
      <c r="G182" s="82">
        <f t="shared" ca="1" si="49"/>
        <v>15585386.456893228</v>
      </c>
    </row>
    <row r="183" spans="2:7">
      <c r="B183" s="163" t="s">
        <v>317</v>
      </c>
      <c r="C183" s="163"/>
      <c r="D183" s="163"/>
      <c r="E183" s="101">
        <f ca="1">E172+E182</f>
        <v>60981276.663655572</v>
      </c>
      <c r="F183" s="101">
        <f t="shared" ref="F183:G183" ca="1" si="50">F172+F182</f>
        <v>64921244.5491146</v>
      </c>
      <c r="G183" s="101">
        <f t="shared" ca="1" si="50"/>
        <v>70148294.445893228</v>
      </c>
    </row>
    <row r="184" spans="2:7">
      <c r="B184" s="67"/>
      <c r="C184" s="67"/>
      <c r="D184" s="67"/>
      <c r="E184" s="67"/>
      <c r="F184" s="67"/>
    </row>
    <row r="185" spans="2:7">
      <c r="B185" s="164" t="s">
        <v>321</v>
      </c>
      <c r="C185" s="164"/>
      <c r="D185" s="164"/>
      <c r="E185" s="164"/>
      <c r="F185" s="164"/>
    </row>
    <row r="186" spans="2:7">
      <c r="B186" s="63" t="s">
        <v>68</v>
      </c>
      <c r="C186" s="63" t="s">
        <v>320</v>
      </c>
      <c r="D186" s="63" t="s">
        <v>2</v>
      </c>
      <c r="E186" s="63" t="s">
        <v>3</v>
      </c>
      <c r="F186" s="63" t="s">
        <v>43</v>
      </c>
    </row>
    <row r="187" spans="2:7" ht="30">
      <c r="B187" s="60" t="s">
        <v>322</v>
      </c>
      <c r="C187" s="59" t="s">
        <v>323</v>
      </c>
      <c r="D187" s="2">
        <f ca="1">'Demanda Dinamica'!O13</f>
        <v>3361</v>
      </c>
      <c r="E187" s="2">
        <f ca="1">'Demanda Dinamica'!P13</f>
        <v>2380</v>
      </c>
      <c r="F187" s="2">
        <f ca="1">'Demanda Dinamica'!Q13</f>
        <v>5136</v>
      </c>
    </row>
    <row r="188" spans="2:7" ht="30">
      <c r="B188" s="60" t="s">
        <v>324</v>
      </c>
      <c r="C188" s="59" t="s">
        <v>325</v>
      </c>
      <c r="D188" s="19">
        <f ca="1">C121/D187</f>
        <v>19036.31062183874</v>
      </c>
      <c r="E188" s="19">
        <f t="shared" ref="E188:F188" ca="1" si="51">F75/E187</f>
        <v>20280.084789915963</v>
      </c>
      <c r="F188" s="19">
        <f t="shared" ca="1" si="51"/>
        <v>9442.0316296728979</v>
      </c>
    </row>
    <row r="189" spans="2:7" ht="30">
      <c r="B189" s="60" t="s">
        <v>326</v>
      </c>
      <c r="C189" s="59" t="s">
        <v>327</v>
      </c>
      <c r="D189" s="77">
        <f ca="1">E182/D187</f>
        <v>3772.1709799629789</v>
      </c>
      <c r="E189" s="77">
        <f t="shared" ref="E189:F189" ca="1" si="52">F182/E187</f>
        <v>5741.1991382834449</v>
      </c>
      <c r="F189" s="77">
        <f t="shared" ca="1" si="52"/>
        <v>3034.5378615446316</v>
      </c>
    </row>
    <row r="190" spans="2:7" ht="30">
      <c r="B190" s="60" t="s">
        <v>328</v>
      </c>
      <c r="C190" s="59" t="s">
        <v>329</v>
      </c>
      <c r="D190" s="77">
        <f ca="1">O139/D187</f>
        <v>33485.761029409485</v>
      </c>
      <c r="E190" s="77">
        <f t="shared" ref="E190:F190" ca="1" si="53">P139/E187</f>
        <v>51071.132035896182</v>
      </c>
      <c r="F190" s="77">
        <f t="shared" ca="1" si="53"/>
        <v>27216.060822088759</v>
      </c>
    </row>
    <row r="191" spans="2:7" ht="30">
      <c r="B191" s="60" t="s">
        <v>330</v>
      </c>
      <c r="C191" s="59" t="s">
        <v>331</v>
      </c>
      <c r="D191" s="77">
        <f ca="1">D190-D189</f>
        <v>29713.590049446506</v>
      </c>
      <c r="E191" s="77">
        <f t="shared" ref="E191:F191" ca="1" si="54">E190-E189</f>
        <v>45329.932897612736</v>
      </c>
      <c r="F191" s="77">
        <f t="shared" ca="1" si="54"/>
        <v>24181.522960544127</v>
      </c>
    </row>
    <row r="192" spans="2:7" ht="30">
      <c r="B192" s="60" t="s">
        <v>332</v>
      </c>
      <c r="C192" s="59" t="s">
        <v>333</v>
      </c>
      <c r="D192" s="2">
        <f ca="1">E172/D191</f>
        <v>1625.6201259968507</v>
      </c>
      <c r="E192" s="2">
        <f ca="1">F172/E191</f>
        <v>1130.7581397875711</v>
      </c>
      <c r="F192" s="2">
        <f ca="1">G172/F191</f>
        <v>2256.3884035768874</v>
      </c>
    </row>
    <row r="194" spans="2:17">
      <c r="B194" s="165" t="s">
        <v>336</v>
      </c>
      <c r="C194" s="165"/>
      <c r="D194" s="165"/>
      <c r="E194" s="165"/>
      <c r="F194" s="165"/>
      <c r="G194" s="165"/>
      <c r="H194" s="165"/>
      <c r="I194" s="165"/>
      <c r="J194" s="165"/>
      <c r="K194" s="165"/>
      <c r="L194" s="165"/>
      <c r="M194" s="165"/>
      <c r="N194" s="165"/>
      <c r="O194" s="165"/>
      <c r="P194" s="165"/>
      <c r="Q194" s="165"/>
    </row>
    <row r="195" spans="2:17">
      <c r="B195" s="63" t="s">
        <v>68</v>
      </c>
      <c r="C195" s="62" t="s">
        <v>15</v>
      </c>
      <c r="D195" s="62" t="s">
        <v>334</v>
      </c>
      <c r="E195" s="62" t="s">
        <v>33</v>
      </c>
      <c r="F195" s="62" t="s">
        <v>18</v>
      </c>
      <c r="G195" s="62" t="s">
        <v>268</v>
      </c>
      <c r="H195" s="62" t="s">
        <v>20</v>
      </c>
      <c r="I195" s="62" t="s">
        <v>269</v>
      </c>
      <c r="J195" s="62" t="s">
        <v>41</v>
      </c>
      <c r="K195" s="62" t="s">
        <v>23</v>
      </c>
      <c r="L195" s="62" t="s">
        <v>335</v>
      </c>
      <c r="M195" s="62" t="s">
        <v>25</v>
      </c>
      <c r="N195" s="62" t="s">
        <v>270</v>
      </c>
      <c r="O195" s="62" t="s">
        <v>2</v>
      </c>
      <c r="P195" s="62" t="s">
        <v>3</v>
      </c>
      <c r="Q195" s="62" t="s">
        <v>43</v>
      </c>
    </row>
    <row r="196" spans="2:17">
      <c r="B196" s="63" t="s">
        <v>337</v>
      </c>
      <c r="C196" s="93">
        <f ca="1">C139</f>
        <v>9331956.3976495098</v>
      </c>
      <c r="D196" s="93">
        <f t="shared" ref="D196:Q196" ca="1" si="55">D139</f>
        <v>6146348.7920261826</v>
      </c>
      <c r="E196" s="93">
        <f t="shared" ca="1" si="55"/>
        <v>10006555.65531092</v>
      </c>
      <c r="F196" s="93">
        <f t="shared" ca="1" si="55"/>
        <v>8882223.5592085682</v>
      </c>
      <c r="G196" s="93">
        <f t="shared" ca="1" si="55"/>
        <v>5022016.6959238322</v>
      </c>
      <c r="H196" s="93">
        <f t="shared" ca="1" si="55"/>
        <v>4085073.2825052068</v>
      </c>
      <c r="I196" s="93">
        <f t="shared" ca="1" si="55"/>
        <v>6446170.6843201425</v>
      </c>
      <c r="J196" s="93">
        <f t="shared" ca="1" si="55"/>
        <v>11693053.799464446</v>
      </c>
      <c r="K196" s="93">
        <f t="shared" ca="1" si="55"/>
        <v>19600856.208717644</v>
      </c>
      <c r="L196" s="93">
        <f t="shared" ca="1" si="55"/>
        <v>16340293.130020827</v>
      </c>
      <c r="M196" s="93">
        <f t="shared" ca="1" si="55"/>
        <v>10943499.068729546</v>
      </c>
      <c r="N196" s="93">
        <f t="shared" ca="1" si="55"/>
        <v>4047595.5459684618</v>
      </c>
      <c r="O196" s="93">
        <f t="shared" ca="1" si="55"/>
        <v>112545642.81984529</v>
      </c>
      <c r="P196" s="93">
        <f t="shared" ca="1" si="55"/>
        <v>121549294.24543291</v>
      </c>
      <c r="Q196" s="93">
        <f t="shared" ca="1" si="55"/>
        <v>139781688.38224787</v>
      </c>
    </row>
    <row r="197" spans="2:17">
      <c r="B197" s="63" t="s">
        <v>338</v>
      </c>
      <c r="C197" s="77">
        <f ca="1">$E$183/12</f>
        <v>5081773.0553046307</v>
      </c>
      <c r="D197" s="77">
        <f t="shared" ref="D197:N197" ca="1" si="56">$E$183/12</f>
        <v>5081773.0553046307</v>
      </c>
      <c r="E197" s="77">
        <f t="shared" ca="1" si="56"/>
        <v>5081773.0553046307</v>
      </c>
      <c r="F197" s="77">
        <f t="shared" ca="1" si="56"/>
        <v>5081773.0553046307</v>
      </c>
      <c r="G197" s="77">
        <f t="shared" ca="1" si="56"/>
        <v>5081773.0553046307</v>
      </c>
      <c r="H197" s="77">
        <f t="shared" ca="1" si="56"/>
        <v>5081773.0553046307</v>
      </c>
      <c r="I197" s="77">
        <f t="shared" ca="1" si="56"/>
        <v>5081773.0553046307</v>
      </c>
      <c r="J197" s="77">
        <f t="shared" ca="1" si="56"/>
        <v>5081773.0553046307</v>
      </c>
      <c r="K197" s="77">
        <f t="shared" ca="1" si="56"/>
        <v>5081773.0553046307</v>
      </c>
      <c r="L197" s="77">
        <f t="shared" ca="1" si="56"/>
        <v>5081773.0553046307</v>
      </c>
      <c r="M197" s="77">
        <f t="shared" ca="1" si="56"/>
        <v>5081773.0553046307</v>
      </c>
      <c r="N197" s="77">
        <f t="shared" ca="1" si="56"/>
        <v>5081773.0553046307</v>
      </c>
      <c r="O197" s="77">
        <f ca="1">E183</f>
        <v>60981276.663655572</v>
      </c>
      <c r="P197" s="77">
        <f t="shared" ref="P197:Q197" ca="1" si="57">F183</f>
        <v>64921244.5491146</v>
      </c>
      <c r="Q197" s="77">
        <f t="shared" ca="1" si="57"/>
        <v>70148294.445893228</v>
      </c>
    </row>
    <row r="198" spans="2:17">
      <c r="B198" s="63" t="s">
        <v>339</v>
      </c>
      <c r="C198" s="77">
        <f ca="1">C196-C197</f>
        <v>4250183.3423448792</v>
      </c>
      <c r="D198" s="77">
        <f t="shared" ref="D198:Q198" ca="1" si="58">D196-D197</f>
        <v>1064575.736721552</v>
      </c>
      <c r="E198" s="77">
        <f t="shared" ca="1" si="58"/>
        <v>4924782.6000062888</v>
      </c>
      <c r="F198" s="77">
        <f t="shared" ca="1" si="58"/>
        <v>3800450.5039039375</v>
      </c>
      <c r="G198" s="77">
        <f t="shared" ca="1" si="58"/>
        <v>-59756.359380798414</v>
      </c>
      <c r="H198" s="77">
        <f t="shared" ca="1" si="58"/>
        <v>-996699.7727994239</v>
      </c>
      <c r="I198" s="77">
        <f t="shared" ca="1" si="58"/>
        <v>1364397.6290155118</v>
      </c>
      <c r="J198" s="77">
        <f t="shared" ca="1" si="58"/>
        <v>6611280.7441598149</v>
      </c>
      <c r="K198" s="77">
        <f t="shared" ca="1" si="58"/>
        <v>14519083.153413013</v>
      </c>
      <c r="L198" s="77">
        <f t="shared" ca="1" si="58"/>
        <v>11258520.074716195</v>
      </c>
      <c r="M198" s="77">
        <f t="shared" ca="1" si="58"/>
        <v>5861726.0134249153</v>
      </c>
      <c r="N198" s="77">
        <f t="shared" ca="1" si="58"/>
        <v>-1034177.5093361689</v>
      </c>
      <c r="O198" s="77">
        <f t="shared" ca="1" si="58"/>
        <v>51564366.156189717</v>
      </c>
      <c r="P198" s="77">
        <f t="shared" ca="1" si="58"/>
        <v>56628049.696318313</v>
      </c>
      <c r="Q198" s="77">
        <f t="shared" ca="1" si="58"/>
        <v>69633393.936354637</v>
      </c>
    </row>
    <row r="200" spans="2:17">
      <c r="B200" s="166" t="s">
        <v>340</v>
      </c>
      <c r="C200" s="166"/>
      <c r="D200" s="166"/>
      <c r="E200" s="166"/>
      <c r="F200" s="166"/>
    </row>
    <row r="201" spans="2:17">
      <c r="B201" s="103" t="s">
        <v>68</v>
      </c>
      <c r="C201" s="62" t="s">
        <v>15</v>
      </c>
      <c r="D201" s="62" t="s">
        <v>16</v>
      </c>
      <c r="E201" s="62" t="s">
        <v>33</v>
      </c>
      <c r="F201" s="62" t="s">
        <v>56</v>
      </c>
    </row>
    <row r="202" spans="2:17">
      <c r="B202" s="103" t="s">
        <v>341</v>
      </c>
      <c r="C202" s="77">
        <f ca="1">C197</f>
        <v>5081773.0553046307</v>
      </c>
      <c r="D202" s="77">
        <f t="shared" ref="D202:E202" ca="1" si="59">D197</f>
        <v>5081773.0553046307</v>
      </c>
      <c r="E202" s="77">
        <f t="shared" ca="1" si="59"/>
        <v>5081773.0553046307</v>
      </c>
      <c r="F202" s="77">
        <f ca="1">SUM(C202:E202)</f>
        <v>15245319.165913891</v>
      </c>
    </row>
    <row r="203" spans="2:17">
      <c r="B203" s="103" t="s">
        <v>342</v>
      </c>
      <c r="C203" s="77">
        <f ca="1">-C198</f>
        <v>-4250183.3423448792</v>
      </c>
      <c r="D203" s="77">
        <f ca="1">D198</f>
        <v>1064575.736721552</v>
      </c>
      <c r="E203" s="2"/>
      <c r="F203" s="77">
        <f ca="1">SUM(C203:E203)</f>
        <v>-3185607.6056233272</v>
      </c>
    </row>
    <row r="204" spans="2:17">
      <c r="F204" s="77">
        <f ca="1">SUM(F202:F203)</f>
        <v>12059711.560290564</v>
      </c>
    </row>
    <row r="205" spans="2:17">
      <c r="B205" s="167" t="s">
        <v>343</v>
      </c>
      <c r="C205" s="167"/>
      <c r="D205" s="167"/>
    </row>
    <row r="206" spans="2:17">
      <c r="B206" s="103" t="s">
        <v>344</v>
      </c>
      <c r="C206" s="18">
        <f>E16</f>
        <v>4848000</v>
      </c>
      <c r="D206" s="104">
        <f ca="1">C206/$C$209</f>
        <v>0.27627534127987025</v>
      </c>
    </row>
    <row r="207" spans="2:17">
      <c r="B207" s="103" t="s">
        <v>345</v>
      </c>
      <c r="C207" s="40">
        <f>K12</f>
        <v>640000</v>
      </c>
      <c r="D207" s="104">
        <f t="shared" ref="D207:D209" ca="1" si="60">C207/$C$209</f>
        <v>3.6471992248167689E-2</v>
      </c>
    </row>
    <row r="208" spans="2:17">
      <c r="B208" s="103" t="s">
        <v>346</v>
      </c>
      <c r="C208" s="77">
        <f ca="1">F204</f>
        <v>12059711.560290564</v>
      </c>
      <c r="D208" s="104">
        <f t="shared" ca="1" si="60"/>
        <v>0.68725266647196204</v>
      </c>
    </row>
    <row r="209" spans="2:4">
      <c r="B209" s="103" t="s">
        <v>56</v>
      </c>
      <c r="C209" s="18">
        <f ca="1">SUM(C206:C208)</f>
        <v>17547711.560290564</v>
      </c>
      <c r="D209" s="104">
        <f t="shared" ca="1" si="60"/>
        <v>1</v>
      </c>
    </row>
  </sheetData>
  <mergeCells count="121">
    <mergeCell ref="B93:C93"/>
    <mergeCell ref="B78:D78"/>
    <mergeCell ref="B81:C81"/>
    <mergeCell ref="B82:C82"/>
    <mergeCell ref="B83:C83"/>
    <mergeCell ref="F81:G81"/>
    <mergeCell ref="B75:D75"/>
    <mergeCell ref="C70:D70"/>
    <mergeCell ref="C71:D71"/>
    <mergeCell ref="C72:D72"/>
    <mergeCell ref="C73:D73"/>
    <mergeCell ref="C74:D74"/>
    <mergeCell ref="B89:D89"/>
    <mergeCell ref="B92:C92"/>
    <mergeCell ref="B54:C54"/>
    <mergeCell ref="B55:C55"/>
    <mergeCell ref="B56:C56"/>
    <mergeCell ref="B57:C57"/>
    <mergeCell ref="B58:C58"/>
    <mergeCell ref="B59:C59"/>
    <mergeCell ref="B52:G52"/>
    <mergeCell ref="B64:B69"/>
    <mergeCell ref="B70:B74"/>
    <mergeCell ref="B63:D63"/>
    <mergeCell ref="C64:D64"/>
    <mergeCell ref="C65:D65"/>
    <mergeCell ref="C67:D67"/>
    <mergeCell ref="C68:D68"/>
    <mergeCell ref="C69:D69"/>
    <mergeCell ref="C66:D66"/>
    <mergeCell ref="H11:J11"/>
    <mergeCell ref="H12:J12"/>
    <mergeCell ref="H2:L2"/>
    <mergeCell ref="J24:J25"/>
    <mergeCell ref="G24:I24"/>
    <mergeCell ref="H3:J3"/>
    <mergeCell ref="H4:J4"/>
    <mergeCell ref="H5:J5"/>
    <mergeCell ref="H6:J6"/>
    <mergeCell ref="H9:J9"/>
    <mergeCell ref="H10:J10"/>
    <mergeCell ref="B23:J23"/>
    <mergeCell ref="B3:F3"/>
    <mergeCell ref="B16:D16"/>
    <mergeCell ref="B95:E95"/>
    <mergeCell ref="B103:G103"/>
    <mergeCell ref="B104:C104"/>
    <mergeCell ref="B105:C105"/>
    <mergeCell ref="B106:C106"/>
    <mergeCell ref="B62:G62"/>
    <mergeCell ref="B18:C18"/>
    <mergeCell ref="F24:F25"/>
    <mergeCell ref="E24:E25"/>
    <mergeCell ref="B24:B25"/>
    <mergeCell ref="C24:C25"/>
    <mergeCell ref="D24:D25"/>
    <mergeCell ref="B34:B35"/>
    <mergeCell ref="C34:C35"/>
    <mergeCell ref="D34:D35"/>
    <mergeCell ref="E34:G34"/>
    <mergeCell ref="B33:G33"/>
    <mergeCell ref="B28:F28"/>
    <mergeCell ref="B31:F31"/>
    <mergeCell ref="B60:D60"/>
    <mergeCell ref="B38:E38"/>
    <mergeCell ref="B44:D44"/>
    <mergeCell ref="F44:F46"/>
    <mergeCell ref="B53:C53"/>
    <mergeCell ref="B112:C112"/>
    <mergeCell ref="B113:C113"/>
    <mergeCell ref="B114:C114"/>
    <mergeCell ref="B115:D115"/>
    <mergeCell ref="B117:E117"/>
    <mergeCell ref="B107:C107"/>
    <mergeCell ref="B108:C108"/>
    <mergeCell ref="B109:C109"/>
    <mergeCell ref="B110:C110"/>
    <mergeCell ref="B111:C111"/>
    <mergeCell ref="I128:I129"/>
    <mergeCell ref="J128:J129"/>
    <mergeCell ref="K128:L129"/>
    <mergeCell ref="B127:L127"/>
    <mergeCell ref="B135:Q135"/>
    <mergeCell ref="E128:G128"/>
    <mergeCell ref="B128:C129"/>
    <mergeCell ref="D128:D129"/>
    <mergeCell ref="H128:H129"/>
    <mergeCell ref="B149:E149"/>
    <mergeCell ref="G149:K149"/>
    <mergeCell ref="B158:G158"/>
    <mergeCell ref="B159:D159"/>
    <mergeCell ref="B160:B172"/>
    <mergeCell ref="C160:D160"/>
    <mergeCell ref="C161:D161"/>
    <mergeCell ref="C162:D162"/>
    <mergeCell ref="C163:D163"/>
    <mergeCell ref="C164:D164"/>
    <mergeCell ref="C165:D165"/>
    <mergeCell ref="C166:D166"/>
    <mergeCell ref="C167:D167"/>
    <mergeCell ref="C168:D168"/>
    <mergeCell ref="C169:D169"/>
    <mergeCell ref="C170:D170"/>
    <mergeCell ref="B183:D183"/>
    <mergeCell ref="B185:F185"/>
    <mergeCell ref="B194:Q194"/>
    <mergeCell ref="B200:F200"/>
    <mergeCell ref="B205:D205"/>
    <mergeCell ref="C171:D171"/>
    <mergeCell ref="C172:D172"/>
    <mergeCell ref="B173:B18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82:D182"/>
  </mergeCells>
  <conditionalFormatting sqref="C198:Q198">
    <cfRule type="cellIs" dxfId="1" priority="1" operator="lessThanOrEqual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108"/>
  <sheetViews>
    <sheetView topLeftCell="A17" workbookViewId="0">
      <selection activeCell="H24" sqref="H24"/>
    </sheetView>
  </sheetViews>
  <sheetFormatPr baseColWidth="10" defaultRowHeight="15"/>
  <cols>
    <col min="5" max="5" width="16.140625" bestFit="1" customWidth="1"/>
    <col min="6" max="6" width="18.7109375" customWidth="1"/>
    <col min="7" max="7" width="17.42578125" customWidth="1"/>
    <col min="8" max="8" width="22" customWidth="1"/>
    <col min="9" max="9" width="16.42578125" customWidth="1"/>
    <col min="10" max="10" width="18.85546875" customWidth="1"/>
    <col min="11" max="19" width="14.5703125" bestFit="1" customWidth="1"/>
    <col min="20" max="22" width="15.5703125" bestFit="1" customWidth="1"/>
  </cols>
  <sheetData>
    <row r="2" spans="2:7">
      <c r="B2" s="208" t="s">
        <v>349</v>
      </c>
      <c r="C2" s="208"/>
      <c r="D2" s="208"/>
      <c r="E2" s="208"/>
      <c r="F2" s="208"/>
      <c r="G2" s="208"/>
    </row>
    <row r="3" spans="2:7">
      <c r="B3" s="168" t="s">
        <v>68</v>
      </c>
      <c r="C3" s="168"/>
      <c r="D3" s="168"/>
      <c r="E3" s="62" t="s">
        <v>2</v>
      </c>
      <c r="F3" s="62" t="s">
        <v>3</v>
      </c>
      <c r="G3" s="62" t="s">
        <v>43</v>
      </c>
    </row>
    <row r="4" spans="2:7">
      <c r="B4" s="168" t="s">
        <v>337</v>
      </c>
      <c r="C4" s="161" t="s">
        <v>347</v>
      </c>
      <c r="D4" s="161"/>
      <c r="E4" s="78">
        <f ca="1">'Presupuesto de Inversion'!O139</f>
        <v>112545642.81984529</v>
      </c>
      <c r="F4" s="78">
        <f ca="1">'Presupuesto de Inversion'!P139</f>
        <v>121549294.24543291</v>
      </c>
      <c r="G4" s="78">
        <f ca="1">'Presupuesto de Inversion'!Q139</f>
        <v>139781688.38224787</v>
      </c>
    </row>
    <row r="5" spans="2:7" ht="28.5" customHeight="1">
      <c r="B5" s="168"/>
      <c r="C5" s="156" t="s">
        <v>348</v>
      </c>
      <c r="D5" s="156"/>
      <c r="E5" s="78">
        <v>0</v>
      </c>
      <c r="F5" s="78">
        <v>0</v>
      </c>
      <c r="G5" s="78">
        <v>0</v>
      </c>
    </row>
    <row r="6" spans="2:7" ht="16.5" customHeight="1">
      <c r="B6" s="168"/>
      <c r="C6" s="158" t="s">
        <v>354</v>
      </c>
      <c r="D6" s="158"/>
      <c r="E6" s="105">
        <f ca="1">SUM(E4:E5)</f>
        <v>112545642.81984529</v>
      </c>
      <c r="F6" s="105">
        <f t="shared" ref="F6:G6" ca="1" si="0">SUM(F4:F5)</f>
        <v>121549294.24543291</v>
      </c>
      <c r="G6" s="105">
        <f t="shared" ca="1" si="0"/>
        <v>139781688.38224787</v>
      </c>
    </row>
    <row r="7" spans="2:7">
      <c r="B7" s="168" t="s">
        <v>338</v>
      </c>
      <c r="C7" s="161" t="s">
        <v>223</v>
      </c>
      <c r="D7" s="161"/>
      <c r="E7" s="78">
        <f>'Presupuesto de Inversion'!E75</f>
        <v>45534530</v>
      </c>
      <c r="F7" s="78">
        <f>'Presupuesto de Inversion'!F75</f>
        <v>48266601.799999997</v>
      </c>
      <c r="G7" s="78">
        <f>'Presupuesto de Inversion'!G75</f>
        <v>48494274.450000003</v>
      </c>
    </row>
    <row r="8" spans="2:7">
      <c r="B8" s="168"/>
      <c r="C8" s="146" t="s">
        <v>351</v>
      </c>
      <c r="D8" s="146"/>
      <c r="E8" s="78">
        <f>'Presupuesto de Inversion'!E115</f>
        <v>18446510</v>
      </c>
      <c r="F8" s="78">
        <f>'Presupuesto de Inversion'!F115</f>
        <v>19512340.600000001</v>
      </c>
      <c r="G8" s="78">
        <f>'Presupuesto de Inversion'!G115</f>
        <v>20649602.739000004</v>
      </c>
    </row>
    <row r="9" spans="2:7">
      <c r="B9" s="168"/>
      <c r="C9" s="161" t="s">
        <v>350</v>
      </c>
      <c r="D9" s="161"/>
      <c r="E9" s="78">
        <f ca="1">'Presupuesto de Inversion'!C156</f>
        <v>12678266.663655572</v>
      </c>
      <c r="F9" s="78">
        <f ca="1">'Presupuesto de Inversion'!D156</f>
        <v>13664053.949114598</v>
      </c>
      <c r="G9" s="78">
        <f ca="1">'Presupuesto de Inversion'!E156</f>
        <v>15585386.456893228</v>
      </c>
    </row>
    <row r="10" spans="2:7" ht="32.25" customHeight="1">
      <c r="B10" s="168"/>
      <c r="C10" s="156" t="s">
        <v>352</v>
      </c>
      <c r="D10" s="156"/>
      <c r="E10" s="78">
        <v>0</v>
      </c>
      <c r="F10" s="78">
        <v>0</v>
      </c>
      <c r="G10" s="78">
        <v>0</v>
      </c>
    </row>
    <row r="11" spans="2:7">
      <c r="B11" s="168"/>
      <c r="C11" s="156" t="s">
        <v>353</v>
      </c>
      <c r="D11" s="156"/>
      <c r="E11" s="78">
        <v>0</v>
      </c>
      <c r="F11" s="78">
        <v>0</v>
      </c>
      <c r="G11" s="78">
        <v>0</v>
      </c>
    </row>
    <row r="12" spans="2:7">
      <c r="B12" s="168"/>
      <c r="C12" s="168" t="s">
        <v>355</v>
      </c>
      <c r="D12" s="168"/>
      <c r="E12" s="105">
        <f ca="1">SUM(E7:E11)</f>
        <v>76659306.663655579</v>
      </c>
      <c r="F12" s="105">
        <f t="shared" ref="F12:G12" ca="1" si="1">SUM(F7:F11)</f>
        <v>81442996.349114597</v>
      </c>
      <c r="G12" s="105">
        <f t="shared" ca="1" si="1"/>
        <v>84729263.645893246</v>
      </c>
    </row>
    <row r="13" spans="2:7" ht="30.75" customHeight="1">
      <c r="B13" s="206" t="s">
        <v>356</v>
      </c>
      <c r="C13" s="206"/>
      <c r="D13" s="206"/>
      <c r="E13" s="78">
        <f ca="1">E6-E12</f>
        <v>35886336.15618971</v>
      </c>
      <c r="F13" s="78">
        <f t="shared" ref="F13:G13" ca="1" si="2">F6-F12</f>
        <v>40106297.896318316</v>
      </c>
      <c r="G13" s="78">
        <f t="shared" ca="1" si="2"/>
        <v>55052424.736354619</v>
      </c>
    </row>
    <row r="14" spans="2:7">
      <c r="B14" s="161" t="s">
        <v>357</v>
      </c>
      <c r="C14" s="161"/>
      <c r="D14" s="161"/>
      <c r="E14" s="78">
        <f ca="1">(E13*0.25)</f>
        <v>8971584.0390474275</v>
      </c>
      <c r="F14" s="78">
        <f t="shared" ref="F14:G14" ca="1" si="3">(F13*0.25)</f>
        <v>10026574.474079579</v>
      </c>
      <c r="G14" s="78">
        <f t="shared" ca="1" si="3"/>
        <v>13763106.184088655</v>
      </c>
    </row>
    <row r="15" spans="2:7" ht="33.75" customHeight="1">
      <c r="B15" s="207" t="s">
        <v>358</v>
      </c>
      <c r="C15" s="207"/>
      <c r="D15" s="207"/>
      <c r="E15" s="78">
        <f ca="1">E13*0.09</f>
        <v>3229770.254057074</v>
      </c>
      <c r="F15" s="78">
        <f t="shared" ref="F15:G15" ca="1" si="4">F13*0.09</f>
        <v>3609566.8106686482</v>
      </c>
      <c r="G15" s="78">
        <f t="shared" ca="1" si="4"/>
        <v>4954718.2262719152</v>
      </c>
    </row>
    <row r="16" spans="2:7" ht="29.25" customHeight="1">
      <c r="B16" s="156" t="s">
        <v>359</v>
      </c>
      <c r="C16" s="156"/>
      <c r="D16" s="156"/>
      <c r="E16" s="78">
        <f ca="1">E13-E14-E15</f>
        <v>23684981.86308521</v>
      </c>
      <c r="F16" s="78">
        <f t="shared" ref="F16:G16" ca="1" si="5">F13-F14-F15</f>
        <v>26470156.61157009</v>
      </c>
      <c r="G16" s="78">
        <f t="shared" ca="1" si="5"/>
        <v>36334600.325994052</v>
      </c>
    </row>
    <row r="17" spans="1:22">
      <c r="B17" s="161" t="s">
        <v>360</v>
      </c>
      <c r="C17" s="161"/>
      <c r="D17" s="161"/>
      <c r="E17" s="78">
        <f ca="1">E16*0.1</f>
        <v>2368498.1863085213</v>
      </c>
      <c r="F17" s="78">
        <f t="shared" ref="F17:G17" ca="1" si="6">F16*0.1</f>
        <v>2647015.6611570092</v>
      </c>
      <c r="G17" s="78">
        <f t="shared" ca="1" si="6"/>
        <v>3633460.0325994054</v>
      </c>
    </row>
    <row r="18" spans="1:22" ht="32.25" customHeight="1">
      <c r="B18" s="209" t="s">
        <v>361</v>
      </c>
      <c r="C18" s="209"/>
      <c r="D18" s="209"/>
      <c r="E18" s="106">
        <f ca="1">E16-E17</f>
        <v>21316483.676776689</v>
      </c>
      <c r="F18" s="106">
        <f t="shared" ref="F18:G18" ca="1" si="7">F16-F17</f>
        <v>23823140.950413082</v>
      </c>
      <c r="G18" s="106">
        <f t="shared" ca="1" si="7"/>
        <v>32701140.293394648</v>
      </c>
    </row>
    <row r="19" spans="1:22">
      <c r="A19" s="108"/>
    </row>
    <row r="20" spans="1:22">
      <c r="A20" s="108"/>
      <c r="B20" s="205" t="s">
        <v>401</v>
      </c>
      <c r="C20" s="205"/>
      <c r="D20" s="205"/>
      <c r="E20" s="205"/>
      <c r="F20" s="205"/>
      <c r="G20" s="205"/>
      <c r="H20" s="205"/>
      <c r="I20" s="205"/>
      <c r="J20" s="205"/>
      <c r="K20" s="205"/>
      <c r="L20" s="205"/>
      <c r="M20" s="205"/>
      <c r="N20" s="205"/>
      <c r="O20" s="205"/>
      <c r="P20" s="205"/>
      <c r="Q20" s="205"/>
      <c r="R20" s="205"/>
      <c r="S20" s="205"/>
      <c r="T20" s="205"/>
      <c r="U20" s="205"/>
      <c r="V20" s="205"/>
    </row>
    <row r="21" spans="1:22">
      <c r="A21" s="108"/>
      <c r="B21" s="168" t="s">
        <v>68</v>
      </c>
      <c r="C21" s="168"/>
      <c r="D21" s="168"/>
      <c r="E21" s="168"/>
      <c r="F21" s="168"/>
      <c r="G21" s="141" t="s">
        <v>399</v>
      </c>
      <c r="H21" s="141" t="s">
        <v>15</v>
      </c>
      <c r="I21" s="141" t="s">
        <v>334</v>
      </c>
      <c r="J21" s="141" t="s">
        <v>33</v>
      </c>
      <c r="K21" s="141" t="s">
        <v>34</v>
      </c>
      <c r="L21" s="141" t="s">
        <v>19</v>
      </c>
      <c r="M21" s="141" t="s">
        <v>400</v>
      </c>
      <c r="N21" s="141" t="s">
        <v>21</v>
      </c>
      <c r="O21" s="141" t="s">
        <v>22</v>
      </c>
      <c r="P21" s="141" t="s">
        <v>42</v>
      </c>
      <c r="Q21" s="141" t="s">
        <v>24</v>
      </c>
      <c r="R21" s="141" t="s">
        <v>25</v>
      </c>
      <c r="S21" s="141" t="s">
        <v>26</v>
      </c>
      <c r="T21" s="141" t="s">
        <v>27</v>
      </c>
      <c r="U21" s="141" t="s">
        <v>28</v>
      </c>
      <c r="V21" s="141" t="s">
        <v>43</v>
      </c>
    </row>
    <row r="22" spans="1:22" ht="15.75" customHeight="1">
      <c r="A22" s="108"/>
      <c r="B22" s="168" t="s">
        <v>362</v>
      </c>
      <c r="C22" s="168"/>
      <c r="D22" s="168"/>
      <c r="E22" s="168"/>
      <c r="F22" s="168"/>
      <c r="G22" s="109">
        <f>'[1]Presupuesto de Inversion'!C209</f>
        <v>26916703.390138358</v>
      </c>
      <c r="H22" s="109"/>
      <c r="I22" s="109"/>
      <c r="J22" s="109"/>
      <c r="K22" s="109"/>
      <c r="L22" s="109"/>
      <c r="M22" s="109"/>
      <c r="N22" s="109"/>
      <c r="O22" s="109"/>
      <c r="P22" s="109"/>
      <c r="Q22" s="109"/>
      <c r="R22" s="109"/>
      <c r="S22" s="109"/>
      <c r="T22" s="109"/>
      <c r="U22" s="109"/>
      <c r="V22" s="109"/>
    </row>
    <row r="23" spans="1:22">
      <c r="A23" s="108"/>
      <c r="B23" s="168" t="s">
        <v>337</v>
      </c>
      <c r="C23" s="186" t="s">
        <v>363</v>
      </c>
      <c r="D23" s="186"/>
      <c r="E23" s="186"/>
      <c r="F23" s="186"/>
      <c r="G23" s="109">
        <v>0</v>
      </c>
      <c r="H23" s="109">
        <f>'[1]Presupuesto de Inversion'!C143</f>
        <v>3221408.6776238531</v>
      </c>
      <c r="I23" s="109">
        <f>'[1]Presupuesto de Inversion'!D143</f>
        <v>6366117.1486376151</v>
      </c>
      <c r="J23" s="109">
        <f>'[1]Presupuesto de Inversion'!E143</f>
        <v>8667123.3469403666</v>
      </c>
      <c r="K23" s="109">
        <f>'[1]Presupuesto de Inversion'!F143</f>
        <v>15838592.664983943</v>
      </c>
      <c r="L23" s="109">
        <f>'[1]Presupuesto de Inversion'!G143</f>
        <v>5023863.5329610091</v>
      </c>
      <c r="M23" s="109">
        <f>'[1]Presupuesto de Inversion'!H143</f>
        <v>4218511.3635550449</v>
      </c>
      <c r="N23" s="109">
        <f>'[1]Presupuesto de Inversion'!I143</f>
        <v>6634567.8717729356</v>
      </c>
      <c r="O23" s="109">
        <f>'[1]Presupuesto de Inversion'!J143</f>
        <v>17564347.31371101</v>
      </c>
      <c r="P23" s="109">
        <f>'[1]Presupuesto de Inversion'!K143</f>
        <v>17410946.900490824</v>
      </c>
      <c r="Q23" s="109">
        <f>'[1]Presupuesto de Inversion'!L143</f>
        <v>13997787.706341743</v>
      </c>
      <c r="R23" s="109">
        <f>'[1]Presupuesto de Inversion'!M143</f>
        <v>5867565.8056720179</v>
      </c>
      <c r="S23" s="109">
        <f>'[1]Presupuesto de Inversion'!N143</f>
        <v>3950060.6404197244</v>
      </c>
      <c r="T23" s="109">
        <f>'[1]Presupuesto de Inversion'!O143</f>
        <v>108760892.97311008</v>
      </c>
      <c r="U23" s="109">
        <f>'[1]Presupuesto de Inversion'!P143</f>
        <v>117461764.41095889</v>
      </c>
      <c r="V23" s="109">
        <f>'[1]Presupuesto de Inversion'!Q143</f>
        <v>135081029.07260272</v>
      </c>
    </row>
    <row r="24" spans="1:22">
      <c r="A24" s="108"/>
      <c r="B24" s="168"/>
      <c r="C24" s="186" t="s">
        <v>364</v>
      </c>
      <c r="D24" s="186"/>
      <c r="E24" s="186"/>
      <c r="F24" s="186"/>
      <c r="G24" s="109">
        <v>0</v>
      </c>
      <c r="H24" s="109">
        <f>'[1]Presupuesto de Inversion'!C145</f>
        <v>2080117.5275229355</v>
      </c>
      <c r="I24" s="109">
        <f>'[1]Presupuesto de Inversion'!D145</f>
        <v>4110708.4472477059</v>
      </c>
      <c r="J24" s="109">
        <f>'[1]Presupuesto de Inversion'!E145</f>
        <v>5596506.6811926598</v>
      </c>
      <c r="K24" s="109">
        <f>'[1]Presupuesto de Inversion'!F145</f>
        <v>10227244.510321099</v>
      </c>
      <c r="L24" s="109">
        <f>'[1]Presupuesto de Inversion'!G145</f>
        <v>3243992.810779816</v>
      </c>
      <c r="M24" s="109">
        <f>'[1]Presupuesto de Inversion'!H145</f>
        <v>2723963.4288990824</v>
      </c>
      <c r="N24" s="109">
        <f>'[1]Presupuesto de Inversion'!I145</f>
        <v>4284051.5745412838</v>
      </c>
      <c r="O24" s="109">
        <f>'[1]Presupuesto de Inversion'!J145</f>
        <v>11341593.185779816</v>
      </c>
      <c r="P24" s="109">
        <f>'[1]Presupuesto de Inversion'!K145</f>
        <v>11242539.970183484</v>
      </c>
      <c r="Q24" s="109">
        <f>'[1]Presupuesto de Inversion'!L145</f>
        <v>9038605.9231651369</v>
      </c>
      <c r="R24" s="109">
        <f>'[1]Presupuesto de Inversion'!M145</f>
        <v>3788785.4965596325</v>
      </c>
      <c r="S24" s="109">
        <f>'[1]Presupuesto de Inversion'!N145</f>
        <v>2550620.3016055045</v>
      </c>
      <c r="T24" s="109">
        <f>'[1]Presupuesto de Inversion'!O145</f>
        <v>70228729.857798159</v>
      </c>
      <c r="U24" s="109">
        <f>'[1]Presupuesto de Inversion'!P145</f>
        <v>75847028.246422008</v>
      </c>
      <c r="V24" s="109">
        <f>'[1]Presupuesto de Inversion'!Q145</f>
        <v>87224082.48338531</v>
      </c>
    </row>
    <row r="25" spans="1:22" ht="15" customHeight="1">
      <c r="A25" s="108"/>
      <c r="B25" s="168"/>
      <c r="C25" s="172" t="s">
        <v>365</v>
      </c>
      <c r="D25" s="172"/>
      <c r="E25" s="172"/>
      <c r="F25" s="172"/>
      <c r="G25" s="109"/>
      <c r="H25" s="109"/>
      <c r="I25" s="109"/>
      <c r="J25" s="109"/>
      <c r="K25" s="109"/>
      <c r="L25" s="109"/>
      <c r="M25" s="109"/>
      <c r="N25" s="109"/>
      <c r="O25" s="109"/>
      <c r="P25" s="109"/>
      <c r="Q25" s="109"/>
      <c r="R25" s="109"/>
      <c r="S25" s="109"/>
      <c r="T25" s="109"/>
      <c r="U25" s="109"/>
      <c r="V25" s="109"/>
    </row>
    <row r="26" spans="1:22">
      <c r="A26" s="108"/>
      <c r="B26" s="168"/>
      <c r="C26" s="186" t="s">
        <v>366</v>
      </c>
      <c r="D26" s="186"/>
      <c r="E26" s="186"/>
      <c r="F26" s="186"/>
      <c r="G26" s="109"/>
      <c r="H26" s="109"/>
      <c r="I26" s="109"/>
      <c r="J26" s="109"/>
      <c r="K26" s="109"/>
      <c r="L26" s="109"/>
      <c r="M26" s="109"/>
      <c r="N26" s="109"/>
      <c r="O26" s="109"/>
      <c r="P26" s="109"/>
      <c r="Q26" s="109"/>
      <c r="R26" s="109"/>
      <c r="S26" s="109"/>
      <c r="T26" s="109"/>
      <c r="U26" s="109"/>
      <c r="V26" s="109"/>
    </row>
    <row r="27" spans="1:22">
      <c r="A27" s="108"/>
      <c r="B27" s="168"/>
      <c r="C27" s="186" t="s">
        <v>367</v>
      </c>
      <c r="D27" s="186"/>
      <c r="E27" s="186"/>
      <c r="F27" s="186"/>
      <c r="G27" s="109">
        <f>'[1]Indicadores Financieros'!D9</f>
        <v>8075011.0170415072</v>
      </c>
      <c r="H27" s="109"/>
      <c r="I27" s="109"/>
      <c r="J27" s="109"/>
      <c r="K27" s="109"/>
      <c r="L27" s="109"/>
      <c r="M27" s="109"/>
      <c r="N27" s="109"/>
      <c r="O27" s="109"/>
      <c r="P27" s="109"/>
      <c r="Q27" s="109"/>
      <c r="R27" s="109"/>
      <c r="S27" s="109"/>
      <c r="T27" s="109"/>
      <c r="U27" s="109"/>
      <c r="V27" s="109"/>
    </row>
    <row r="28" spans="1:22">
      <c r="A28" s="108"/>
      <c r="B28" s="170" t="s">
        <v>368</v>
      </c>
      <c r="C28" s="170"/>
      <c r="D28" s="170"/>
      <c r="E28" s="170"/>
      <c r="F28" s="170"/>
      <c r="G28" s="110">
        <f>SUM(G22:G27)</f>
        <v>34991714.407179862</v>
      </c>
      <c r="H28" s="110">
        <f>SUM(H22:H27)</f>
        <v>5301526.2051467886</v>
      </c>
      <c r="I28" s="110">
        <f t="shared" ref="I28:V28" si="8">SUM(I22:I27)</f>
        <v>10476825.595885321</v>
      </c>
      <c r="J28" s="110">
        <f t="shared" si="8"/>
        <v>14263630.028133027</v>
      </c>
      <c r="K28" s="110">
        <f t="shared" si="8"/>
        <v>26065837.175305042</v>
      </c>
      <c r="L28" s="110">
        <f t="shared" si="8"/>
        <v>8267856.3437408246</v>
      </c>
      <c r="M28" s="110">
        <f t="shared" si="8"/>
        <v>6942474.7924541272</v>
      </c>
      <c r="N28" s="110">
        <f t="shared" si="8"/>
        <v>10918619.446314219</v>
      </c>
      <c r="O28" s="110">
        <f t="shared" si="8"/>
        <v>28905940.499490827</v>
      </c>
      <c r="P28" s="110">
        <f t="shared" si="8"/>
        <v>28653486.870674308</v>
      </c>
      <c r="Q28" s="110">
        <f t="shared" si="8"/>
        <v>23036393.629506879</v>
      </c>
      <c r="R28" s="110">
        <f t="shared" si="8"/>
        <v>9656351.3022316508</v>
      </c>
      <c r="S28" s="110">
        <f t="shared" si="8"/>
        <v>6500680.9420252293</v>
      </c>
      <c r="T28" s="110">
        <f t="shared" si="8"/>
        <v>178989622.83090824</v>
      </c>
      <c r="U28" s="110">
        <f t="shared" si="8"/>
        <v>193308792.65738088</v>
      </c>
      <c r="V28" s="110">
        <f t="shared" si="8"/>
        <v>222305111.55598801</v>
      </c>
    </row>
    <row r="29" spans="1:22">
      <c r="A29" s="108"/>
      <c r="B29" s="168" t="s">
        <v>338</v>
      </c>
      <c r="C29" s="158" t="s">
        <v>369</v>
      </c>
      <c r="D29" s="158"/>
      <c r="E29" s="186" t="s">
        <v>370</v>
      </c>
      <c r="F29" s="186"/>
      <c r="G29" s="109">
        <f>'[1]Presupuesto de Inversion'!E16</f>
        <v>4848000</v>
      </c>
      <c r="H29" s="109"/>
      <c r="I29" s="109"/>
      <c r="J29" s="109"/>
      <c r="K29" s="109"/>
      <c r="L29" s="109"/>
      <c r="M29" s="109"/>
      <c r="N29" s="109"/>
      <c r="O29" s="109"/>
      <c r="P29" s="109"/>
      <c r="Q29" s="109"/>
      <c r="R29" s="109"/>
      <c r="S29" s="109"/>
      <c r="T29" s="109"/>
      <c r="U29" s="109"/>
      <c r="V29" s="109"/>
    </row>
    <row r="30" spans="1:22">
      <c r="A30" s="108"/>
      <c r="B30" s="168"/>
      <c r="C30" s="158"/>
      <c r="D30" s="158"/>
      <c r="E30" s="186" t="s">
        <v>371</v>
      </c>
      <c r="F30" s="186"/>
      <c r="G30" s="109">
        <f>'[1]Presupuesto de Inversion'!K12</f>
        <v>640000</v>
      </c>
      <c r="H30" s="109"/>
      <c r="I30" s="109"/>
      <c r="J30" s="109"/>
      <c r="K30" s="109"/>
      <c r="L30" s="109"/>
      <c r="M30" s="109"/>
      <c r="N30" s="109"/>
      <c r="O30" s="109"/>
      <c r="P30" s="109"/>
      <c r="Q30" s="109"/>
      <c r="R30" s="109"/>
      <c r="S30" s="109"/>
      <c r="T30" s="109"/>
      <c r="U30" s="109"/>
      <c r="V30" s="109"/>
    </row>
    <row r="31" spans="1:22">
      <c r="A31" s="108"/>
      <c r="B31" s="168"/>
      <c r="C31" s="158"/>
      <c r="D31" s="158"/>
      <c r="E31" s="170" t="s">
        <v>372</v>
      </c>
      <c r="F31" s="170"/>
      <c r="G31" s="113">
        <f>SUM(G29:G30)</f>
        <v>5488000</v>
      </c>
      <c r="H31" s="113"/>
      <c r="I31" s="113"/>
      <c r="J31" s="113"/>
      <c r="K31" s="113"/>
      <c r="L31" s="113"/>
      <c r="M31" s="113"/>
      <c r="N31" s="113"/>
      <c r="O31" s="113"/>
      <c r="P31" s="113"/>
      <c r="Q31" s="113"/>
      <c r="R31" s="113"/>
      <c r="S31" s="113"/>
      <c r="T31" s="113"/>
      <c r="U31" s="113"/>
      <c r="V31" s="113"/>
    </row>
    <row r="32" spans="1:22" ht="15" customHeight="1">
      <c r="A32" s="108"/>
      <c r="B32" s="168"/>
      <c r="C32" s="168" t="s">
        <v>295</v>
      </c>
      <c r="D32" s="168"/>
      <c r="E32" s="158" t="s">
        <v>381</v>
      </c>
      <c r="F32" s="2" t="s">
        <v>373</v>
      </c>
      <c r="G32" s="109"/>
      <c r="H32" s="109">
        <f>'[1]Demanda Dinamica'!$E$43</f>
        <v>5200000</v>
      </c>
      <c r="I32" s="109">
        <f>'[1]Demanda Dinamica'!$E$43</f>
        <v>5200000</v>
      </c>
      <c r="J32" s="109">
        <f>'[1]Demanda Dinamica'!$E$43</f>
        <v>5200000</v>
      </c>
      <c r="K32" s="109">
        <f>'[1]Demanda Dinamica'!$E$43</f>
        <v>5200000</v>
      </c>
      <c r="L32" s="109">
        <f>'[1]Demanda Dinamica'!$E$43</f>
        <v>5200000</v>
      </c>
      <c r="M32" s="109">
        <f>'[1]Demanda Dinamica'!$E$43</f>
        <v>5200000</v>
      </c>
      <c r="N32" s="109">
        <f>'[1]Demanda Dinamica'!$E$43</f>
        <v>5200000</v>
      </c>
      <c r="O32" s="109">
        <f>'[1]Demanda Dinamica'!$E$43</f>
        <v>5200000</v>
      </c>
      <c r="P32" s="109">
        <f>'[1]Demanda Dinamica'!$E$43</f>
        <v>5200000</v>
      </c>
      <c r="Q32" s="109">
        <f>'[1]Demanda Dinamica'!$E$43</f>
        <v>5200000</v>
      </c>
      <c r="R32" s="109">
        <f>'[1]Demanda Dinamica'!$E$43</f>
        <v>5200000</v>
      </c>
      <c r="S32" s="109">
        <f>'[1]Demanda Dinamica'!$E$43</f>
        <v>5200000</v>
      </c>
      <c r="T32" s="109">
        <f>SUM(G32:S32)</f>
        <v>62400000</v>
      </c>
      <c r="U32" s="109">
        <f>T32+(T32*'[1]Demanda Dinamica'!$D$6)</f>
        <v>66144000</v>
      </c>
      <c r="V32" s="109">
        <f>U32+(U32*'[1]Demanda Dinamica'!$D$7)</f>
        <v>70443360</v>
      </c>
    </row>
    <row r="33" spans="1:22" ht="30">
      <c r="A33" s="108"/>
      <c r="B33" s="168"/>
      <c r="C33" s="168"/>
      <c r="D33" s="168"/>
      <c r="E33" s="158"/>
      <c r="F33" s="107" t="s">
        <v>374</v>
      </c>
      <c r="G33" s="109"/>
      <c r="H33" s="109"/>
      <c r="I33" s="109"/>
      <c r="J33" s="109"/>
      <c r="K33" s="109"/>
      <c r="L33" s="109"/>
      <c r="M33" s="109"/>
      <c r="N33" s="109"/>
      <c r="O33" s="109"/>
      <c r="P33" s="109"/>
      <c r="Q33" s="109"/>
      <c r="R33" s="109"/>
      <c r="S33" s="109"/>
      <c r="T33" s="109"/>
      <c r="U33" s="109"/>
      <c r="V33" s="109"/>
    </row>
    <row r="34" spans="1:22">
      <c r="A34" s="108"/>
      <c r="B34" s="168"/>
      <c r="C34" s="168"/>
      <c r="D34" s="168"/>
      <c r="E34" s="158"/>
      <c r="F34" s="2" t="s">
        <v>375</v>
      </c>
      <c r="G34" s="109"/>
      <c r="H34" s="109"/>
      <c r="I34" s="109"/>
      <c r="J34" s="109"/>
      <c r="K34" s="109"/>
      <c r="L34" s="109"/>
      <c r="M34" s="109"/>
      <c r="N34" s="109"/>
      <c r="O34" s="109"/>
      <c r="P34" s="109"/>
      <c r="Q34" s="109"/>
      <c r="R34" s="109"/>
      <c r="S34" s="109"/>
      <c r="T34" s="109"/>
      <c r="U34" s="109"/>
      <c r="V34" s="109"/>
    </row>
    <row r="35" spans="1:22">
      <c r="A35" s="108"/>
      <c r="B35" s="168"/>
      <c r="C35" s="168"/>
      <c r="D35" s="168"/>
      <c r="E35" s="158"/>
      <c r="F35" s="2" t="s">
        <v>58</v>
      </c>
      <c r="G35" s="109"/>
      <c r="H35" s="109"/>
      <c r="I35" s="109"/>
      <c r="J35" s="109"/>
      <c r="K35" s="109"/>
      <c r="L35" s="109"/>
      <c r="M35" s="109"/>
      <c r="N35" s="109"/>
      <c r="O35" s="109"/>
      <c r="P35" s="109"/>
      <c r="Q35" s="109"/>
      <c r="R35" s="109"/>
      <c r="S35" s="109"/>
      <c r="T35" s="109"/>
      <c r="U35" s="109"/>
      <c r="V35" s="109"/>
    </row>
    <row r="36" spans="1:22">
      <c r="A36" s="108"/>
      <c r="B36" s="168"/>
      <c r="C36" s="168"/>
      <c r="D36" s="168"/>
      <c r="E36" s="158"/>
      <c r="F36" s="2" t="s">
        <v>59</v>
      </c>
      <c r="G36" s="109"/>
      <c r="H36" s="109"/>
      <c r="I36" s="109"/>
      <c r="J36" s="109"/>
      <c r="K36" s="109"/>
      <c r="L36" s="109"/>
      <c r="M36" s="109"/>
      <c r="N36" s="109"/>
      <c r="O36" s="109"/>
      <c r="P36" s="109"/>
      <c r="Q36" s="109"/>
      <c r="R36" s="109"/>
      <c r="S36" s="109"/>
      <c r="T36" s="109"/>
      <c r="U36" s="109"/>
      <c r="V36" s="109"/>
    </row>
    <row r="37" spans="1:22">
      <c r="A37" s="108"/>
      <c r="B37" s="168"/>
      <c r="C37" s="168"/>
      <c r="D37" s="168"/>
      <c r="E37" s="158"/>
      <c r="F37" s="2" t="s">
        <v>376</v>
      </c>
      <c r="G37" s="109"/>
      <c r="H37" s="109"/>
      <c r="I37" s="109"/>
      <c r="J37" s="109"/>
      <c r="K37" s="109"/>
      <c r="L37" s="109"/>
      <c r="M37" s="109"/>
      <c r="N37" s="109"/>
      <c r="O37" s="109"/>
      <c r="P37" s="109"/>
      <c r="Q37" s="109"/>
      <c r="R37" s="109"/>
      <c r="S37" s="109"/>
      <c r="T37" s="109"/>
      <c r="U37" s="109"/>
      <c r="V37" s="109"/>
    </row>
    <row r="38" spans="1:22">
      <c r="A38" s="108"/>
      <c r="B38" s="168"/>
      <c r="C38" s="168"/>
      <c r="D38" s="168"/>
      <c r="E38" s="158"/>
      <c r="F38" s="2" t="s">
        <v>377</v>
      </c>
      <c r="G38" s="109"/>
      <c r="H38" s="109"/>
      <c r="I38" s="109"/>
      <c r="J38" s="109"/>
      <c r="K38" s="109"/>
      <c r="L38" s="109"/>
      <c r="M38" s="109"/>
      <c r="N38" s="109"/>
      <c r="O38" s="109"/>
      <c r="P38" s="109"/>
      <c r="Q38" s="109"/>
      <c r="R38" s="109"/>
      <c r="S38" s="109"/>
      <c r="T38" s="109"/>
      <c r="U38" s="109"/>
      <c r="V38" s="109"/>
    </row>
    <row r="39" spans="1:22">
      <c r="A39" s="108"/>
      <c r="B39" s="168"/>
      <c r="C39" s="168"/>
      <c r="D39" s="168"/>
      <c r="E39" s="158"/>
      <c r="F39" s="2" t="s">
        <v>62</v>
      </c>
      <c r="G39" s="109"/>
      <c r="H39" s="109"/>
      <c r="I39" s="109"/>
      <c r="J39" s="109"/>
      <c r="K39" s="109"/>
      <c r="L39" s="109"/>
      <c r="M39" s="109"/>
      <c r="N39" s="109"/>
      <c r="O39" s="109"/>
      <c r="P39" s="109"/>
      <c r="Q39" s="109"/>
      <c r="R39" s="109"/>
      <c r="S39" s="109"/>
      <c r="T39" s="109"/>
      <c r="U39" s="109"/>
      <c r="V39" s="109"/>
    </row>
    <row r="40" spans="1:22">
      <c r="A40" s="108"/>
      <c r="B40" s="168"/>
      <c r="C40" s="168"/>
      <c r="D40" s="168"/>
      <c r="E40" s="158"/>
      <c r="F40" s="2" t="s">
        <v>65</v>
      </c>
      <c r="G40" s="109"/>
      <c r="H40" s="109"/>
      <c r="I40" s="109"/>
      <c r="J40" s="109"/>
      <c r="K40" s="109"/>
      <c r="L40" s="109"/>
      <c r="M40" s="109"/>
      <c r="N40" s="109"/>
      <c r="O40" s="109"/>
      <c r="P40" s="109"/>
      <c r="Q40" s="109"/>
      <c r="R40" s="109"/>
      <c r="S40" s="109"/>
      <c r="T40" s="109"/>
      <c r="U40" s="109"/>
      <c r="V40" s="109"/>
    </row>
    <row r="41" spans="1:22">
      <c r="A41" s="108"/>
      <c r="B41" s="168"/>
      <c r="C41" s="168"/>
      <c r="D41" s="168"/>
      <c r="E41" s="158"/>
      <c r="F41" s="2" t="s">
        <v>66</v>
      </c>
      <c r="G41" s="109"/>
      <c r="H41" s="109"/>
      <c r="I41" s="109"/>
      <c r="J41" s="109"/>
      <c r="K41" s="109"/>
      <c r="L41" s="109"/>
      <c r="M41" s="109"/>
      <c r="N41" s="109"/>
      <c r="O41" s="109"/>
      <c r="P41" s="109"/>
      <c r="Q41" s="109"/>
      <c r="R41" s="109"/>
      <c r="S41" s="109"/>
      <c r="T41" s="109"/>
      <c r="U41" s="109"/>
      <c r="V41" s="109"/>
    </row>
    <row r="42" spans="1:22">
      <c r="A42" s="108"/>
      <c r="B42" s="168"/>
      <c r="C42" s="168"/>
      <c r="D42" s="168"/>
      <c r="E42" s="158"/>
      <c r="F42" s="2" t="s">
        <v>378</v>
      </c>
      <c r="G42" s="109"/>
      <c r="H42" s="109"/>
      <c r="I42" s="109"/>
      <c r="J42" s="109"/>
      <c r="K42" s="109"/>
      <c r="L42" s="109"/>
      <c r="M42" s="109"/>
      <c r="N42" s="109"/>
      <c r="O42" s="109"/>
      <c r="P42" s="109"/>
      <c r="Q42" s="109"/>
      <c r="R42" s="109"/>
      <c r="S42" s="109"/>
      <c r="T42" s="109"/>
      <c r="U42" s="109"/>
      <c r="V42" s="109"/>
    </row>
    <row r="43" spans="1:22">
      <c r="A43" s="108"/>
      <c r="B43" s="168"/>
      <c r="C43" s="168"/>
      <c r="D43" s="168"/>
      <c r="E43" s="158"/>
      <c r="F43" s="2" t="s">
        <v>379</v>
      </c>
      <c r="G43" s="109"/>
      <c r="H43" s="109"/>
      <c r="I43" s="109"/>
      <c r="J43" s="109"/>
      <c r="K43" s="109"/>
      <c r="L43" s="109"/>
      <c r="M43" s="109"/>
      <c r="N43" s="109"/>
      <c r="O43" s="109"/>
      <c r="P43" s="109"/>
      <c r="Q43" s="109"/>
      <c r="R43" s="109"/>
      <c r="S43" s="109"/>
      <c r="T43" s="109"/>
      <c r="U43" s="109"/>
      <c r="V43" s="109"/>
    </row>
    <row r="44" spans="1:22">
      <c r="A44" s="108"/>
      <c r="B44" s="168"/>
      <c r="C44" s="168"/>
      <c r="D44" s="168"/>
      <c r="E44" s="158"/>
      <c r="F44" s="114" t="s">
        <v>380</v>
      </c>
      <c r="G44" s="110"/>
      <c r="H44" s="110">
        <f>'[1]Demanda Dinamica'!J43</f>
        <v>2780290</v>
      </c>
      <c r="I44" s="110">
        <f>'[1]Demanda Dinamica'!K43</f>
        <v>2580290</v>
      </c>
      <c r="J44" s="110">
        <f>'[1]Demanda Dinamica'!L43</f>
        <v>2580290</v>
      </c>
      <c r="K44" s="110">
        <f>'[1]Demanda Dinamica'!M43</f>
        <v>3496630</v>
      </c>
      <c r="L44" s="110">
        <f>'[1]Demanda Dinamica'!N43</f>
        <v>3476630</v>
      </c>
      <c r="M44" s="110">
        <f>'[1]Demanda Dinamica'!O43</f>
        <v>4160580</v>
      </c>
      <c r="N44" s="110">
        <f>'[1]Demanda Dinamica'!P43</f>
        <v>4160580</v>
      </c>
      <c r="O44" s="110">
        <f>'[1]Demanda Dinamica'!Q43</f>
        <v>4160580</v>
      </c>
      <c r="P44" s="110">
        <f>'[1]Demanda Dinamica'!R43</f>
        <v>4160580</v>
      </c>
      <c r="Q44" s="110">
        <f>'[1]Demanda Dinamica'!S43</f>
        <v>5456920</v>
      </c>
      <c r="R44" s="110">
        <f>'[1]Demanda Dinamica'!T43</f>
        <v>4160580</v>
      </c>
      <c r="S44" s="110">
        <f>'[1]Demanda Dinamica'!U43</f>
        <v>4160580</v>
      </c>
      <c r="T44" s="110">
        <f>'[1]Demanda Dinamica'!V43</f>
        <v>45334530</v>
      </c>
      <c r="U44" s="110">
        <f>'[1]Demanda Dinamica'!W43</f>
        <v>48054601.800000004</v>
      </c>
      <c r="V44" s="110">
        <f>'[1]Demanda Dinamica'!X43</f>
        <v>51178150.917000011</v>
      </c>
    </row>
    <row r="45" spans="1:22">
      <c r="A45" s="108"/>
      <c r="B45" s="168"/>
      <c r="C45" s="168"/>
      <c r="D45" s="168"/>
      <c r="E45" s="204" t="s">
        <v>382</v>
      </c>
      <c r="F45" s="204"/>
      <c r="G45" s="109"/>
      <c r="H45" s="109">
        <f>'[1]Presupuesto de Inversion'!$E$163/12</f>
        <v>200000</v>
      </c>
      <c r="I45" s="109">
        <f>'[1]Presupuesto de Inversion'!$E$163/12</f>
        <v>200000</v>
      </c>
      <c r="J45" s="109">
        <f>'[1]Presupuesto de Inversion'!$E$163/12</f>
        <v>200000</v>
      </c>
      <c r="K45" s="109">
        <f>'[1]Presupuesto de Inversion'!$E$163/12</f>
        <v>200000</v>
      </c>
      <c r="L45" s="109">
        <f>'[1]Presupuesto de Inversion'!$E$163/12</f>
        <v>200000</v>
      </c>
      <c r="M45" s="109">
        <f>'[1]Presupuesto de Inversion'!$E$163/12</f>
        <v>200000</v>
      </c>
      <c r="N45" s="109">
        <f>'[1]Presupuesto de Inversion'!$E$163/12</f>
        <v>200000</v>
      </c>
      <c r="O45" s="109">
        <f>'[1]Presupuesto de Inversion'!$E$163/12</f>
        <v>200000</v>
      </c>
      <c r="P45" s="109">
        <f>'[1]Presupuesto de Inversion'!$E$163/12</f>
        <v>200000</v>
      </c>
      <c r="Q45" s="109">
        <f>'[1]Presupuesto de Inversion'!$E$163/12</f>
        <v>200000</v>
      </c>
      <c r="R45" s="109">
        <f>'[1]Presupuesto de Inversion'!$E$163/12</f>
        <v>200000</v>
      </c>
      <c r="S45" s="109">
        <f>'[1]Presupuesto de Inversion'!$E$163/12</f>
        <v>200000</v>
      </c>
      <c r="T45" s="115">
        <f>'[1]Presupuesto de Inversion'!E163</f>
        <v>2400000</v>
      </c>
      <c r="U45" s="115">
        <f>'[1]Presupuesto de Inversion'!F163</f>
        <v>2544000</v>
      </c>
      <c r="V45" s="115">
        <f>'[1]Presupuesto de Inversion'!G163</f>
        <v>2709360</v>
      </c>
    </row>
    <row r="46" spans="1:22">
      <c r="A46" s="108"/>
      <c r="B46" s="168"/>
      <c r="C46" s="168"/>
      <c r="D46" s="168"/>
      <c r="E46" s="204" t="s">
        <v>383</v>
      </c>
      <c r="F46" s="204"/>
      <c r="G46" s="109"/>
      <c r="H46" s="109">
        <f>'[1]Presupuesto de Inversion'!$E$164/12</f>
        <v>0</v>
      </c>
      <c r="I46" s="109">
        <f>'[1]Presupuesto de Inversion'!$E$164/12</f>
        <v>0</v>
      </c>
      <c r="J46" s="109">
        <f>'[1]Presupuesto de Inversion'!$E$164/12</f>
        <v>0</v>
      </c>
      <c r="K46" s="109">
        <f>'[1]Presupuesto de Inversion'!$E$164/12</f>
        <v>0</v>
      </c>
      <c r="L46" s="109">
        <f>'[1]Presupuesto de Inversion'!$E$164/12</f>
        <v>0</v>
      </c>
      <c r="M46" s="109">
        <f>'[1]Presupuesto de Inversion'!$E$164/12</f>
        <v>0</v>
      </c>
      <c r="N46" s="109">
        <f>'[1]Presupuesto de Inversion'!$E$164/12</f>
        <v>0</v>
      </c>
      <c r="O46" s="109">
        <f>'[1]Presupuesto de Inversion'!$E$164/12</f>
        <v>0</v>
      </c>
      <c r="P46" s="109">
        <f>'[1]Presupuesto de Inversion'!$E$164/12</f>
        <v>0</v>
      </c>
      <c r="Q46" s="109">
        <f>'[1]Presupuesto de Inversion'!$E$164/12</f>
        <v>0</v>
      </c>
      <c r="R46" s="109">
        <f>'[1]Presupuesto de Inversion'!$E$164/12</f>
        <v>0</v>
      </c>
      <c r="S46" s="109">
        <f>'[1]Presupuesto de Inversion'!$E$164/12</f>
        <v>0</v>
      </c>
      <c r="T46" s="109">
        <f>'[1]Presupuesto de Inversion'!E164</f>
        <v>0</v>
      </c>
      <c r="U46" s="109">
        <f>'[1]Presupuesto de Inversion'!F164</f>
        <v>0</v>
      </c>
      <c r="V46" s="109">
        <f>'[1]Presupuesto de Inversion'!G164</f>
        <v>0</v>
      </c>
    </row>
    <row r="47" spans="1:22">
      <c r="A47" s="108"/>
      <c r="B47" s="168"/>
      <c r="C47" s="168"/>
      <c r="D47" s="168"/>
      <c r="E47" s="204" t="s">
        <v>384</v>
      </c>
      <c r="F47" s="204"/>
      <c r="G47" s="109"/>
      <c r="H47" s="109">
        <f>'[1]Presupuesto de Inversion'!$E$165/12</f>
        <v>4040</v>
      </c>
      <c r="I47" s="109">
        <f>'[1]Presupuesto de Inversion'!$E$165/12</f>
        <v>4040</v>
      </c>
      <c r="J47" s="109">
        <f>'[1]Presupuesto de Inversion'!$E$165/12</f>
        <v>4040</v>
      </c>
      <c r="K47" s="109">
        <f>'[1]Presupuesto de Inversion'!$E$165/12</f>
        <v>4040</v>
      </c>
      <c r="L47" s="109">
        <f>'[1]Presupuesto de Inversion'!$E$165/12</f>
        <v>4040</v>
      </c>
      <c r="M47" s="109">
        <f>'[1]Presupuesto de Inversion'!$E$165/12</f>
        <v>4040</v>
      </c>
      <c r="N47" s="109">
        <f>'[1]Presupuesto de Inversion'!$E$165/12</f>
        <v>4040</v>
      </c>
      <c r="O47" s="109">
        <f>'[1]Presupuesto de Inversion'!$E$165/12</f>
        <v>4040</v>
      </c>
      <c r="P47" s="109">
        <f>'[1]Presupuesto de Inversion'!$E$165/12</f>
        <v>4040</v>
      </c>
      <c r="Q47" s="109">
        <f>'[1]Presupuesto de Inversion'!$E$165/12</f>
        <v>4040</v>
      </c>
      <c r="R47" s="109">
        <f>'[1]Presupuesto de Inversion'!$E$165/12</f>
        <v>4040</v>
      </c>
      <c r="S47" s="109">
        <f>'[1]Presupuesto de Inversion'!$E$165/12</f>
        <v>4040</v>
      </c>
      <c r="T47" s="109">
        <f>'[1]Presupuesto de Inversion'!E165</f>
        <v>48480</v>
      </c>
      <c r="U47" s="109">
        <f>'[1]Presupuesto de Inversion'!F165</f>
        <v>51388.800000000003</v>
      </c>
      <c r="V47" s="109">
        <f>'[1]Presupuesto de Inversion'!G165</f>
        <v>54729.072</v>
      </c>
    </row>
    <row r="48" spans="1:22">
      <c r="A48" s="108"/>
      <c r="B48" s="168"/>
      <c r="C48" s="168"/>
      <c r="D48" s="168"/>
      <c r="E48" s="204" t="s">
        <v>179</v>
      </c>
      <c r="F48" s="204"/>
      <c r="G48" s="109"/>
      <c r="H48" s="109">
        <f>'[1]Presupuesto de Inversion'!$E$166/12</f>
        <v>0</v>
      </c>
      <c r="I48" s="109">
        <f>'[1]Presupuesto de Inversion'!$E$166/12</f>
        <v>0</v>
      </c>
      <c r="J48" s="109">
        <f>'[1]Presupuesto de Inversion'!$E$166/12</f>
        <v>0</v>
      </c>
      <c r="K48" s="109">
        <f>'[1]Presupuesto de Inversion'!$E$166/12</f>
        <v>0</v>
      </c>
      <c r="L48" s="109">
        <f>'[1]Presupuesto de Inversion'!$E$166/12</f>
        <v>0</v>
      </c>
      <c r="M48" s="109">
        <f>'[1]Presupuesto de Inversion'!$E$166/12</f>
        <v>0</v>
      </c>
      <c r="N48" s="109">
        <f>'[1]Presupuesto de Inversion'!$E$166/12</f>
        <v>0</v>
      </c>
      <c r="O48" s="109">
        <f>'[1]Presupuesto de Inversion'!$E$166/12</f>
        <v>0</v>
      </c>
      <c r="P48" s="109">
        <f>'[1]Presupuesto de Inversion'!$E$166/12</f>
        <v>0</v>
      </c>
      <c r="Q48" s="109">
        <f>'[1]Presupuesto de Inversion'!$E$166/12</f>
        <v>0</v>
      </c>
      <c r="R48" s="109">
        <f>'[1]Presupuesto de Inversion'!$E$166/12</f>
        <v>0</v>
      </c>
      <c r="S48" s="109">
        <f>'[1]Presupuesto de Inversion'!$E$166/12</f>
        <v>0</v>
      </c>
      <c r="T48" s="109">
        <f>'[1]Presupuesto de Inversion'!E166</f>
        <v>0</v>
      </c>
      <c r="U48" s="109">
        <f>'[1]Presupuesto de Inversion'!F166</f>
        <v>0</v>
      </c>
      <c r="V48" s="109">
        <f>'[1]Presupuesto de Inversion'!G166</f>
        <v>0</v>
      </c>
    </row>
    <row r="49" spans="1:22">
      <c r="A49" s="108"/>
      <c r="B49" s="168"/>
      <c r="C49" s="168"/>
      <c r="D49" s="168"/>
      <c r="E49" s="204" t="s">
        <v>180</v>
      </c>
      <c r="F49" s="204"/>
      <c r="G49" s="109"/>
      <c r="H49" s="109">
        <f>'[1]Presupuesto de Inversion'!$E$167/12</f>
        <v>10000</v>
      </c>
      <c r="I49" s="109">
        <f>'[1]Presupuesto de Inversion'!$E$167/12</f>
        <v>10000</v>
      </c>
      <c r="J49" s="109">
        <f>'[1]Presupuesto de Inversion'!$E$167/12</f>
        <v>10000</v>
      </c>
      <c r="K49" s="109">
        <f>'[1]Presupuesto de Inversion'!$E$167/12</f>
        <v>10000</v>
      </c>
      <c r="L49" s="109">
        <f>'[1]Presupuesto de Inversion'!$E$167/12</f>
        <v>10000</v>
      </c>
      <c r="M49" s="109">
        <f>'[1]Presupuesto de Inversion'!$E$167/12</f>
        <v>10000</v>
      </c>
      <c r="N49" s="109">
        <f>'[1]Presupuesto de Inversion'!$E$167/12</f>
        <v>10000</v>
      </c>
      <c r="O49" s="109">
        <f>'[1]Presupuesto de Inversion'!$E$167/12</f>
        <v>10000</v>
      </c>
      <c r="P49" s="109">
        <f>'[1]Presupuesto de Inversion'!$E$167/12</f>
        <v>10000</v>
      </c>
      <c r="Q49" s="109">
        <f>'[1]Presupuesto de Inversion'!$E$167/12</f>
        <v>10000</v>
      </c>
      <c r="R49" s="109">
        <f>'[1]Presupuesto de Inversion'!$E$167/12</f>
        <v>10000</v>
      </c>
      <c r="S49" s="109">
        <f>'[1]Presupuesto de Inversion'!$E$167/12</f>
        <v>10000</v>
      </c>
      <c r="T49" s="109">
        <f>'[1]Presupuesto de Inversion'!E167</f>
        <v>120000</v>
      </c>
      <c r="U49" s="109">
        <f>'[1]Presupuesto de Inversion'!F167</f>
        <v>127200</v>
      </c>
      <c r="V49" s="109">
        <f>'[1]Presupuesto de Inversion'!G167</f>
        <v>135468</v>
      </c>
    </row>
    <row r="50" spans="1:22">
      <c r="A50" s="108"/>
      <c r="B50" s="168"/>
      <c r="C50" s="168"/>
      <c r="D50" s="168"/>
      <c r="E50" s="204" t="s">
        <v>385</v>
      </c>
      <c r="F50" s="204"/>
      <c r="G50" s="109"/>
      <c r="H50" s="109">
        <f>'[1]Presupuesto de Inversion'!$E$168/12</f>
        <v>0</v>
      </c>
      <c r="I50" s="109">
        <f>'[1]Presupuesto de Inversion'!$E$168/12</f>
        <v>0</v>
      </c>
      <c r="J50" s="109">
        <f>'[1]Presupuesto de Inversion'!$E$168/12</f>
        <v>0</v>
      </c>
      <c r="K50" s="109">
        <f>'[1]Presupuesto de Inversion'!$E$168/12</f>
        <v>0</v>
      </c>
      <c r="L50" s="109">
        <f>'[1]Presupuesto de Inversion'!$E$168/12</f>
        <v>0</v>
      </c>
      <c r="M50" s="109">
        <f>'[1]Presupuesto de Inversion'!$E$168/12</f>
        <v>0</v>
      </c>
      <c r="N50" s="109">
        <f>'[1]Presupuesto de Inversion'!$E$168/12</f>
        <v>0</v>
      </c>
      <c r="O50" s="109">
        <f>'[1]Presupuesto de Inversion'!$E$168/12</f>
        <v>0</v>
      </c>
      <c r="P50" s="109">
        <f>'[1]Presupuesto de Inversion'!$E$168/12</f>
        <v>0</v>
      </c>
      <c r="Q50" s="109">
        <f>'[1]Presupuesto de Inversion'!$E$168/12</f>
        <v>0</v>
      </c>
      <c r="R50" s="109">
        <f>'[1]Presupuesto de Inversion'!$E$168/12</f>
        <v>0</v>
      </c>
      <c r="S50" s="109">
        <f>'[1]Presupuesto de Inversion'!$E$168/12</f>
        <v>0</v>
      </c>
      <c r="T50" s="109">
        <f>'[1]Presupuesto de Inversion'!E168</f>
        <v>0</v>
      </c>
      <c r="U50" s="109">
        <f>'[1]Presupuesto de Inversion'!F168</f>
        <v>0</v>
      </c>
      <c r="V50" s="109">
        <f>'[1]Presupuesto de Inversion'!G168</f>
        <v>0</v>
      </c>
    </row>
    <row r="51" spans="1:22">
      <c r="A51" s="108"/>
      <c r="B51" s="168"/>
      <c r="C51" s="168"/>
      <c r="D51" s="168"/>
      <c r="E51" s="204" t="s">
        <v>386</v>
      </c>
      <c r="F51" s="204"/>
      <c r="G51" s="109"/>
      <c r="H51" s="109"/>
      <c r="I51" s="109"/>
      <c r="J51" s="109"/>
      <c r="K51" s="109"/>
      <c r="L51" s="109"/>
      <c r="M51" s="109"/>
      <c r="N51" s="109"/>
      <c r="O51" s="109"/>
      <c r="P51" s="109"/>
      <c r="Q51" s="109"/>
      <c r="R51" s="109"/>
      <c r="S51" s="109"/>
      <c r="T51" s="109"/>
      <c r="U51" s="109"/>
      <c r="V51" s="109"/>
    </row>
    <row r="52" spans="1:22">
      <c r="A52" s="108"/>
      <c r="B52" s="168"/>
      <c r="C52" s="168"/>
      <c r="D52" s="168"/>
      <c r="E52" s="170" t="s">
        <v>307</v>
      </c>
      <c r="F52" s="170"/>
      <c r="G52" s="110"/>
      <c r="H52" s="110">
        <f>SUM(H45:H51)</f>
        <v>214040</v>
      </c>
      <c r="I52" s="110">
        <f t="shared" ref="I52:V52" si="9">SUM(I45:I51)</f>
        <v>214040</v>
      </c>
      <c r="J52" s="110">
        <f t="shared" si="9"/>
        <v>214040</v>
      </c>
      <c r="K52" s="110">
        <f t="shared" si="9"/>
        <v>214040</v>
      </c>
      <c r="L52" s="110">
        <f t="shared" si="9"/>
        <v>214040</v>
      </c>
      <c r="M52" s="110">
        <f t="shared" si="9"/>
        <v>214040</v>
      </c>
      <c r="N52" s="110">
        <f t="shared" si="9"/>
        <v>214040</v>
      </c>
      <c r="O52" s="110">
        <f t="shared" si="9"/>
        <v>214040</v>
      </c>
      <c r="P52" s="110">
        <f t="shared" si="9"/>
        <v>214040</v>
      </c>
      <c r="Q52" s="110">
        <f t="shared" si="9"/>
        <v>214040</v>
      </c>
      <c r="R52" s="110">
        <f t="shared" si="9"/>
        <v>214040</v>
      </c>
      <c r="S52" s="110">
        <f t="shared" si="9"/>
        <v>214040</v>
      </c>
      <c r="T52" s="110">
        <f t="shared" si="9"/>
        <v>2568480</v>
      </c>
      <c r="U52" s="110">
        <f t="shared" si="9"/>
        <v>2722588.8</v>
      </c>
      <c r="V52" s="110">
        <f t="shared" si="9"/>
        <v>2899557.0720000002</v>
      </c>
    </row>
    <row r="53" spans="1:22">
      <c r="A53" s="108"/>
      <c r="B53" s="168"/>
      <c r="C53" s="168" t="s">
        <v>206</v>
      </c>
      <c r="D53" s="168"/>
      <c r="E53" s="186" t="s">
        <v>387</v>
      </c>
      <c r="F53" s="186"/>
      <c r="G53" s="109"/>
      <c r="H53" s="109"/>
      <c r="I53" s="109"/>
      <c r="J53" s="109"/>
      <c r="K53" s="109"/>
      <c r="L53" s="109"/>
      <c r="M53" s="109"/>
      <c r="N53" s="109"/>
      <c r="O53" s="109"/>
      <c r="P53" s="109"/>
      <c r="Q53" s="109"/>
      <c r="R53" s="109"/>
      <c r="S53" s="109"/>
      <c r="T53" s="109"/>
      <c r="U53" s="109"/>
      <c r="V53" s="109"/>
    </row>
    <row r="54" spans="1:22">
      <c r="A54" s="108"/>
      <c r="B54" s="168"/>
      <c r="C54" s="168"/>
      <c r="D54" s="168"/>
      <c r="E54" s="186" t="s">
        <v>388</v>
      </c>
      <c r="F54" s="186"/>
      <c r="G54" s="109"/>
      <c r="H54" s="109"/>
      <c r="I54" s="109"/>
      <c r="J54" s="109"/>
      <c r="K54" s="109"/>
      <c r="L54" s="109"/>
      <c r="M54" s="109"/>
      <c r="N54" s="109"/>
      <c r="O54" s="109"/>
      <c r="P54" s="109"/>
      <c r="Q54" s="109"/>
      <c r="R54" s="109"/>
      <c r="S54" s="109"/>
      <c r="T54" s="109">
        <v>0</v>
      </c>
      <c r="U54" s="109">
        <f>'[1]Presupuesto de Inversion'!F160</f>
        <v>80000</v>
      </c>
      <c r="V54" s="109">
        <f>'[1]Presupuesto de Inversion'!G160</f>
        <v>85200</v>
      </c>
    </row>
    <row r="55" spans="1:22">
      <c r="A55" s="108"/>
      <c r="B55" s="168"/>
      <c r="C55" s="168"/>
      <c r="D55" s="168"/>
      <c r="E55" s="186" t="s">
        <v>389</v>
      </c>
      <c r="F55" s="186"/>
      <c r="G55" s="109"/>
      <c r="H55" s="109"/>
      <c r="I55" s="109"/>
      <c r="J55" s="109"/>
      <c r="K55" s="109"/>
      <c r="L55" s="109"/>
      <c r="M55" s="109"/>
      <c r="N55" s="109"/>
      <c r="O55" s="109"/>
      <c r="P55" s="109"/>
      <c r="Q55" s="109"/>
      <c r="R55" s="109"/>
      <c r="S55" s="109"/>
      <c r="T55" s="109">
        <v>0</v>
      </c>
      <c r="U55" s="109">
        <f>'[1]Presupuesto de Inversion'!F161</f>
        <v>0</v>
      </c>
      <c r="V55" s="109">
        <f>'[1]Presupuesto de Inversion'!G161</f>
        <v>0</v>
      </c>
    </row>
    <row r="56" spans="1:22">
      <c r="A56" s="108"/>
      <c r="B56" s="168"/>
      <c r="C56" s="168"/>
      <c r="D56" s="168"/>
      <c r="E56" s="186" t="s">
        <v>390</v>
      </c>
      <c r="F56" s="186"/>
      <c r="G56" s="109"/>
      <c r="H56" s="109">
        <f>'[1]Presupuesto de Inversion'!$C$154/12</f>
        <v>150211.44997362385</v>
      </c>
      <c r="I56" s="109">
        <f>'[1]Presupuesto de Inversion'!$C$154/12</f>
        <v>150211.44997362385</v>
      </c>
      <c r="J56" s="109">
        <f>'[1]Presupuesto de Inversion'!$C$154/12</f>
        <v>150211.44997362385</v>
      </c>
      <c r="K56" s="109">
        <f>'[1]Presupuesto de Inversion'!$C$154/12</f>
        <v>150211.44997362385</v>
      </c>
      <c r="L56" s="109">
        <f>'[1]Presupuesto de Inversion'!$C$154/12</f>
        <v>150211.44997362385</v>
      </c>
      <c r="M56" s="109">
        <f>'[1]Presupuesto de Inversion'!$C$154/12</f>
        <v>150211.44997362385</v>
      </c>
      <c r="N56" s="109">
        <f>'[1]Presupuesto de Inversion'!$C$154/12</f>
        <v>150211.44997362385</v>
      </c>
      <c r="O56" s="109">
        <f>'[1]Presupuesto de Inversion'!$C$154/12</f>
        <v>150211.44997362385</v>
      </c>
      <c r="P56" s="109">
        <f>'[1]Presupuesto de Inversion'!$C$154/12</f>
        <v>150211.44997362385</v>
      </c>
      <c r="Q56" s="109">
        <f>'[1]Presupuesto de Inversion'!$C$154/12</f>
        <v>150211.44997362385</v>
      </c>
      <c r="R56" s="109">
        <f>'[1]Presupuesto de Inversion'!$C$154/12</f>
        <v>150211.44997362385</v>
      </c>
      <c r="S56" s="109">
        <f>'[1]Presupuesto de Inversion'!$C$154/12</f>
        <v>150211.44997362385</v>
      </c>
      <c r="T56" s="109">
        <f>'[1]Presupuesto de Inversion'!C154</f>
        <v>1802537.3996834862</v>
      </c>
      <c r="U56" s="109">
        <f>'[1]Presupuesto de Inversion'!D154</f>
        <v>1910689.6436644953</v>
      </c>
      <c r="V56" s="109">
        <f>'[1]Presupuesto de Inversion'!E154</f>
        <v>2034884.4705026876</v>
      </c>
    </row>
    <row r="57" spans="1:22">
      <c r="A57" s="108"/>
      <c r="B57" s="168"/>
      <c r="C57" s="168"/>
      <c r="D57" s="168"/>
      <c r="E57" s="186" t="s">
        <v>391</v>
      </c>
      <c r="F57" s="186"/>
      <c r="G57" s="109"/>
      <c r="H57" s="109">
        <f>'[1]Presupuesto de Inversion'!$C$155/12</f>
        <v>22531.717496043577</v>
      </c>
      <c r="I57" s="109">
        <f>'[1]Presupuesto de Inversion'!$C$155/12</f>
        <v>22531.717496043577</v>
      </c>
      <c r="J57" s="109">
        <f>'[1]Presupuesto de Inversion'!$C$155/12</f>
        <v>22531.717496043577</v>
      </c>
      <c r="K57" s="109">
        <f>'[1]Presupuesto de Inversion'!$C$155/12</f>
        <v>22531.717496043577</v>
      </c>
      <c r="L57" s="109">
        <f>'[1]Presupuesto de Inversion'!$C$155/12</f>
        <v>22531.717496043577</v>
      </c>
      <c r="M57" s="109">
        <f>'[1]Presupuesto de Inversion'!$C$155/12</f>
        <v>22531.717496043577</v>
      </c>
      <c r="N57" s="109">
        <f>'[1]Presupuesto de Inversion'!$C$155/12</f>
        <v>22531.717496043577</v>
      </c>
      <c r="O57" s="109">
        <f>'[1]Presupuesto de Inversion'!$C$155/12</f>
        <v>22531.717496043577</v>
      </c>
      <c r="P57" s="109">
        <f>'[1]Presupuesto de Inversion'!$C$155/12</f>
        <v>22531.717496043577</v>
      </c>
      <c r="Q57" s="109">
        <f>'[1]Presupuesto de Inversion'!$C$155/12</f>
        <v>22531.717496043577</v>
      </c>
      <c r="R57" s="109">
        <f>'[1]Presupuesto de Inversion'!$C$155/12</f>
        <v>22531.717496043577</v>
      </c>
      <c r="S57" s="109">
        <f>'[1]Presupuesto de Inversion'!$C$155/12</f>
        <v>22531.717496043577</v>
      </c>
      <c r="T57" s="109">
        <f>'[1]Presupuesto de Inversion'!C155</f>
        <v>270380.60995252291</v>
      </c>
      <c r="U57" s="109">
        <f>'[1]Presupuesto de Inversion'!D155</f>
        <v>286603.44654967426</v>
      </c>
      <c r="V57" s="109">
        <f>'[1]Presupuesto de Inversion'!E155</f>
        <v>305232.67057540314</v>
      </c>
    </row>
    <row r="58" spans="1:22">
      <c r="A58" s="108"/>
      <c r="B58" s="168"/>
      <c r="C58" s="168"/>
      <c r="D58" s="168"/>
      <c r="E58" s="186" t="s">
        <v>392</v>
      </c>
      <c r="F58" s="186"/>
      <c r="G58" s="109"/>
      <c r="H58" s="109">
        <f>'[1]Presupuesto de Inversion'!C140</f>
        <v>922185.43720183475</v>
      </c>
      <c r="I58" s="109">
        <f>'[1]Presupuesto de Inversion'!D140</f>
        <v>1822414.0782798163</v>
      </c>
      <c r="J58" s="109">
        <f>'[1]Presupuesto de Inversion'!E140</f>
        <v>2481117.9619954126</v>
      </c>
      <c r="K58" s="109">
        <f>'[1]Presupuesto de Inversion'!F140</f>
        <v>4534078.399575687</v>
      </c>
      <c r="L58" s="109">
        <f>'[1]Presupuesto de Inversion'!G140</f>
        <v>1438170.1461123852</v>
      </c>
      <c r="M58" s="109">
        <f>'[1]Presupuesto de Inversion'!H140</f>
        <v>1207623.7868119266</v>
      </c>
      <c r="N58" s="109">
        <f>'[1]Presupuesto de Inversion'!I140</f>
        <v>1899262.8647133026</v>
      </c>
      <c r="O58" s="109">
        <f>'[1]Presupuesto de Inversion'!J140</f>
        <v>5028106.312362385</v>
      </c>
      <c r="P58" s="109">
        <f>'[1]Presupuesto de Inversion'!K140</f>
        <v>4984192.7201146781</v>
      </c>
      <c r="Q58" s="109">
        <f>'[1]Presupuesto de Inversion'!L140</f>
        <v>4007115.2926032105</v>
      </c>
      <c r="R58" s="109">
        <f>'[1]Presupuesto de Inversion'!M140</f>
        <v>1679694.9034747705</v>
      </c>
      <c r="S58" s="109">
        <f>'[1]Presupuesto de Inversion'!N140</f>
        <v>1130775.0003784401</v>
      </c>
      <c r="T58" s="109">
        <f>'[1]Presupuesto de Inversion'!O140</f>
        <v>31134736.903623849</v>
      </c>
      <c r="U58" s="109">
        <f>'[1]Presupuesto de Inversion'!P140</f>
        <v>33625515.855913758</v>
      </c>
      <c r="V58" s="109">
        <f>'[1]Presupuesto de Inversion'!Q140</f>
        <v>38669343.234300822</v>
      </c>
    </row>
    <row r="59" spans="1:22">
      <c r="A59" s="108"/>
      <c r="B59" s="168"/>
      <c r="C59" s="168"/>
      <c r="D59" s="168"/>
      <c r="E59" s="186" t="s">
        <v>393</v>
      </c>
      <c r="F59" s="186"/>
      <c r="G59" s="109"/>
      <c r="H59" s="109">
        <f>'[1]Presupuesto de Inversion'!C141</f>
        <v>138327.8155802752</v>
      </c>
      <c r="I59" s="109">
        <f>'[1]Presupuesto de Inversion'!D141</f>
        <v>273362.11174197245</v>
      </c>
      <c r="J59" s="109">
        <f>'[1]Presupuesto de Inversion'!E141</f>
        <v>372167.6942993119</v>
      </c>
      <c r="K59" s="109">
        <f>'[1]Presupuesto de Inversion'!F141</f>
        <v>680111.75993635308</v>
      </c>
      <c r="L59" s="109">
        <f>'[1]Presupuesto de Inversion'!G141</f>
        <v>215725.52191685778</v>
      </c>
      <c r="M59" s="109">
        <f>'[1]Presupuesto de Inversion'!H141</f>
        <v>181143.56802178899</v>
      </c>
      <c r="N59" s="109">
        <f>'[1]Presupuesto de Inversion'!I141</f>
        <v>284889.42970699538</v>
      </c>
      <c r="O59" s="109">
        <f>'[1]Presupuesto de Inversion'!J141</f>
        <v>754215.94685435772</v>
      </c>
      <c r="P59" s="109">
        <f>'[1]Presupuesto de Inversion'!K141</f>
        <v>747628.9080172017</v>
      </c>
      <c r="Q59" s="109">
        <f>'[1]Presupuesto de Inversion'!L141</f>
        <v>601067.29389048158</v>
      </c>
      <c r="R59" s="109">
        <f>'[1]Presupuesto de Inversion'!M141</f>
        <v>251954.23552121557</v>
      </c>
      <c r="S59" s="109">
        <f>'[1]Presupuesto de Inversion'!N141</f>
        <v>169616.250056766</v>
      </c>
      <c r="T59" s="109">
        <f>'[1]Presupuesto de Inversion'!O141</f>
        <v>4670210.5355435777</v>
      </c>
      <c r="U59" s="109">
        <f>'[1]Presupuesto de Inversion'!P141</f>
        <v>5043827.3783870637</v>
      </c>
      <c r="V59" s="109">
        <f>'[1]Presupuesto de Inversion'!Q141</f>
        <v>5800401.4851451237</v>
      </c>
    </row>
    <row r="60" spans="1:22">
      <c r="A60" s="108"/>
      <c r="B60" s="168"/>
      <c r="C60" s="168"/>
      <c r="D60" s="168"/>
      <c r="E60" s="186" t="s">
        <v>394</v>
      </c>
      <c r="F60" s="186"/>
      <c r="G60" s="109"/>
      <c r="H60" s="109">
        <f ca="1">$E$14/12</f>
        <v>747632.00325395225</v>
      </c>
      <c r="I60" s="109">
        <f t="shared" ref="I60:S60" ca="1" si="10">$E$14/12</f>
        <v>747632.00325395225</v>
      </c>
      <c r="J60" s="109">
        <f t="shared" ca="1" si="10"/>
        <v>747632.00325395225</v>
      </c>
      <c r="K60" s="109">
        <f t="shared" ca="1" si="10"/>
        <v>747632.00325395225</v>
      </c>
      <c r="L60" s="109">
        <f t="shared" ca="1" si="10"/>
        <v>747632.00325395225</v>
      </c>
      <c r="M60" s="109">
        <f t="shared" ca="1" si="10"/>
        <v>747632.00325395225</v>
      </c>
      <c r="N60" s="109">
        <f t="shared" ca="1" si="10"/>
        <v>747632.00325395225</v>
      </c>
      <c r="O60" s="109">
        <f t="shared" ca="1" si="10"/>
        <v>747632.00325395225</v>
      </c>
      <c r="P60" s="109">
        <f t="shared" ca="1" si="10"/>
        <v>747632.00325395225</v>
      </c>
      <c r="Q60" s="109">
        <f t="shared" ca="1" si="10"/>
        <v>747632.00325395225</v>
      </c>
      <c r="R60" s="109">
        <f t="shared" ca="1" si="10"/>
        <v>747632.00325395225</v>
      </c>
      <c r="S60" s="109">
        <f t="shared" ca="1" si="10"/>
        <v>747632.00325395225</v>
      </c>
      <c r="T60" s="109">
        <f ca="1">E14</f>
        <v>8971584.0390474275</v>
      </c>
      <c r="U60" s="109">
        <f t="shared" ref="U60:V60" ca="1" si="11">F14</f>
        <v>10026574.474079579</v>
      </c>
      <c r="V60" s="109">
        <f t="shared" ca="1" si="11"/>
        <v>13763106.184088655</v>
      </c>
    </row>
    <row r="61" spans="1:22">
      <c r="A61" s="108"/>
      <c r="B61" s="168"/>
      <c r="C61" s="168"/>
      <c r="D61" s="168"/>
      <c r="E61" s="170" t="s">
        <v>210</v>
      </c>
      <c r="F61" s="170"/>
      <c r="G61" s="110"/>
      <c r="H61" s="110">
        <f ca="1">SUM(H53:H60)</f>
        <v>1980888.4235057295</v>
      </c>
      <c r="I61" s="110">
        <f t="shared" ref="I61:V61" ca="1" si="12">SUM(I53:I60)</f>
        <v>3016151.3607454086</v>
      </c>
      <c r="J61" s="110">
        <f t="shared" ca="1" si="12"/>
        <v>3773660.8270183438</v>
      </c>
      <c r="K61" s="110">
        <f t="shared" ca="1" si="12"/>
        <v>6134565.3302356601</v>
      </c>
      <c r="L61" s="110">
        <f t="shared" ca="1" si="12"/>
        <v>2574270.8387528625</v>
      </c>
      <c r="M61" s="110">
        <f t="shared" ca="1" si="12"/>
        <v>2309142.5255573355</v>
      </c>
      <c r="N61" s="110">
        <f t="shared" ca="1" si="12"/>
        <v>3104527.4651439176</v>
      </c>
      <c r="O61" s="110">
        <f t="shared" ca="1" si="12"/>
        <v>6702697.4299403625</v>
      </c>
      <c r="P61" s="110">
        <f t="shared" ca="1" si="12"/>
        <v>6652196.7988554994</v>
      </c>
      <c r="Q61" s="110">
        <f t="shared" ca="1" si="12"/>
        <v>5528557.7572173122</v>
      </c>
      <c r="R61" s="110">
        <f t="shared" ca="1" si="12"/>
        <v>2852024.3097196058</v>
      </c>
      <c r="S61" s="110">
        <f t="shared" ca="1" si="12"/>
        <v>2220766.421158826</v>
      </c>
      <c r="T61" s="110">
        <f t="shared" ca="1" si="12"/>
        <v>46849449.48785086</v>
      </c>
      <c r="U61" s="110">
        <f t="shared" ca="1" si="12"/>
        <v>50973210.798594572</v>
      </c>
      <c r="V61" s="110">
        <f t="shared" ca="1" si="12"/>
        <v>60658168.044612691</v>
      </c>
    </row>
    <row r="62" spans="1:22">
      <c r="A62" s="108"/>
      <c r="B62" s="168"/>
      <c r="C62" s="201" t="s">
        <v>395</v>
      </c>
      <c r="D62" s="201"/>
      <c r="E62" s="201"/>
      <c r="F62" s="201"/>
      <c r="G62" s="109"/>
      <c r="H62" s="109">
        <f ca="1">$E$17/12</f>
        <v>197374.84885904344</v>
      </c>
      <c r="I62" s="109">
        <f t="shared" ref="I62:S62" ca="1" si="13">$E$17/12</f>
        <v>197374.84885904344</v>
      </c>
      <c r="J62" s="109">
        <f t="shared" ca="1" si="13"/>
        <v>197374.84885904344</v>
      </c>
      <c r="K62" s="109">
        <f t="shared" ca="1" si="13"/>
        <v>197374.84885904344</v>
      </c>
      <c r="L62" s="109">
        <f t="shared" ca="1" si="13"/>
        <v>197374.84885904344</v>
      </c>
      <c r="M62" s="109">
        <f t="shared" ca="1" si="13"/>
        <v>197374.84885904344</v>
      </c>
      <c r="N62" s="109">
        <f t="shared" ca="1" si="13"/>
        <v>197374.84885904344</v>
      </c>
      <c r="O62" s="109">
        <f t="shared" ca="1" si="13"/>
        <v>197374.84885904344</v>
      </c>
      <c r="P62" s="109">
        <f t="shared" ca="1" si="13"/>
        <v>197374.84885904344</v>
      </c>
      <c r="Q62" s="109">
        <f t="shared" ca="1" si="13"/>
        <v>197374.84885904344</v>
      </c>
      <c r="R62" s="109">
        <f t="shared" ca="1" si="13"/>
        <v>197374.84885904344</v>
      </c>
      <c r="S62" s="109">
        <f t="shared" ca="1" si="13"/>
        <v>197374.84885904344</v>
      </c>
      <c r="T62" s="109">
        <f ca="1">E17</f>
        <v>2368498.1863085213</v>
      </c>
      <c r="U62" s="109">
        <f t="shared" ref="U62:V62" ca="1" si="14">F17</f>
        <v>2647015.6611570092</v>
      </c>
      <c r="V62" s="109">
        <f t="shared" ca="1" si="14"/>
        <v>3633460.0325994054</v>
      </c>
    </row>
    <row r="63" spans="1:22">
      <c r="A63" s="108"/>
      <c r="B63" s="168"/>
      <c r="C63" s="186" t="s">
        <v>396</v>
      </c>
      <c r="D63" s="186"/>
      <c r="E63" s="186"/>
      <c r="F63" s="186"/>
      <c r="G63" s="109"/>
      <c r="H63" s="109"/>
      <c r="I63" s="109"/>
      <c r="J63" s="109"/>
      <c r="K63" s="109"/>
      <c r="L63" s="109"/>
      <c r="M63" s="109"/>
      <c r="N63" s="109"/>
      <c r="O63" s="109"/>
      <c r="P63" s="109"/>
      <c r="Q63" s="109"/>
      <c r="R63" s="109"/>
      <c r="S63" s="109"/>
      <c r="T63" s="109"/>
      <c r="U63" s="109"/>
      <c r="V63" s="109"/>
    </row>
    <row r="64" spans="1:22">
      <c r="A64" s="108"/>
      <c r="B64" s="168"/>
      <c r="C64" s="163" t="s">
        <v>355</v>
      </c>
      <c r="D64" s="163"/>
      <c r="E64" s="163"/>
      <c r="F64" s="163"/>
      <c r="G64" s="111">
        <f>G31</f>
        <v>5488000</v>
      </c>
      <c r="H64" s="111">
        <f ca="1">H44+H52+H61</f>
        <v>4975218.4235057291</v>
      </c>
      <c r="I64" s="111">
        <f t="shared" ref="I64:V64" ca="1" si="15">I44+I52+I61</f>
        <v>5810481.3607454086</v>
      </c>
      <c r="J64" s="111">
        <f t="shared" ca="1" si="15"/>
        <v>6567990.8270183438</v>
      </c>
      <c r="K64" s="111">
        <f t="shared" ca="1" si="15"/>
        <v>9845235.3302356601</v>
      </c>
      <c r="L64" s="111">
        <f t="shared" ca="1" si="15"/>
        <v>6264940.8387528621</v>
      </c>
      <c r="M64" s="111">
        <f t="shared" ca="1" si="15"/>
        <v>6683762.5255573355</v>
      </c>
      <c r="N64" s="111">
        <f t="shared" ca="1" si="15"/>
        <v>7479147.4651439171</v>
      </c>
      <c r="O64" s="111">
        <f t="shared" ca="1" si="15"/>
        <v>11077317.429940362</v>
      </c>
      <c r="P64" s="111">
        <f t="shared" ca="1" si="15"/>
        <v>11026816.798855498</v>
      </c>
      <c r="Q64" s="111">
        <f t="shared" ca="1" si="15"/>
        <v>11199517.757217312</v>
      </c>
      <c r="R64" s="111">
        <f t="shared" ca="1" si="15"/>
        <v>7226644.3097196054</v>
      </c>
      <c r="S64" s="111">
        <f t="shared" ca="1" si="15"/>
        <v>6595386.421158826</v>
      </c>
      <c r="T64" s="111">
        <f t="shared" ca="1" si="15"/>
        <v>94752459.48785086</v>
      </c>
      <c r="U64" s="111">
        <f t="shared" ca="1" si="15"/>
        <v>101750401.39859457</v>
      </c>
      <c r="V64" s="111">
        <f t="shared" ca="1" si="15"/>
        <v>114735876.0336127</v>
      </c>
    </row>
    <row r="65" spans="1:22">
      <c r="A65" s="108"/>
      <c r="B65" s="199" t="s">
        <v>397</v>
      </c>
      <c r="C65" s="199"/>
      <c r="D65" s="199"/>
      <c r="E65" s="199"/>
      <c r="F65" s="199"/>
      <c r="G65" s="113">
        <f>G28-G64</f>
        <v>29503714.407179862</v>
      </c>
      <c r="H65" s="113">
        <f ca="1">H28-H64</f>
        <v>326307.78164105956</v>
      </c>
      <c r="I65" s="113">
        <f t="shared" ref="I65:V65" ca="1" si="16">I28-I64</f>
        <v>4666344.2351399129</v>
      </c>
      <c r="J65" s="113">
        <f t="shared" ca="1" si="16"/>
        <v>7695639.2011146834</v>
      </c>
      <c r="K65" s="113">
        <f t="shared" ca="1" si="16"/>
        <v>16220601.845069382</v>
      </c>
      <c r="L65" s="113">
        <f t="shared" ca="1" si="16"/>
        <v>2002915.5049879625</v>
      </c>
      <c r="M65" s="113">
        <f t="shared" ca="1" si="16"/>
        <v>258712.26689679176</v>
      </c>
      <c r="N65" s="113">
        <f t="shared" ca="1" si="16"/>
        <v>3439471.9811703023</v>
      </c>
      <c r="O65" s="113">
        <f t="shared" ca="1" si="16"/>
        <v>17828623.069550466</v>
      </c>
      <c r="P65" s="113">
        <f t="shared" ca="1" si="16"/>
        <v>17626670.07181881</v>
      </c>
      <c r="Q65" s="113">
        <f t="shared" ca="1" si="16"/>
        <v>11836875.872289566</v>
      </c>
      <c r="R65" s="113">
        <f t="shared" ca="1" si="16"/>
        <v>2429706.9925120454</v>
      </c>
      <c r="S65" s="113">
        <f t="shared" ca="1" si="16"/>
        <v>-94705.479133596644</v>
      </c>
      <c r="T65" s="113">
        <f t="shared" ca="1" si="16"/>
        <v>84237163.343057379</v>
      </c>
      <c r="U65" s="113">
        <f t="shared" ca="1" si="16"/>
        <v>91558391.258786306</v>
      </c>
      <c r="V65" s="113">
        <f t="shared" ca="1" si="16"/>
        <v>107569235.52237532</v>
      </c>
    </row>
    <row r="66" spans="1:22">
      <c r="A66" s="108"/>
      <c r="B66" s="161" t="s">
        <v>398</v>
      </c>
      <c r="C66" s="161"/>
      <c r="D66" s="161"/>
      <c r="E66" s="161"/>
      <c r="F66" s="161"/>
      <c r="G66" s="109"/>
      <c r="H66" s="109"/>
      <c r="I66" s="109"/>
      <c r="J66" s="109"/>
      <c r="K66" s="109"/>
      <c r="L66" s="109"/>
      <c r="M66" s="109"/>
      <c r="N66" s="109"/>
      <c r="O66" s="109"/>
      <c r="P66" s="109"/>
      <c r="Q66" s="109"/>
      <c r="R66" s="109"/>
      <c r="S66" s="109"/>
      <c r="T66" s="109"/>
      <c r="U66" s="109"/>
      <c r="V66" s="109"/>
    </row>
    <row r="67" spans="1:22">
      <c r="A67" s="108"/>
    </row>
    <row r="68" spans="1:22">
      <c r="B68" s="200" t="s">
        <v>419</v>
      </c>
      <c r="C68" s="200"/>
      <c r="D68" s="200"/>
      <c r="E68" s="200"/>
      <c r="F68" s="200"/>
      <c r="G68" s="200"/>
      <c r="H68" s="200"/>
      <c r="I68" s="200"/>
      <c r="J68" s="200"/>
    </row>
    <row r="69" spans="1:22">
      <c r="B69" s="168" t="s">
        <v>68</v>
      </c>
      <c r="C69" s="168"/>
      <c r="D69" s="168"/>
      <c r="E69" s="168"/>
      <c r="F69" s="168"/>
      <c r="G69" s="62" t="s">
        <v>418</v>
      </c>
      <c r="H69" s="62" t="s">
        <v>2</v>
      </c>
      <c r="I69" s="62" t="s">
        <v>3</v>
      </c>
      <c r="J69" s="62" t="s">
        <v>43</v>
      </c>
    </row>
    <row r="70" spans="1:22">
      <c r="B70" s="168" t="s">
        <v>416</v>
      </c>
      <c r="C70" s="168" t="s">
        <v>406</v>
      </c>
      <c r="D70" s="168"/>
      <c r="E70" s="186" t="s">
        <v>402</v>
      </c>
      <c r="F70" s="186"/>
      <c r="G70" s="109">
        <f>G65</f>
        <v>29503714.407179862</v>
      </c>
      <c r="H70" s="109">
        <f ca="1">T65</f>
        <v>84237163.343057379</v>
      </c>
      <c r="I70" s="109">
        <f t="shared" ref="I70:J70" ca="1" si="17">U65</f>
        <v>91558391.258786306</v>
      </c>
      <c r="J70" s="109">
        <f t="shared" ca="1" si="17"/>
        <v>107569235.52237532</v>
      </c>
    </row>
    <row r="71" spans="1:22">
      <c r="B71" s="168"/>
      <c r="C71" s="168"/>
      <c r="D71" s="168"/>
      <c r="E71" s="186" t="s">
        <v>403</v>
      </c>
      <c r="F71" s="186"/>
      <c r="G71" s="109">
        <v>0</v>
      </c>
      <c r="H71" s="109">
        <f>T23</f>
        <v>108760892.97311008</v>
      </c>
      <c r="I71" s="109">
        <f t="shared" ref="I71:J71" si="18">U23</f>
        <v>117461764.41095889</v>
      </c>
      <c r="J71" s="109">
        <f t="shared" si="18"/>
        <v>135081029.07260272</v>
      </c>
    </row>
    <row r="72" spans="1:22">
      <c r="B72" s="168"/>
      <c r="C72" s="168"/>
      <c r="D72" s="168"/>
      <c r="E72" s="186" t="s">
        <v>404</v>
      </c>
      <c r="F72" s="186"/>
      <c r="G72" s="109"/>
      <c r="H72" s="109"/>
      <c r="I72" s="109"/>
      <c r="J72" s="109"/>
    </row>
    <row r="73" spans="1:22">
      <c r="B73" s="168"/>
      <c r="C73" s="168"/>
      <c r="D73" s="168"/>
      <c r="E73" s="186" t="s">
        <v>405</v>
      </c>
      <c r="F73" s="186"/>
      <c r="G73" s="109"/>
      <c r="H73" s="109"/>
      <c r="I73" s="109"/>
      <c r="J73" s="109"/>
    </row>
    <row r="74" spans="1:22">
      <c r="B74" s="168"/>
      <c r="C74" s="168"/>
      <c r="D74" s="168"/>
      <c r="E74" s="170" t="s">
        <v>407</v>
      </c>
      <c r="F74" s="170"/>
      <c r="G74" s="110">
        <f>SUM(G70:G73)</f>
        <v>29503714.407179862</v>
      </c>
      <c r="H74" s="110">
        <f t="shared" ref="H74:J74" ca="1" si="19">SUM(H70:H73)</f>
        <v>192998056.31616747</v>
      </c>
      <c r="I74" s="110">
        <f t="shared" ca="1" si="19"/>
        <v>209020155.66974521</v>
      </c>
      <c r="J74" s="110">
        <f t="shared" ca="1" si="19"/>
        <v>242650264.59497803</v>
      </c>
    </row>
    <row r="75" spans="1:22">
      <c r="B75" s="168"/>
      <c r="C75" s="168" t="s">
        <v>417</v>
      </c>
      <c r="D75" s="168"/>
      <c r="E75" s="161" t="s">
        <v>408</v>
      </c>
      <c r="F75" s="161"/>
      <c r="G75" s="109">
        <f>'Presupuesto de Inversion'!E5</f>
        <v>3348000</v>
      </c>
      <c r="H75" s="109"/>
      <c r="I75" s="109"/>
      <c r="J75" s="109"/>
    </row>
    <row r="76" spans="1:22">
      <c r="B76" s="168"/>
      <c r="C76" s="168"/>
      <c r="D76" s="168"/>
      <c r="E76" s="161" t="s">
        <v>409</v>
      </c>
      <c r="F76" s="161"/>
      <c r="G76" s="109">
        <f>'Presupuesto de Inversion'!E8</f>
        <v>1500000</v>
      </c>
      <c r="H76" s="109"/>
      <c r="I76" s="109"/>
      <c r="J76" s="109"/>
    </row>
    <row r="77" spans="1:22">
      <c r="B77" s="168"/>
      <c r="C77" s="168"/>
      <c r="D77" s="168"/>
      <c r="E77" s="161" t="s">
        <v>410</v>
      </c>
      <c r="F77" s="161"/>
      <c r="G77" s="109">
        <f>'Presupuesto de Inversion'!E11</f>
        <v>0</v>
      </c>
      <c r="H77" s="109"/>
      <c r="I77" s="109"/>
      <c r="J77" s="109"/>
    </row>
    <row r="78" spans="1:22">
      <c r="B78" s="168"/>
      <c r="C78" s="168"/>
      <c r="D78" s="168"/>
      <c r="E78" s="161" t="s">
        <v>411</v>
      </c>
      <c r="F78" s="161"/>
      <c r="G78" s="109">
        <f>0</f>
        <v>0</v>
      </c>
      <c r="H78" s="109"/>
      <c r="I78" s="109"/>
      <c r="J78" s="109"/>
    </row>
    <row r="79" spans="1:22">
      <c r="B79" s="168"/>
      <c r="C79" s="168"/>
      <c r="D79" s="168"/>
      <c r="E79" s="161" t="s">
        <v>412</v>
      </c>
      <c r="F79" s="161"/>
      <c r="G79" s="109">
        <f>'Presupuesto de Inversion'!E15</f>
        <v>0</v>
      </c>
      <c r="H79" s="109"/>
      <c r="I79" s="109"/>
      <c r="J79" s="109"/>
    </row>
    <row r="80" spans="1:22">
      <c r="B80" s="168"/>
      <c r="C80" s="168"/>
      <c r="D80" s="168"/>
      <c r="E80" s="161" t="s">
        <v>413</v>
      </c>
      <c r="F80" s="161"/>
      <c r="G80" s="109"/>
      <c r="H80" s="109">
        <f>'Presupuesto de Inversion'!G31</f>
        <v>200000</v>
      </c>
      <c r="I80" s="109">
        <f>'Presupuesto de Inversion'!H31</f>
        <v>200000</v>
      </c>
      <c r="J80" s="109">
        <f>'Presupuesto de Inversion'!I31</f>
        <v>200000</v>
      </c>
    </row>
    <row r="81" spans="1:10">
      <c r="B81" s="168"/>
      <c r="C81" s="168"/>
      <c r="D81" s="168"/>
      <c r="E81" s="203" t="s">
        <v>414</v>
      </c>
      <c r="F81" s="203"/>
      <c r="G81" s="113">
        <f>SUM(G75:G80)</f>
        <v>4848000</v>
      </c>
      <c r="H81" s="113">
        <f t="shared" ref="H81:J81" si="20">SUM(H75:H80)</f>
        <v>200000</v>
      </c>
      <c r="I81" s="113">
        <f t="shared" si="20"/>
        <v>200000</v>
      </c>
      <c r="J81" s="113">
        <f t="shared" si="20"/>
        <v>200000</v>
      </c>
    </row>
    <row r="82" spans="1:10">
      <c r="B82" s="168"/>
      <c r="C82" s="163" t="s">
        <v>415</v>
      </c>
      <c r="D82" s="163"/>
      <c r="E82" s="163"/>
      <c r="F82" s="163"/>
      <c r="G82" s="116">
        <f>G74+G81</f>
        <v>34351714.407179862</v>
      </c>
      <c r="H82" s="116">
        <f t="shared" ref="H82:J82" ca="1" si="21">H74+H81</f>
        <v>193198056.31616747</v>
      </c>
      <c r="I82" s="116">
        <f t="shared" ca="1" si="21"/>
        <v>209220155.66974521</v>
      </c>
      <c r="J82" s="116">
        <f t="shared" ca="1" si="21"/>
        <v>242850264.59497803</v>
      </c>
    </row>
    <row r="84" spans="1:10">
      <c r="A84" s="2"/>
      <c r="B84" s="200" t="s">
        <v>419</v>
      </c>
      <c r="C84" s="200"/>
      <c r="D84" s="200"/>
      <c r="E84" s="200"/>
      <c r="F84" s="200"/>
      <c r="G84" s="200"/>
      <c r="H84" s="200"/>
      <c r="I84" s="200"/>
      <c r="J84" s="200"/>
    </row>
    <row r="85" spans="1:10">
      <c r="A85" s="2"/>
      <c r="B85" s="168" t="s">
        <v>68</v>
      </c>
      <c r="C85" s="168"/>
      <c r="D85" s="168"/>
      <c r="E85" s="168"/>
      <c r="F85" s="168"/>
      <c r="G85" s="62" t="s">
        <v>443</v>
      </c>
      <c r="H85" s="62" t="s">
        <v>2</v>
      </c>
      <c r="I85" s="62" t="s">
        <v>3</v>
      </c>
      <c r="J85" s="62" t="s">
        <v>43</v>
      </c>
    </row>
    <row r="86" spans="1:10">
      <c r="A86" s="2"/>
      <c r="B86" s="168" t="s">
        <v>434</v>
      </c>
      <c r="C86" s="168" t="s">
        <v>429</v>
      </c>
      <c r="D86" s="168"/>
      <c r="E86" s="186" t="s">
        <v>420</v>
      </c>
      <c r="F86" s="186"/>
      <c r="G86" s="77"/>
      <c r="H86" s="77"/>
      <c r="I86" s="77"/>
      <c r="J86" s="77"/>
    </row>
    <row r="87" spans="1:10">
      <c r="A87" s="2"/>
      <c r="B87" s="168"/>
      <c r="C87" s="168"/>
      <c r="D87" s="168"/>
      <c r="E87" s="186" t="s">
        <v>421</v>
      </c>
      <c r="F87" s="186"/>
      <c r="G87" s="77"/>
      <c r="H87" s="77">
        <f>'Presupuesto de Inversion'!E64</f>
        <v>0</v>
      </c>
      <c r="I87" s="77">
        <f>'Presupuesto de Inversion'!F64</f>
        <v>0</v>
      </c>
      <c r="J87" s="77">
        <f>'Presupuesto de Inversion'!G64</f>
        <v>0</v>
      </c>
    </row>
    <row r="88" spans="1:10">
      <c r="A88" s="2"/>
      <c r="B88" s="168"/>
      <c r="C88" s="168"/>
      <c r="D88" s="168"/>
      <c r="E88" s="201" t="s">
        <v>422</v>
      </c>
      <c r="F88" s="201"/>
      <c r="G88" s="77"/>
      <c r="H88" s="77"/>
      <c r="I88" s="77"/>
      <c r="J88" s="77"/>
    </row>
    <row r="89" spans="1:10">
      <c r="A89" s="2"/>
      <c r="B89" s="168"/>
      <c r="C89" s="168"/>
      <c r="D89" s="168"/>
      <c r="E89" s="201" t="s">
        <v>423</v>
      </c>
      <c r="F89" s="201"/>
      <c r="G89" s="77"/>
      <c r="H89" s="77">
        <f ca="1">'Presupuesto de Inversion'!C154</f>
        <v>1238002.0710182982</v>
      </c>
      <c r="I89" s="77">
        <f ca="1">'Presupuesto de Inversion'!D154</f>
        <v>1312282.1952793961</v>
      </c>
      <c r="J89" s="77">
        <f ca="1">'Presupuesto de Inversion'!E154</f>
        <v>1397580.5379725569</v>
      </c>
    </row>
    <row r="90" spans="1:10">
      <c r="A90" s="2"/>
      <c r="B90" s="168"/>
      <c r="C90" s="168"/>
      <c r="D90" s="168"/>
      <c r="E90" s="201" t="s">
        <v>391</v>
      </c>
      <c r="F90" s="201"/>
      <c r="G90" s="77"/>
      <c r="H90" s="77">
        <f ca="1">'Presupuesto de Inversion'!C155</f>
        <v>185700.31065274472</v>
      </c>
      <c r="I90" s="77">
        <f ca="1">'Presupuesto de Inversion'!D155</f>
        <v>196842.32929190941</v>
      </c>
      <c r="J90" s="77">
        <f ca="1">'Presupuesto de Inversion'!E155</f>
        <v>209637.08069588352</v>
      </c>
    </row>
    <row r="91" spans="1:10">
      <c r="A91" s="2"/>
      <c r="B91" s="168"/>
      <c r="C91" s="168"/>
      <c r="D91" s="168"/>
      <c r="E91" s="201" t="s">
        <v>424</v>
      </c>
      <c r="F91" s="201"/>
      <c r="G91" s="77"/>
      <c r="H91" s="77">
        <f ca="1">'Presupuesto de Inversion'!O140</f>
        <v>21383672.135770604</v>
      </c>
      <c r="I91" s="77">
        <f ca="1">'Presupuesto de Inversion'!P140</f>
        <v>23094365.906632252</v>
      </c>
      <c r="J91" s="77">
        <f ca="1">'Presupuesto de Inversion'!Q140</f>
        <v>26558520.792627089</v>
      </c>
    </row>
    <row r="92" spans="1:10">
      <c r="A92" s="2"/>
      <c r="B92" s="168"/>
      <c r="C92" s="168"/>
      <c r="D92" s="168"/>
      <c r="E92" s="201" t="s">
        <v>425</v>
      </c>
      <c r="F92" s="201"/>
      <c r="G92" s="77"/>
      <c r="H92" s="77">
        <f ca="1">'Presupuesto de Inversion'!O141</f>
        <v>3207550.8203655905</v>
      </c>
      <c r="I92" s="77">
        <f ca="1">'Presupuesto de Inversion'!P141</f>
        <v>3464154.8859948376</v>
      </c>
      <c r="J92" s="77">
        <f ca="1">'Presupuesto de Inversion'!Q141</f>
        <v>3983778.1188940634</v>
      </c>
    </row>
    <row r="93" spans="1:10">
      <c r="A93" s="2"/>
      <c r="B93" s="168"/>
      <c r="C93" s="168"/>
      <c r="D93" s="168"/>
      <c r="E93" s="201" t="s">
        <v>426</v>
      </c>
      <c r="F93" s="201"/>
      <c r="G93" s="77"/>
      <c r="H93" s="77">
        <f ca="1">E14+E15</f>
        <v>12201354.293104501</v>
      </c>
      <c r="I93" s="77">
        <f t="shared" ref="I93:J93" ca="1" si="22">F14+F15</f>
        <v>13636141.284748226</v>
      </c>
      <c r="J93" s="77">
        <f t="shared" ca="1" si="22"/>
        <v>18717824.410360571</v>
      </c>
    </row>
    <row r="94" spans="1:10">
      <c r="A94" s="2"/>
      <c r="B94" s="168"/>
      <c r="C94" s="168"/>
      <c r="D94" s="168"/>
      <c r="E94" s="201" t="s">
        <v>427</v>
      </c>
      <c r="F94" s="201"/>
      <c r="G94" s="77"/>
      <c r="H94" s="77">
        <v>0</v>
      </c>
      <c r="I94" s="77">
        <v>0</v>
      </c>
      <c r="J94" s="77">
        <v>0</v>
      </c>
    </row>
    <row r="95" spans="1:10">
      <c r="A95" s="2"/>
      <c r="B95" s="168"/>
      <c r="C95" s="168"/>
      <c r="D95" s="168"/>
      <c r="E95" s="202" t="s">
        <v>428</v>
      </c>
      <c r="F95" s="202"/>
      <c r="G95" s="102">
        <f>SUM(G86:G94)</f>
        <v>0</v>
      </c>
      <c r="H95" s="102">
        <f t="shared" ref="H95:J95" ca="1" si="23">SUM(H86:H94)</f>
        <v>38216279.630911738</v>
      </c>
      <c r="I95" s="102">
        <f t="shared" ca="1" si="23"/>
        <v>41703786.601946622</v>
      </c>
      <c r="J95" s="102">
        <f t="shared" ca="1" si="23"/>
        <v>50867340.940550163</v>
      </c>
    </row>
    <row r="96" spans="1:10">
      <c r="A96" s="2"/>
      <c r="B96" s="168"/>
      <c r="C96" s="168" t="s">
        <v>433</v>
      </c>
      <c r="D96" s="168"/>
      <c r="E96" s="186" t="s">
        <v>430</v>
      </c>
      <c r="F96" s="186"/>
      <c r="G96" s="77"/>
      <c r="H96" s="77"/>
      <c r="I96" s="77"/>
      <c r="J96" s="77"/>
    </row>
    <row r="97" spans="1:10">
      <c r="A97" s="2"/>
      <c r="B97" s="168"/>
      <c r="C97" s="168"/>
      <c r="D97" s="168"/>
      <c r="E97" s="117" t="s">
        <v>431</v>
      </c>
      <c r="F97" s="117"/>
      <c r="G97" s="77"/>
      <c r="H97" s="77"/>
      <c r="I97" s="77"/>
      <c r="J97" s="77"/>
    </row>
    <row r="98" spans="1:10">
      <c r="A98" s="2"/>
      <c r="B98" s="168"/>
      <c r="C98" s="168"/>
      <c r="D98" s="168"/>
      <c r="E98" s="186" t="s">
        <v>427</v>
      </c>
      <c r="F98" s="186"/>
      <c r="G98" s="77"/>
      <c r="H98" s="77"/>
      <c r="I98" s="77"/>
      <c r="J98" s="77"/>
    </row>
    <row r="99" spans="1:10">
      <c r="A99" s="2"/>
      <c r="B99" s="168"/>
      <c r="C99" s="168"/>
      <c r="D99" s="168"/>
      <c r="E99" s="170" t="s">
        <v>432</v>
      </c>
      <c r="F99" s="170"/>
      <c r="G99" s="102">
        <f>SUM(G96:G98)</f>
        <v>0</v>
      </c>
      <c r="H99" s="102">
        <f t="shared" ref="H99:J99" si="24">SUM(H96:H98)</f>
        <v>0</v>
      </c>
      <c r="I99" s="102">
        <f t="shared" si="24"/>
        <v>0</v>
      </c>
      <c r="J99" s="102">
        <f t="shared" si="24"/>
        <v>0</v>
      </c>
    </row>
    <row r="100" spans="1:10">
      <c r="A100" s="2"/>
      <c r="B100" s="168"/>
      <c r="C100" s="198" t="s">
        <v>435</v>
      </c>
      <c r="D100" s="198"/>
      <c r="E100" s="198"/>
      <c r="F100" s="198"/>
      <c r="G100" s="119">
        <f>G95+G99</f>
        <v>0</v>
      </c>
      <c r="H100" s="119">
        <f t="shared" ref="H100:J100" ca="1" si="25">H95+H99</f>
        <v>38216279.630911738</v>
      </c>
      <c r="I100" s="119">
        <f t="shared" ca="1" si="25"/>
        <v>41703786.601946622</v>
      </c>
      <c r="J100" s="119">
        <f t="shared" ca="1" si="25"/>
        <v>50867340.940550163</v>
      </c>
    </row>
    <row r="101" spans="1:10">
      <c r="A101" s="2"/>
      <c r="B101" s="168" t="s">
        <v>441</v>
      </c>
      <c r="C101" s="168"/>
      <c r="D101" s="168"/>
      <c r="E101" s="2" t="s">
        <v>436</v>
      </c>
      <c r="F101" s="2"/>
      <c r="G101" s="77"/>
      <c r="H101" s="77"/>
      <c r="I101" s="77"/>
      <c r="J101" s="77"/>
    </row>
    <row r="102" spans="1:10">
      <c r="A102" s="2"/>
      <c r="B102" s="168"/>
      <c r="C102" s="168"/>
      <c r="D102" s="168"/>
      <c r="E102" s="2" t="s">
        <v>437</v>
      </c>
      <c r="F102" s="2"/>
      <c r="G102" s="77"/>
      <c r="H102" s="77">
        <f ca="1">E16</f>
        <v>23684981.86308521</v>
      </c>
      <c r="I102" s="77">
        <f t="shared" ref="I102:J102" ca="1" si="26">F16</f>
        <v>26470156.61157009</v>
      </c>
      <c r="J102" s="77">
        <f t="shared" ca="1" si="26"/>
        <v>36334600.325994052</v>
      </c>
    </row>
    <row r="103" spans="1:10">
      <c r="A103" s="2"/>
      <c r="B103" s="168"/>
      <c r="C103" s="168"/>
      <c r="D103" s="168"/>
      <c r="E103" s="2" t="s">
        <v>438</v>
      </c>
      <c r="F103" s="2"/>
      <c r="G103" s="77"/>
      <c r="H103" s="77"/>
      <c r="I103" s="77"/>
      <c r="J103" s="77"/>
    </row>
    <row r="104" spans="1:10">
      <c r="A104" s="2"/>
      <c r="B104" s="168"/>
      <c r="C104" s="168"/>
      <c r="D104" s="168"/>
      <c r="E104" s="2" t="s">
        <v>439</v>
      </c>
      <c r="F104" s="2"/>
      <c r="G104" s="77"/>
      <c r="H104" s="77">
        <f ca="1">E17</f>
        <v>2368498.1863085213</v>
      </c>
      <c r="I104" s="77">
        <f t="shared" ref="I104:J104" ca="1" si="27">F17</f>
        <v>2647015.6611570092</v>
      </c>
      <c r="J104" s="77">
        <f t="shared" ca="1" si="27"/>
        <v>3633460.0325994054</v>
      </c>
    </row>
    <row r="105" spans="1:10">
      <c r="A105" s="2"/>
      <c r="B105" s="168"/>
      <c r="C105" s="168"/>
      <c r="D105" s="168"/>
      <c r="E105" s="170" t="s">
        <v>440</v>
      </c>
      <c r="F105" s="170"/>
      <c r="G105" s="102">
        <f>SUM(G101:G104)</f>
        <v>0</v>
      </c>
      <c r="H105" s="102">
        <f t="shared" ref="H105:J105" ca="1" si="28">SUM(H101:H104)</f>
        <v>26053480.049393732</v>
      </c>
      <c r="I105" s="102">
        <f t="shared" ca="1" si="28"/>
        <v>29117172.272727098</v>
      </c>
      <c r="J105" s="102">
        <f t="shared" ca="1" si="28"/>
        <v>39968060.358593456</v>
      </c>
    </row>
    <row r="106" spans="1:10">
      <c r="A106" s="2"/>
      <c r="B106" s="198" t="s">
        <v>442</v>
      </c>
      <c r="C106" s="198"/>
      <c r="D106" s="198"/>
      <c r="E106" s="198"/>
      <c r="F106" s="198"/>
      <c r="G106" s="119">
        <f>G100+G105</f>
        <v>0</v>
      </c>
      <c r="H106" s="119">
        <f ca="1">H100+H105</f>
        <v>64269759.680305466</v>
      </c>
      <c r="I106" s="119">
        <f t="shared" ref="I106:J106" ca="1" si="29">I100+I105</f>
        <v>70820958.874673724</v>
      </c>
      <c r="J106" s="119">
        <f t="shared" ca="1" si="29"/>
        <v>90835401.299143612</v>
      </c>
    </row>
    <row r="107" spans="1:10">
      <c r="A107" s="2"/>
      <c r="B107" s="161" t="s">
        <v>416</v>
      </c>
      <c r="C107" s="161"/>
      <c r="D107" s="161"/>
      <c r="E107" s="161"/>
      <c r="F107" s="161"/>
      <c r="G107" s="77">
        <f>G82</f>
        <v>34351714.407179862</v>
      </c>
      <c r="H107" s="77">
        <f t="shared" ref="H107:J107" ca="1" si="30">H82</f>
        <v>193198056.31616747</v>
      </c>
      <c r="I107" s="77">
        <f t="shared" ca="1" si="30"/>
        <v>209220155.66974521</v>
      </c>
      <c r="J107" s="77">
        <f t="shared" ca="1" si="30"/>
        <v>242850264.59497803</v>
      </c>
    </row>
    <row r="108" spans="1:10">
      <c r="A108" s="2"/>
      <c r="B108" s="199" t="s">
        <v>444</v>
      </c>
      <c r="C108" s="199"/>
      <c r="D108" s="199"/>
      <c r="E108" s="199"/>
      <c r="F108" s="199"/>
      <c r="G108" s="95">
        <f>G107-(G100+G105)</f>
        <v>34351714.407179862</v>
      </c>
      <c r="H108" s="95">
        <f t="shared" ref="H108:J108" ca="1" si="31">H107-(H100+H105)</f>
        <v>128928296.63586201</v>
      </c>
      <c r="I108" s="95">
        <f t="shared" ca="1" si="31"/>
        <v>138399196.79507148</v>
      </c>
      <c r="J108" s="95">
        <f t="shared" ca="1" si="31"/>
        <v>152014863.29583442</v>
      </c>
    </row>
  </sheetData>
  <mergeCells count="101">
    <mergeCell ref="B3:D3"/>
    <mergeCell ref="C4:D4"/>
    <mergeCell ref="C5:D5"/>
    <mergeCell ref="B2:G2"/>
    <mergeCell ref="C7:D7"/>
    <mergeCell ref="B16:D16"/>
    <mergeCell ref="B17:D17"/>
    <mergeCell ref="B18:D18"/>
    <mergeCell ref="B21:F21"/>
    <mergeCell ref="B20:V20"/>
    <mergeCell ref="C12:D12"/>
    <mergeCell ref="B4:B6"/>
    <mergeCell ref="B7:B12"/>
    <mergeCell ref="B13:D13"/>
    <mergeCell ref="B14:D14"/>
    <mergeCell ref="B15:D15"/>
    <mergeCell ref="C9:D9"/>
    <mergeCell ref="C8:D8"/>
    <mergeCell ref="C10:D10"/>
    <mergeCell ref="C11:D11"/>
    <mergeCell ref="C6:D6"/>
    <mergeCell ref="E50:F50"/>
    <mergeCell ref="C29:D31"/>
    <mergeCell ref="E29:F29"/>
    <mergeCell ref="E30:F30"/>
    <mergeCell ref="E31:F31"/>
    <mergeCell ref="E32:E44"/>
    <mergeCell ref="B23:B27"/>
    <mergeCell ref="B22:F22"/>
    <mergeCell ref="C27:F27"/>
    <mergeCell ref="B28:F28"/>
    <mergeCell ref="C24:F24"/>
    <mergeCell ref="C25:F25"/>
    <mergeCell ref="C26:F26"/>
    <mergeCell ref="C23:F23"/>
    <mergeCell ref="C62:F62"/>
    <mergeCell ref="C63:F63"/>
    <mergeCell ref="C64:F64"/>
    <mergeCell ref="B29:B64"/>
    <mergeCell ref="B65:F65"/>
    <mergeCell ref="B66:F66"/>
    <mergeCell ref="E56:F56"/>
    <mergeCell ref="E57:F57"/>
    <mergeCell ref="E58:F58"/>
    <mergeCell ref="E59:F59"/>
    <mergeCell ref="E60:F60"/>
    <mergeCell ref="E61:F61"/>
    <mergeCell ref="E51:F51"/>
    <mergeCell ref="E52:F52"/>
    <mergeCell ref="C32:D52"/>
    <mergeCell ref="E53:F53"/>
    <mergeCell ref="E54:F54"/>
    <mergeCell ref="E55:F55"/>
    <mergeCell ref="C53:D61"/>
    <mergeCell ref="E45:F45"/>
    <mergeCell ref="E46:F46"/>
    <mergeCell ref="E47:F47"/>
    <mergeCell ref="E48:F48"/>
    <mergeCell ref="E49:F49"/>
    <mergeCell ref="E81:F81"/>
    <mergeCell ref="C82:F82"/>
    <mergeCell ref="B70:B82"/>
    <mergeCell ref="C75:D81"/>
    <mergeCell ref="B68:J68"/>
    <mergeCell ref="B85:F85"/>
    <mergeCell ref="E75:F75"/>
    <mergeCell ref="E76:F76"/>
    <mergeCell ref="E77:F77"/>
    <mergeCell ref="E78:F78"/>
    <mergeCell ref="E79:F79"/>
    <mergeCell ref="E80:F80"/>
    <mergeCell ref="B69:F69"/>
    <mergeCell ref="E70:F70"/>
    <mergeCell ref="E71:F71"/>
    <mergeCell ref="E72:F72"/>
    <mergeCell ref="E73:F73"/>
    <mergeCell ref="C70:D74"/>
    <mergeCell ref="E74:F74"/>
    <mergeCell ref="B106:F106"/>
    <mergeCell ref="B107:F107"/>
    <mergeCell ref="B108:F108"/>
    <mergeCell ref="B84:J84"/>
    <mergeCell ref="E105:F105"/>
    <mergeCell ref="B101:D105"/>
    <mergeCell ref="E98:F98"/>
    <mergeCell ref="E99:F99"/>
    <mergeCell ref="C96:D99"/>
    <mergeCell ref="B86:B100"/>
    <mergeCell ref="C100:F100"/>
    <mergeCell ref="E92:F92"/>
    <mergeCell ref="E93:F93"/>
    <mergeCell ref="E94:F94"/>
    <mergeCell ref="E95:F95"/>
    <mergeCell ref="C86:D95"/>
    <mergeCell ref="E96:F96"/>
    <mergeCell ref="E86:F86"/>
    <mergeCell ref="E87:F87"/>
    <mergeCell ref="E88:F88"/>
    <mergeCell ref="E89:F89"/>
    <mergeCell ref="E90:F90"/>
    <mergeCell ref="E91:F9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53"/>
  <sheetViews>
    <sheetView tabSelected="1" topLeftCell="A48" workbookViewId="0">
      <selection activeCell="J65" sqref="J65"/>
    </sheetView>
  </sheetViews>
  <sheetFormatPr baseColWidth="10" defaultRowHeight="15"/>
  <cols>
    <col min="2" max="2" width="22" customWidth="1"/>
    <col min="3" max="3" width="25.28515625" customWidth="1"/>
    <col min="4" max="4" width="15.140625" bestFit="1" customWidth="1"/>
    <col min="5" max="5" width="17.42578125" customWidth="1"/>
    <col min="6" max="6" width="15.140625" bestFit="1" customWidth="1"/>
    <col min="7" max="7" width="18.28515625" customWidth="1"/>
  </cols>
  <sheetData>
    <row r="2" spans="2:11">
      <c r="B2" s="120" t="s">
        <v>450</v>
      </c>
      <c r="C2" s="121">
        <f ca="1">'Presupuesto de Inversion'!C209</f>
        <v>17547711.560290564</v>
      </c>
      <c r="J2" s="146" t="s">
        <v>1</v>
      </c>
      <c r="K2" s="146"/>
    </row>
    <row r="3" spans="2:11">
      <c r="J3" s="2" t="s">
        <v>2</v>
      </c>
      <c r="K3" s="3">
        <v>5.5E-2</v>
      </c>
    </row>
    <row r="4" spans="2:11">
      <c r="J4" s="2" t="s">
        <v>3</v>
      </c>
      <c r="K4" s="4">
        <v>0.06</v>
      </c>
    </row>
    <row r="5" spans="2:11">
      <c r="B5" s="214" t="s">
        <v>451</v>
      </c>
      <c r="C5" s="214"/>
      <c r="D5" s="214"/>
      <c r="E5" s="214"/>
      <c r="F5" s="214"/>
      <c r="G5" s="214"/>
      <c r="J5" s="2" t="s">
        <v>4</v>
      </c>
      <c r="K5" s="3">
        <v>6.5000000000000002E-2</v>
      </c>
    </row>
    <row r="6" spans="2:11">
      <c r="B6" s="168" t="s">
        <v>68</v>
      </c>
      <c r="C6" s="168"/>
      <c r="D6" s="62" t="s">
        <v>418</v>
      </c>
      <c r="E6" s="62" t="s">
        <v>2</v>
      </c>
      <c r="F6" s="62" t="s">
        <v>3</v>
      </c>
      <c r="G6" s="62" t="s">
        <v>43</v>
      </c>
    </row>
    <row r="7" spans="2:11">
      <c r="B7" s="186" t="s">
        <v>445</v>
      </c>
      <c r="C7" s="186"/>
      <c r="D7" s="19"/>
      <c r="E7" s="19">
        <f ca="1">'Analisis Financiero'!T65</f>
        <v>84237163.343057379</v>
      </c>
      <c r="F7" s="19">
        <f ca="1">'Analisis Financiero'!U65</f>
        <v>91558391.258786306</v>
      </c>
      <c r="G7" s="19">
        <f ca="1">'Analisis Financiero'!V65</f>
        <v>107569235.52237532</v>
      </c>
    </row>
    <row r="8" spans="2:11">
      <c r="B8" s="186" t="s">
        <v>447</v>
      </c>
      <c r="C8" s="186"/>
      <c r="D8" s="19">
        <f ca="1">C2*0.7</f>
        <v>12283398.092203394</v>
      </c>
      <c r="E8" s="19">
        <v>0</v>
      </c>
      <c r="F8" s="19">
        <v>0</v>
      </c>
      <c r="G8" s="19">
        <v>0</v>
      </c>
    </row>
    <row r="9" spans="2:11">
      <c r="B9" s="186" t="s">
        <v>446</v>
      </c>
      <c r="C9" s="186"/>
      <c r="D9" s="19">
        <f ca="1">C2*0.3</f>
        <v>5264313.4680871693</v>
      </c>
      <c r="E9" s="19">
        <v>0</v>
      </c>
      <c r="F9" s="19">
        <v>0</v>
      </c>
      <c r="G9" s="19">
        <v>0</v>
      </c>
    </row>
    <row r="10" spans="2:11">
      <c r="B10" s="186" t="s">
        <v>448</v>
      </c>
      <c r="C10" s="186"/>
      <c r="D10" s="19">
        <f ca="1">SUM(D8:D9)</f>
        <v>17547711.560290564</v>
      </c>
      <c r="E10" s="19">
        <f t="shared" ref="E10:G10" si="0">SUM(E8:E9)</f>
        <v>0</v>
      </c>
      <c r="F10" s="19">
        <f t="shared" si="0"/>
        <v>0</v>
      </c>
      <c r="G10" s="19">
        <f t="shared" si="0"/>
        <v>0</v>
      </c>
    </row>
    <row r="11" spans="2:11">
      <c r="B11" s="216" t="s">
        <v>449</v>
      </c>
      <c r="C11" s="216"/>
      <c r="D11" s="122">
        <f ca="1">D7-D10</f>
        <v>-17547711.560290564</v>
      </c>
      <c r="E11" s="122">
        <f t="shared" ref="E11:G11" ca="1" si="1">E7-E10</f>
        <v>84237163.343057379</v>
      </c>
      <c r="F11" s="122">
        <f t="shared" ca="1" si="1"/>
        <v>91558391.258786306</v>
      </c>
      <c r="G11" s="122">
        <f t="shared" ca="1" si="1"/>
        <v>107569235.52237532</v>
      </c>
      <c r="H11" s="68"/>
    </row>
    <row r="13" spans="2:11">
      <c r="B13" s="215" t="s">
        <v>452</v>
      </c>
      <c r="C13" s="215"/>
      <c r="D13" s="215"/>
      <c r="E13" s="215"/>
    </row>
    <row r="14" spans="2:11">
      <c r="B14" s="62" t="s">
        <v>418</v>
      </c>
      <c r="C14" s="62" t="s">
        <v>2</v>
      </c>
      <c r="D14" s="123" t="s">
        <v>3</v>
      </c>
      <c r="E14" s="62" t="s">
        <v>43</v>
      </c>
    </row>
    <row r="15" spans="2:11">
      <c r="B15" s="19">
        <f ca="1">D11</f>
        <v>-17547711.560290564</v>
      </c>
      <c r="C15" s="19">
        <f ca="1">B15+E11</f>
        <v>66689451.782766819</v>
      </c>
      <c r="D15" s="124">
        <f t="shared" ref="D15:E15" ca="1" si="2">C15+F11</f>
        <v>158247843.04155314</v>
      </c>
      <c r="E15" s="19">
        <f t="shared" ca="1" si="2"/>
        <v>265817078.56392846</v>
      </c>
    </row>
    <row r="18" spans="2:6">
      <c r="B18" s="126" t="s">
        <v>453</v>
      </c>
      <c r="C18" s="124">
        <f ca="1">-C2+(E11/(1+K3))+(F11/((1+K3)*(1+K4)))+(G11/((1+K3)*(1+K4)*(1+K5)))</f>
        <v>234489989.78884828</v>
      </c>
    </row>
    <row r="19" spans="2:6">
      <c r="B19" s="126" t="s">
        <v>454</v>
      </c>
      <c r="C19" s="127">
        <f ca="1">C27</f>
        <v>4.2949885408874007</v>
      </c>
    </row>
    <row r="21" spans="2:6">
      <c r="B21" s="2" t="s">
        <v>455</v>
      </c>
      <c r="C21" s="128">
        <f ca="1">(((E11+F11+G11)/C2)-1)/3</f>
        <v>5.0494158483407183</v>
      </c>
    </row>
    <row r="22" spans="2:6">
      <c r="B22" s="2" t="s">
        <v>456</v>
      </c>
      <c r="C22" s="2">
        <f ca="1">C21*2</f>
        <v>10.098831696681437</v>
      </c>
    </row>
    <row r="24" spans="2:6">
      <c r="B24" s="2" t="s">
        <v>457</v>
      </c>
      <c r="C24" s="19">
        <f ca="1">-C2+(E11/(1+C21))+(F11/((1+C21)^2))+(G11/((1+C21)^3))</f>
        <v>-635060.37915360136</v>
      </c>
    </row>
    <row r="25" spans="2:6">
      <c r="B25" s="2" t="s">
        <v>458</v>
      </c>
      <c r="C25" s="19">
        <f ca="1">-C2+(E11/(1+C22))+((F11/(1+C22)^2))+((G11/(1+C22)^3))</f>
        <v>-9136035.6526391339</v>
      </c>
    </row>
    <row r="26" spans="2:6">
      <c r="B26" s="2" t="s">
        <v>459</v>
      </c>
      <c r="C26" s="19">
        <f ca="1">-C25</f>
        <v>9136035.6526391339</v>
      </c>
    </row>
    <row r="27" spans="2:6">
      <c r="B27" s="2" t="s">
        <v>454</v>
      </c>
      <c r="C27" s="129">
        <f ca="1">C21+((C22-D2)*(C24/(C24+C26)))</f>
        <v>4.2949885408874007</v>
      </c>
    </row>
    <row r="28" spans="2:6">
      <c r="B28" s="2"/>
      <c r="C28" s="2"/>
    </row>
    <row r="32" spans="2:6">
      <c r="B32" s="168" t="s">
        <v>476</v>
      </c>
      <c r="C32" s="168"/>
      <c r="D32" s="125" t="s">
        <v>2</v>
      </c>
      <c r="E32" s="125" t="s">
        <v>3</v>
      </c>
      <c r="F32" s="125" t="s">
        <v>43</v>
      </c>
    </row>
    <row r="33" spans="2:6">
      <c r="B33" s="213" t="s">
        <v>477</v>
      </c>
      <c r="C33" s="213"/>
      <c r="D33" s="213"/>
      <c r="E33" s="213"/>
      <c r="F33" s="213"/>
    </row>
    <row r="34" spans="2:6">
      <c r="B34" s="186" t="s">
        <v>478</v>
      </c>
      <c r="C34" s="186"/>
      <c r="D34" s="19">
        <f>'Presupuesto de Inversion'!E172</f>
        <v>48303010</v>
      </c>
      <c r="E34" s="19">
        <f>'Presupuesto de Inversion'!F172</f>
        <v>51257190.600000001</v>
      </c>
      <c r="F34" s="19">
        <f>'Presupuesto de Inversion'!G172</f>
        <v>54562907.989000008</v>
      </c>
    </row>
    <row r="35" spans="2:6">
      <c r="B35" s="186" t="s">
        <v>479</v>
      </c>
      <c r="C35" s="186"/>
      <c r="D35" s="19">
        <f ca="1">'Presupuesto de Inversion'!O196</f>
        <v>112545642.81984529</v>
      </c>
      <c r="E35" s="19">
        <f ca="1">'Presupuesto de Inversion'!P196</f>
        <v>121549294.24543291</v>
      </c>
      <c r="F35" s="19">
        <f ca="1">'Presupuesto de Inversion'!Q196</f>
        <v>139781688.38224787</v>
      </c>
    </row>
    <row r="36" spans="2:6">
      <c r="B36" s="186" t="s">
        <v>480</v>
      </c>
      <c r="C36" s="186"/>
      <c r="D36" s="19">
        <f ca="1">'Presupuesto de Inversion'!E182</f>
        <v>12678266.663655572</v>
      </c>
      <c r="E36" s="19">
        <f ca="1">'Presupuesto de Inversion'!F182</f>
        <v>13664053.949114598</v>
      </c>
      <c r="F36" s="19">
        <f ca="1">'Presupuesto de Inversion'!G182</f>
        <v>15585386.456893228</v>
      </c>
    </row>
    <row r="37" spans="2:6">
      <c r="B37" s="126" t="s">
        <v>481</v>
      </c>
      <c r="C37" s="126"/>
      <c r="D37" s="143">
        <f ca="1">D34/(D35-D36)</f>
        <v>0.48367156381935456</v>
      </c>
      <c r="E37" s="143">
        <f t="shared" ref="E37:F37" ca="1" si="3">E34/(E35-E36)</f>
        <v>0.47510846209561808</v>
      </c>
      <c r="F37" s="143">
        <f t="shared" ca="1" si="3"/>
        <v>0.43932796019799208</v>
      </c>
    </row>
    <row r="38" spans="2:6">
      <c r="B38" s="201" t="s">
        <v>482</v>
      </c>
      <c r="C38" s="201"/>
      <c r="D38" s="201"/>
      <c r="E38" s="201"/>
      <c r="F38" s="201"/>
    </row>
    <row r="39" spans="2:6">
      <c r="B39" s="201" t="s">
        <v>478</v>
      </c>
      <c r="C39" s="201"/>
      <c r="D39" s="19">
        <f>D34</f>
        <v>48303010</v>
      </c>
      <c r="E39" s="19">
        <f t="shared" ref="E39:F39" si="4">E34</f>
        <v>51257190.600000001</v>
      </c>
      <c r="F39" s="19">
        <f t="shared" si="4"/>
        <v>54562907.989000008</v>
      </c>
    </row>
    <row r="40" spans="2:6">
      <c r="B40" s="201" t="s">
        <v>483</v>
      </c>
      <c r="C40" s="201"/>
      <c r="D40" s="19">
        <f ca="1">'Presupuesto de Inversion'!D188</f>
        <v>19036.31062183874</v>
      </c>
      <c r="E40" s="19">
        <f ca="1">'Presupuesto de Inversion'!E188</f>
        <v>20280.084789915963</v>
      </c>
      <c r="F40" s="19">
        <f ca="1">'Presupuesto de Inversion'!F188</f>
        <v>9442.0316296728979</v>
      </c>
    </row>
    <row r="41" spans="2:6">
      <c r="B41" s="201" t="s">
        <v>484</v>
      </c>
      <c r="C41" s="201"/>
      <c r="D41" s="19">
        <f ca="1">'Presupuesto de Inversion'!D189</f>
        <v>3772.1709799629789</v>
      </c>
      <c r="E41" s="19">
        <f ca="1">'Presupuesto de Inversion'!E189</f>
        <v>5741.1991382834449</v>
      </c>
      <c r="F41" s="19">
        <f ca="1">'Presupuesto de Inversion'!F189</f>
        <v>3034.5378615446316</v>
      </c>
    </row>
    <row r="42" spans="2:6">
      <c r="B42" s="210" t="s">
        <v>485</v>
      </c>
      <c r="C42" s="210"/>
      <c r="D42" s="126">
        <f ca="1">D39/(D40-D41)</f>
        <v>3164.4764220765605</v>
      </c>
      <c r="E42" s="126">
        <f t="shared" ref="E42:F42" ca="1" si="5">E39/(E40-E41)</f>
        <v>3525.5240207659604</v>
      </c>
      <c r="F42" s="126">
        <f t="shared" ca="1" si="5"/>
        <v>8515.4835827392035</v>
      </c>
    </row>
    <row r="43" spans="2:6">
      <c r="B43" s="201" t="s">
        <v>486</v>
      </c>
      <c r="C43" s="201"/>
      <c r="D43" s="201"/>
      <c r="E43" s="201"/>
      <c r="F43" s="201"/>
    </row>
    <row r="44" spans="2:6">
      <c r="B44" s="201" t="s">
        <v>478</v>
      </c>
      <c r="C44" s="201"/>
      <c r="D44" s="19">
        <f>D34</f>
        <v>48303010</v>
      </c>
      <c r="E44" s="19">
        <f t="shared" ref="E44:F44" si="6">E34</f>
        <v>51257190.600000001</v>
      </c>
      <c r="F44" s="19">
        <f t="shared" si="6"/>
        <v>54562907.989000008</v>
      </c>
    </row>
    <row r="45" spans="2:6">
      <c r="B45" s="201" t="s">
        <v>487</v>
      </c>
      <c r="C45" s="201"/>
      <c r="D45" s="19">
        <f ca="1">D36</f>
        <v>12678266.663655572</v>
      </c>
      <c r="E45" s="19">
        <f t="shared" ref="E45:F45" ca="1" si="7">E36</f>
        <v>13664053.949114598</v>
      </c>
      <c r="F45" s="19">
        <f t="shared" ca="1" si="7"/>
        <v>15585386.456893228</v>
      </c>
    </row>
    <row r="46" spans="2:6">
      <c r="B46" s="201" t="s">
        <v>479</v>
      </c>
      <c r="C46" s="201"/>
      <c r="D46" s="19">
        <f ca="1">D35</f>
        <v>112545642.81984529</v>
      </c>
      <c r="E46" s="19">
        <f t="shared" ref="E46:F46" ca="1" si="8">E35</f>
        <v>121549294.24543291</v>
      </c>
      <c r="F46" s="19">
        <f t="shared" ca="1" si="8"/>
        <v>139781688.38224787</v>
      </c>
    </row>
    <row r="47" spans="2:6">
      <c r="B47" s="210" t="s">
        <v>488</v>
      </c>
      <c r="C47" s="210"/>
      <c r="D47" s="124">
        <f ca="1">D44/(1-(D45/D46))</f>
        <v>54435127.063729085</v>
      </c>
      <c r="E47" s="124">
        <f t="shared" ref="E47:F47" ca="1" si="9">E44/(1-(E45/E46))</f>
        <v>57749098.257755399</v>
      </c>
      <c r="F47" s="124">
        <f t="shared" ca="1" si="9"/>
        <v>61410004.030004323</v>
      </c>
    </row>
    <row r="48" spans="2:6">
      <c r="B48" s="201" t="s">
        <v>492</v>
      </c>
      <c r="C48" s="201"/>
      <c r="D48" s="201"/>
      <c r="E48" s="201"/>
      <c r="F48" s="201"/>
    </row>
    <row r="49" spans="2:6">
      <c r="B49" s="201" t="s">
        <v>489</v>
      </c>
      <c r="C49" s="201"/>
      <c r="D49" s="19">
        <f ca="1">D47</f>
        <v>54435127.063729085</v>
      </c>
      <c r="E49" s="19">
        <f t="shared" ref="E49:F49" ca="1" si="10">E47</f>
        <v>57749098.257755399</v>
      </c>
      <c r="F49" s="19">
        <f t="shared" ca="1" si="10"/>
        <v>61410004.030004323</v>
      </c>
    </row>
    <row r="50" spans="2:6">
      <c r="B50" s="211" t="s">
        <v>479</v>
      </c>
      <c r="C50" s="212"/>
      <c r="D50" s="19">
        <f ca="1">D35</f>
        <v>112545642.81984529</v>
      </c>
      <c r="E50" s="19">
        <f t="shared" ref="E50:F50" ca="1" si="11">E35</f>
        <v>121549294.24543291</v>
      </c>
      <c r="F50" s="19">
        <f t="shared" ca="1" si="11"/>
        <v>139781688.38224787</v>
      </c>
    </row>
    <row r="51" spans="2:6">
      <c r="B51" s="201" t="s">
        <v>490</v>
      </c>
      <c r="C51" s="201"/>
      <c r="D51" s="2">
        <v>243</v>
      </c>
      <c r="E51" s="2">
        <v>244</v>
      </c>
      <c r="F51" s="2">
        <v>245</v>
      </c>
    </row>
    <row r="52" spans="2:6">
      <c r="B52" s="210" t="s">
        <v>491</v>
      </c>
      <c r="C52" s="210"/>
      <c r="D52" s="144">
        <f ca="1">D49/(D50/D51)</f>
        <v>117.53219000810316</v>
      </c>
      <c r="E52" s="144">
        <f t="shared" ref="E52:F52" ca="1" si="12">E49/(E50/E51)</f>
        <v>115.92646475133083</v>
      </c>
      <c r="F52" s="144">
        <f t="shared" ca="1" si="12"/>
        <v>107.63535024850806</v>
      </c>
    </row>
    <row r="53" spans="2:6">
      <c r="B53" s="142"/>
      <c r="C53" s="142"/>
    </row>
  </sheetData>
  <mergeCells count="29">
    <mergeCell ref="J2:K2"/>
    <mergeCell ref="B6:C6"/>
    <mergeCell ref="B7:C7"/>
    <mergeCell ref="B8:C8"/>
    <mergeCell ref="B9:C9"/>
    <mergeCell ref="B47:C47"/>
    <mergeCell ref="B48:F48"/>
    <mergeCell ref="B49:C49"/>
    <mergeCell ref="B51:C51"/>
    <mergeCell ref="B5:G5"/>
    <mergeCell ref="B13:E13"/>
    <mergeCell ref="B10:C10"/>
    <mergeCell ref="B11:C11"/>
    <mergeCell ref="B52:C52"/>
    <mergeCell ref="B50:C50"/>
    <mergeCell ref="B32:C32"/>
    <mergeCell ref="B34:C34"/>
    <mergeCell ref="B35:C35"/>
    <mergeCell ref="B36:C36"/>
    <mergeCell ref="B39:C39"/>
    <mergeCell ref="B40:C40"/>
    <mergeCell ref="B41:C41"/>
    <mergeCell ref="B33:F33"/>
    <mergeCell ref="B38:F38"/>
    <mergeCell ref="B42:C42"/>
    <mergeCell ref="B43:F43"/>
    <mergeCell ref="B44:C44"/>
    <mergeCell ref="B45:C45"/>
    <mergeCell ref="B46:C46"/>
  </mergeCell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4"/>
  <sheetViews>
    <sheetView workbookViewId="0">
      <selection activeCell="B2" sqref="B2:H24"/>
    </sheetView>
  </sheetViews>
  <sheetFormatPr baseColWidth="10" defaultRowHeight="15"/>
  <cols>
    <col min="2" max="2" width="21.28515625" customWidth="1"/>
    <col min="3" max="4" width="16.140625" customWidth="1"/>
    <col min="5" max="5" width="26.28515625" customWidth="1"/>
    <col min="6" max="6" width="18.5703125" customWidth="1"/>
    <col min="7" max="7" width="18.85546875" customWidth="1"/>
    <col min="8" max="8" width="16.5703125" customWidth="1"/>
  </cols>
  <sheetData>
    <row r="2" spans="2:8">
      <c r="B2" s="2" t="s">
        <v>460</v>
      </c>
      <c r="C2" s="131">
        <f ca="1">'Indicadores Financieros'!D9</f>
        <v>5264313.4680871693</v>
      </c>
      <c r="D2" s="132"/>
      <c r="F2" s="2" t="s">
        <v>471</v>
      </c>
      <c r="G2" s="133">
        <v>12</v>
      </c>
      <c r="H2" s="132" t="s">
        <v>463</v>
      </c>
    </row>
    <row r="3" spans="2:8">
      <c r="B3" s="2" t="s">
        <v>461</v>
      </c>
      <c r="C3" s="133">
        <v>1</v>
      </c>
      <c r="D3" s="132" t="s">
        <v>463</v>
      </c>
      <c r="F3" s="2" t="s">
        <v>472</v>
      </c>
      <c r="G3" s="133">
        <v>12</v>
      </c>
      <c r="H3" s="132" t="s">
        <v>473</v>
      </c>
    </row>
    <row r="4" spans="2:8">
      <c r="B4" s="2" t="s">
        <v>462</v>
      </c>
      <c r="C4" s="134">
        <v>0.28000000000000003</v>
      </c>
      <c r="D4" s="132"/>
      <c r="F4" s="2" t="s">
        <v>474</v>
      </c>
      <c r="G4" s="133">
        <f>((1+C4)^(1/12))-1</f>
        <v>2.0784728489500193E-2</v>
      </c>
      <c r="H4" s="132"/>
    </row>
    <row r="5" spans="2:8">
      <c r="B5" s="108"/>
      <c r="C5" s="135"/>
      <c r="D5" s="108"/>
      <c r="F5" s="2" t="s">
        <v>475</v>
      </c>
      <c r="G5" s="140">
        <f ca="1">PMT(G4,G2,C2)</f>
        <v>-500193.49082427885</v>
      </c>
      <c r="H5" s="132"/>
    </row>
    <row r="6" spans="2:8">
      <c r="B6" s="108"/>
      <c r="C6" s="135"/>
      <c r="D6" s="108"/>
      <c r="F6" s="2"/>
      <c r="G6" s="140">
        <f ca="1">-G5</f>
        <v>500193.49082427885</v>
      </c>
      <c r="H6" s="132"/>
    </row>
    <row r="8" spans="2:8">
      <c r="B8" s="168" t="s">
        <v>464</v>
      </c>
      <c r="C8" s="158" t="s">
        <v>465</v>
      </c>
      <c r="D8" s="158" t="s">
        <v>466</v>
      </c>
      <c r="E8" s="158" t="s">
        <v>467</v>
      </c>
      <c r="F8" s="158" t="s">
        <v>468</v>
      </c>
      <c r="G8" s="158" t="s">
        <v>469</v>
      </c>
      <c r="H8" s="158" t="s">
        <v>470</v>
      </c>
    </row>
    <row r="9" spans="2:8">
      <c r="B9" s="168"/>
      <c r="C9" s="158"/>
      <c r="D9" s="158"/>
      <c r="E9" s="158"/>
      <c r="F9" s="158"/>
      <c r="G9" s="158"/>
      <c r="H9" s="158"/>
    </row>
    <row r="10" spans="2:8">
      <c r="B10" s="130">
        <v>1</v>
      </c>
      <c r="C10" s="136">
        <f ca="1">C2</f>
        <v>5264313.4680871693</v>
      </c>
      <c r="D10" s="136">
        <f ca="1">C10*$G$4</f>
        <v>109417.32611781095</v>
      </c>
      <c r="E10" s="136">
        <v>0</v>
      </c>
      <c r="F10" s="136"/>
      <c r="G10" s="136">
        <v>0</v>
      </c>
      <c r="H10" s="136">
        <f ca="1">C10</f>
        <v>5264313.4680871693</v>
      </c>
    </row>
    <row r="11" spans="2:8">
      <c r="B11" s="130">
        <v>2</v>
      </c>
      <c r="C11" s="136">
        <f ca="1">C2</f>
        <v>5264313.4680871693</v>
      </c>
      <c r="D11" s="136">
        <f t="shared" ref="D11:D20" ca="1" si="0">C11*$G$4</f>
        <v>109417.32611781095</v>
      </c>
      <c r="E11" s="136">
        <f ca="1">IF((C11+D11)&gt;$G$6,$G$6,C11+D11)</f>
        <v>500193.49082427885</v>
      </c>
      <c r="F11" s="136"/>
      <c r="G11" s="136">
        <f ca="1">(E11+F11)-D11</f>
        <v>390776.16470646788</v>
      </c>
      <c r="H11" s="136">
        <f ca="1">C11-G11</f>
        <v>4873537.3033807017</v>
      </c>
    </row>
    <row r="12" spans="2:8">
      <c r="B12" s="130">
        <v>3</v>
      </c>
      <c r="C12" s="136">
        <f ca="1">H11</f>
        <v>4873537.3033807017</v>
      </c>
      <c r="D12" s="136">
        <f t="shared" ca="1" si="0"/>
        <v>101295.14963421882</v>
      </c>
      <c r="E12" s="136">
        <f t="shared" ref="E12:E21" ca="1" si="1">IF((C12+D12)&gt;$G$6,$G$6,C12+D12)</f>
        <v>500193.49082427885</v>
      </c>
      <c r="F12" s="136"/>
      <c r="G12" s="136">
        <f t="shared" ref="G12:G21" ca="1" si="2">(E12+F12)-D12</f>
        <v>398898.34119006002</v>
      </c>
      <c r="H12" s="136">
        <f t="shared" ref="H12:H21" ca="1" si="3">C12-G12</f>
        <v>4474638.962190642</v>
      </c>
    </row>
    <row r="13" spans="2:8">
      <c r="B13" s="130">
        <v>4</v>
      </c>
      <c r="C13" s="136">
        <f t="shared" ref="C13:C21" ca="1" si="4">H12</f>
        <v>4474638.962190642</v>
      </c>
      <c r="D13" s="136">
        <f t="shared" ca="1" si="0"/>
        <v>93004.155917671407</v>
      </c>
      <c r="E13" s="136">
        <f t="shared" ca="1" si="1"/>
        <v>500193.49082427885</v>
      </c>
      <c r="F13" s="136"/>
      <c r="G13" s="136">
        <f t="shared" ca="1" si="2"/>
        <v>407189.33490660746</v>
      </c>
      <c r="H13" s="136">
        <f t="shared" ca="1" si="3"/>
        <v>4067449.6272840346</v>
      </c>
    </row>
    <row r="14" spans="2:8">
      <c r="B14" s="130">
        <v>5</v>
      </c>
      <c r="C14" s="136">
        <f t="shared" ca="1" si="4"/>
        <v>4067449.6272840346</v>
      </c>
      <c r="D14" s="136">
        <f t="shared" ca="1" si="0"/>
        <v>84540.836147817419</v>
      </c>
      <c r="E14" s="136">
        <f t="shared" ca="1" si="1"/>
        <v>500193.49082427885</v>
      </c>
      <c r="F14" s="136"/>
      <c r="G14" s="136">
        <f t="shared" ca="1" si="2"/>
        <v>415652.65467646142</v>
      </c>
      <c r="H14" s="136">
        <f t="shared" ca="1" si="3"/>
        <v>3651796.972607573</v>
      </c>
    </row>
    <row r="15" spans="2:8">
      <c r="B15" s="130">
        <v>6</v>
      </c>
      <c r="C15" s="136">
        <f t="shared" ca="1" si="4"/>
        <v>3651796.972607573</v>
      </c>
      <c r="D15" s="136">
        <f t="shared" ca="1" si="0"/>
        <v>75901.608574427184</v>
      </c>
      <c r="E15" s="136">
        <f t="shared" ca="1" si="1"/>
        <v>500193.49082427885</v>
      </c>
      <c r="F15" s="136">
        <v>1500000</v>
      </c>
      <c r="G15" s="136">
        <f t="shared" ca="1" si="2"/>
        <v>1924291.8822498517</v>
      </c>
      <c r="H15" s="136">
        <f t="shared" ca="1" si="3"/>
        <v>1727505.0903577213</v>
      </c>
    </row>
    <row r="16" spans="2:8">
      <c r="B16" s="130">
        <v>7</v>
      </c>
      <c r="C16" s="136">
        <f t="shared" ca="1" si="4"/>
        <v>1727505.0903577213</v>
      </c>
      <c r="D16" s="136">
        <f t="shared" ca="1" si="0"/>
        <v>35905.724267314734</v>
      </c>
      <c r="E16" s="136">
        <f t="shared" ca="1" si="1"/>
        <v>500193.49082427885</v>
      </c>
      <c r="F16" s="136"/>
      <c r="G16" s="136">
        <f t="shared" ca="1" si="2"/>
        <v>464287.76655696414</v>
      </c>
      <c r="H16" s="136">
        <f t="shared" ca="1" si="3"/>
        <v>1263217.3238007571</v>
      </c>
    </row>
    <row r="17" spans="2:8">
      <c r="B17" s="130">
        <v>8</v>
      </c>
      <c r="C17" s="136">
        <f t="shared" ca="1" si="4"/>
        <v>1263217.3238007571</v>
      </c>
      <c r="D17" s="136">
        <f t="shared" ca="1" si="0"/>
        <v>26255.629098431786</v>
      </c>
      <c r="E17" s="136">
        <f t="shared" ca="1" si="1"/>
        <v>500193.49082427885</v>
      </c>
      <c r="F17" s="136"/>
      <c r="G17" s="136">
        <f t="shared" ca="1" si="2"/>
        <v>473937.86172584706</v>
      </c>
      <c r="H17" s="136">
        <f t="shared" ca="1" si="3"/>
        <v>789279.46207491006</v>
      </c>
    </row>
    <row r="18" spans="2:8">
      <c r="B18" s="130">
        <v>9</v>
      </c>
      <c r="C18" s="136">
        <f t="shared" ca="1" si="4"/>
        <v>789279.46207491006</v>
      </c>
      <c r="D18" s="136">
        <f t="shared" ca="1" si="0"/>
        <v>16404.95932156577</v>
      </c>
      <c r="E18" s="136">
        <f t="shared" ca="1" si="1"/>
        <v>500193.49082427885</v>
      </c>
      <c r="F18" s="136"/>
      <c r="G18" s="136">
        <f t="shared" ca="1" si="2"/>
        <v>483788.5315027131</v>
      </c>
      <c r="H18" s="136">
        <f t="shared" ca="1" si="3"/>
        <v>305490.93057219696</v>
      </c>
    </row>
    <row r="19" spans="2:8">
      <c r="B19" s="130">
        <v>10</v>
      </c>
      <c r="C19" s="136">
        <f t="shared" ca="1" si="4"/>
        <v>305490.93057219696</v>
      </c>
      <c r="D19" s="136">
        <f t="shared" ca="1" si="0"/>
        <v>6349.5460479478679</v>
      </c>
      <c r="E19" s="136">
        <f t="shared" ca="1" si="1"/>
        <v>311840.47662014485</v>
      </c>
      <c r="F19" s="136"/>
      <c r="G19" s="136">
        <f t="shared" ca="1" si="2"/>
        <v>305490.93057219696</v>
      </c>
      <c r="H19" s="136">
        <f t="shared" ca="1" si="3"/>
        <v>0</v>
      </c>
    </row>
    <row r="20" spans="2:8">
      <c r="B20" s="130">
        <v>11</v>
      </c>
      <c r="C20" s="136">
        <f t="shared" ca="1" si="4"/>
        <v>0</v>
      </c>
      <c r="D20" s="136">
        <f t="shared" ca="1" si="0"/>
        <v>0</v>
      </c>
      <c r="E20" s="136">
        <f t="shared" ca="1" si="1"/>
        <v>0</v>
      </c>
      <c r="F20" s="136"/>
      <c r="G20" s="136">
        <f t="shared" ca="1" si="2"/>
        <v>0</v>
      </c>
      <c r="H20" s="136">
        <f t="shared" ca="1" si="3"/>
        <v>0</v>
      </c>
    </row>
    <row r="21" spans="2:8">
      <c r="B21" s="130">
        <v>12</v>
      </c>
      <c r="C21" s="136">
        <f t="shared" ca="1" si="4"/>
        <v>0</v>
      </c>
      <c r="D21" s="136">
        <f ca="1">C21*$G$4</f>
        <v>0</v>
      </c>
      <c r="E21" s="136">
        <f t="shared" ca="1" si="1"/>
        <v>0</v>
      </c>
      <c r="F21" s="136"/>
      <c r="G21" s="136">
        <f t="shared" ca="1" si="2"/>
        <v>0</v>
      </c>
      <c r="H21" s="136">
        <f t="shared" ca="1" si="3"/>
        <v>0</v>
      </c>
    </row>
    <row r="22" spans="2:8">
      <c r="B22" s="118" t="s">
        <v>56</v>
      </c>
      <c r="C22" s="138"/>
      <c r="D22" s="139">
        <f ca="1">SUM(D10:D21)</f>
        <v>658492.26124501694</v>
      </c>
      <c r="E22" s="139">
        <f ca="1">SUM(E10:E21)</f>
        <v>4313388.4032143755</v>
      </c>
      <c r="F22" s="139">
        <f>SUM(F10:F21)</f>
        <v>1500000</v>
      </c>
      <c r="G22" s="138"/>
      <c r="H22" s="138"/>
    </row>
    <row r="24" spans="2:8">
      <c r="D24" s="137" t="s">
        <v>127</v>
      </c>
      <c r="E24" s="122">
        <f ca="1">$C$2+D22</f>
        <v>5922805.7293321863</v>
      </c>
    </row>
  </sheetData>
  <mergeCells count="7">
    <mergeCell ref="H8:H9"/>
    <mergeCell ref="C8:C9"/>
    <mergeCell ref="B8:B9"/>
    <mergeCell ref="D8:D9"/>
    <mergeCell ref="E8:E9"/>
    <mergeCell ref="F8:F9"/>
    <mergeCell ref="G8:G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Demanda Dinamica</vt:lpstr>
      <vt:lpstr>Presupuesto de Inversion</vt:lpstr>
      <vt:lpstr>Analisis Financiero</vt:lpstr>
      <vt:lpstr>Indicadores Financieros</vt:lpstr>
      <vt:lpstr>Analisis Prestamo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Abeja</dc:creator>
  <cp:lastModifiedBy>Abeja</cp:lastModifiedBy>
  <dcterms:created xsi:type="dcterms:W3CDTF">2016-11-21T20:30:02Z</dcterms:created>
  <dcterms:modified xsi:type="dcterms:W3CDTF">2017-02-20T00:33:58Z</dcterms:modified>
</cp:coreProperties>
</file>