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5" activeTab="10"/>
  </bookViews>
  <sheets>
    <sheet name="Presupuesto Inicial" sheetId="1" r:id="rId1"/>
    <sheet name="Salarios, gastos y costos" sheetId="3" r:id="rId2"/>
    <sheet name="Estado de situacion financiera " sheetId="2" r:id="rId3"/>
    <sheet name="Prestamo" sheetId="14" r:id="rId4"/>
    <sheet name="Estado de resultados PyG - 12 m" sheetId="4" r:id="rId5"/>
    <sheet name="Estado de resultados PyG - 5 añ" sheetId="5" r:id="rId6"/>
    <sheet name="Flujo de caja - 12 meses" sheetId="8" r:id="rId7"/>
    <sheet name="Flujo de caja - 5 años" sheetId="6" r:id="rId8"/>
    <sheet name="Flujo de Caja (Profesor) - 5 añ" sheetId="7" r:id="rId9"/>
    <sheet name="VAN y TIR" sheetId="9" r:id="rId10"/>
    <sheet name="Balance General" sheetId="10" r:id="rId11"/>
    <sheet name="Tabla Crecimiento" sheetId="11" r:id="rId12"/>
    <sheet name="Calculo % Rentabilidad" sheetId="12" r:id="rId13"/>
    <sheet name="Análisis metros cuadrados" sheetId="13" r:id="rId14"/>
  </sheets>
  <calcPr calcId="152511"/>
</workbook>
</file>

<file path=xl/calcChain.xml><?xml version="1.0" encoding="utf-8"?>
<calcChain xmlns="http://schemas.openxmlformats.org/spreadsheetml/2006/main">
  <c r="C9" i="10" l="1"/>
  <c r="C2" i="10"/>
  <c r="B4" i="10"/>
  <c r="K10" i="5"/>
  <c r="I10" i="5"/>
  <c r="G10" i="5"/>
  <c r="K9" i="5"/>
  <c r="I9" i="5"/>
  <c r="G9" i="5"/>
  <c r="K5" i="5"/>
  <c r="I5" i="5"/>
  <c r="G5" i="5"/>
  <c r="F5" i="5" s="1"/>
  <c r="E7" i="5"/>
  <c r="G6" i="5"/>
  <c r="E6" i="5"/>
  <c r="E5" i="5"/>
  <c r="E9" i="5"/>
  <c r="E10" i="5"/>
  <c r="N18" i="5"/>
  <c r="K6" i="5"/>
  <c r="I6" i="5"/>
  <c r="G3" i="5"/>
  <c r="F3" i="5"/>
  <c r="H3" i="5"/>
  <c r="I3" i="5"/>
  <c r="J3" i="5"/>
  <c r="K3" i="5"/>
  <c r="E3" i="5"/>
  <c r="E19" i="5"/>
  <c r="S18" i="4"/>
  <c r="I20" i="4"/>
  <c r="S5" i="4"/>
  <c r="Q5" i="4"/>
  <c r="O5" i="4"/>
  <c r="M5" i="4"/>
  <c r="K5" i="4"/>
  <c r="I5" i="4"/>
  <c r="B5" i="4"/>
  <c r="E4" i="14"/>
  <c r="E5" i="14"/>
  <c r="C4" i="11"/>
  <c r="C5" i="11"/>
  <c r="C6" i="11"/>
  <c r="C7" i="11"/>
  <c r="C8" i="11"/>
  <c r="C9" i="11"/>
  <c r="C10" i="11"/>
  <c r="C11" i="11"/>
  <c r="C12" i="11"/>
  <c r="C13" i="11"/>
  <c r="C3" i="11"/>
  <c r="E60" i="3"/>
  <c r="E56" i="3"/>
  <c r="B10" i="1"/>
  <c r="B15" i="1" s="1"/>
  <c r="B14" i="1"/>
  <c r="G5" i="4" l="1"/>
  <c r="B10" i="11"/>
  <c r="B11" i="11"/>
  <c r="B12" i="11"/>
  <c r="B13" i="11"/>
  <c r="B9" i="11"/>
  <c r="B4" i="11"/>
  <c r="B5" i="11"/>
  <c r="B6" i="11"/>
  <c r="B7" i="11"/>
  <c r="B8" i="11"/>
  <c r="B3" i="11"/>
  <c r="I3" i="4"/>
  <c r="I2" i="4" s="1"/>
  <c r="C10" i="2" l="1"/>
  <c r="D9" i="2"/>
  <c r="E61" i="3"/>
  <c r="E62" i="3" s="1"/>
  <c r="E49" i="3"/>
  <c r="E50" i="3"/>
  <c r="E51" i="3"/>
  <c r="E52" i="3"/>
  <c r="E59" i="3"/>
  <c r="J24" i="1"/>
  <c r="J17" i="1"/>
  <c r="I24" i="1"/>
  <c r="I17" i="1"/>
  <c r="E63" i="3" l="1"/>
  <c r="E3" i="14"/>
  <c r="E54" i="3"/>
  <c r="C9" i="8"/>
  <c r="D23" i="1"/>
  <c r="S10" i="4"/>
  <c r="Q10" i="4"/>
  <c r="O10" i="4"/>
  <c r="M10" i="4"/>
  <c r="K10" i="4"/>
  <c r="I10" i="4"/>
  <c r="F10" i="4"/>
  <c r="C10" i="4"/>
  <c r="G43" i="3"/>
  <c r="G42" i="3"/>
  <c r="G41" i="3"/>
  <c r="G40" i="3"/>
  <c r="G39" i="3"/>
  <c r="E10" i="4" s="1"/>
  <c r="G38" i="3"/>
  <c r="D10" i="4" s="1"/>
  <c r="G37" i="3"/>
  <c r="K2" i="3" l="1"/>
  <c r="D8" i="13" l="1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L22" i="7"/>
  <c r="J22" i="7"/>
  <c r="M18" i="4"/>
  <c r="M3" i="4" s="1"/>
  <c r="K18" i="4"/>
  <c r="C7" i="10"/>
  <c r="E7" i="10" s="1"/>
  <c r="G7" i="10" s="1"/>
  <c r="I7" i="10" s="1"/>
  <c r="K7" i="10" s="1"/>
  <c r="C6" i="10"/>
  <c r="E6" i="10" s="1"/>
  <c r="G6" i="10" s="1"/>
  <c r="I6" i="10" s="1"/>
  <c r="K6" i="10" s="1"/>
  <c r="J9" i="9" a="1"/>
  <c r="H9" i="9" a="1"/>
  <c r="H7" i="9"/>
  <c r="J1" i="9"/>
  <c r="AC11" i="8"/>
  <c r="B11" i="8"/>
  <c r="Q10" i="8"/>
  <c r="B10" i="8"/>
  <c r="O9" i="8"/>
  <c r="M9" i="8"/>
  <c r="K9" i="8"/>
  <c r="I9" i="8"/>
  <c r="G9" i="8"/>
  <c r="E9" i="8"/>
  <c r="B9" i="8"/>
  <c r="C7" i="8"/>
  <c r="K6" i="8"/>
  <c r="I6" i="8"/>
  <c r="G6" i="8"/>
  <c r="C6" i="8"/>
  <c r="U5" i="8"/>
  <c r="S5" i="8"/>
  <c r="Q5" i="8"/>
  <c r="G5" i="8"/>
  <c r="E5" i="8"/>
  <c r="AA4" i="8"/>
  <c r="U4" i="8"/>
  <c r="E4" i="8"/>
  <c r="C2" i="8"/>
  <c r="B2" i="8" s="1"/>
  <c r="S22" i="7"/>
  <c r="R22" i="7"/>
  <c r="Q22" i="7"/>
  <c r="P22" i="7"/>
  <c r="O22" i="7"/>
  <c r="H22" i="7"/>
  <c r="H13" i="7" s="1"/>
  <c r="F22" i="7"/>
  <c r="F13" i="7" s="1"/>
  <c r="B19" i="7"/>
  <c r="F3" i="7"/>
  <c r="F2" i="7" s="1"/>
  <c r="B11" i="6"/>
  <c r="B10" i="6"/>
  <c r="C9" i="6"/>
  <c r="B9" i="6"/>
  <c r="C7" i="6"/>
  <c r="C6" i="6"/>
  <c r="C2" i="6" s="1"/>
  <c r="E5" i="6"/>
  <c r="G5" i="6" s="1"/>
  <c r="I5" i="6" s="1"/>
  <c r="K5" i="6" s="1"/>
  <c r="M5" i="6" s="1"/>
  <c r="O18" i="5"/>
  <c r="P18" i="5" s="1"/>
  <c r="Q18" i="5" s="1"/>
  <c r="R18" i="5" s="1"/>
  <c r="G18" i="5"/>
  <c r="E18" i="5"/>
  <c r="G10" i="6"/>
  <c r="S3" i="4"/>
  <c r="AA10" i="8" s="1"/>
  <c r="Q18" i="4"/>
  <c r="O18" i="4"/>
  <c r="O3" i="4" s="1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B11" i="3"/>
  <c r="B9" i="2"/>
  <c r="B25" i="1"/>
  <c r="D21" i="1"/>
  <c r="J20" i="1"/>
  <c r="L7" i="7" s="1"/>
  <c r="L17" i="7" s="1"/>
  <c r="B19" i="1"/>
  <c r="B6" i="1"/>
  <c r="B3" i="1"/>
  <c r="B2" i="1"/>
  <c r="B6" i="6" l="1"/>
  <c r="B3" i="6"/>
  <c r="B7" i="6"/>
  <c r="Q9" i="8"/>
  <c r="P9" i="8" s="1"/>
  <c r="B4" i="6"/>
  <c r="I3" i="8"/>
  <c r="B12" i="3"/>
  <c r="W5" i="8"/>
  <c r="M6" i="8"/>
  <c r="Y5" i="8"/>
  <c r="B18" i="9"/>
  <c r="K4" i="8"/>
  <c r="K5" i="8"/>
  <c r="AA5" i="8"/>
  <c r="M9" i="4"/>
  <c r="O9" i="4"/>
  <c r="Q9" i="4"/>
  <c r="E4" i="6"/>
  <c r="M4" i="8"/>
  <c r="M5" i="8"/>
  <c r="F5" i="4"/>
  <c r="I5" i="8"/>
  <c r="D9" i="4"/>
  <c r="S4" i="8"/>
  <c r="O5" i="8"/>
  <c r="E6" i="8"/>
  <c r="O7" i="4"/>
  <c r="B2" i="6"/>
  <c r="C12" i="6"/>
  <c r="B5" i="6"/>
  <c r="I7" i="5"/>
  <c r="S7" i="4"/>
  <c r="B8" i="6"/>
  <c r="Q7" i="4"/>
  <c r="K7" i="5"/>
  <c r="D7" i="4"/>
  <c r="E7" i="4"/>
  <c r="C7" i="4"/>
  <c r="F7" i="4"/>
  <c r="G7" i="5"/>
  <c r="I7" i="4"/>
  <c r="H7" i="7"/>
  <c r="H17" i="7" s="1"/>
  <c r="F7" i="7"/>
  <c r="F17" i="7" s="1"/>
  <c r="K7" i="4"/>
  <c r="J7" i="7"/>
  <c r="J17" i="7" s="1"/>
  <c r="C8" i="10"/>
  <c r="G7" i="4"/>
  <c r="B7" i="4"/>
  <c r="M7" i="4"/>
  <c r="B6" i="8"/>
  <c r="B4" i="8"/>
  <c r="B5" i="8"/>
  <c r="B8" i="8"/>
  <c r="C12" i="8"/>
  <c r="B3" i="8"/>
  <c r="B7" i="8"/>
  <c r="Q6" i="8"/>
  <c r="I18" i="5"/>
  <c r="K18" i="5"/>
  <c r="H3" i="7"/>
  <c r="H2" i="7" s="1"/>
  <c r="G13" i="7" s="1"/>
  <c r="J9" i="7"/>
  <c r="J13" i="7"/>
  <c r="J3" i="7"/>
  <c r="J2" i="7" s="1"/>
  <c r="J5" i="7"/>
  <c r="I5" i="7" s="1"/>
  <c r="J6" i="7"/>
  <c r="AA6" i="8"/>
  <c r="AA9" i="8"/>
  <c r="Z9" i="8" s="1"/>
  <c r="G6" i="6"/>
  <c r="E12" i="10" s="1"/>
  <c r="G9" i="6"/>
  <c r="F9" i="6" s="1"/>
  <c r="U10" i="8"/>
  <c r="M2" i="4"/>
  <c r="L9" i="7"/>
  <c r="L3" i="7"/>
  <c r="L2" i="7" s="1"/>
  <c r="L13" i="7"/>
  <c r="K13" i="7" s="1"/>
  <c r="E18" i="7"/>
  <c r="E17" i="7"/>
  <c r="E7" i="7"/>
  <c r="E12" i="7"/>
  <c r="W10" i="8"/>
  <c r="O2" i="4"/>
  <c r="E13" i="7"/>
  <c r="G4" i="10"/>
  <c r="K3" i="4"/>
  <c r="E2" i="5"/>
  <c r="G2" i="5"/>
  <c r="I10" i="6"/>
  <c r="F5" i="7"/>
  <c r="E5" i="7" s="1"/>
  <c r="H9" i="7"/>
  <c r="E4" i="10"/>
  <c r="S2" i="4"/>
  <c r="H6" i="7"/>
  <c r="Q3" i="4"/>
  <c r="H13" i="4"/>
  <c r="H12" i="4"/>
  <c r="H10" i="4"/>
  <c r="U3" i="8"/>
  <c r="W3" i="8"/>
  <c r="L6" i="7"/>
  <c r="S3" i="8"/>
  <c r="F6" i="7"/>
  <c r="Y3" i="8"/>
  <c r="AA3" i="8"/>
  <c r="G6" i="4"/>
  <c r="O6" i="4"/>
  <c r="K3" i="8"/>
  <c r="K2" i="8" s="1"/>
  <c r="J4" i="8" s="1"/>
  <c r="M3" i="8"/>
  <c r="I6" i="4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D15" i="4" s="1"/>
  <c r="M6" i="4"/>
  <c r="F6" i="4"/>
  <c r="H9" i="4"/>
  <c r="G4" i="6"/>
  <c r="G4" i="8"/>
  <c r="O4" i="8"/>
  <c r="W4" i="8"/>
  <c r="B9" i="4"/>
  <c r="I4" i="6"/>
  <c r="C9" i="4"/>
  <c r="K9" i="4"/>
  <c r="S9" i="4"/>
  <c r="F9" i="7"/>
  <c r="I4" i="8"/>
  <c r="Q4" i="8"/>
  <c r="P10" i="8" l="1"/>
  <c r="H7" i="4"/>
  <c r="I4" i="4"/>
  <c r="I8" i="4" s="1"/>
  <c r="I11" i="4" s="1"/>
  <c r="I14" i="4" s="1"/>
  <c r="G9" i="7"/>
  <c r="G6" i="7"/>
  <c r="K4" i="6"/>
  <c r="K10" i="6"/>
  <c r="K3" i="6"/>
  <c r="I14" i="10" s="1"/>
  <c r="H5" i="4"/>
  <c r="M2" i="8"/>
  <c r="E4" i="4"/>
  <c r="E8" i="4" s="1"/>
  <c r="E11" i="4" s="1"/>
  <c r="E14" i="4" s="1"/>
  <c r="E15" i="4" s="1"/>
  <c r="B4" i="4"/>
  <c r="B8" i="4" s="1"/>
  <c r="F4" i="4"/>
  <c r="F8" i="4" s="1"/>
  <c r="F11" i="4" s="1"/>
  <c r="F14" i="4" s="1"/>
  <c r="F15" i="4" s="1"/>
  <c r="F16" i="4" s="1"/>
  <c r="G4" i="4"/>
  <c r="G8" i="4" s="1"/>
  <c r="G11" i="4" s="1"/>
  <c r="G14" i="4" s="1"/>
  <c r="G15" i="4" s="1"/>
  <c r="E8" i="10"/>
  <c r="B17" i="9"/>
  <c r="B16" i="9" s="1"/>
  <c r="E2" i="8"/>
  <c r="E12" i="8" s="1"/>
  <c r="U3" i="4"/>
  <c r="G7" i="7"/>
  <c r="F10" i="6"/>
  <c r="I6" i="7"/>
  <c r="G17" i="7"/>
  <c r="H5" i="7"/>
  <c r="Z10" i="8"/>
  <c r="N6" i="4"/>
  <c r="G12" i="7"/>
  <c r="M4" i="6"/>
  <c r="M3" i="6"/>
  <c r="K14" i="10" s="1"/>
  <c r="G18" i="7"/>
  <c r="Q2" i="4"/>
  <c r="P6" i="4" s="1"/>
  <c r="Y10" i="8"/>
  <c r="N10" i="4"/>
  <c r="N9" i="4"/>
  <c r="N13" i="4"/>
  <c r="N7" i="4"/>
  <c r="N12" i="4"/>
  <c r="K6" i="7"/>
  <c r="W6" i="8"/>
  <c r="W9" i="8"/>
  <c r="V9" i="8" s="1"/>
  <c r="N5" i="4"/>
  <c r="K9" i="7"/>
  <c r="L9" i="4"/>
  <c r="L12" i="4"/>
  <c r="L7" i="4"/>
  <c r="L13" i="4"/>
  <c r="L10" i="4"/>
  <c r="J4" i="7"/>
  <c r="J8" i="7" s="1"/>
  <c r="R13" i="4"/>
  <c r="R10" i="4"/>
  <c r="R7" i="4"/>
  <c r="R12" i="4"/>
  <c r="K2" i="4"/>
  <c r="J6" i="4" s="1"/>
  <c r="S10" i="8"/>
  <c r="U9" i="8"/>
  <c r="T9" i="8" s="1"/>
  <c r="U6" i="8"/>
  <c r="I18" i="7"/>
  <c r="I7" i="7"/>
  <c r="I17" i="7"/>
  <c r="I12" i="7"/>
  <c r="F9" i="5"/>
  <c r="O4" i="4"/>
  <c r="O8" i="4" s="1"/>
  <c r="I9" i="6"/>
  <c r="H9" i="6" s="1"/>
  <c r="I6" i="6"/>
  <c r="G12" i="10" s="1"/>
  <c r="I13" i="7"/>
  <c r="D7" i="5"/>
  <c r="D12" i="5"/>
  <c r="K4" i="10"/>
  <c r="K2" i="5"/>
  <c r="J5" i="5" s="1"/>
  <c r="M10" i="6"/>
  <c r="I9" i="7"/>
  <c r="F13" i="5"/>
  <c r="F12" i="5"/>
  <c r="F7" i="5"/>
  <c r="K17" i="7"/>
  <c r="K7" i="7"/>
  <c r="K12" i="7"/>
  <c r="K18" i="7"/>
  <c r="P5" i="4"/>
  <c r="L5" i="4"/>
  <c r="D5" i="5"/>
  <c r="R5" i="4"/>
  <c r="L5" i="7"/>
  <c r="D13" i="5"/>
  <c r="F6" i="5"/>
  <c r="G4" i="5"/>
  <c r="I3" i="6"/>
  <c r="G14" i="10" s="1"/>
  <c r="G3" i="6"/>
  <c r="E14" i="10" s="1"/>
  <c r="E4" i="5"/>
  <c r="D6" i="5"/>
  <c r="F4" i="7"/>
  <c r="E6" i="7"/>
  <c r="J8" i="8"/>
  <c r="J7" i="8"/>
  <c r="L4" i="8"/>
  <c r="L5" i="8"/>
  <c r="L6" i="8"/>
  <c r="L2" i="8"/>
  <c r="L8" i="8"/>
  <c r="L7" i="8"/>
  <c r="L3" i="8"/>
  <c r="J6" i="8"/>
  <c r="J5" i="8"/>
  <c r="D16" i="4"/>
  <c r="J2" i="8"/>
  <c r="D4" i="8"/>
  <c r="E16" i="4"/>
  <c r="D8" i="8"/>
  <c r="L6" i="4"/>
  <c r="M4" i="4"/>
  <c r="D3" i="8"/>
  <c r="S4" i="4"/>
  <c r="R6" i="4"/>
  <c r="C11" i="4"/>
  <c r="C14" i="4" s="1"/>
  <c r="C15" i="4" s="1"/>
  <c r="D2" i="8"/>
  <c r="J3" i="8"/>
  <c r="D5" i="8"/>
  <c r="H6" i="4"/>
  <c r="O2" i="8"/>
  <c r="G2" i="8"/>
  <c r="F4" i="8" s="1"/>
  <c r="I2" i="8"/>
  <c r="R9" i="4"/>
  <c r="E9" i="7"/>
  <c r="Q2" i="8"/>
  <c r="D9" i="5"/>
  <c r="K4" i="5" l="1"/>
  <c r="I4" i="10"/>
  <c r="J5" i="4"/>
  <c r="U5" i="4" s="1"/>
  <c r="D5" i="7" s="1"/>
  <c r="I2" i="5"/>
  <c r="H13" i="5" s="1"/>
  <c r="J9" i="4"/>
  <c r="D6" i="8"/>
  <c r="G16" i="4"/>
  <c r="D7" i="8"/>
  <c r="E9" i="10"/>
  <c r="E2" i="10" s="1"/>
  <c r="D4" i="10" s="1"/>
  <c r="G8" i="10"/>
  <c r="T10" i="8"/>
  <c r="I4" i="7"/>
  <c r="H10" i="6"/>
  <c r="V10" i="8"/>
  <c r="K4" i="4"/>
  <c r="J4" i="4" s="1"/>
  <c r="Q4" i="4"/>
  <c r="P4" i="4" s="1"/>
  <c r="G5" i="7"/>
  <c r="H4" i="7"/>
  <c r="I4" i="5"/>
  <c r="J4" i="5"/>
  <c r="K9" i="6"/>
  <c r="J9" i="6" s="1"/>
  <c r="K6" i="6"/>
  <c r="I12" i="10" s="1"/>
  <c r="C3" i="5"/>
  <c r="D3" i="7"/>
  <c r="D2" i="7" s="1"/>
  <c r="M9" i="6"/>
  <c r="L9" i="6" s="1"/>
  <c r="M6" i="6"/>
  <c r="K12" i="10" s="1"/>
  <c r="J13" i="5"/>
  <c r="S6" i="8"/>
  <c r="S9" i="8"/>
  <c r="Y9" i="8"/>
  <c r="X9" i="8" s="1"/>
  <c r="Y6" i="8"/>
  <c r="J12" i="5"/>
  <c r="J9" i="5"/>
  <c r="J7" i="5"/>
  <c r="J6" i="5"/>
  <c r="K8" i="5"/>
  <c r="U2" i="8"/>
  <c r="T6" i="8" s="1"/>
  <c r="N4" i="4"/>
  <c r="K5" i="7"/>
  <c r="L4" i="7"/>
  <c r="J10" i="4"/>
  <c r="J13" i="4"/>
  <c r="U13" i="4" s="1"/>
  <c r="J12" i="4"/>
  <c r="U12" i="4" s="1"/>
  <c r="J7" i="4"/>
  <c r="U2" i="4"/>
  <c r="P10" i="4"/>
  <c r="P7" i="4"/>
  <c r="P13" i="4"/>
  <c r="P12" i="4"/>
  <c r="P9" i="4"/>
  <c r="F8" i="7"/>
  <c r="E4" i="7"/>
  <c r="I8" i="7"/>
  <c r="E8" i="5"/>
  <c r="D4" i="5"/>
  <c r="F4" i="5"/>
  <c r="G8" i="5"/>
  <c r="C16" i="4"/>
  <c r="U6" i="4"/>
  <c r="G12" i="8"/>
  <c r="I12" i="8" s="1"/>
  <c r="K12" i="8" s="1"/>
  <c r="M12" i="8" s="1"/>
  <c r="O12" i="8" s="1"/>
  <c r="Q12" i="8" s="1"/>
  <c r="R4" i="4"/>
  <c r="S8" i="4"/>
  <c r="L4" i="4"/>
  <c r="M8" i="4"/>
  <c r="H4" i="4"/>
  <c r="N8" i="4"/>
  <c r="O11" i="4"/>
  <c r="N5" i="8"/>
  <c r="N2" i="8"/>
  <c r="N8" i="8"/>
  <c r="N7" i="8"/>
  <c r="N3" i="8"/>
  <c r="N6" i="8"/>
  <c r="H7" i="8"/>
  <c r="H6" i="8"/>
  <c r="H3" i="8"/>
  <c r="H8" i="8"/>
  <c r="H2" i="8"/>
  <c r="H5" i="8"/>
  <c r="N4" i="8"/>
  <c r="H4" i="8"/>
  <c r="P8" i="8"/>
  <c r="P6" i="8"/>
  <c r="P3" i="8"/>
  <c r="P7" i="8"/>
  <c r="P5" i="8"/>
  <c r="P2" i="8"/>
  <c r="P4" i="8"/>
  <c r="F5" i="8"/>
  <c r="F2" i="8"/>
  <c r="F7" i="8"/>
  <c r="F8" i="8"/>
  <c r="F6" i="8"/>
  <c r="F3" i="8"/>
  <c r="H5" i="5" l="1"/>
  <c r="L10" i="6"/>
  <c r="H6" i="5"/>
  <c r="H9" i="5"/>
  <c r="H12" i="5"/>
  <c r="H7" i="5"/>
  <c r="D7" i="10"/>
  <c r="D2" i="10"/>
  <c r="U9" i="4"/>
  <c r="D9" i="7" s="1"/>
  <c r="C9" i="7" s="1"/>
  <c r="K8" i="4"/>
  <c r="J8" i="4" s="1"/>
  <c r="D6" i="10"/>
  <c r="D8" i="10"/>
  <c r="D9" i="10"/>
  <c r="G9" i="10"/>
  <c r="I8" i="10"/>
  <c r="D6" i="7"/>
  <c r="C6" i="7" s="1"/>
  <c r="Q8" i="4"/>
  <c r="P8" i="4" s="1"/>
  <c r="C6" i="5"/>
  <c r="E3" i="6" s="1"/>
  <c r="C14" i="10" s="1"/>
  <c r="C5" i="5"/>
  <c r="H8" i="7"/>
  <c r="G8" i="7" s="1"/>
  <c r="G4" i="7"/>
  <c r="X10" i="8"/>
  <c r="S2" i="8"/>
  <c r="R6" i="8" s="1"/>
  <c r="C12" i="7"/>
  <c r="C18" i="7"/>
  <c r="T4" i="8"/>
  <c r="T3" i="8"/>
  <c r="T5" i="8"/>
  <c r="T7" i="8"/>
  <c r="T8" i="8"/>
  <c r="T2" i="8"/>
  <c r="C2" i="5"/>
  <c r="B12" i="5" s="1"/>
  <c r="E10" i="6"/>
  <c r="C4" i="10"/>
  <c r="J10" i="6"/>
  <c r="I8" i="5"/>
  <c r="H4" i="5"/>
  <c r="U7" i="4"/>
  <c r="D13" i="7"/>
  <c r="C13" i="7" s="1"/>
  <c r="C13" i="5"/>
  <c r="J8" i="5"/>
  <c r="U10" i="4"/>
  <c r="R9" i="8"/>
  <c r="AC9" i="8" s="1"/>
  <c r="R10" i="8"/>
  <c r="K4" i="7"/>
  <c r="L8" i="7"/>
  <c r="C5" i="7"/>
  <c r="F8" i="5"/>
  <c r="D8" i="5"/>
  <c r="E8" i="7"/>
  <c r="U4" i="4"/>
  <c r="N11" i="4"/>
  <c r="O14" i="4"/>
  <c r="B11" i="4"/>
  <c r="H8" i="4"/>
  <c r="K11" i="4"/>
  <c r="R8" i="4"/>
  <c r="S11" i="4"/>
  <c r="L8" i="4"/>
  <c r="M11" i="4"/>
  <c r="C9" i="5" l="1"/>
  <c r="Y6" i="4"/>
  <c r="G2" i="10"/>
  <c r="F9" i="10" s="1"/>
  <c r="I9" i="10"/>
  <c r="K8" i="10"/>
  <c r="S12" i="8"/>
  <c r="Q11" i="4"/>
  <c r="Q14" i="4" s="1"/>
  <c r="U12" i="8"/>
  <c r="B9" i="5"/>
  <c r="B6" i="5"/>
  <c r="AC10" i="8"/>
  <c r="B5" i="5"/>
  <c r="D7" i="7"/>
  <c r="C7" i="5"/>
  <c r="H8" i="5"/>
  <c r="B7" i="10"/>
  <c r="B6" i="10"/>
  <c r="B8" i="10"/>
  <c r="B9" i="10"/>
  <c r="B2" i="10"/>
  <c r="E6" i="6"/>
  <c r="C12" i="10" s="1"/>
  <c r="E9" i="6"/>
  <c r="D9" i="6" s="1"/>
  <c r="D10" i="6"/>
  <c r="K8" i="7"/>
  <c r="B13" i="5"/>
  <c r="R2" i="8"/>
  <c r="R8" i="8"/>
  <c r="R3" i="8"/>
  <c r="R4" i="8"/>
  <c r="R5" i="8"/>
  <c r="R7" i="8"/>
  <c r="C10" i="5"/>
  <c r="B10" i="5" s="1"/>
  <c r="L10" i="7"/>
  <c r="K10" i="7" s="1"/>
  <c r="F10" i="7"/>
  <c r="J10" i="7"/>
  <c r="H10" i="7"/>
  <c r="D10" i="7"/>
  <c r="C10" i="7" s="1"/>
  <c r="U8" i="4"/>
  <c r="H11" i="4"/>
  <c r="I15" i="4"/>
  <c r="M14" i="4"/>
  <c r="L11" i="4"/>
  <c r="P11" i="4"/>
  <c r="R11" i="4"/>
  <c r="S14" i="4"/>
  <c r="B14" i="4"/>
  <c r="B15" i="4" s="1"/>
  <c r="K14" i="4"/>
  <c r="J11" i="4"/>
  <c r="N14" i="4"/>
  <c r="O15" i="4"/>
  <c r="K9" i="10" l="1"/>
  <c r="F4" i="10"/>
  <c r="F8" i="10"/>
  <c r="F2" i="10"/>
  <c r="F7" i="10"/>
  <c r="F6" i="10"/>
  <c r="I2" i="10"/>
  <c r="L11" i="7"/>
  <c r="K11" i="7" s="1"/>
  <c r="F10" i="5"/>
  <c r="I7" i="6"/>
  <c r="G15" i="10" s="1"/>
  <c r="G11" i="5"/>
  <c r="D10" i="5"/>
  <c r="G7" i="6"/>
  <c r="E15" i="10" s="1"/>
  <c r="E11" i="5"/>
  <c r="I10" i="7"/>
  <c r="J11" i="7"/>
  <c r="K7" i="6"/>
  <c r="I15" i="10" s="1"/>
  <c r="H10" i="5"/>
  <c r="E10" i="7"/>
  <c r="F11" i="7"/>
  <c r="B7" i="5"/>
  <c r="C4" i="5"/>
  <c r="G10" i="7"/>
  <c r="H11" i="7"/>
  <c r="M7" i="6"/>
  <c r="K15" i="10" s="1"/>
  <c r="J10" i="5"/>
  <c r="K11" i="5"/>
  <c r="I11" i="5"/>
  <c r="E7" i="6"/>
  <c r="C15" i="10" s="1"/>
  <c r="D17" i="7"/>
  <c r="C17" i="7" s="1"/>
  <c r="C7" i="7"/>
  <c r="D4" i="7"/>
  <c r="U11" i="4"/>
  <c r="Q15" i="4"/>
  <c r="Q16" i="4" s="1"/>
  <c r="P16" i="4" s="1"/>
  <c r="P14" i="4"/>
  <c r="K15" i="4"/>
  <c r="J15" i="4" s="1"/>
  <c r="J14" i="4"/>
  <c r="M15" i="4"/>
  <c r="L15" i="4" s="1"/>
  <c r="L14" i="4"/>
  <c r="O16" i="4"/>
  <c r="N16" i="4" s="1"/>
  <c r="W8" i="8"/>
  <c r="N15" i="4"/>
  <c r="S15" i="4"/>
  <c r="S16" i="4" s="1"/>
  <c r="R16" i="4" s="1"/>
  <c r="R14" i="4"/>
  <c r="H14" i="4"/>
  <c r="H15" i="4"/>
  <c r="I16" i="4"/>
  <c r="H16" i="4" s="1"/>
  <c r="H4" i="10" l="1"/>
  <c r="H6" i="10"/>
  <c r="H2" i="10"/>
  <c r="H3" i="10"/>
  <c r="H7" i="10"/>
  <c r="H8" i="10"/>
  <c r="L14" i="7"/>
  <c r="K14" i="7" s="1"/>
  <c r="H9" i="10"/>
  <c r="K2" i="10"/>
  <c r="J9" i="10"/>
  <c r="M16" i="4"/>
  <c r="L16" i="4" s="1"/>
  <c r="K16" i="4"/>
  <c r="J16" i="4" s="1"/>
  <c r="J14" i="7"/>
  <c r="I11" i="7"/>
  <c r="C8" i="5"/>
  <c r="B4" i="5"/>
  <c r="G14" i="5"/>
  <c r="F11" i="5"/>
  <c r="D11" i="5"/>
  <c r="E14" i="5"/>
  <c r="J11" i="5"/>
  <c r="K14" i="5"/>
  <c r="F14" i="7"/>
  <c r="E11" i="7"/>
  <c r="D8" i="7"/>
  <c r="C4" i="7"/>
  <c r="H14" i="7"/>
  <c r="G11" i="7"/>
  <c r="I14" i="5"/>
  <c r="H11" i="5"/>
  <c r="U14" i="4"/>
  <c r="B16" i="4"/>
  <c r="AA8" i="8"/>
  <c r="AA2" i="8" s="1"/>
  <c r="Z2" i="8" s="1"/>
  <c r="R15" i="4"/>
  <c r="W2" i="8"/>
  <c r="V8" i="8" s="1"/>
  <c r="Y8" i="8"/>
  <c r="P15" i="4"/>
  <c r="L15" i="7" l="1"/>
  <c r="K15" i="7" s="1"/>
  <c r="U16" i="4"/>
  <c r="J6" i="10"/>
  <c r="J2" i="10"/>
  <c r="J7" i="10"/>
  <c r="J4" i="10"/>
  <c r="J8" i="10"/>
  <c r="U15" i="4"/>
  <c r="C15" i="5" s="1"/>
  <c r="C8" i="7"/>
  <c r="D11" i="7"/>
  <c r="K15" i="5"/>
  <c r="J14" i="5"/>
  <c r="K16" i="5"/>
  <c r="J16" i="5" s="1"/>
  <c r="H14" i="5"/>
  <c r="I15" i="5"/>
  <c r="F15" i="7"/>
  <c r="E14" i="7"/>
  <c r="B8" i="5"/>
  <c r="C11" i="5"/>
  <c r="E15" i="5"/>
  <c r="E16" i="5" s="1"/>
  <c r="D16" i="5" s="1"/>
  <c r="D14" i="5"/>
  <c r="G15" i="5"/>
  <c r="G16" i="5" s="1"/>
  <c r="F16" i="5" s="1"/>
  <c r="F14" i="5"/>
  <c r="G14" i="7"/>
  <c r="H15" i="7"/>
  <c r="G15" i="7" s="1"/>
  <c r="L16" i="7"/>
  <c r="J15" i="7"/>
  <c r="I15" i="7" s="1"/>
  <c r="I14" i="7"/>
  <c r="Z3" i="8"/>
  <c r="Z5" i="8"/>
  <c r="Z6" i="8"/>
  <c r="Z7" i="8"/>
  <c r="Z8" i="8"/>
  <c r="Y2" i="8"/>
  <c r="X8" i="8" s="1"/>
  <c r="Z4" i="8"/>
  <c r="W12" i="8"/>
  <c r="V6" i="8"/>
  <c r="V3" i="8"/>
  <c r="V4" i="8"/>
  <c r="V7" i="8"/>
  <c r="V5" i="8"/>
  <c r="V2" i="8"/>
  <c r="J16" i="7" l="1"/>
  <c r="H16" i="7"/>
  <c r="H19" i="7" s="1"/>
  <c r="D15" i="7"/>
  <c r="C15" i="7" s="1"/>
  <c r="I16" i="7"/>
  <c r="J19" i="7"/>
  <c r="I16" i="5"/>
  <c r="H16" i="5" s="1"/>
  <c r="K8" i="6"/>
  <c r="H15" i="5"/>
  <c r="K16" i="7"/>
  <c r="L19" i="7"/>
  <c r="E15" i="7"/>
  <c r="F16" i="7"/>
  <c r="D15" i="5"/>
  <c r="G8" i="6"/>
  <c r="C14" i="5"/>
  <c r="B14" i="5" s="1"/>
  <c r="B11" i="5"/>
  <c r="M8" i="6"/>
  <c r="J15" i="5"/>
  <c r="F15" i="5"/>
  <c r="I8" i="6"/>
  <c r="D14" i="7"/>
  <c r="C14" i="7" s="1"/>
  <c r="C11" i="7"/>
  <c r="AC8" i="8"/>
  <c r="Y12" i="8"/>
  <c r="AA12" i="8" s="1"/>
  <c r="B15" i="5"/>
  <c r="E8" i="6"/>
  <c r="C25" i="5"/>
  <c r="X7" i="8"/>
  <c r="AC7" i="8" s="1"/>
  <c r="X6" i="8"/>
  <c r="AC6" i="8" s="1"/>
  <c r="X3" i="8"/>
  <c r="AC3" i="8" s="1"/>
  <c r="X2" i="8"/>
  <c r="AC2" i="8" s="1"/>
  <c r="X5" i="8"/>
  <c r="AC5" i="8" s="1"/>
  <c r="X4" i="8"/>
  <c r="AC4" i="8" s="1"/>
  <c r="D24" i="7" l="1"/>
  <c r="G16" i="7"/>
  <c r="AC12" i="8"/>
  <c r="C16" i="5"/>
  <c r="B16" i="5" s="1"/>
  <c r="D16" i="7"/>
  <c r="D19" i="7" s="1"/>
  <c r="K13" i="10"/>
  <c r="M2" i="6"/>
  <c r="K2" i="6"/>
  <c r="J8" i="6" s="1"/>
  <c r="I13" i="10"/>
  <c r="G13" i="10"/>
  <c r="I2" i="6"/>
  <c r="J4" i="9"/>
  <c r="G19" i="7"/>
  <c r="J6" i="9"/>
  <c r="K19" i="7"/>
  <c r="I19" i="7"/>
  <c r="J5" i="9"/>
  <c r="E13" i="10"/>
  <c r="E10" i="10" s="1"/>
  <c r="D15" i="10" s="1"/>
  <c r="G2" i="6"/>
  <c r="E16" i="7"/>
  <c r="F19" i="7"/>
  <c r="C13" i="10"/>
  <c r="C10" i="10" s="1"/>
  <c r="B12" i="10" s="1"/>
  <c r="E2" i="6"/>
  <c r="D8" i="6" s="1"/>
  <c r="C16" i="7"/>
  <c r="F4" i="6" l="1"/>
  <c r="F2" i="6"/>
  <c r="F7" i="6"/>
  <c r="F6" i="6"/>
  <c r="F5" i="6"/>
  <c r="F3" i="6"/>
  <c r="F8" i="6"/>
  <c r="D13" i="10"/>
  <c r="E17" i="10"/>
  <c r="E16" i="10" s="1"/>
  <c r="D16" i="10" s="1"/>
  <c r="D14" i="10"/>
  <c r="J6" i="6"/>
  <c r="J2" i="6"/>
  <c r="J3" i="6"/>
  <c r="J4" i="6"/>
  <c r="J7" i="6"/>
  <c r="J5" i="6"/>
  <c r="H8" i="6"/>
  <c r="H4" i="6"/>
  <c r="H7" i="6"/>
  <c r="H6" i="6"/>
  <c r="H5" i="6"/>
  <c r="H3" i="6"/>
  <c r="H2" i="6"/>
  <c r="G10" i="10"/>
  <c r="D10" i="10"/>
  <c r="I10" i="10"/>
  <c r="H13" i="10" s="1"/>
  <c r="D12" i="10"/>
  <c r="L8" i="6"/>
  <c r="L7" i="6"/>
  <c r="L2" i="6"/>
  <c r="L3" i="6"/>
  <c r="L5" i="6"/>
  <c r="L6" i="6"/>
  <c r="L4" i="6"/>
  <c r="E19" i="7"/>
  <c r="J3" i="9"/>
  <c r="K10" i="10"/>
  <c r="J13" i="10" s="1"/>
  <c r="B15" i="10"/>
  <c r="B14" i="10"/>
  <c r="C17" i="10"/>
  <c r="C16" i="10" s="1"/>
  <c r="B16" i="10" s="1"/>
  <c r="B10" i="10"/>
  <c r="B13" i="10"/>
  <c r="D7" i="6"/>
  <c r="D4" i="6"/>
  <c r="D6" i="6"/>
  <c r="D2" i="6"/>
  <c r="D5" i="6"/>
  <c r="E12" i="6"/>
  <c r="D3" i="6"/>
  <c r="C19" i="7"/>
  <c r="J2" i="9"/>
  <c r="D17" i="10" l="1"/>
  <c r="G17" i="10"/>
  <c r="F12" i="10"/>
  <c r="F10" i="10"/>
  <c r="F15" i="10"/>
  <c r="F14" i="10"/>
  <c r="H15" i="10"/>
  <c r="H14" i="10"/>
  <c r="H12" i="10"/>
  <c r="I17" i="10"/>
  <c r="H10" i="10"/>
  <c r="J15" i="10"/>
  <c r="J10" i="10"/>
  <c r="K17" i="10"/>
  <c r="J12" i="10"/>
  <c r="J14" i="10"/>
  <c r="F13" i="10"/>
  <c r="H2" i="9"/>
  <c r="B6" i="9"/>
  <c r="G12" i="6"/>
  <c r="B4" i="9"/>
  <c r="M23" i="9"/>
  <c r="M29" i="9"/>
  <c r="M14" i="9"/>
  <c r="M28" i="9"/>
  <c r="M30" i="9"/>
  <c r="M13" i="9"/>
  <c r="M12" i="9"/>
  <c r="M24" i="9"/>
  <c r="M9" i="9"/>
  <c r="J10" i="9"/>
  <c r="M10" i="9"/>
  <c r="M21" i="9"/>
  <c r="J9" i="9"/>
  <c r="M8" i="9"/>
  <c r="M6" i="9"/>
  <c r="M20" i="9"/>
  <c r="M22" i="9"/>
  <c r="M15" i="9"/>
  <c r="M16" i="9"/>
  <c r="M26" i="9"/>
  <c r="M17" i="9"/>
  <c r="M27" i="9"/>
  <c r="M25" i="9"/>
  <c r="M11" i="9"/>
  <c r="M7" i="9"/>
  <c r="M19" i="9"/>
  <c r="M18" i="9"/>
  <c r="B17" i="10"/>
  <c r="K16" i="10" l="1"/>
  <c r="J16" i="10" s="1"/>
  <c r="I16" i="10"/>
  <c r="H16" i="10" s="1"/>
  <c r="G16" i="10"/>
  <c r="F16" i="10" s="1"/>
  <c r="H3" i="9"/>
  <c r="I12" i="6"/>
  <c r="C6" i="9"/>
  <c r="C4" i="9"/>
  <c r="H17" i="10" l="1"/>
  <c r="J17" i="10"/>
  <c r="F17" i="10"/>
  <c r="K12" i="6"/>
  <c r="D6" i="9"/>
  <c r="H4" i="9"/>
  <c r="D4" i="9"/>
  <c r="E4" i="9" l="1"/>
  <c r="H5" i="9"/>
  <c r="M12" i="6"/>
  <c r="E6" i="9"/>
  <c r="F6" i="9" l="1"/>
  <c r="B7" i="9" s="1"/>
  <c r="F4" i="9"/>
  <c r="B5" i="9" s="1"/>
  <c r="H6" i="9"/>
  <c r="H9" i="9" s="1"/>
  <c r="H10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<sst xmlns="http://schemas.openxmlformats.org/spreadsheetml/2006/main" count="369" uniqueCount="260">
  <si>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</si>
  <si>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</si>
  <si>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</si>
  <si>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</si>
  <si>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</si>
  <si>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</si>
  <si>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</si>
  <si>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</si>
  <si>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</si>
  <si>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</si>
  <si>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</si>
  <si>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</si>
  <si>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</si>
  <si>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</si>
  <si>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</si>
  <si>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</si>
  <si>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</si>
  <si>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</si>
  <si>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</si>
  <si>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</si>
  <si>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</si>
  <si>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</si>
  <si>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</si>
  <si>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</si>
  <si>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</si>
  <si>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</si>
  <si>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</si>
  <si>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</si>
  <si>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</si>
  <si>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</si>
  <si>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</si>
  <si>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</si>
  <si>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</si>
  <si>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</si>
  <si>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</si>
  <si>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</si>
  <si>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</si>
  <si>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</si>
  <si>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</si>
  <si>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</si>
  <si>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</si>
  <si>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</si>
  <si>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</si>
  <si>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</si>
  <si>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</si>
  <si>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</si>
  <si>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</si>
  <si>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</si>
  <si>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</si>
  <si>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</si>
  <si>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</si>
  <si>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</si>
  <si>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</si>
  <si>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</si>
  <si>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</si>
  <si>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</si>
  <si>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</si>
  <si>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</si>
  <si>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</si>
  <si>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</si>
  <si>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</si>
  <si>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</si>
  <si>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</si>
  <si>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</si>
  <si>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</si>
  <si>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</si>
  <si>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</si>
  <si>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</si>
  <si>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</si>
  <si>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</si>
  <si>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</si>
  <si>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</si>
  <si>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</si>
  <si>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</si>
  <si>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</si>
  <si>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</si>
  <si>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</si>
  <si>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</si>
  <si>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</si>
  <si>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</si>
  <si>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</si>
  <si>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</si>
  <si>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</si>
  <si>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</si>
  <si>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</si>
  <si>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</si>
  <si>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</si>
  <si>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</si>
  <si>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</si>
  <si>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</si>
  <si>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</si>
  <si>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</si>
  <si>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</si>
  <si>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</si>
  <si>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</si>
  <si>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</si>
  <si>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</si>
  <si>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</si>
  <si>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</si>
  <si>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</si>
  <si>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</si>
  <si>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</si>
  <si>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</si>
  <si>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</si>
  <si>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</si>
  <si>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</si>
  <si>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</si>
  <si>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</si>
  <si>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</si>
  <si>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</si>
  <si>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</si>
  <si>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</si>
  <si>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</si>
  <si>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Tasa de rentabilidad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</si>
  <si>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</si>
  <si>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</si>
  <si>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</si>
  <si>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</si>
  <si>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</si>
  <si>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</si>
  <si>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</si>
  <si>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</si>
  <si>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</si>
  <si>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</si>
  <si>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</si>
  <si>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</si>
  <si>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</si>
  <si>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</si>
  <si>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</si>
  <si>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</si>
  <si>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</si>
  <si>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</si>
  <si>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</si>
  <si>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</si>
  <si>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</si>
  <si>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</si>
  <si>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</si>
  <si>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</si>
  <si>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</si>
  <si>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</si>
  <si>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</si>
  <si>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</si>
  <si>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</si>
  <si>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</si>
  <si>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</si>
  <si>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</si>
  <si>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</si>
  <si>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</si>
  <si>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</si>
  <si>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</si>
  <si>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</si>
  <si>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</si>
  <si>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</si>
  <si>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</si>
  <si>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</si>
  <si>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</si>
  <si>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</si>
  <si>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Equipo de oficina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</si>
  <si>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</si>
  <si>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</si>
  <si>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</si>
  <si>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</si>
  <si>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</si>
  <si>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</si>
  <si>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</si>
  <si>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Provedores</t>
  </si>
  <si>
    <t>Impuestos, gravámenes y tasas</t>
  </si>
  <si>
    <t>Obligaciones laborales</t>
  </si>
  <si>
    <t>Otros pasivos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</si>
  <si>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</si>
  <si>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</si>
  <si>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</si>
  <si>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</si>
  <si>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</si>
  <si>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</si>
  <si>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</si>
  <si>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</si>
  <si>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</si>
  <si>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</si>
  <si>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</si>
  <si>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</si>
  <si>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</si>
  <si>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</si>
  <si>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</si>
  <si>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</si>
  <si>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</si>
  <si>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</si>
  <si>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</si>
  <si>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</si>
  <si>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</si>
  <si>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</si>
  <si>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</si>
  <si>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</si>
  <si>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</si>
  <si>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</si>
  <si>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</si>
  <si>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</si>
  <si>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</si>
  <si>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</si>
  <si>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</si>
  <si>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</si>
  <si>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</si>
  <si>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</si>
  <si>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</si>
  <si>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</si>
  <si>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</si>
  <si>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</si>
  <si>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</si>
  <si>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</si>
  <si>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</si>
  <si>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</si>
  <si>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</si>
  <si>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</si>
  <si>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</si>
  <si>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</si>
  <si>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</si>
  <si>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</si>
  <si>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</si>
  <si>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</si>
  <si>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</si>
  <si>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</si>
  <si>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</si>
  <si>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</si>
  <si>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Admon</t>
  </si>
  <si>
    <t>Gastos ventas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</si>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</sst>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164" formatCode="&quot;$&quot;#,##0.00"/>
    <numFmt numFmtId="165" formatCode="0.0%"/>
    <numFmt numFmtId="166" formatCode="[$$-240A]\ #,##0.00"/>
    <numFmt numFmtId="167" formatCode="[$$-240A]\ #,##0"/>
    <numFmt numFmtId="172" formatCode="&quot;$&quot;#,##0"/>
  </numFmts>
  <fonts count="25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</cellStyleXfs>
  <cellXfs count="19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4" fillId="0" borderId="0" xfId="0" applyNumberFormat="1" applyFont="1" applyAlignment="1"/>
    <xf numFmtId="4" fontId="15" fillId="2" borderId="0" xfId="0" applyNumberFormat="1" applyFont="1" applyFill="1"/>
    <xf numFmtId="165" fontId="12" fillId="0" borderId="8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2" xfId="0" applyNumberFormat="1" applyFont="1" applyBorder="1" applyAlignment="1"/>
    <xf numFmtId="164" fontId="7" fillId="0" borderId="4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 applyAlignment="1"/>
    <xf numFmtId="164" fontId="7" fillId="0" borderId="3" xfId="0" applyNumberFormat="1" applyFont="1" applyBorder="1" applyAlignment="1"/>
    <xf numFmtId="164" fontId="1" fillId="0" borderId="2" xfId="0" applyNumberFormat="1" applyFont="1" applyBorder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164" fontId="1" fillId="0" borderId="3" xfId="0" applyNumberFormat="1" applyFont="1" applyBorder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164" fontId="11" fillId="0" borderId="3" xfId="0" applyNumberFormat="1" applyFont="1" applyBorder="1"/>
    <xf numFmtId="0" fontId="10" fillId="0" borderId="4" xfId="0" applyFont="1" applyBorder="1"/>
    <xf numFmtId="165" fontId="16" fillId="0" borderId="2" xfId="0" applyNumberFormat="1" applyFont="1" applyBorder="1" applyAlignment="1"/>
    <xf numFmtId="0" fontId="10" fillId="0" borderId="3" xfId="0" applyFont="1" applyBorder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19" fillId="4" borderId="12" xfId="3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3" xfId="0" applyFont="1" applyBorder="1"/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1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9" fillId="4" borderId="13" xfId="3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72" fontId="1" fillId="0" borderId="1" xfId="0" applyNumberFormat="1" applyFont="1" applyBorder="1"/>
    <xf numFmtId="172" fontId="7" fillId="0" borderId="1" xfId="0" applyNumberFormat="1" applyFont="1" applyBorder="1"/>
    <xf numFmtId="172" fontId="7" fillId="0" borderId="1" xfId="0" applyNumberFormat="1" applyFont="1" applyBorder="1" applyAlignment="1"/>
    <xf numFmtId="172" fontId="7" fillId="0" borderId="5" xfId="0" applyNumberFormat="1" applyFont="1" applyBorder="1" applyAlignment="1"/>
    <xf numFmtId="172" fontId="13" fillId="0" borderId="13" xfId="0" applyNumberFormat="1" applyFont="1" applyBorder="1" applyAlignment="1"/>
    <xf numFmtId="0" fontId="19" fillId="4" borderId="12" xfId="3" applyAlignment="1"/>
    <xf numFmtId="172" fontId="19" fillId="4" borderId="12" xfId="3" applyNumberFormat="1"/>
    <xf numFmtId="164" fontId="8" fillId="0" borderId="4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10" fillId="5" borderId="2" xfId="0" applyFont="1" applyFill="1" applyBorder="1" applyAlignment="1"/>
    <xf numFmtId="165" fontId="10" fillId="5" borderId="2" xfId="0" applyNumberFormat="1" applyFont="1" applyFill="1" applyBorder="1"/>
    <xf numFmtId="164" fontId="10" fillId="5" borderId="4" xfId="0" applyNumberFormat="1" applyFont="1" applyFill="1" applyBorder="1"/>
    <xf numFmtId="165" fontId="11" fillId="5" borderId="2" xfId="0" applyNumberFormat="1" applyFont="1" applyFill="1" applyBorder="1"/>
    <xf numFmtId="165" fontId="10" fillId="5" borderId="2" xfId="0" applyNumberFormat="1" applyFont="1" applyFill="1" applyBorder="1" applyAlignment="1">
      <alignment horizontal="right"/>
    </xf>
    <xf numFmtId="164" fontId="10" fillId="5" borderId="3" xfId="0" applyNumberFormat="1" applyFont="1" applyFill="1" applyBorder="1"/>
  </cellXfs>
  <cellStyles count="5">
    <cellStyle name="Celda de comprobación" xfId="3" builtinId="23"/>
    <cellStyle name="Moneda" xfId="1" builtinId="4"/>
    <cellStyle name="Normal" xfId="0" builtinId="0"/>
    <cellStyle name="Porcentaje" xfId="4" builtinId="5"/>
    <cellStyle name="Salida" xfId="2" builtinId="21"/>
  </cellStyles>
  <dxfs count="31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Georgia"/>
              </a:defRPr>
            </a:pPr>
            <a:r>
              <a:rPr lang="es-ES"/>
              <a:t>Gráfica T.I.O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'VAN y TIR'!$L$6:$L$30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</c:numCache>
            </c:numRef>
          </c:cat>
          <c:val>
            <c:numRef>
              <c:f>'VAN y TIR'!$M$6:$M$30</c:f>
              <c:numCache>
                <c:formatCode>"$"#,##0.00</c:formatCode>
                <c:ptCount val="25"/>
                <c:pt idx="0">
                  <c:v>1049206369.4903083</c:v>
                </c:pt>
                <c:pt idx="1">
                  <c:v>912232615.6177454</c:v>
                </c:pt>
                <c:pt idx="2">
                  <c:v>801822777.40495086</c:v>
                </c:pt>
                <c:pt idx="3">
                  <c:v>711570894.74362516</c:v>
                </c:pt>
                <c:pt idx="4">
                  <c:v>636851740.87194574</c:v>
                </c:pt>
                <c:pt idx="5">
                  <c:v>574270242.94800067</c:v>
                </c:pt>
                <c:pt idx="6">
                  <c:v>521296290.52127874</c:v>
                </c:pt>
                <c:pt idx="7">
                  <c:v>476017909.4246068</c:v>
                </c:pt>
                <c:pt idx="8">
                  <c:v>436971527.34845197</c:v>
                </c:pt>
                <c:pt idx="9">
                  <c:v>403023376.70173526</c:v>
                </c:pt>
                <c:pt idx="10">
                  <c:v>373285396.32511425</c:v>
                </c:pt>
                <c:pt idx="11">
                  <c:v>347054774.2409274</c:v>
                </c:pt>
                <c:pt idx="12">
                  <c:v>323769928.06544971</c:v>
                </c:pt>
                <c:pt idx="13">
                  <c:v>302978070.32551134</c:v>
                </c:pt>
                <c:pt idx="14">
                  <c:v>284311042.42226452</c:v>
                </c:pt>
                <c:pt idx="15">
                  <c:v>267467120.52418375</c:v>
                </c:pt>
                <c:pt idx="16">
                  <c:v>252197182.74666983</c:v>
                </c:pt>
                <c:pt idx="17">
                  <c:v>238294094.7680642</c:v>
                </c:pt>
                <c:pt idx="18">
                  <c:v>225584493.95606232</c:v>
                </c:pt>
                <c:pt idx="19">
                  <c:v>213922377.60500652</c:v>
                </c:pt>
                <c:pt idx="20">
                  <c:v>203184060.12564218</c:v>
                </c:pt>
                <c:pt idx="21">
                  <c:v>193264177.63692695</c:v>
                </c:pt>
                <c:pt idx="22">
                  <c:v>184072500.25897056</c:v>
                </c:pt>
                <c:pt idx="23">
                  <c:v>175531371.924779</c:v>
                </c:pt>
                <c:pt idx="24">
                  <c:v>167573641.19142193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966184"/>
        <c:axId val="304967360"/>
      </c:lineChart>
      <c:catAx>
        <c:axId val="30496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Tasa de descuento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304967360"/>
        <c:crosses val="autoZero"/>
        <c:auto val="1"/>
        <c:lblAlgn val="ctr"/>
        <c:lblOffset val="100"/>
        <c:noMultiLvlLbl val="1"/>
      </c:catAx>
      <c:valAx>
        <c:axId val="304967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Valor presente neto ($)</a:t>
                </a:r>
              </a:p>
            </c:rich>
          </c:tx>
          <c:layout/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3049661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30" totalsRowDxfId="29" headerRowCellStyle="Celda de comprobación">
  <tableColumns count="8">
    <tableColumn id="1" name="Promoción" dataDxfId="28"/>
    <tableColumn id="2" name="Tiempo aproximado de duración" dataDxfId="27" totalsRowDxfId="26"/>
    <tableColumn id="3" name="Objetivo " dataDxfId="25" totalsRowDxfId="24"/>
    <tableColumn id="4" name="Cantidad" dataDxfId="23" totalsRowDxfId="22"/>
    <tableColumn id="5" name="Se requieren" dataDxfId="21" totalsRowDxfId="20"/>
    <tableColumn id="6" name="Costo Unitario" totalsRowLabel="Total" dataDxfId="19" totalsRowDxfId="18" dataCellStyle="Moneda"/>
    <tableColumn id="7" name="Costo total" totalsRowFunction="sum" dataDxfId="17" totalsRowDxfId="16" dataCellStyle="Moneda">
      <calculatedColumnFormula>F37*E37</calculatedColumnFormula>
    </tableColumn>
    <tableColumn id="8" name="Proveedor" dataDxfId="15" totalsRow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banrep.gov.co/es/ipc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B13" sqref="B13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22" t="s">
        <v>0</v>
      </c>
      <c r="B1" s="122" t="s">
        <v>1</v>
      </c>
      <c r="C1" s="2" t="s">
        <v>2</v>
      </c>
    </row>
    <row r="2" spans="1:10" ht="13.5" thickTop="1">
      <c r="A2" s="5" t="s">
        <v>254</v>
      </c>
      <c r="B2" s="158">
        <f>SUM(B3:B9
)</f>
        <v>116700</v>
      </c>
      <c r="C2" s="3"/>
    </row>
    <row r="3" spans="1:10" ht="12.75">
      <c r="A3" s="7" t="s">
        <v>44</v>
      </c>
      <c r="B3" s="159">
        <f>B25</f>
        <v>51000</v>
      </c>
      <c r="C3" s="4"/>
    </row>
    <row r="4" spans="1:10" ht="12.75">
      <c r="A4" s="7" t="s">
        <v>47</v>
      </c>
      <c r="B4" s="160">
        <v>0</v>
      </c>
      <c r="C4" s="4" t="s">
        <v>48</v>
      </c>
    </row>
    <row r="5" spans="1:10" ht="12.75">
      <c r="A5" s="7" t="s">
        <v>49</v>
      </c>
      <c r="B5" s="160">
        <v>0</v>
      </c>
      <c r="C5" s="3"/>
    </row>
    <row r="6" spans="1:10" ht="12.75">
      <c r="A6" s="7" t="s">
        <v>50</v>
      </c>
      <c r="B6" s="160">
        <f>5400</f>
        <v>5400</v>
      </c>
      <c r="C6" s="4" t="s">
        <v>51</v>
      </c>
    </row>
    <row r="7" spans="1:10" ht="12.75">
      <c r="A7" s="7" t="s">
        <v>52</v>
      </c>
      <c r="B7" s="160">
        <v>0</v>
      </c>
      <c r="C7" s="3"/>
    </row>
    <row r="8" spans="1:10" ht="12.75">
      <c r="A8" s="7" t="s">
        <v>53</v>
      </c>
      <c r="B8" s="160">
        <v>10300</v>
      </c>
      <c r="C8" s="3"/>
    </row>
    <row r="9" spans="1:10" ht="12.75">
      <c r="A9" s="7" t="s">
        <v>54</v>
      </c>
      <c r="B9" s="160">
        <v>50000</v>
      </c>
      <c r="C9" s="3"/>
    </row>
    <row r="10" spans="1:10" ht="12.75">
      <c r="A10" s="5" t="s">
        <v>256</v>
      </c>
      <c r="B10" s="158">
        <f>SUM(B11:B14
)</f>
        <v>5552860</v>
      </c>
      <c r="C10" s="3"/>
    </row>
    <row r="11" spans="1:10" ht="12.75">
      <c r="A11" s="7" t="s">
        <v>58</v>
      </c>
      <c r="B11" s="160">
        <v>60800</v>
      </c>
      <c r="C11" s="4"/>
    </row>
    <row r="12" spans="1:10" ht="22.5">
      <c r="A12" s="101" t="s">
        <v>177</v>
      </c>
      <c r="B12" s="160">
        <v>3000000</v>
      </c>
    </row>
    <row r="13" spans="1:10" ht="12.75">
      <c r="A13" s="156" t="s">
        <v>60</v>
      </c>
      <c r="B13" s="161">
        <v>500000</v>
      </c>
      <c r="C13" s="4"/>
    </row>
    <row r="14" spans="1:10" ht="13.5" thickBot="1">
      <c r="A14" s="157" t="s">
        <v>255</v>
      </c>
      <c r="B14" s="162">
        <f>'Salarios, gastos y costos'!K11*6</f>
        <v>1992060</v>
      </c>
      <c r="C14" s="3"/>
    </row>
    <row r="15" spans="1:10" ht="16.5" thickTop="1" thickBot="1">
      <c r="A15" s="163" t="s">
        <v>61</v>
      </c>
      <c r="B15" s="164">
        <f>B10+B2</f>
        <v>5669560</v>
      </c>
    </row>
    <row r="16" spans="1:10" ht="13.5" thickTop="1">
      <c r="D16" s="3"/>
      <c r="E16" s="3"/>
      <c r="F16" s="3"/>
      <c r="G16" s="4" t="s">
        <v>3</v>
      </c>
      <c r="H16" s="102" t="s">
        <v>4</v>
      </c>
      <c r="I16" s="102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13" t="s">
        <v>171</v>
      </c>
      <c r="B18" s="121" t="s">
        <v>1</v>
      </c>
      <c r="D18" s="4" t="s">
        <v>43</v>
      </c>
      <c r="E18" s="21">
        <v>975000</v>
      </c>
      <c r="F18" s="3"/>
    </row>
    <row r="19" spans="1:10" ht="15.75" customHeight="1">
      <c r="A19" s="106" t="s">
        <v>172</v>
      </c>
      <c r="B19" s="119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106" t="s">
        <v>173</v>
      </c>
      <c r="B20" s="119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106" t="s">
        <v>173</v>
      </c>
      <c r="B21" s="119">
        <v>2040</v>
      </c>
      <c r="D21" s="25">
        <f>SUM(B12:B13
)</f>
        <v>3500000</v>
      </c>
    </row>
    <row r="22" spans="1:10" ht="15.75" customHeight="1">
      <c r="A22" s="106" t="s">
        <v>174</v>
      </c>
      <c r="B22" s="119">
        <v>39000</v>
      </c>
    </row>
    <row r="23" spans="1:10" ht="15.75" customHeight="1">
      <c r="A23" s="106" t="s">
        <v>175</v>
      </c>
      <c r="B23" s="119">
        <v>-39000</v>
      </c>
      <c r="D23" s="18">
        <f>SUM(B11:B13
)</f>
        <v>3560800</v>
      </c>
    </row>
    <row r="24" spans="1:10" ht="15.75" customHeight="1">
      <c r="A24" s="106" t="s">
        <v>176</v>
      </c>
      <c r="B24" s="119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13" t="s">
        <v>46</v>
      </c>
      <c r="B25" s="120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F42" sqref="F42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7.140625" customWidth="1"/>
    <col min="13" max="13" width="17.28515625" customWidth="1"/>
  </cols>
  <sheetData>
    <row r="1" spans="1:14" ht="15.75" customHeight="1">
      <c r="A1" s="133" t="s">
        <v>8</v>
      </c>
      <c r="B1" s="128"/>
      <c r="D1" s="133" t="s">
        <v>9</v>
      </c>
      <c r="E1" s="128"/>
      <c r="G1" s="133" t="s">
        <v>10</v>
      </c>
      <c r="H1" s="128"/>
      <c r="J1" s="133" t="s">
        <v>11</v>
      </c>
      <c r="K1" s="128"/>
      <c r="M1" s="6" t="s">
        <v>12</v>
      </c>
    </row>
    <row r="2" spans="1:14" ht="15.75" customHeight="1">
      <c r="A2" s="7" t="s">
        <v>13</v>
      </c>
      <c r="B2" s="8">
        <v>1600000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178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179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180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227</v>
      </c>
      <c r="B11" s="16">
        <f>SUM(B2:B10)</f>
        <v>7746226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15" t="s">
        <v>228</v>
      </c>
      <c r="B12" s="16">
        <f>B11*12</f>
        <v>92954712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133" t="s">
        <v>35</v>
      </c>
      <c r="B17" s="128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178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179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180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14" t="s">
        <v>42</v>
      </c>
    </row>
    <row r="33" spans="1:8" ht="15.75" customHeight="1" thickBot="1"/>
    <row r="34" spans="1:8" ht="15.75" customHeight="1" thickTop="1" thickBot="1">
      <c r="A34" s="124" t="s">
        <v>226</v>
      </c>
      <c r="B34" s="124"/>
      <c r="C34" s="124"/>
      <c r="D34" s="124"/>
      <c r="E34" s="124"/>
      <c r="F34" s="124"/>
      <c r="G34" s="124"/>
      <c r="H34" s="124"/>
    </row>
    <row r="35" spans="1:8" ht="15.75" customHeight="1" thickTop="1" thickBot="1">
      <c r="A35" s="135"/>
      <c r="B35" s="135"/>
      <c r="C35" s="135"/>
      <c r="D35" s="135"/>
      <c r="E35" s="135"/>
      <c r="F35" s="135"/>
      <c r="G35" s="135"/>
      <c r="H35" s="135"/>
    </row>
    <row r="36" spans="1:8" ht="46.5" customHeight="1" thickTop="1" thickBot="1">
      <c r="A36" s="118" t="s">
        <v>192</v>
      </c>
      <c r="B36" s="118" t="s">
        <v>193</v>
      </c>
      <c r="C36" s="118" t="s">
        <v>194</v>
      </c>
      <c r="D36" s="118" t="s">
        <v>195</v>
      </c>
      <c r="E36" s="118" t="s">
        <v>196</v>
      </c>
      <c r="F36" s="118" t="s">
        <v>197</v>
      </c>
      <c r="G36" s="118" t="s">
        <v>198</v>
      </c>
      <c r="H36" s="118" t="s">
        <v>199</v>
      </c>
    </row>
    <row r="37" spans="1:8" ht="15.75" customHeight="1" thickTop="1">
      <c r="A37" s="106" t="s">
        <v>200</v>
      </c>
      <c r="B37" s="106" t="s">
        <v>201</v>
      </c>
      <c r="C37" s="106" t="s">
        <v>202</v>
      </c>
      <c r="D37" s="106" t="s">
        <v>203</v>
      </c>
      <c r="E37" s="106">
        <v>2</v>
      </c>
      <c r="F37" s="116">
        <v>55000</v>
      </c>
      <c r="G37" s="116">
        <f>F37*E37</f>
        <v>110000</v>
      </c>
      <c r="H37" s="106" t="s">
        <v>204</v>
      </c>
    </row>
    <row r="38" spans="1:8" ht="15.75" customHeight="1">
      <c r="A38" s="106" t="s">
        <v>205</v>
      </c>
      <c r="B38" s="106" t="s">
        <v>201</v>
      </c>
      <c r="C38" s="106" t="s">
        <v>206</v>
      </c>
      <c r="D38" s="106" t="s">
        <v>207</v>
      </c>
      <c r="E38" s="106">
        <v>1</v>
      </c>
      <c r="F38" s="116">
        <v>140000</v>
      </c>
      <c r="G38" s="116">
        <f t="shared" ref="G38:G42" si="0">F38*E38</f>
        <v>140000</v>
      </c>
      <c r="H38" s="106" t="s">
        <v>204</v>
      </c>
    </row>
    <row r="39" spans="1:8" ht="15.75" customHeight="1">
      <c r="A39" s="106" t="s">
        <v>208</v>
      </c>
      <c r="B39" s="106" t="s">
        <v>201</v>
      </c>
      <c r="C39" s="106" t="s">
        <v>206</v>
      </c>
      <c r="D39" s="106" t="s">
        <v>209</v>
      </c>
      <c r="E39" s="106">
        <v>1</v>
      </c>
      <c r="F39" s="116">
        <v>40000</v>
      </c>
      <c r="G39" s="116">
        <f t="shared" si="0"/>
        <v>40000</v>
      </c>
      <c r="H39" s="106" t="s">
        <v>204</v>
      </c>
    </row>
    <row r="40" spans="1:8" ht="15.75" customHeight="1">
      <c r="A40" s="106" t="s">
        <v>210</v>
      </c>
      <c r="B40" s="106" t="s">
        <v>211</v>
      </c>
      <c r="C40" s="106" t="s">
        <v>206</v>
      </c>
      <c r="D40" s="106" t="s">
        <v>212</v>
      </c>
      <c r="E40" s="106">
        <v>1</v>
      </c>
      <c r="F40" s="116">
        <v>40000</v>
      </c>
      <c r="G40" s="116">
        <f t="shared" si="0"/>
        <v>40000</v>
      </c>
      <c r="H40" s="106" t="s">
        <v>204</v>
      </c>
    </row>
    <row r="41" spans="1:8" ht="15.75" customHeight="1">
      <c r="A41" s="106" t="s">
        <v>213</v>
      </c>
      <c r="B41" s="106" t="s">
        <v>214</v>
      </c>
      <c r="C41" s="106" t="s">
        <v>215</v>
      </c>
      <c r="D41" s="106" t="s">
        <v>216</v>
      </c>
      <c r="E41" s="106">
        <v>7</v>
      </c>
      <c r="F41" s="116">
        <v>485000</v>
      </c>
      <c r="G41" s="116">
        <f t="shared" si="0"/>
        <v>3395000</v>
      </c>
      <c r="H41" s="106" t="s">
        <v>213</v>
      </c>
    </row>
    <row r="42" spans="1:8" ht="15.75" customHeight="1">
      <c r="A42" s="106" t="s">
        <v>217</v>
      </c>
      <c r="B42" s="106" t="s">
        <v>214</v>
      </c>
      <c r="C42" s="106" t="s">
        <v>215</v>
      </c>
      <c r="D42" s="106" t="s">
        <v>218</v>
      </c>
      <c r="E42" s="106">
        <v>7</v>
      </c>
      <c r="F42" s="116">
        <v>80000</v>
      </c>
      <c r="G42" s="116">
        <f t="shared" si="0"/>
        <v>560000</v>
      </c>
      <c r="H42" s="106" t="s">
        <v>219</v>
      </c>
    </row>
    <row r="43" spans="1:8" ht="15.75" customHeight="1">
      <c r="B43" s="110"/>
      <c r="C43" s="110"/>
      <c r="D43" s="110"/>
      <c r="E43" s="110"/>
      <c r="F43" s="112" t="s">
        <v>220</v>
      </c>
      <c r="G43" s="117">
        <f>SUBTOTAL(109,PUBLICIDAD[Costo total])</f>
        <v>4285000</v>
      </c>
      <c r="H43" s="111"/>
    </row>
    <row r="45" spans="1:8" ht="15.75" customHeight="1" thickBot="1"/>
    <row r="46" spans="1:8" ht="15.75" customHeight="1" thickTop="1" thickBot="1">
      <c r="A46" s="124" t="s">
        <v>244</v>
      </c>
      <c r="B46" s="124"/>
      <c r="C46" s="124"/>
      <c r="D46" s="124"/>
      <c r="E46" s="124"/>
      <c r="F46" s="124"/>
    </row>
    <row r="47" spans="1:8" ht="15.75" customHeight="1" thickTop="1">
      <c r="A47" s="136" t="s">
        <v>229</v>
      </c>
      <c r="B47" s="136"/>
      <c r="C47" s="136"/>
      <c r="D47" s="136"/>
      <c r="E47" s="136" t="s">
        <v>74</v>
      </c>
      <c r="F47" s="136"/>
    </row>
    <row r="48" spans="1:8" ht="15.75" customHeight="1">
      <c r="A48" s="138" t="s">
        <v>237</v>
      </c>
      <c r="B48" s="139"/>
      <c r="C48" s="142" t="s">
        <v>230</v>
      </c>
      <c r="D48" s="143"/>
      <c r="E48" s="134">
        <v>0</v>
      </c>
      <c r="F48" s="134"/>
    </row>
    <row r="49" spans="1:6" ht="15.75" customHeight="1">
      <c r="A49" s="139"/>
      <c r="B49" s="139"/>
      <c r="C49" s="142" t="s">
        <v>231</v>
      </c>
      <c r="D49" s="143"/>
      <c r="E49" s="134">
        <f>B2*12</f>
        <v>19200000</v>
      </c>
      <c r="F49" s="134"/>
    </row>
    <row r="50" spans="1:6" ht="15.75" customHeight="1">
      <c r="A50" s="139"/>
      <c r="B50" s="139"/>
      <c r="C50" s="142" t="s">
        <v>232</v>
      </c>
      <c r="D50" s="143"/>
      <c r="E50" s="134">
        <f>(B19+B22)*12</f>
        <v>39415992</v>
      </c>
      <c r="F50" s="134"/>
    </row>
    <row r="51" spans="1:6" ht="15.75" customHeight="1">
      <c r="A51" s="139"/>
      <c r="B51" s="139"/>
      <c r="C51" s="142" t="s">
        <v>233</v>
      </c>
      <c r="D51" s="142"/>
      <c r="E51" s="134">
        <f>B4*12</f>
        <v>2400000</v>
      </c>
      <c r="F51" s="134"/>
    </row>
    <row r="52" spans="1:6" ht="15.75" customHeight="1">
      <c r="A52" s="139"/>
      <c r="B52" s="139"/>
      <c r="C52" s="142" t="s">
        <v>234</v>
      </c>
      <c r="D52" s="143"/>
      <c r="E52" s="134">
        <f>(B21+B23)*12</f>
        <v>31938720</v>
      </c>
      <c r="F52" s="134"/>
    </row>
    <row r="53" spans="1:6" ht="15.75" customHeight="1" thickBot="1">
      <c r="A53" s="139"/>
      <c r="B53" s="139"/>
      <c r="C53" s="142" t="s">
        <v>235</v>
      </c>
      <c r="D53" s="143"/>
      <c r="E53" s="134">
        <v>0</v>
      </c>
      <c r="F53" s="134"/>
    </row>
    <row r="54" spans="1:6" ht="15.75" customHeight="1" thickTop="1" thickBot="1">
      <c r="A54" s="139"/>
      <c r="B54" s="139"/>
      <c r="C54" s="124" t="s">
        <v>236</v>
      </c>
      <c r="D54" s="124"/>
      <c r="E54" s="137">
        <f>SUM(E48:F53)</f>
        <v>92954712</v>
      </c>
      <c r="F54" s="137"/>
    </row>
    <row r="55" spans="1:6" ht="15.75" customHeight="1" thickTop="1">
      <c r="A55" s="138" t="s">
        <v>243</v>
      </c>
      <c r="B55" s="139"/>
      <c r="C55" s="140" t="s">
        <v>238</v>
      </c>
      <c r="D55" s="141"/>
      <c r="E55" s="144">
        <v>0</v>
      </c>
      <c r="F55" s="144"/>
    </row>
    <row r="56" spans="1:6" ht="15.75" customHeight="1">
      <c r="A56" s="139"/>
      <c r="B56" s="139"/>
      <c r="C56" s="142" t="s">
        <v>239</v>
      </c>
      <c r="D56" s="143"/>
      <c r="E56" s="145">
        <f>'Presupuesto Inicial'!J20*12</f>
        <v>700000</v>
      </c>
      <c r="F56" s="145"/>
    </row>
    <row r="57" spans="1:6" ht="15.75" customHeight="1">
      <c r="A57" s="139"/>
      <c r="B57" s="139"/>
      <c r="C57" s="142" t="s">
        <v>240</v>
      </c>
      <c r="D57" s="143"/>
      <c r="E57" s="145">
        <v>0</v>
      </c>
      <c r="F57" s="145"/>
    </row>
    <row r="58" spans="1:6" ht="15.75" customHeight="1" thickBot="1">
      <c r="A58" s="139"/>
      <c r="B58" s="139"/>
      <c r="C58" s="142" t="s">
        <v>241</v>
      </c>
      <c r="D58" s="143"/>
      <c r="E58" s="145">
        <v>0</v>
      </c>
      <c r="F58" s="145"/>
    </row>
    <row r="59" spans="1:6" ht="15.75" customHeight="1" thickTop="1" thickBot="1">
      <c r="A59" s="139"/>
      <c r="B59" s="139"/>
      <c r="C59" s="124" t="s">
        <v>242</v>
      </c>
      <c r="D59" s="124"/>
      <c r="E59" s="137">
        <f>SUM(E55:F58)</f>
        <v>700000</v>
      </c>
      <c r="F59" s="124"/>
    </row>
    <row r="60" spans="1:6" ht="15.75" customHeight="1" thickTop="1">
      <c r="A60" s="138" t="s">
        <v>247</v>
      </c>
      <c r="B60" s="138"/>
      <c r="C60" s="140" t="s">
        <v>257</v>
      </c>
      <c r="D60" s="140"/>
      <c r="E60" s="144">
        <f>('Presupuesto Inicial'!B12+'Presupuesto Inicial'!B13)+('Presupuesto Inicial'!B11*6)+('Salarios, gastos y costos'!K11*12)</f>
        <v>7848920</v>
      </c>
      <c r="F60" s="144"/>
    </row>
    <row r="61" spans="1:6" ht="15.75" customHeight="1" thickBot="1">
      <c r="A61" s="138"/>
      <c r="B61" s="138"/>
      <c r="C61" s="142" t="s">
        <v>245</v>
      </c>
      <c r="D61" s="142"/>
      <c r="E61" s="145">
        <f>'Presupuesto Inicial'!B2</f>
        <v>116700</v>
      </c>
      <c r="F61" s="145"/>
    </row>
    <row r="62" spans="1:6" ht="15.75" customHeight="1" thickTop="1" thickBot="1">
      <c r="A62" s="138"/>
      <c r="B62" s="138"/>
      <c r="C62" s="124" t="s">
        <v>246</v>
      </c>
      <c r="D62" s="124"/>
      <c r="E62" s="137">
        <f>E60+E61</f>
        <v>7965620</v>
      </c>
      <c r="F62" s="137"/>
    </row>
    <row r="63" spans="1:6" ht="15.75" customHeight="1" thickTop="1" thickBot="1">
      <c r="A63" s="124" t="s">
        <v>251</v>
      </c>
      <c r="B63" s="124"/>
      <c r="C63" s="124"/>
      <c r="D63" s="124"/>
      <c r="E63" s="137">
        <f>E54+E59+E62</f>
        <v>101620332</v>
      </c>
      <c r="F63" s="137"/>
    </row>
    <row r="64" spans="1:6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G1:H1"/>
    <mergeCell ref="J1:K1"/>
  </mergeCells>
  <hyperlinks>
    <hyperlink ref="F31" r:id="rId1"/>
  </hyperlinks>
  <pageMargins left="0.7" right="0.7" top="0.75" bottom="0.75" header="0.3" footer="0.3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24" t="s">
        <v>7</v>
      </c>
      <c r="B2" s="125"/>
      <c r="C2" s="125"/>
      <c r="D2" s="125"/>
    </row>
    <row r="3" spans="1:4" ht="15.75" customHeight="1" thickTop="1">
      <c r="A3" s="127" t="s">
        <v>14</v>
      </c>
      <c r="B3" s="128"/>
      <c r="C3" s="127" t="s">
        <v>15</v>
      </c>
      <c r="D3" s="128"/>
    </row>
    <row r="4" spans="1:4" ht="15.75" customHeight="1">
      <c r="A4" s="129" t="s">
        <v>16</v>
      </c>
      <c r="B4" s="132">
        <v>1500000</v>
      </c>
      <c r="C4" s="19" t="s">
        <v>30</v>
      </c>
      <c r="D4" s="20">
        <v>0</v>
      </c>
    </row>
    <row r="5" spans="1:4" ht="15.75" customHeight="1">
      <c r="A5" s="130"/>
      <c r="B5" s="130"/>
      <c r="C5" s="127" t="s">
        <v>39</v>
      </c>
      <c r="D5" s="128"/>
    </row>
    <row r="6" spans="1:4" ht="15.75" customHeight="1">
      <c r="A6" s="130"/>
      <c r="B6" s="130"/>
      <c r="C6" s="19" t="s">
        <v>40</v>
      </c>
      <c r="D6" s="22">
        <v>1500000</v>
      </c>
    </row>
    <row r="7" spans="1:4" ht="15.75" customHeight="1">
      <c r="A7" s="130"/>
      <c r="B7" s="130"/>
      <c r="C7" s="19" t="s">
        <v>43</v>
      </c>
      <c r="D7" s="22">
        <v>975000</v>
      </c>
    </row>
    <row r="8" spans="1:4" ht="15.75" customHeight="1">
      <c r="A8" s="131"/>
      <c r="B8" s="131"/>
      <c r="C8" s="19" t="s">
        <v>248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124" t="s">
        <v>57</v>
      </c>
      <c r="B10" s="125"/>
      <c r="C10" s="126">
        <f>D4+D9</f>
        <v>1500000</v>
      </c>
      <c r="D10" s="125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B2" sqref="B2:F5"/>
    </sheetView>
  </sheetViews>
  <sheetFormatPr baseColWidth="10" defaultRowHeight="12.75"/>
  <cols>
    <col min="5" max="5" width="11.7109375" bestFit="1" customWidth="1"/>
  </cols>
  <sheetData>
    <row r="2" spans="2:6" ht="15">
      <c r="B2" s="151" t="s">
        <v>250</v>
      </c>
      <c r="C2" s="151"/>
      <c r="D2" s="151"/>
      <c r="E2" s="151"/>
      <c r="F2" s="151"/>
    </row>
    <row r="3" spans="2:6">
      <c r="B3" s="135" t="s">
        <v>252</v>
      </c>
      <c r="C3" s="135"/>
      <c r="D3" s="135"/>
      <c r="E3" s="152">
        <f>'Salarios, gastos y costos'!E62:F62</f>
        <v>7965620</v>
      </c>
      <c r="F3" s="152"/>
    </row>
    <row r="4" spans="2:6">
      <c r="B4" s="153" t="s">
        <v>253</v>
      </c>
      <c r="C4" s="135"/>
      <c r="D4" s="135"/>
      <c r="E4" s="154">
        <f>'Salarios, gastos y costos'!B11*7</f>
        <v>54223582</v>
      </c>
      <c r="F4" s="154"/>
    </row>
    <row r="5" spans="2:6" ht="15">
      <c r="B5" s="151" t="s">
        <v>220</v>
      </c>
      <c r="C5" s="151"/>
      <c r="D5" s="151"/>
      <c r="E5" s="155">
        <f>SUM(E3:F4)</f>
        <v>62189202</v>
      </c>
      <c r="F5" s="155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selection activeCell="D5" sqref="D5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5.42578125" bestFit="1" customWidth="1"/>
    <col min="24" max="24" width="35.85546875" bestFit="1" customWidth="1"/>
  </cols>
  <sheetData>
    <row r="1" spans="1:25" ht="12.75">
      <c r="A1" s="107"/>
      <c r="B1" s="166" t="s">
        <v>59</v>
      </c>
      <c r="C1" s="166" t="s">
        <v>62</v>
      </c>
      <c r="D1" s="166" t="s">
        <v>63</v>
      </c>
      <c r="E1" s="166" t="s">
        <v>64</v>
      </c>
      <c r="F1" s="166" t="s">
        <v>65</v>
      </c>
      <c r="G1" s="166" t="s">
        <v>66</v>
      </c>
      <c r="H1" s="165" t="s">
        <v>67</v>
      </c>
      <c r="I1" s="128"/>
      <c r="J1" s="146" t="s">
        <v>68</v>
      </c>
      <c r="K1" s="128"/>
      <c r="L1" s="146" t="s">
        <v>69</v>
      </c>
      <c r="M1" s="128"/>
      <c r="N1" s="146" t="s">
        <v>70</v>
      </c>
      <c r="O1" s="128"/>
      <c r="P1" s="146" t="s">
        <v>71</v>
      </c>
      <c r="Q1" s="128"/>
      <c r="R1" s="146" t="s">
        <v>72</v>
      </c>
      <c r="S1" s="128"/>
      <c r="U1" s="183" t="s">
        <v>74</v>
      </c>
    </row>
    <row r="2" spans="1:25" ht="12.75">
      <c r="A2" s="107" t="s">
        <v>73</v>
      </c>
      <c r="B2" s="169">
        <f t="shared" ref="B2:G2" si="0">B3</f>
        <v>0</v>
      </c>
      <c r="C2" s="169">
        <f t="shared" si="0"/>
        <v>0</v>
      </c>
      <c r="D2" s="169">
        <f t="shared" si="0"/>
        <v>0</v>
      </c>
      <c r="E2" s="169">
        <f t="shared" si="0"/>
        <v>0</v>
      </c>
      <c r="F2" s="169">
        <f t="shared" si="0"/>
        <v>0</v>
      </c>
      <c r="G2" s="169">
        <f t="shared" si="0"/>
        <v>0</v>
      </c>
      <c r="H2" s="170">
        <v>1</v>
      </c>
      <c r="I2" s="171">
        <f>I3</f>
        <v>64841196</v>
      </c>
      <c r="J2" s="172">
        <v>1</v>
      </c>
      <c r="K2" s="171">
        <f>K3</f>
        <v>82052880</v>
      </c>
      <c r="L2" s="172">
        <v>1</v>
      </c>
      <c r="M2" s="171">
        <f>M3</f>
        <v>103731348</v>
      </c>
      <c r="N2" s="172">
        <v>1</v>
      </c>
      <c r="O2" s="171">
        <f>O3</f>
        <v>130920468</v>
      </c>
      <c r="P2" s="172">
        <v>1</v>
      </c>
      <c r="Q2" s="171">
        <f>Q3</f>
        <v>164931144</v>
      </c>
      <c r="R2" s="172">
        <v>1</v>
      </c>
      <c r="S2" s="173">
        <f>S3</f>
        <v>207292764</v>
      </c>
      <c r="U2" s="44">
        <f t="shared" ref="U2:U16" si="1">SUM(B2:S2)</f>
        <v>753769806</v>
      </c>
    </row>
    <row r="3" spans="1:25" ht="15.75" customHeight="1">
      <c r="A3" s="108" t="s">
        <v>82</v>
      </c>
      <c r="B3" s="174">
        <v>0</v>
      </c>
      <c r="C3" s="174">
        <v>0</v>
      </c>
      <c r="D3" s="174">
        <v>0</v>
      </c>
      <c r="E3" s="174">
        <v>0</v>
      </c>
      <c r="F3" s="174">
        <v>0</v>
      </c>
      <c r="G3" s="174">
        <v>0</v>
      </c>
      <c r="H3" s="175">
        <v>1</v>
      </c>
      <c r="I3" s="176">
        <f>I18*$I$20</f>
        <v>64841196</v>
      </c>
      <c r="J3" s="177">
        <v>1</v>
      </c>
      <c r="K3" s="176">
        <f>K18*$I$20</f>
        <v>82052880</v>
      </c>
      <c r="L3" s="177">
        <v>1</v>
      </c>
      <c r="M3" s="176">
        <f>M18*$I$20</f>
        <v>103731348</v>
      </c>
      <c r="N3" s="177">
        <v>1</v>
      </c>
      <c r="O3" s="176">
        <f>O18*$I$20</f>
        <v>130920468</v>
      </c>
      <c r="P3" s="177">
        <v>1</v>
      </c>
      <c r="Q3" s="176">
        <f>Q18*$I$20</f>
        <v>164931144</v>
      </c>
      <c r="R3" s="177">
        <v>1</v>
      </c>
      <c r="S3" s="178">
        <f>S18*$I$20</f>
        <v>207292764</v>
      </c>
      <c r="U3" s="44">
        <f>SUM(B3:S3)</f>
        <v>753769806</v>
      </c>
    </row>
    <row r="4" spans="1:25" ht="12.75">
      <c r="A4" s="107" t="s">
        <v>84</v>
      </c>
      <c r="B4" s="169">
        <f>SUM(B5:B7)</f>
        <v>7865359.333333333</v>
      </c>
      <c r="C4" s="169">
        <f t="shared" ref="C4:G4" si="2">SUM(C5:C7)</f>
        <v>7865359.333333333</v>
      </c>
      <c r="D4" s="169">
        <f t="shared" si="2"/>
        <v>7865359.333333333</v>
      </c>
      <c r="E4" s="169">
        <f t="shared" si="2"/>
        <v>7865359.333333333</v>
      </c>
      <c r="F4" s="169">
        <f t="shared" si="2"/>
        <v>7865359.333333333</v>
      </c>
      <c r="G4" s="169">
        <f t="shared" si="2"/>
        <v>7865359.333333333</v>
      </c>
      <c r="H4" s="170">
        <f t="shared" ref="H4:H16" si="3">(I4)/$I$2</f>
        <v>0.12130188550706765</v>
      </c>
      <c r="I4" s="171">
        <f>SUM(I5:I7)</f>
        <v>7865359.333333333</v>
      </c>
      <c r="J4" s="172">
        <f t="shared" ref="J4:J16" si="4">(K4)/$K$2</f>
        <v>9.5857200056028907E-2</v>
      </c>
      <c r="K4" s="171">
        <f>SUM(K5:K7)</f>
        <v>7865359.333333333</v>
      </c>
      <c r="L4" s="172">
        <f t="shared" ref="L4:L16" si="5">(M4)/$M$2</f>
        <v>7.5824323938539134E-2</v>
      </c>
      <c r="M4" s="171">
        <f>SUM(M5:M7)</f>
        <v>7865359.333333333</v>
      </c>
      <c r="N4" s="172">
        <f t="shared" ref="N4:N16" si="6">(O4)/$O$2</f>
        <v>6.0077384793135118E-2</v>
      </c>
      <c r="O4" s="171">
        <f>SUM(O5:O7)</f>
        <v>7865359.333333333</v>
      </c>
      <c r="P4" s="172">
        <f t="shared" ref="P4:P16" si="7">(Q4)/$Q$2</f>
        <v>4.7688745391430337E-2</v>
      </c>
      <c r="Q4" s="171">
        <f>SUM(Q5:Q7)</f>
        <v>7865359.333333333</v>
      </c>
      <c r="R4" s="172">
        <f t="shared" ref="R4:R16" si="8">(S4)/$S$2</f>
        <v>3.7943241151115789E-2</v>
      </c>
      <c r="S4" s="173">
        <f>SUM(S5:S7)</f>
        <v>7865359.333333333</v>
      </c>
      <c r="U4" s="44">
        <f t="shared" si="1"/>
        <v>94384312.438692778</v>
      </c>
    </row>
    <row r="5" spans="1:25" ht="12.75">
      <c r="A5" s="108" t="s">
        <v>86</v>
      </c>
      <c r="B5" s="174">
        <f>'Salarios, gastos y costos'!$H$11</f>
        <v>60800</v>
      </c>
      <c r="C5" s="174">
        <f>'Salarios, gastos y costos'!$H$11</f>
        <v>60800</v>
      </c>
      <c r="D5" s="174">
        <f>'Salarios, gastos y costos'!$H$11</f>
        <v>60800</v>
      </c>
      <c r="E5" s="174">
        <f>'Salarios, gastos y costos'!$H$11</f>
        <v>60800</v>
      </c>
      <c r="F5" s="174">
        <f>'Salarios, gastos y costos'!$H$11</f>
        <v>60800</v>
      </c>
      <c r="G5" s="174">
        <f>'Salarios, gastos y costos'!$H$11</f>
        <v>60800</v>
      </c>
      <c r="H5" s="175">
        <f t="shared" si="3"/>
        <v>9.3767548642995416E-4</v>
      </c>
      <c r="I5" s="176">
        <f>'Salarios, gastos y costos'!$H$11</f>
        <v>60800</v>
      </c>
      <c r="J5" s="177">
        <f t="shared" si="4"/>
        <v>7.4098556930603774E-4</v>
      </c>
      <c r="K5" s="176">
        <f>'Salarios, gastos y costos'!$H$11</f>
        <v>60800</v>
      </c>
      <c r="L5" s="177">
        <f t="shared" si="5"/>
        <v>5.8612946975296224E-4</v>
      </c>
      <c r="M5" s="176">
        <f>'Salarios, gastos y costos'!$H$11</f>
        <v>60800</v>
      </c>
      <c r="N5" s="177">
        <f t="shared" si="6"/>
        <v>4.6440408385952303E-4</v>
      </c>
      <c r="O5" s="176">
        <f>'Salarios, gastos y costos'!$H$11</f>
        <v>60800</v>
      </c>
      <c r="P5" s="177">
        <f t="shared" si="7"/>
        <v>3.6863868475925929E-4</v>
      </c>
      <c r="Q5" s="176">
        <f>'Salarios, gastos y costos'!$H$11</f>
        <v>60800</v>
      </c>
      <c r="R5" s="177">
        <f t="shared" si="8"/>
        <v>2.9330498000402946E-4</v>
      </c>
      <c r="S5" s="178">
        <f>'Salarios, gastos y costos'!$H$11</f>
        <v>60800</v>
      </c>
      <c r="U5" s="44">
        <f t="shared" si="1"/>
        <v>729600.00339113828</v>
      </c>
    </row>
    <row r="6" spans="1:25" ht="12.75">
      <c r="A6" s="108" t="s">
        <v>88</v>
      </c>
      <c r="B6" s="174">
        <f>'Salarios, gastos y costos'!$B$11</f>
        <v>7746226</v>
      </c>
      <c r="C6" s="174">
        <f>'Salarios, gastos y costos'!$B$11</f>
        <v>7746226</v>
      </c>
      <c r="D6" s="174">
        <f>'Salarios, gastos y costos'!$B$11</f>
        <v>7746226</v>
      </c>
      <c r="E6" s="174">
        <f>'Salarios, gastos y costos'!$B$11</f>
        <v>7746226</v>
      </c>
      <c r="F6" s="174">
        <f>'Salarios, gastos y costos'!$B$11</f>
        <v>7746226</v>
      </c>
      <c r="G6" s="174">
        <f>'Salarios, gastos y costos'!$B$11</f>
        <v>7746226</v>
      </c>
      <c r="H6" s="175">
        <f t="shared" si="3"/>
        <v>0.11946457619319668</v>
      </c>
      <c r="I6" s="176">
        <f>'Salarios, gastos y costos'!$B$11</f>
        <v>7746226</v>
      </c>
      <c r="J6" s="177">
        <f t="shared" si="4"/>
        <v>9.4405290831961045E-2</v>
      </c>
      <c r="K6" s="176">
        <f>'Salarios, gastos y costos'!$B$11</f>
        <v>7746226</v>
      </c>
      <c r="L6" s="177">
        <f t="shared" si="5"/>
        <v>7.4675844374450823E-2</v>
      </c>
      <c r="M6" s="176">
        <f>'Salarios, gastos y costos'!$B$11</f>
        <v>7746226</v>
      </c>
      <c r="N6" s="177">
        <f t="shared" si="6"/>
        <v>5.9167417580572659E-2</v>
      </c>
      <c r="O6" s="176">
        <f>'Salarios, gastos y costos'!$B$11</f>
        <v>7746226</v>
      </c>
      <c r="P6" s="177">
        <f t="shared" si="7"/>
        <v>4.6966423758025955E-2</v>
      </c>
      <c r="Q6" s="176">
        <f>'Salarios, gastos y costos'!$B$11</f>
        <v>7746226</v>
      </c>
      <c r="R6" s="177">
        <f t="shared" si="8"/>
        <v>3.7368530625603504E-2</v>
      </c>
      <c r="S6" s="178">
        <f>'Salarios, gastos y costos'!$B$11</f>
        <v>7746226</v>
      </c>
      <c r="U6" s="44">
        <f t="shared" si="1"/>
        <v>92954712.432048082</v>
      </c>
      <c r="V6" s="103" t="s">
        <v>221</v>
      </c>
      <c r="X6" s="103" t="s">
        <v>225</v>
      </c>
      <c r="Y6" s="109">
        <f>U6+U7+U9+U10</f>
        <v>101358832.48533265</v>
      </c>
    </row>
    <row r="7" spans="1:25" ht="12.75">
      <c r="A7" s="108" t="s">
        <v>90</v>
      </c>
      <c r="B7" s="174">
        <f>'Presupuesto Inicial'!$J$20</f>
        <v>58333.333333333336</v>
      </c>
      <c r="C7" s="174">
        <f>'Presupuesto Inicial'!$J$20</f>
        <v>58333.333333333336</v>
      </c>
      <c r="D7" s="174">
        <f>'Presupuesto Inicial'!$J$20</f>
        <v>58333.333333333336</v>
      </c>
      <c r="E7" s="174">
        <f>'Presupuesto Inicial'!$J$20</f>
        <v>58333.333333333336</v>
      </c>
      <c r="F7" s="174">
        <f>'Presupuesto Inicial'!$J$20</f>
        <v>58333.333333333336</v>
      </c>
      <c r="G7" s="174">
        <f>'Presupuesto Inicial'!$J$20</f>
        <v>58333.333333333336</v>
      </c>
      <c r="H7" s="175">
        <f t="shared" si="3"/>
        <v>8.9963382744101972E-4</v>
      </c>
      <c r="I7" s="176">
        <f>'Presupuesto Inicial'!$J$20</f>
        <v>58333.333333333336</v>
      </c>
      <c r="J7" s="177">
        <f t="shared" si="4"/>
        <v>7.1092365476182356E-4</v>
      </c>
      <c r="K7" s="176">
        <f>'Presupuesto Inicial'!$J$20</f>
        <v>58333.333333333336</v>
      </c>
      <c r="L7" s="177">
        <f t="shared" si="5"/>
        <v>5.623500943353531E-4</v>
      </c>
      <c r="M7" s="176">
        <f>'Presupuesto Inicial'!$J$20</f>
        <v>58333.333333333336</v>
      </c>
      <c r="N7" s="177">
        <f t="shared" si="6"/>
        <v>4.4556312870294154E-4</v>
      </c>
      <c r="O7" s="176">
        <f>'Presupuesto Inicial'!$J$20</f>
        <v>58333.333333333336</v>
      </c>
      <c r="P7" s="177">
        <f t="shared" si="7"/>
        <v>3.5368294864512271E-4</v>
      </c>
      <c r="Q7" s="176">
        <f>'Presupuesto Inicial'!$J$20</f>
        <v>58333.333333333336</v>
      </c>
      <c r="R7" s="177">
        <f t="shared" si="8"/>
        <v>2.8140554550825199E-4</v>
      </c>
      <c r="S7" s="178">
        <f>'Presupuesto Inicial'!$J$20</f>
        <v>58333.333333333336</v>
      </c>
      <c r="U7" s="44">
        <f t="shared" si="1"/>
        <v>700000.00325355912</v>
      </c>
      <c r="V7" s="103" t="s">
        <v>222</v>
      </c>
    </row>
    <row r="8" spans="1:25" s="167" customFormat="1" ht="12.75">
      <c r="A8" s="107" t="s">
        <v>92</v>
      </c>
      <c r="B8" s="179">
        <f>B2-B4</f>
        <v>-7865359.333333333</v>
      </c>
      <c r="C8" s="179">
        <f t="shared" ref="C8:G8" si="9">C2-C4</f>
        <v>-7865359.333333333</v>
      </c>
      <c r="D8" s="180">
        <f t="shared" si="9"/>
        <v>-7865359.333333333</v>
      </c>
      <c r="E8" s="180">
        <f t="shared" si="9"/>
        <v>-7865359.333333333</v>
      </c>
      <c r="F8" s="180">
        <f t="shared" si="9"/>
        <v>-7865359.333333333</v>
      </c>
      <c r="G8" s="180">
        <f t="shared" si="9"/>
        <v>-7865359.333333333</v>
      </c>
      <c r="H8" s="170">
        <f t="shared" si="3"/>
        <v>0.87869811449293234</v>
      </c>
      <c r="I8" s="171">
        <f>I2-I4</f>
        <v>56975836.666666664</v>
      </c>
      <c r="J8" s="172">
        <f t="shared" si="4"/>
        <v>0.90414279994397118</v>
      </c>
      <c r="K8" s="171">
        <f>K2-K4</f>
        <v>74187520.666666672</v>
      </c>
      <c r="L8" s="172">
        <f t="shared" si="5"/>
        <v>0.92417567606146089</v>
      </c>
      <c r="M8" s="171">
        <f>M2-M4</f>
        <v>95865988.666666672</v>
      </c>
      <c r="N8" s="172">
        <f t="shared" si="6"/>
        <v>0.93992261520686493</v>
      </c>
      <c r="O8" s="171">
        <f>O2-O4</f>
        <v>123055108.66666667</v>
      </c>
      <c r="P8" s="172">
        <f t="shared" si="7"/>
        <v>0.95231125460856958</v>
      </c>
      <c r="Q8" s="171">
        <f>Q2-Q4</f>
        <v>157065784.66666666</v>
      </c>
      <c r="R8" s="172">
        <f t="shared" si="8"/>
        <v>0.9620567588488842</v>
      </c>
      <c r="S8" s="173">
        <f>S2-S4</f>
        <v>199427404.66666666</v>
      </c>
      <c r="U8" s="168">
        <f t="shared" si="1"/>
        <v>659385493.56130719</v>
      </c>
    </row>
    <row r="9" spans="1:25" ht="12.75">
      <c r="A9" s="108" t="s">
        <v>94</v>
      </c>
      <c r="B9" s="174">
        <f>'Salarios, gastos y costos'!$E$11+'Salarios, gastos y costos'!$K$11</f>
        <v>332010</v>
      </c>
      <c r="C9" s="174">
        <f>'Salarios, gastos y costos'!$E$11+'Salarios, gastos y costos'!$K$11</f>
        <v>332010</v>
      </c>
      <c r="D9" s="181">
        <f>'Salarios, gastos y costos'!$E$11+'Salarios, gastos y costos'!$K$11</f>
        <v>332010</v>
      </c>
      <c r="E9" s="181">
        <f>'Salarios, gastos y costos'!$E$11+'Salarios, gastos y costos'!$K$11</f>
        <v>332010</v>
      </c>
      <c r="F9" s="181">
        <f>'Salarios, gastos y costos'!$E$11+'Salarios, gastos y costos'!$K$11</f>
        <v>332010</v>
      </c>
      <c r="G9" s="181">
        <f>'Salarios, gastos y costos'!$E$11+'Salarios, gastos y costos'!$K$11</f>
        <v>332010</v>
      </c>
      <c r="H9" s="175">
        <f t="shared" si="3"/>
        <v>5.1203558922633076E-3</v>
      </c>
      <c r="I9" s="176">
        <f>'Salarios, gastos y costos'!$E$11+'Salarios, gastos y costos'!$K$11</f>
        <v>332010</v>
      </c>
      <c r="J9" s="177">
        <f t="shared" si="4"/>
        <v>4.0462930734423948E-3</v>
      </c>
      <c r="K9" s="176">
        <f>'Salarios, gastos y costos'!$E$11+'Salarios, gastos y costos'!$K$11</f>
        <v>332010</v>
      </c>
      <c r="L9" s="177">
        <f t="shared" si="5"/>
        <v>3.2006717969190954E-3</v>
      </c>
      <c r="M9" s="176">
        <f>'Salarios, gastos y costos'!$E$11+'Salarios, gastos y costos'!$K$11</f>
        <v>332010</v>
      </c>
      <c r="N9" s="177">
        <f t="shared" si="6"/>
        <v>2.5359671033256619E-3</v>
      </c>
      <c r="O9" s="176">
        <f>'Salarios, gastos y costos'!$E$11+'Salarios, gastos y costos'!$K$11</f>
        <v>332010</v>
      </c>
      <c r="P9" s="177">
        <f t="shared" si="7"/>
        <v>2.0130218705085804E-3</v>
      </c>
      <c r="Q9" s="176">
        <f>'Salarios, gastos y costos'!$E$11+'Salarios, gastos y costos'!$K$11</f>
        <v>332010</v>
      </c>
      <c r="R9" s="177">
        <f t="shared" si="8"/>
        <v>1.6016478028147668E-3</v>
      </c>
      <c r="S9" s="178">
        <f>'Salarios, gastos y costos'!$E$11+'Salarios, gastos y costos'!$K$11</f>
        <v>332010</v>
      </c>
      <c r="U9" s="44">
        <f t="shared" si="1"/>
        <v>3984120.0185179571</v>
      </c>
      <c r="V9" s="103" t="s">
        <v>223</v>
      </c>
    </row>
    <row r="10" spans="1:25" ht="12.75">
      <c r="A10" s="108" t="s">
        <v>96</v>
      </c>
      <c r="B10" s="174">
        <v>0</v>
      </c>
      <c r="C10" s="174">
        <f>'Salarios, gastos y costos'!G37</f>
        <v>110000</v>
      </c>
      <c r="D10" s="181">
        <f>'Salarios, gastos y costos'!G38</f>
        <v>140000</v>
      </c>
      <c r="E10" s="181">
        <f>'Salarios, gastos y costos'!G39</f>
        <v>40000</v>
      </c>
      <c r="F10" s="181">
        <f>'Salarios, gastos y costos'!G40</f>
        <v>40000</v>
      </c>
      <c r="G10" s="181">
        <v>0</v>
      </c>
      <c r="H10" s="175">
        <f t="shared" si="3"/>
        <v>8.713596214357305E-3</v>
      </c>
      <c r="I10" s="176">
        <f>'Salarios, gastos y costos'!$F$41+'Salarios, gastos y costos'!$F$42</f>
        <v>565000</v>
      </c>
      <c r="J10" s="177">
        <f t="shared" si="4"/>
        <v>6.8858033989788051E-3</v>
      </c>
      <c r="K10" s="176">
        <f>'Salarios, gastos y costos'!$F$41+'Salarios, gastos y costos'!$F$42</f>
        <v>565000</v>
      </c>
      <c r="L10" s="177">
        <f t="shared" si="5"/>
        <v>5.4467623422767052E-3</v>
      </c>
      <c r="M10" s="176">
        <f>'Salarios, gastos y costos'!$F$41+'Salarios, gastos y costos'!$F$42</f>
        <v>565000</v>
      </c>
      <c r="N10" s="177">
        <f t="shared" si="6"/>
        <v>4.3155971608656333E-3</v>
      </c>
      <c r="O10" s="176">
        <f>'Salarios, gastos y costos'!$F$41+'Salarios, gastos y costos'!$F$42</f>
        <v>565000</v>
      </c>
      <c r="P10" s="177">
        <f t="shared" si="7"/>
        <v>3.425671988305617E-3</v>
      </c>
      <c r="Q10" s="176">
        <f>'Salarios, gastos y costos'!$F$41+'Salarios, gastos y costos'!$F$42</f>
        <v>565000</v>
      </c>
      <c r="R10" s="177">
        <f t="shared" si="8"/>
        <v>2.7256137122084975E-3</v>
      </c>
      <c r="S10" s="178">
        <f>'Salarios, gastos y costos'!$F$41+'Salarios, gastos y costos'!$F$42</f>
        <v>565000</v>
      </c>
      <c r="U10" s="44">
        <f t="shared" si="1"/>
        <v>3720000.0315130455</v>
      </c>
      <c r="V10" s="103" t="s">
        <v>224</v>
      </c>
    </row>
    <row r="11" spans="1:25" s="167" customFormat="1" ht="12.75">
      <c r="A11" s="107" t="s">
        <v>99</v>
      </c>
      <c r="B11" s="179">
        <f t="shared" ref="B11:G11" si="10">B8-B9-B10</f>
        <v>-8197369.333333333</v>
      </c>
      <c r="C11" s="179">
        <f>C8-C9-C10</f>
        <v>-8307369.333333333</v>
      </c>
      <c r="D11" s="180">
        <f t="shared" si="10"/>
        <v>-8337369.333333333</v>
      </c>
      <c r="E11" s="180">
        <f t="shared" si="10"/>
        <v>-8237369.333333333</v>
      </c>
      <c r="F11" s="180">
        <f t="shared" si="10"/>
        <v>-8237369.333333333</v>
      </c>
      <c r="G11" s="180">
        <f t="shared" si="10"/>
        <v>-8197369.333333333</v>
      </c>
      <c r="H11" s="170">
        <f t="shared" si="3"/>
        <v>0.8648641623863117</v>
      </c>
      <c r="I11" s="182">
        <f>I8-I9-I10</f>
        <v>56078826.666666664</v>
      </c>
      <c r="J11" s="172">
        <f t="shared" si="4"/>
        <v>0.89321070347154996</v>
      </c>
      <c r="K11" s="182">
        <f>K8-K9-K10</f>
        <v>73290510.666666672</v>
      </c>
      <c r="L11" s="172">
        <f t="shared" si="5"/>
        <v>0.91552824192226512</v>
      </c>
      <c r="M11" s="182">
        <f>M8-M9-M10</f>
        <v>94968978.666666672</v>
      </c>
      <c r="N11" s="172">
        <f t="shared" si="6"/>
        <v>0.93307105094267362</v>
      </c>
      <c r="O11" s="182">
        <f>O8-O9-O10</f>
        <v>122158098.66666667</v>
      </c>
      <c r="P11" s="172">
        <f t="shared" si="7"/>
        <v>0.94687256074975545</v>
      </c>
      <c r="Q11" s="171">
        <f>Q8-Q9-Q10</f>
        <v>156168774.66666666</v>
      </c>
      <c r="R11" s="172">
        <f t="shared" si="8"/>
        <v>0.95772949733386092</v>
      </c>
      <c r="S11" s="173">
        <f>S8-S9-S10</f>
        <v>198530394.66666666</v>
      </c>
      <c r="U11" s="168">
        <f t="shared" si="1"/>
        <v>651681373.51127625</v>
      </c>
    </row>
    <row r="12" spans="1:25" ht="12.75">
      <c r="A12" s="108" t="s">
        <v>100</v>
      </c>
      <c r="B12" s="174">
        <v>0</v>
      </c>
      <c r="C12" s="174">
        <v>0</v>
      </c>
      <c r="D12" s="181">
        <v>0</v>
      </c>
      <c r="E12" s="181">
        <v>0</v>
      </c>
      <c r="F12" s="181">
        <v>0</v>
      </c>
      <c r="G12" s="181">
        <v>0</v>
      </c>
      <c r="H12" s="175">
        <f t="shared" si="3"/>
        <v>0</v>
      </c>
      <c r="I12" s="176">
        <v>0</v>
      </c>
      <c r="J12" s="177">
        <f t="shared" si="4"/>
        <v>0</v>
      </c>
      <c r="K12" s="176">
        <v>0</v>
      </c>
      <c r="L12" s="177">
        <f t="shared" si="5"/>
        <v>0</v>
      </c>
      <c r="M12" s="176">
        <v>0</v>
      </c>
      <c r="N12" s="177">
        <f t="shared" si="6"/>
        <v>0</v>
      </c>
      <c r="O12" s="176">
        <v>0</v>
      </c>
      <c r="P12" s="177">
        <f t="shared" si="7"/>
        <v>0</v>
      </c>
      <c r="Q12" s="176">
        <v>0</v>
      </c>
      <c r="R12" s="177">
        <f t="shared" si="8"/>
        <v>0</v>
      </c>
      <c r="S12" s="176">
        <v>0</v>
      </c>
      <c r="U12" s="44">
        <f t="shared" si="1"/>
        <v>0</v>
      </c>
    </row>
    <row r="13" spans="1:25" ht="12.75">
      <c r="A13" s="108" t="s">
        <v>101</v>
      </c>
      <c r="B13" s="174">
        <v>0</v>
      </c>
      <c r="C13" s="174">
        <v>0</v>
      </c>
      <c r="D13" s="181">
        <v>0</v>
      </c>
      <c r="E13" s="181">
        <v>0</v>
      </c>
      <c r="F13" s="181">
        <v>0</v>
      </c>
      <c r="G13" s="181">
        <v>0</v>
      </c>
      <c r="H13" s="175">
        <f t="shared" si="3"/>
        <v>0</v>
      </c>
      <c r="I13" s="176">
        <v>0</v>
      </c>
      <c r="J13" s="177">
        <f t="shared" si="4"/>
        <v>0</v>
      </c>
      <c r="K13" s="176">
        <v>0</v>
      </c>
      <c r="L13" s="177">
        <f t="shared" si="5"/>
        <v>0</v>
      </c>
      <c r="M13" s="176">
        <v>0</v>
      </c>
      <c r="N13" s="177">
        <f t="shared" si="6"/>
        <v>0</v>
      </c>
      <c r="O13" s="176">
        <v>0</v>
      </c>
      <c r="P13" s="177">
        <f t="shared" si="7"/>
        <v>0</v>
      </c>
      <c r="Q13" s="176">
        <v>0</v>
      </c>
      <c r="R13" s="177">
        <f t="shared" si="8"/>
        <v>0</v>
      </c>
      <c r="S13" s="178">
        <v>0</v>
      </c>
      <c r="U13" s="44">
        <f t="shared" si="1"/>
        <v>0</v>
      </c>
    </row>
    <row r="14" spans="1:25" s="167" customFormat="1" ht="12.75">
      <c r="A14" s="107" t="s">
        <v>102</v>
      </c>
      <c r="B14" s="179">
        <f t="shared" ref="B14:G14" si="11">B11+B12-B13</f>
        <v>-8197369.333333333</v>
      </c>
      <c r="C14" s="179">
        <f>C11+C12-C13</f>
        <v>-8307369.333333333</v>
      </c>
      <c r="D14" s="180">
        <f t="shared" si="11"/>
        <v>-8337369.333333333</v>
      </c>
      <c r="E14" s="180">
        <f t="shared" si="11"/>
        <v>-8237369.333333333</v>
      </c>
      <c r="F14" s="180">
        <f t="shared" si="11"/>
        <v>-8237369.333333333</v>
      </c>
      <c r="G14" s="180">
        <f t="shared" si="11"/>
        <v>-8197369.333333333</v>
      </c>
      <c r="H14" s="170">
        <f t="shared" si="3"/>
        <v>0.8648641623863117</v>
      </c>
      <c r="I14" s="182">
        <f>I11+I12-I13</f>
        <v>56078826.666666664</v>
      </c>
      <c r="J14" s="172">
        <f t="shared" si="4"/>
        <v>0.89321070347154996</v>
      </c>
      <c r="K14" s="182">
        <f>K11+K12-K13</f>
        <v>73290510.666666672</v>
      </c>
      <c r="L14" s="172">
        <f t="shared" si="5"/>
        <v>0.91552824192226512</v>
      </c>
      <c r="M14" s="182">
        <f>M11+M12-M13</f>
        <v>94968978.666666672</v>
      </c>
      <c r="N14" s="172">
        <f t="shared" si="6"/>
        <v>0.93307105094267362</v>
      </c>
      <c r="O14" s="182">
        <f>O11+O12-O13</f>
        <v>122158098.66666667</v>
      </c>
      <c r="P14" s="172">
        <f t="shared" si="7"/>
        <v>0.94687256074975545</v>
      </c>
      <c r="Q14" s="171">
        <f>Q11+Q12-Q13</f>
        <v>156168774.66666666</v>
      </c>
      <c r="R14" s="172">
        <f t="shared" si="8"/>
        <v>0.95772949733386092</v>
      </c>
      <c r="S14" s="173">
        <f>S11+S12-S13</f>
        <v>198530394.66666666</v>
      </c>
      <c r="U14" s="168">
        <f t="shared" si="1"/>
        <v>651681373.51127625</v>
      </c>
    </row>
    <row r="15" spans="1:25" ht="12.75">
      <c r="A15" s="108" t="s">
        <v>103</v>
      </c>
      <c r="B15" s="174">
        <f>IF(B14&gt;0, B14*0.35, 0)</f>
        <v>0</v>
      </c>
      <c r="C15" s="174">
        <f t="shared" ref="C15:G15" si="12">IF(C14&gt;0, C14*0.35, 0)</f>
        <v>0</v>
      </c>
      <c r="D15" s="181">
        <f t="shared" si="12"/>
        <v>0</v>
      </c>
      <c r="E15" s="181">
        <f t="shared" si="12"/>
        <v>0</v>
      </c>
      <c r="F15" s="181">
        <f t="shared" si="12"/>
        <v>0</v>
      </c>
      <c r="G15" s="181">
        <f t="shared" si="12"/>
        <v>0</v>
      </c>
      <c r="H15" s="175">
        <f t="shared" si="3"/>
        <v>0.30270245683520908</v>
      </c>
      <c r="I15" s="176">
        <f>IF(I14&gt;0, I14*0.35, 0)</f>
        <v>19627589.333333332</v>
      </c>
      <c r="J15" s="177">
        <f t="shared" si="4"/>
        <v>0.31262374621504246</v>
      </c>
      <c r="K15" s="176">
        <f>IF(K14&gt;0, K14*0.35, 0)</f>
        <v>25651678.733333334</v>
      </c>
      <c r="L15" s="177">
        <f t="shared" si="5"/>
        <v>0.32043488467279274</v>
      </c>
      <c r="M15" s="176">
        <f>IF(M14&gt;0, M14*0.35, 0)</f>
        <v>33239142.533333331</v>
      </c>
      <c r="N15" s="177">
        <f t="shared" si="6"/>
        <v>0.32657486782993572</v>
      </c>
      <c r="O15" s="176">
        <f>IF(O14&gt;0, O14*0.35, 0)</f>
        <v>42755334.533333331</v>
      </c>
      <c r="P15" s="177">
        <f t="shared" si="7"/>
        <v>0.33140539626241439</v>
      </c>
      <c r="Q15" s="176">
        <f>IF(Q14&gt;0, Q14*0.35, 0)</f>
        <v>54659071.133333325</v>
      </c>
      <c r="R15" s="177">
        <f t="shared" si="8"/>
        <v>0.33520532406685127</v>
      </c>
      <c r="S15" s="178">
        <f>IF(S14&gt;0, S14*0.35, 0)</f>
        <v>69485638.133333325</v>
      </c>
      <c r="U15" s="44">
        <f t="shared" si="1"/>
        <v>245418456.32894665</v>
      </c>
    </row>
    <row r="16" spans="1:25" s="167" customFormat="1" ht="12.75">
      <c r="A16" s="107" t="s">
        <v>104</v>
      </c>
      <c r="B16" s="179">
        <f t="shared" ref="B16:G16" si="13">B14-B15</f>
        <v>-8197369.333333333</v>
      </c>
      <c r="C16" s="179">
        <f t="shared" si="13"/>
        <v>-8307369.333333333</v>
      </c>
      <c r="D16" s="180">
        <f t="shared" si="13"/>
        <v>-8337369.333333333</v>
      </c>
      <c r="E16" s="180">
        <f t="shared" si="13"/>
        <v>-8237369.333333333</v>
      </c>
      <c r="F16" s="180">
        <f t="shared" si="13"/>
        <v>-8237369.333333333</v>
      </c>
      <c r="G16" s="180">
        <f t="shared" si="13"/>
        <v>-8197369.333333333</v>
      </c>
      <c r="H16" s="170">
        <f t="shared" si="3"/>
        <v>0.56216170555110256</v>
      </c>
      <c r="I16" s="182">
        <f>I14-I15</f>
        <v>36451237.333333328</v>
      </c>
      <c r="J16" s="172">
        <f t="shared" si="4"/>
        <v>0.58058695725650744</v>
      </c>
      <c r="K16" s="182">
        <f>K14-K15</f>
        <v>47638831.933333337</v>
      </c>
      <c r="L16" s="172">
        <f t="shared" si="5"/>
        <v>0.59509335724947232</v>
      </c>
      <c r="M16" s="182">
        <f>M14-M15</f>
        <v>61729836.13333334</v>
      </c>
      <c r="N16" s="172">
        <f t="shared" si="6"/>
        <v>0.6064961831127379</v>
      </c>
      <c r="O16" s="182">
        <f>O14-O15</f>
        <v>79402764.13333334</v>
      </c>
      <c r="P16" s="172">
        <f t="shared" si="7"/>
        <v>0.61546716448734107</v>
      </c>
      <c r="Q16" s="171">
        <f>Q14-Q15</f>
        <v>101509703.53333333</v>
      </c>
      <c r="R16" s="172">
        <f t="shared" si="8"/>
        <v>0.6225241732670096</v>
      </c>
      <c r="S16" s="173">
        <f>S14-S15</f>
        <v>129044756.53333333</v>
      </c>
      <c r="U16" s="168">
        <f t="shared" si="1"/>
        <v>406262917.18232954</v>
      </c>
    </row>
    <row r="18" spans="7:19" ht="12.75">
      <c r="G18" s="11" t="s">
        <v>109</v>
      </c>
      <c r="H18" s="11"/>
      <c r="I18" s="11">
        <v>2671</v>
      </c>
      <c r="J18" s="11"/>
      <c r="K18" s="65">
        <f>'Tabla Crecimiento'!B4</f>
        <v>3380</v>
      </c>
      <c r="L18" s="11"/>
      <c r="M18" s="65">
        <f>'Tabla Crecimiento'!B5</f>
        <v>4273</v>
      </c>
      <c r="N18" s="11"/>
      <c r="O18" s="65">
        <f>'Tabla Crecimiento'!B6</f>
        <v>5393</v>
      </c>
      <c r="P18" s="11"/>
      <c r="Q18" s="65">
        <f>'Tabla Crecimiento'!B7</f>
        <v>6794</v>
      </c>
      <c r="R18" s="11"/>
      <c r="S18" s="65">
        <f>'Tabla Crecimiento'!B8</f>
        <v>8539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105" t="s">
        <v>191</v>
      </c>
      <c r="H20" s="11"/>
      <c r="I20" s="11">
        <f>(20400+(20400*0.19))</f>
        <v>24276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6 H8:S16">
    <cfRule type="cellIs" dxfId="13" priority="15" operator="lessThan">
      <formula>0</formula>
    </cfRule>
  </conditionalFormatting>
  <conditionalFormatting sqref="I8">
    <cfRule type="cellIs" dxfId="12" priority="13" operator="lessThan">
      <formula>0</formula>
    </cfRule>
    <cfRule type="cellIs" dxfId="11" priority="14" operator="lessThan">
      <formula>0</formula>
    </cfRule>
  </conditionalFormatting>
  <conditionalFormatting sqref="H2:S16">
    <cfRule type="cellIs" dxfId="10" priority="7" operator="greaterThan">
      <formula>0</formula>
    </cfRule>
  </conditionalFormatting>
  <conditionalFormatting sqref="D2:G16">
    <cfRule type="cellIs" dxfId="9" priority="5" operator="lessThan">
      <formula>0</formula>
    </cfRule>
  </conditionalFormatting>
  <conditionalFormatting sqref="B8:C8">
    <cfRule type="cellIs" dxfId="8" priority="4" operator="lessThan">
      <formula>0</formula>
    </cfRule>
  </conditionalFormatting>
  <conditionalFormatting sqref="B11:C11">
    <cfRule type="cellIs" dxfId="7" priority="3" operator="lessThan">
      <formula>0</formula>
    </cfRule>
  </conditionalFormatting>
  <conditionalFormatting sqref="B14:C14">
    <cfRule type="cellIs" dxfId="6" priority="2" operator="lessThan">
      <formula>0</formula>
    </cfRule>
  </conditionalFormatting>
  <conditionalFormatting sqref="B16:C16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sqref="A1:K16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146" t="s">
        <v>74</v>
      </c>
      <c r="C1" s="128"/>
      <c r="D1" s="146" t="s">
        <v>75</v>
      </c>
      <c r="E1" s="128"/>
      <c r="F1" s="146" t="s">
        <v>76</v>
      </c>
      <c r="G1" s="128"/>
      <c r="H1" s="146" t="s">
        <v>78</v>
      </c>
      <c r="I1" s="128"/>
      <c r="J1" s="147" t="s">
        <v>79</v>
      </c>
      <c r="K1" s="148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753769806</v>
      </c>
      <c r="D2" s="36">
        <v>1</v>
      </c>
      <c r="E2" s="35">
        <f>E3</f>
        <v>1949969700</v>
      </c>
      <c r="F2" s="36">
        <v>1</v>
      </c>
      <c r="G2" s="35">
        <f>G3</f>
        <v>3692646636</v>
      </c>
      <c r="H2" s="36">
        <v>1</v>
      </c>
      <c r="I2" s="35">
        <f>I3</f>
        <v>3887680020</v>
      </c>
      <c r="J2" s="36">
        <v>1</v>
      </c>
      <c r="K2" s="37">
        <f>K3</f>
        <v>3899259672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753769806</v>
      </c>
      <c r="D3" s="51">
        <v>1</v>
      </c>
      <c r="E3" s="49">
        <f>E18*$E$19</f>
        <v>1949969700</v>
      </c>
      <c r="F3" s="49">
        <f t="shared" ref="F3:K3" si="0">F18*$E$19</f>
        <v>0</v>
      </c>
      <c r="G3" s="49">
        <f>G18*$E$19</f>
        <v>3692646636</v>
      </c>
      <c r="H3" s="49">
        <f t="shared" si="0"/>
        <v>0</v>
      </c>
      <c r="I3" s="49">
        <f t="shared" si="0"/>
        <v>3887680020</v>
      </c>
      <c r="J3" s="49">
        <f t="shared" si="0"/>
        <v>0</v>
      </c>
      <c r="K3" s="49">
        <f t="shared" si="0"/>
        <v>3899259672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0.12521636139759726</v>
      </c>
      <c r="C4" s="35">
        <f>SUM(C5:C7)</f>
        <v>94384312.438692778</v>
      </c>
      <c r="D4" s="51">
        <f>(E4)/$E$2</f>
        <v>5.1285602396796214E-2</v>
      </c>
      <c r="E4" s="35">
        <f>SUM(E5:E7)</f>
        <v>100005370.72</v>
      </c>
      <c r="F4" s="36">
        <f t="shared" ref="F4:F16" si="2">(G4)/$G$2</f>
        <v>2.7209154350289151E-2</v>
      </c>
      <c r="G4" s="35">
        <f>SUM(G5:G7)</f>
        <v>100473792.28</v>
      </c>
      <c r="H4" s="36">
        <f t="shared" ref="H4:H16" si="3">(I4)/$I$2</f>
        <v>2.5964640433550908E-2</v>
      </c>
      <c r="I4" s="35">
        <f>SUM(I5:I7)</f>
        <v>100942213.84</v>
      </c>
      <c r="J4" s="36">
        <f t="shared" ref="J4:J16" si="4">(K4)/$K$2</f>
        <v>2.5935585462593422E-2</v>
      </c>
      <c r="K4" s="37">
        <f>SUM(K5:K7)</f>
        <v>101129582.464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9.6793476945286172E-4</v>
      </c>
      <c r="C5" s="49">
        <f>'Estado de resultados PyG - 12 m'!U5</f>
        <v>729600.00339113828</v>
      </c>
      <c r="D5" s="51">
        <f>(E5)/E2</f>
        <v>3.9660923962049258E-4</v>
      </c>
      <c r="E5" s="49">
        <f>('Salarios, gastos y costos'!$H$11*12)+('Salarios, gastos y costos'!$H$11*12*E21)</f>
        <v>773376</v>
      </c>
      <c r="F5" s="51">
        <f t="shared" si="2"/>
        <v>2.1042468359271408E-4</v>
      </c>
      <c r="G5" s="49">
        <f>('Salarios, gastos y costos'!$H$11*12)+('Salarios, gastos y costos'!$H$11*12*G21)</f>
        <v>777024</v>
      </c>
      <c r="H5" s="51">
        <f t="shared" si="3"/>
        <v>2.0080664972010737E-4</v>
      </c>
      <c r="I5" s="49">
        <f>('Salarios, gastos y costos'!$H$11*12)+('Salarios, gastos y costos'!$H$11*12*I21)</f>
        <v>780672</v>
      </c>
      <c r="J5" s="51">
        <f t="shared" si="4"/>
        <v>2.0058453803842996E-4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0.12331976114210136</v>
      </c>
      <c r="C6" s="49">
        <f>'Estado de resultados PyG - 12 m'!U6</f>
        <v>92954712.432048082</v>
      </c>
      <c r="D6" s="51">
        <f t="shared" ref="D6:D16" si="5">E6/$E$2</f>
        <v>5.0530013220205422E-2</v>
      </c>
      <c r="E6" s="49">
        <f>('Salarios, gastos y costos'!$B$27)*12+(('Salarios, gastos y costos'!B11*12)*E21)</f>
        <v>98531994.719999999</v>
      </c>
      <c r="F6" s="51">
        <f t="shared" si="2"/>
        <v>2.680916373499433E-2</v>
      </c>
      <c r="G6" s="49">
        <f>('Salarios, gastos y costos'!$B$27)*12+(('Salarios, gastos y costos'!B11*12)*G21)</f>
        <v>98996768.280000001</v>
      </c>
      <c r="H6" s="51">
        <f t="shared" si="3"/>
        <v>2.5583777813072178E-2</v>
      </c>
      <c r="I6" s="49">
        <f>('Salarios, gastos y costos'!$B$27)*12+('Salarios, gastos y costos'!B11*12)*I21</f>
        <v>99461541.840000004</v>
      </c>
      <c r="J6" s="51">
        <f t="shared" si="4"/>
        <v>2.5555479666961766E-2</v>
      </c>
      <c r="K6" s="52">
        <f>('Salarios, gastos y costos'!$B$27)*12+('Salarios, gastos y costos'!B11*12)*K21</f>
        <v>99647451.263999999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9.2866548604304149E-4</v>
      </c>
      <c r="C7" s="49">
        <f>'Estado de resultados PyG - 12 m'!U7</f>
        <v>700000.00325355912</v>
      </c>
      <c r="D7" s="51">
        <f t="shared" si="5"/>
        <v>3.5897993697030266E-4</v>
      </c>
      <c r="E7" s="49">
        <f>('Presupuesto Inicial'!$J$20)*12</f>
        <v>700000</v>
      </c>
      <c r="F7" s="51">
        <f t="shared" si="2"/>
        <v>1.8956593170210939E-4</v>
      </c>
      <c r="G7" s="49">
        <f>('Presupuesto Inicial'!$J$20)*12</f>
        <v>700000</v>
      </c>
      <c r="H7" s="51">
        <f t="shared" si="3"/>
        <v>1.8005597075862226E-4</v>
      </c>
      <c r="I7" s="49">
        <f>('Presupuesto Inicial'!$J$20)*12</f>
        <v>700000</v>
      </c>
      <c r="J7" s="51">
        <f t="shared" si="4"/>
        <v>1.7952125759322857E-4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0.87478363860240271</v>
      </c>
      <c r="C8" s="35">
        <f>C2-C4</f>
        <v>659385493.56130719</v>
      </c>
      <c r="D8" s="36">
        <f t="shared" si="5"/>
        <v>0.94871439760320375</v>
      </c>
      <c r="E8" s="35">
        <f>E2-E4</f>
        <v>1849964329.28</v>
      </c>
      <c r="F8" s="36">
        <f t="shared" si="2"/>
        <v>0.97279084564971074</v>
      </c>
      <c r="G8" s="35">
        <f>G2-G4</f>
        <v>3592172843.7199998</v>
      </c>
      <c r="H8" s="36">
        <f t="shared" si="3"/>
        <v>0.97403535956644904</v>
      </c>
      <c r="I8" s="35">
        <f>I2-I4</f>
        <v>3786737806.1599998</v>
      </c>
      <c r="J8" s="36">
        <f t="shared" si="4"/>
        <v>0.97406441453740655</v>
      </c>
      <c r="K8" s="37">
        <f>K2-K4</f>
        <v>3798130089.5359998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5.2855924803625748E-3</v>
      </c>
      <c r="C9" s="49">
        <f>'Estado de resultados PyG - 12 m'!U9</f>
        <v>3984120.0185179571</v>
      </c>
      <c r="D9" s="51">
        <f t="shared" si="5"/>
        <v>2.1657604318821131E-3</v>
      </c>
      <c r="E9" s="49">
        <f>'Estado de resultados PyG - 12 m'!U9+('Estado de resultados PyG - 12 m'!U9*E21)</f>
        <v>4223167.2196290344</v>
      </c>
      <c r="F9" s="51">
        <f t="shared" si="2"/>
        <v>1.1490641369134309E-3</v>
      </c>
      <c r="G9" s="49">
        <f>'Estado de resultados PyG - 12 m'!U9+('Estado de resultados PyG - 12 m'!U9*G21)</f>
        <v>4243087.8197216243</v>
      </c>
      <c r="H9" s="51">
        <f t="shared" si="3"/>
        <v>1.0965430276883266E-3</v>
      </c>
      <c r="I9" s="49">
        <f>'Estado de resultados PyG - 12 m'!U9+('Estado de resultados PyG - 12 m'!U9*I21)</f>
        <v>4263008.4198142141</v>
      </c>
      <c r="J9" s="51">
        <f t="shared" si="4"/>
        <v>1.0953301444683191E-3</v>
      </c>
      <c r="K9" s="52">
        <f>'Estado de resultados PyG - 12 m'!U9+('Estado de resultados PyG - 12 m'!U9*K21)</f>
        <v>4270976.6598512502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4.9351937446974964E-3</v>
      </c>
      <c r="C10" s="49">
        <f>'Estado de resultados PyG - 12 m'!$U$10</f>
        <v>3720000.0315130455</v>
      </c>
      <c r="D10" s="51">
        <f t="shared" si="5"/>
        <v>2.022185284932288E-3</v>
      </c>
      <c r="E10" s="49">
        <f>('Estado de resultados PyG - 12 m'!$U$10)+('Estado de resultados PyG - 12 m'!$U$10*E21)</f>
        <v>3943200.0334038283</v>
      </c>
      <c r="F10" s="51">
        <f t="shared" si="2"/>
        <v>1.072889020827877E-3</v>
      </c>
      <c r="G10" s="49">
        <f>('Estado de resultados PyG - 12 m'!$U$10)+('Estado de resultados PyG - 12 m'!$U$10*G21)</f>
        <v>3961800.0335613936</v>
      </c>
      <c r="H10" s="51">
        <f t="shared" si="3"/>
        <v>1.0238497029698857E-3</v>
      </c>
      <c r="I10" s="49">
        <f>('Estado de resultados PyG - 12 m'!$U$10)+('Estado de resultados PyG - 12 m'!$U$10*I21)</f>
        <v>3980400.033718959</v>
      </c>
      <c r="J10" s="51">
        <f t="shared" si="4"/>
        <v>1.0227172256359501E-3</v>
      </c>
      <c r="K10" s="52">
        <f>('Estado de resultados PyG - 12 m'!$U$10)+('Estado de resultados PyG - 12 m'!$U$10*K21)</f>
        <v>3987840.0337819848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0.86456285237734254</v>
      </c>
      <c r="C11" s="35">
        <f>C8-C9-C10</f>
        <v>651681373.51127613</v>
      </c>
      <c r="D11" s="36">
        <f t="shared" si="5"/>
        <v>0.94452645188638928</v>
      </c>
      <c r="E11" s="35">
        <f>E8-E9-E10</f>
        <v>1841797962.026967</v>
      </c>
      <c r="F11" s="36">
        <f t="shared" si="2"/>
        <v>0.97056889249196954</v>
      </c>
      <c r="G11" s="35">
        <f>G8-G9-G10</f>
        <v>3583967955.8667169</v>
      </c>
      <c r="H11" s="36">
        <f t="shared" si="3"/>
        <v>0.97191496683579082</v>
      </c>
      <c r="I11" s="35">
        <f>I8-I9-I10</f>
        <v>3778494397.7064667</v>
      </c>
      <c r="J11" s="36">
        <f t="shared" si="4"/>
        <v>0.97194636716730232</v>
      </c>
      <c r="K11" s="37">
        <f>K8-K9-K10</f>
        <v>3789871272.8423667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0.86456285237734254</v>
      </c>
      <c r="C14" s="35">
        <f>C11+C12-C13</f>
        <v>651681373.51127613</v>
      </c>
      <c r="D14" s="36">
        <f t="shared" si="5"/>
        <v>0.94452645188638928</v>
      </c>
      <c r="E14" s="35">
        <f>E11+E12-E13</f>
        <v>1841797962.026967</v>
      </c>
      <c r="F14" s="36">
        <f t="shared" si="2"/>
        <v>0.97056889249196954</v>
      </c>
      <c r="G14" s="35">
        <f>G11+G12-G13</f>
        <v>3583967955.8667169</v>
      </c>
      <c r="H14" s="36">
        <f t="shared" si="3"/>
        <v>0.97191496683579082</v>
      </c>
      <c r="I14" s="35">
        <f>I11+I12-I13</f>
        <v>3778494397.7064667</v>
      </c>
      <c r="J14" s="36">
        <f t="shared" si="4"/>
        <v>0.97194636716730232</v>
      </c>
      <c r="K14" s="37">
        <f>K11+K12-K13</f>
        <v>3789871272.8423667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0.32558806995904882</v>
      </c>
      <c r="C15" s="49">
        <f>'Estado de resultados PyG - 12 m'!U15</f>
        <v>245418456.32894665</v>
      </c>
      <c r="D15" s="51">
        <f t="shared" si="5"/>
        <v>0.33058425816023623</v>
      </c>
      <c r="E15" s="49">
        <f>IF(E14&gt;0, E14*0.35, 0)</f>
        <v>644629286.70943844</v>
      </c>
      <c r="F15" s="51">
        <f t="shared" si="2"/>
        <v>0.33969911237218936</v>
      </c>
      <c r="G15" s="49">
        <f>IF(G14&gt;0, G14*0.35, 0)</f>
        <v>1254388784.5533509</v>
      </c>
      <c r="H15" s="51">
        <f t="shared" si="3"/>
        <v>0.34017023839252675</v>
      </c>
      <c r="I15" s="49">
        <f>IF(I14&gt;0, I14*0.35, 0)</f>
        <v>1322473039.1972632</v>
      </c>
      <c r="J15" s="51">
        <f t="shared" si="4"/>
        <v>0.34018122850855576</v>
      </c>
      <c r="K15" s="52">
        <f>IF(K14&gt;0, K14*0.35, 0)</f>
        <v>1326454945.4948282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0.53897478241829377</v>
      </c>
      <c r="C16" s="35">
        <f>C14-C15</f>
        <v>406262917.18232948</v>
      </c>
      <c r="D16" s="36">
        <f t="shared" si="5"/>
        <v>0.61394219372615311</v>
      </c>
      <c r="E16" s="35">
        <f>E14-E15</f>
        <v>1197168675.3175287</v>
      </c>
      <c r="F16" s="36">
        <f t="shared" si="2"/>
        <v>0.63086978011978012</v>
      </c>
      <c r="G16" s="35">
        <f>G14-G15</f>
        <v>2329579171.3133659</v>
      </c>
      <c r="H16" s="36">
        <f t="shared" si="3"/>
        <v>0.63174472844326413</v>
      </c>
      <c r="I16" s="35">
        <f>I14-I15</f>
        <v>2456021358.5092034</v>
      </c>
      <c r="J16" s="36">
        <f t="shared" si="4"/>
        <v>0.63176513865874651</v>
      </c>
      <c r="K16" s="37">
        <f>K14-K15</f>
        <v>2463416327.3475385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105" t="s">
        <v>259</v>
      </c>
      <c r="E18" s="62">
        <f>'Tabla Crecimiento'!B10</f>
        <v>80325</v>
      </c>
      <c r="G18" s="62">
        <f>'Tabla Crecimiento'!B11</f>
        <v>152111</v>
      </c>
      <c r="I18" s="62">
        <f>'Tabla Crecimiento'!B12</f>
        <v>160145</v>
      </c>
      <c r="K18" s="62">
        <f>'Tabla Crecimiento'!B13</f>
        <v>160622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103" t="s">
        <v>191</v>
      </c>
      <c r="E19">
        <f>'Estado de resultados PyG - 12 m'!I20</f>
        <v>24276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103" t="s">
        <v>258</v>
      </c>
      <c r="D21">
        <v>5.75</v>
      </c>
      <c r="E21" s="184">
        <v>0.06</v>
      </c>
      <c r="G21" s="185">
        <v>6.5000000000000002E-2</v>
      </c>
      <c r="I21" s="184">
        <v>7.0000000000000007E-2</v>
      </c>
      <c r="K21" s="185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346806888.81441689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zoomScale="145" zoomScaleNormal="145" workbookViewId="0">
      <selection activeCell="E14" sqref="E14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4" max="4" width="8.5703125" customWidth="1"/>
    <col min="6" max="6" width="9.140625" customWidth="1"/>
    <col min="8" max="8" width="8.85546875" customWidth="1"/>
    <col min="9" max="9" width="14.42578125" customWidth="1"/>
    <col min="10" max="10" width="9.5703125" customWidth="1"/>
    <col min="12" max="12" width="9.42578125" customWidth="1"/>
    <col min="14" max="14" width="8.140625" customWidth="1"/>
    <col min="16" max="16" width="8.28515625" customWidth="1"/>
    <col min="18" max="18" width="8.28515625" customWidth="1"/>
    <col min="20" max="20" width="8.42578125" customWidth="1"/>
    <col min="22" max="22" width="9" customWidth="1"/>
    <col min="24" max="24" width="9.42578125" customWidth="1"/>
    <col min="26" max="26" width="9" customWidth="1"/>
  </cols>
  <sheetData>
    <row r="1" spans="1:29" ht="15.75" customHeight="1">
      <c r="A1" s="27"/>
      <c r="B1" s="149" t="s">
        <v>108</v>
      </c>
      <c r="C1" s="128"/>
      <c r="D1" s="149" t="s">
        <v>59</v>
      </c>
      <c r="E1" s="128"/>
      <c r="F1" s="149" t="s">
        <v>62</v>
      </c>
      <c r="G1" s="128"/>
      <c r="H1" s="149" t="s">
        <v>63</v>
      </c>
      <c r="I1" s="128"/>
      <c r="J1" s="149" t="s">
        <v>64</v>
      </c>
      <c r="K1" s="128"/>
      <c r="L1" s="149" t="s">
        <v>65</v>
      </c>
      <c r="M1" s="128"/>
      <c r="N1" s="150" t="s">
        <v>66</v>
      </c>
      <c r="O1" s="148"/>
      <c r="P1" s="149" t="s">
        <v>67</v>
      </c>
      <c r="Q1" s="128"/>
      <c r="R1" s="149" t="s">
        <v>68</v>
      </c>
      <c r="S1" s="128"/>
      <c r="T1" s="149" t="s">
        <v>69</v>
      </c>
      <c r="U1" s="128"/>
      <c r="V1" s="149" t="s">
        <v>70</v>
      </c>
      <c r="W1" s="128"/>
      <c r="X1" s="149" t="s">
        <v>71</v>
      </c>
      <c r="Y1" s="128"/>
      <c r="Z1" s="149" t="s">
        <v>72</v>
      </c>
      <c r="AA1" s="128"/>
    </row>
    <row r="2" spans="1:29" ht="15.75" customHeight="1">
      <c r="A2" s="31" t="s">
        <v>80</v>
      </c>
      <c r="B2" s="63">
        <f t="shared" ref="B2:B8" si="0">C2/$C$2</f>
        <v>1</v>
      </c>
      <c r="C2" s="34">
        <f>SUM(C3:C8)</f>
        <v>3677500</v>
      </c>
      <c r="D2" s="63">
        <f t="shared" ref="D2:D8" si="1">E2/$E$2</f>
        <v>1</v>
      </c>
      <c r="E2" s="34">
        <f>SUM(E3:E8)</f>
        <v>8209036</v>
      </c>
      <c r="F2" s="63">
        <f t="shared" ref="F2:F8" si="2">G2/$G$2</f>
        <v>1</v>
      </c>
      <c r="G2" s="34">
        <f>SUM(G3:G8)</f>
        <v>8209036</v>
      </c>
      <c r="H2" s="63">
        <f t="shared" ref="H2:H8" si="3">I2/$I$2</f>
        <v>1</v>
      </c>
      <c r="I2" s="34">
        <f>SUM(I3:I8)</f>
        <v>8209036</v>
      </c>
      <c r="J2" s="63">
        <f t="shared" ref="J2:J8" si="4">K2/$K$2</f>
        <v>1</v>
      </c>
      <c r="K2" s="34">
        <f>SUM(K3:K8)</f>
        <v>8209036</v>
      </c>
      <c r="L2" s="33">
        <f t="shared" ref="L2:L8" si="5">M2/$M$2</f>
        <v>1</v>
      </c>
      <c r="M2" s="34">
        <f>SUM(M3:M8)</f>
        <v>8209036</v>
      </c>
      <c r="N2" s="33">
        <f t="shared" ref="N2:N8" si="6">O2/$O$2</f>
        <v>1</v>
      </c>
      <c r="O2" s="34">
        <f>SUM(O3:O8)</f>
        <v>8209036</v>
      </c>
      <c r="P2" s="33">
        <f t="shared" ref="P2:P8" si="7">Q2/$Q$2</f>
        <v>1</v>
      </c>
      <c r="Q2" s="34">
        <f>SUM(Q3:Q8)</f>
        <v>27600594.799999997</v>
      </c>
      <c r="R2" s="33">
        <f t="shared" ref="R2:R8" si="8">S2/$S$2</f>
        <v>1</v>
      </c>
      <c r="S2" s="34">
        <f>SUM(S3:S8)</f>
        <v>32764100</v>
      </c>
      <c r="T2" s="33">
        <f t="shared" ref="T2:T8" si="9">U2/$U$2</f>
        <v>1</v>
      </c>
      <c r="U2" s="34">
        <f>SUM(U3:U8)</f>
        <v>39267640.399999999</v>
      </c>
      <c r="V2" s="33">
        <f t="shared" ref="V2:V8" si="10">W2/$W$2</f>
        <v>1</v>
      </c>
      <c r="W2" s="34">
        <f>SUM(W3:W8)</f>
        <v>90179710.933333337</v>
      </c>
      <c r="X2" s="33">
        <f t="shared" ref="X2:X8" si="11">Y2/$Y$2</f>
        <v>1</v>
      </c>
      <c r="Y2" s="34">
        <f>SUM(Y3:Y8)</f>
        <v>112286650.33333331</v>
      </c>
      <c r="Z2" s="33">
        <f t="shared" ref="Z2:Z8" si="12">AA2/$AA$2</f>
        <v>1</v>
      </c>
      <c r="AA2" s="38">
        <f>SUM(AA3:AA8)</f>
        <v>139821703.33333331</v>
      </c>
      <c r="AC2" s="25">
        <f t="shared" ref="AC2:AC12" si="13">SUM(E2:AA2)</f>
        <v>491174626.79999995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0.94362188203340802</v>
      </c>
      <c r="E3" s="43">
        <f>'Salarios, gastos y costos'!$B$11</f>
        <v>7746226</v>
      </c>
      <c r="F3" s="64">
        <f t="shared" si="2"/>
        <v>0.94362188203340802</v>
      </c>
      <c r="G3" s="43">
        <f>'Salarios, gastos y costos'!$B$11</f>
        <v>7746226</v>
      </c>
      <c r="H3" s="64">
        <f t="shared" si="3"/>
        <v>0.94362188203340802</v>
      </c>
      <c r="I3" s="43">
        <f>'Salarios, gastos y costos'!$B$11</f>
        <v>7746226</v>
      </c>
      <c r="J3" s="64">
        <f t="shared" si="4"/>
        <v>0.94362188203340802</v>
      </c>
      <c r="K3" s="43">
        <f>'Salarios, gastos y costos'!$B$11</f>
        <v>7746226</v>
      </c>
      <c r="L3" s="41">
        <f t="shared" si="5"/>
        <v>0.94362188203340802</v>
      </c>
      <c r="M3" s="43">
        <f>'Salarios, gastos y costos'!$B$11</f>
        <v>7746226</v>
      </c>
      <c r="N3" s="41">
        <f t="shared" si="6"/>
        <v>0.94362188203340802</v>
      </c>
      <c r="O3" s="43">
        <f>'Salarios, gastos y costos'!$B$11</f>
        <v>7746226</v>
      </c>
      <c r="P3" s="41">
        <f t="shared" si="7"/>
        <v>0.28065431401500091</v>
      </c>
      <c r="Q3" s="43">
        <f>'Salarios, gastos y costos'!$B$27</f>
        <v>7746226</v>
      </c>
      <c r="R3" s="41">
        <f t="shared" si="8"/>
        <v>0.23642419599500672</v>
      </c>
      <c r="S3" s="43">
        <f>'Salarios, gastos y costos'!$B$27</f>
        <v>7746226</v>
      </c>
      <c r="T3" s="41">
        <f t="shared" si="9"/>
        <v>0.19726741716825949</v>
      </c>
      <c r="U3" s="43">
        <f>'Salarios, gastos y costos'!$B$27</f>
        <v>7746226</v>
      </c>
      <c r="V3" s="41">
        <f t="shared" si="10"/>
        <v>8.5897658351627562E-2</v>
      </c>
      <c r="W3" s="43">
        <f>'Salarios, gastos y costos'!$B$27</f>
        <v>7746226</v>
      </c>
      <c r="X3" s="41">
        <f t="shared" si="11"/>
        <v>6.8986170457526447E-2</v>
      </c>
      <c r="Y3" s="43">
        <f>'Salarios, gastos y costos'!$B$27</f>
        <v>7746226</v>
      </c>
      <c r="Z3" s="41">
        <f t="shared" si="12"/>
        <v>5.5400741196329782E-2</v>
      </c>
      <c r="AA3" s="46">
        <f>'Salarios, gastos y costos'!$B$27</f>
        <v>7746226</v>
      </c>
      <c r="AC3" s="25">
        <f t="shared" si="13"/>
        <v>92954717.642739907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4.044445657200188E-2</v>
      </c>
      <c r="E4" s="43">
        <f>'Salarios, gastos y costos'!$K$11</f>
        <v>332010</v>
      </c>
      <c r="F4" s="64">
        <f t="shared" si="2"/>
        <v>4.044445657200188E-2</v>
      </c>
      <c r="G4" s="43">
        <f>'Salarios, gastos y costos'!$K$11</f>
        <v>332010</v>
      </c>
      <c r="H4" s="64">
        <f t="shared" si="3"/>
        <v>4.044445657200188E-2</v>
      </c>
      <c r="I4" s="43">
        <f>'Salarios, gastos y costos'!$K$11</f>
        <v>332010</v>
      </c>
      <c r="J4" s="64">
        <f t="shared" si="4"/>
        <v>4.044445657200188E-2</v>
      </c>
      <c r="K4" s="43">
        <f>'Salarios, gastos y costos'!$K$11</f>
        <v>332010</v>
      </c>
      <c r="L4" s="41">
        <f t="shared" si="5"/>
        <v>4.044445657200188E-2</v>
      </c>
      <c r="M4" s="43">
        <f>'Salarios, gastos y costos'!$K$11</f>
        <v>332010</v>
      </c>
      <c r="N4" s="41">
        <f t="shared" si="6"/>
        <v>4.044445657200188E-2</v>
      </c>
      <c r="O4" s="43">
        <f>'Salarios, gastos y costos'!$K$11</f>
        <v>332010</v>
      </c>
      <c r="P4" s="41">
        <f t="shared" si="7"/>
        <v>1.2029088590511102E-2</v>
      </c>
      <c r="Q4" s="43">
        <f>'Salarios, gastos y costos'!$K$11</f>
        <v>332010</v>
      </c>
      <c r="R4" s="41">
        <f t="shared" si="8"/>
        <v>1.0133347169615524E-2</v>
      </c>
      <c r="S4" s="43">
        <f>'Salarios, gastos y costos'!$K$11</f>
        <v>332010</v>
      </c>
      <c r="T4" s="41">
        <f t="shared" si="9"/>
        <v>8.4550534897941051E-3</v>
      </c>
      <c r="U4" s="43">
        <f>'Salarios, gastos y costos'!$K$11</f>
        <v>332010</v>
      </c>
      <c r="V4" s="41">
        <f t="shared" si="10"/>
        <v>3.6816485278539342E-3</v>
      </c>
      <c r="W4" s="43">
        <f>'Salarios, gastos y costos'!$K$11</f>
        <v>332010</v>
      </c>
      <c r="X4" s="41">
        <f t="shared" si="11"/>
        <v>2.9568074122293042E-3</v>
      </c>
      <c r="Y4" s="43">
        <f>'Salarios, gastos y costos'!$K$11</f>
        <v>332010</v>
      </c>
      <c r="Z4" s="41">
        <f t="shared" si="12"/>
        <v>2.3745240694750514E-3</v>
      </c>
      <c r="AA4" s="46">
        <f>'Salarios, gastos y costos'!$K$11</f>
        <v>332010</v>
      </c>
      <c r="AC4" s="25">
        <f t="shared" si="13"/>
        <v>3984120.2418527519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43">
        <f>'Salarios, gastos y costos'!$E$11</f>
        <v>0</v>
      </c>
      <c r="H5" s="64">
        <f t="shared" si="3"/>
        <v>0</v>
      </c>
      <c r="I5" s="43">
        <f>'Salarios, gastos y costos'!$E$11</f>
        <v>0</v>
      </c>
      <c r="J5" s="64">
        <f t="shared" si="4"/>
        <v>0</v>
      </c>
      <c r="K5" s="43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25">
        <f t="shared" si="13"/>
        <v>0</v>
      </c>
    </row>
    <row r="6" spans="1:29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7.4064725748553177E-3</v>
      </c>
      <c r="E6" s="43">
        <f>'Salarios, gastos y costos'!$H$11</f>
        <v>60800</v>
      </c>
      <c r="F6" s="64">
        <f t="shared" si="2"/>
        <v>7.4064725748553177E-3</v>
      </c>
      <c r="G6" s="43">
        <f>'Salarios, gastos y costos'!$H$11</f>
        <v>60800</v>
      </c>
      <c r="H6" s="64">
        <f t="shared" si="3"/>
        <v>7.4064725748553177E-3</v>
      </c>
      <c r="I6" s="43">
        <f>'Salarios, gastos y costos'!$H$11</f>
        <v>60800</v>
      </c>
      <c r="J6" s="64">
        <f t="shared" si="4"/>
        <v>7.4064725748553177E-3</v>
      </c>
      <c r="K6" s="43">
        <f>'Salarios, gastos y costos'!$H$11</f>
        <v>60800</v>
      </c>
      <c r="L6" s="41">
        <f t="shared" si="5"/>
        <v>7.4064725748553177E-3</v>
      </c>
      <c r="M6" s="43">
        <f>'Salarios, gastos y costos'!$H$11</f>
        <v>60800</v>
      </c>
      <c r="N6" s="41">
        <f t="shared" si="6"/>
        <v>7.4064725748553177E-3</v>
      </c>
      <c r="O6" s="43">
        <f>'Salarios, gastos y costos'!$H$11</f>
        <v>60800</v>
      </c>
      <c r="P6" s="41">
        <f t="shared" si="7"/>
        <v>0.70478042016688713</v>
      </c>
      <c r="Q6" s="43">
        <f>Q10*'Estado de resultados PyG - 5 añ'!$M$21*10</f>
        <v>19452358.799999997</v>
      </c>
      <c r="R6" s="41">
        <f t="shared" si="8"/>
        <v>0.7513059720853007</v>
      </c>
      <c r="S6" s="43">
        <f>S10*'Estado de resultados PyG - 5 añ'!$M$21*10</f>
        <v>24615864</v>
      </c>
      <c r="T6" s="41">
        <f t="shared" si="9"/>
        <v>0.79249489103501114</v>
      </c>
      <c r="U6" s="43">
        <f>U10*'Estado de resultados PyG - 5 añ'!$M$21*10</f>
        <v>31119404.399999999</v>
      </c>
      <c r="V6" s="41">
        <f t="shared" si="10"/>
        <v>0.43553189507377615</v>
      </c>
      <c r="W6" s="43">
        <f>W10*'Estado de resultados PyG - 5 añ'!$M$21*10</f>
        <v>39276140.399999999</v>
      </c>
      <c r="X6" s="41">
        <f t="shared" si="11"/>
        <v>0.44065205483569048</v>
      </c>
      <c r="Y6" s="43">
        <f>Y10*'Estado de resultados PyG - 5 añ'!$M$21*10</f>
        <v>49479343.199999996</v>
      </c>
      <c r="Z6" s="41">
        <f t="shared" si="12"/>
        <v>0.44476520967381539</v>
      </c>
      <c r="AA6" s="46">
        <f>AA10*'Estado de resultados PyG - 5 añ'!$M$21*10</f>
        <v>62187829.200000003</v>
      </c>
      <c r="AC6" s="25">
        <f t="shared" si="13"/>
        <v>226495743.60656279</v>
      </c>
    </row>
    <row r="7" spans="1:29" ht="15.75" customHeight="1">
      <c r="A7" s="40" t="s">
        <v>89</v>
      </c>
      <c r="B7" s="64">
        <f t="shared" si="0"/>
        <v>3.1733514615907545E-2</v>
      </c>
      <c r="C7" s="42">
        <f>'Presupuesto Inicial'!B2</f>
        <v>116700</v>
      </c>
      <c r="D7" s="64">
        <f t="shared" si="1"/>
        <v>8.5271888197347417E-3</v>
      </c>
      <c r="E7" s="42">
        <v>70000</v>
      </c>
      <c r="F7" s="64">
        <f t="shared" si="2"/>
        <v>8.5271888197347417E-3</v>
      </c>
      <c r="G7" s="42">
        <v>70000</v>
      </c>
      <c r="H7" s="64">
        <f t="shared" si="3"/>
        <v>8.5271888197347417E-3</v>
      </c>
      <c r="I7" s="42">
        <v>70000</v>
      </c>
      <c r="J7" s="64">
        <f t="shared" si="4"/>
        <v>8.5271888197347417E-3</v>
      </c>
      <c r="K7" s="42">
        <v>70000</v>
      </c>
      <c r="L7" s="41">
        <f t="shared" si="5"/>
        <v>8.5271888197347417E-3</v>
      </c>
      <c r="M7" s="42">
        <v>70000</v>
      </c>
      <c r="N7" s="41">
        <f t="shared" si="6"/>
        <v>8.5271888197347417E-3</v>
      </c>
      <c r="O7" s="42">
        <v>70000</v>
      </c>
      <c r="P7" s="41">
        <f t="shared" si="7"/>
        <v>2.536177227600907E-3</v>
      </c>
      <c r="Q7" s="42">
        <v>70000</v>
      </c>
      <c r="R7" s="41">
        <f t="shared" si="8"/>
        <v>2.1364847500770661E-3</v>
      </c>
      <c r="S7" s="42">
        <v>70000</v>
      </c>
      <c r="T7" s="41">
        <f t="shared" si="9"/>
        <v>1.7826383069352953E-3</v>
      </c>
      <c r="U7" s="42">
        <v>70000</v>
      </c>
      <c r="V7" s="41">
        <f t="shared" si="10"/>
        <v>7.7622781527597173E-4</v>
      </c>
      <c r="W7" s="42">
        <v>70000</v>
      </c>
      <c r="X7" s="41">
        <f t="shared" si="11"/>
        <v>6.2340447232327731E-4</v>
      </c>
      <c r="Y7" s="42">
        <v>70000</v>
      </c>
      <c r="Z7" s="41">
        <f t="shared" si="12"/>
        <v>5.0063758580540826E-4</v>
      </c>
      <c r="AA7" s="54">
        <v>70000</v>
      </c>
      <c r="AC7" s="25">
        <f t="shared" si="13"/>
        <v>840000.05099151423</v>
      </c>
    </row>
    <row r="8" spans="1:29" ht="15.75" customHeight="1">
      <c r="A8" s="40" t="s">
        <v>91</v>
      </c>
      <c r="B8" s="64">
        <f t="shared" si="0"/>
        <v>0</v>
      </c>
      <c r="C8" s="42">
        <v>0</v>
      </c>
      <c r="D8" s="64">
        <f t="shared" si="1"/>
        <v>0</v>
      </c>
      <c r="E8" s="42">
        <v>0</v>
      </c>
      <c r="F8" s="64">
        <f t="shared" si="2"/>
        <v>0</v>
      </c>
      <c r="G8" s="42">
        <v>0</v>
      </c>
      <c r="H8" s="64">
        <f t="shared" si="3"/>
        <v>0</v>
      </c>
      <c r="I8" s="42">
        <v>0</v>
      </c>
      <c r="J8" s="64">
        <f t="shared" si="4"/>
        <v>0</v>
      </c>
      <c r="K8" s="42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0.4741125702314663</v>
      </c>
      <c r="W8" s="42">
        <f>'Estado de resultados PyG - 12 m'!O15</f>
        <v>42755334.533333331</v>
      </c>
      <c r="X8" s="41">
        <f t="shared" si="11"/>
        <v>0.48678156282223056</v>
      </c>
      <c r="Y8" s="42">
        <f>'Estado de resultados PyG - 12 m'!Q15</f>
        <v>54659071.133333325</v>
      </c>
      <c r="Z8" s="41">
        <f t="shared" si="12"/>
        <v>0.49695888747457445</v>
      </c>
      <c r="AA8" s="54">
        <f>'Estado de resultados PyG - 12 m'!S15</f>
        <v>69485638.133333325</v>
      </c>
      <c r="AC8" s="25">
        <f t="shared" si="13"/>
        <v>166900045.257853</v>
      </c>
    </row>
    <row r="9" spans="1:29" ht="15.75" customHeight="1">
      <c r="A9" s="31" t="s">
        <v>93</v>
      </c>
      <c r="B9" s="63">
        <f>C9/$C$9</f>
        <v>1</v>
      </c>
      <c r="C9" s="34">
        <f>SUM(C10:C11)</f>
        <v>1500000</v>
      </c>
      <c r="D9" s="63">
        <v>0</v>
      </c>
      <c r="E9" s="34">
        <f>SUM(E10:E11)</f>
        <v>0</v>
      </c>
      <c r="F9" s="63">
        <v>0</v>
      </c>
      <c r="G9" s="34">
        <f>SUM(G10:G11)</f>
        <v>0</v>
      </c>
      <c r="H9" s="63">
        <v>0</v>
      </c>
      <c r="I9" s="34">
        <f>SUM(I10:I11)</f>
        <v>0</v>
      </c>
      <c r="J9" s="63">
        <v>0</v>
      </c>
      <c r="K9" s="34">
        <f>SUM(K10:K11)</f>
        <v>0</v>
      </c>
      <c r="L9" s="33">
        <v>0</v>
      </c>
      <c r="M9" s="34">
        <f>SUM(M10:M11)</f>
        <v>0</v>
      </c>
      <c r="N9" s="33">
        <v>0</v>
      </c>
      <c r="O9" s="34">
        <f>SUM(O10:O11)</f>
        <v>0</v>
      </c>
      <c r="P9" s="33">
        <f>Q9/$Q$9</f>
        <v>1</v>
      </c>
      <c r="Q9" s="34">
        <f>SUM(Q10:Q11)</f>
        <v>64841196</v>
      </c>
      <c r="R9" s="33">
        <f>S9/$S$9</f>
        <v>1</v>
      </c>
      <c r="S9" s="34">
        <f>SUM(S10:S11)</f>
        <v>82052880</v>
      </c>
      <c r="T9" s="33">
        <f>U9/$U$9</f>
        <v>1</v>
      </c>
      <c r="U9" s="34">
        <f>SUM(U10:U11)</f>
        <v>103731348</v>
      </c>
      <c r="V9" s="33">
        <f>W9/$W$9</f>
        <v>1</v>
      </c>
      <c r="W9" s="34">
        <f>SUM(W10:W11)</f>
        <v>130920468</v>
      </c>
      <c r="X9" s="33">
        <f>Y9/$Y$9</f>
        <v>1</v>
      </c>
      <c r="Y9" s="34">
        <f>SUM(Y10:Y11)</f>
        <v>164931144</v>
      </c>
      <c r="Z9" s="33">
        <f>AA9/$AA$9</f>
        <v>1</v>
      </c>
      <c r="AA9" s="38">
        <f>SUM(AA10:AA11)</f>
        <v>207292764</v>
      </c>
      <c r="AC9" s="25">
        <f t="shared" si="13"/>
        <v>753769806</v>
      </c>
    </row>
    <row r="10" spans="1:29" ht="15.75" customHeight="1">
      <c r="A10" s="40" t="s">
        <v>95</v>
      </c>
      <c r="B10" s="64">
        <f>C10/$C$9</f>
        <v>0</v>
      </c>
      <c r="C10" s="42">
        <v>0</v>
      </c>
      <c r="D10" s="64">
        <v>0</v>
      </c>
      <c r="E10" s="42">
        <v>0</v>
      </c>
      <c r="F10" s="64">
        <v>0</v>
      </c>
      <c r="G10" s="42">
        <v>0</v>
      </c>
      <c r="H10" s="64">
        <v>0</v>
      </c>
      <c r="I10" s="42">
        <v>0</v>
      </c>
      <c r="J10" s="64">
        <v>0</v>
      </c>
      <c r="K10" s="42">
        <v>0</v>
      </c>
      <c r="L10" s="41">
        <v>0</v>
      </c>
      <c r="M10" s="42">
        <v>0</v>
      </c>
      <c r="N10" s="41">
        <v>0</v>
      </c>
      <c r="O10" s="42">
        <v>0</v>
      </c>
      <c r="P10" s="41">
        <f>Q10/$Q$9</f>
        <v>1</v>
      </c>
      <c r="Q10" s="43">
        <f>'Estado de resultados PyG - 12 m'!I3</f>
        <v>64841196</v>
      </c>
      <c r="R10" s="41">
        <f>S10/$S$9</f>
        <v>1</v>
      </c>
      <c r="S10" s="43">
        <f>'Estado de resultados PyG - 12 m'!K3</f>
        <v>82052880</v>
      </c>
      <c r="T10" s="41">
        <f>U10/$U$9</f>
        <v>1</v>
      </c>
      <c r="U10" s="43">
        <f>'Estado de resultados PyG - 12 m'!M3</f>
        <v>103731348</v>
      </c>
      <c r="V10" s="41">
        <f>W10/$W$9</f>
        <v>1</v>
      </c>
      <c r="W10" s="43">
        <f>'Estado de resultados PyG - 12 m'!O3</f>
        <v>130920468</v>
      </c>
      <c r="X10" s="41">
        <f>Y10/$Y$9</f>
        <v>1</v>
      </c>
      <c r="Y10" s="43">
        <f>'Estado de resultados PyG - 12 m'!Q3</f>
        <v>164931144</v>
      </c>
      <c r="Z10" s="41">
        <f>AA10/$AA$9</f>
        <v>1</v>
      </c>
      <c r="AA10" s="46">
        <f>'Estado de resultados PyG - 12 m'!S3</f>
        <v>207292764</v>
      </c>
      <c r="AC10" s="25">
        <f t="shared" si="13"/>
        <v>753769806</v>
      </c>
    </row>
    <row r="11" spans="1:29" ht="15.75" customHeight="1">
      <c r="A11" s="40" t="s">
        <v>97</v>
      </c>
      <c r="B11" s="64">
        <f>C11/$C$9</f>
        <v>1</v>
      </c>
      <c r="C11" s="42">
        <v>1500000</v>
      </c>
      <c r="D11" s="81">
        <v>0</v>
      </c>
      <c r="E11" s="42">
        <v>0</v>
      </c>
      <c r="F11" s="64">
        <v>0</v>
      </c>
      <c r="G11" s="42">
        <v>0</v>
      </c>
      <c r="H11" s="64">
        <v>0</v>
      </c>
      <c r="I11" s="42">
        <v>0</v>
      </c>
      <c r="J11" s="64">
        <v>0</v>
      </c>
      <c r="K11" s="42">
        <v>0</v>
      </c>
      <c r="L11" s="41">
        <v>0</v>
      </c>
      <c r="M11" s="42">
        <v>0</v>
      </c>
      <c r="N11" s="41">
        <v>0</v>
      </c>
      <c r="O11" s="42">
        <v>0</v>
      </c>
      <c r="P11" s="41">
        <v>0</v>
      </c>
      <c r="Q11" s="42">
        <v>0</v>
      </c>
      <c r="R11" s="41">
        <v>0</v>
      </c>
      <c r="S11" s="42">
        <v>0</v>
      </c>
      <c r="T11" s="41">
        <v>0</v>
      </c>
      <c r="U11" s="42">
        <v>0</v>
      </c>
      <c r="V11" s="41">
        <v>0</v>
      </c>
      <c r="W11" s="42">
        <v>0</v>
      </c>
      <c r="X11" s="41">
        <v>0</v>
      </c>
      <c r="Y11" s="42">
        <v>0</v>
      </c>
      <c r="Z11" s="41">
        <v>0</v>
      </c>
      <c r="AA11" s="54">
        <v>0</v>
      </c>
      <c r="AC11" s="25">
        <f t="shared" si="13"/>
        <v>0</v>
      </c>
    </row>
    <row r="12" spans="1:29" ht="15.75" customHeight="1">
      <c r="A12" s="31" t="s">
        <v>98</v>
      </c>
      <c r="B12" s="58"/>
      <c r="C12" s="59">
        <f>C9-C2</f>
        <v>-2177500</v>
      </c>
      <c r="D12" s="58"/>
      <c r="E12" s="59">
        <f>C12-E2+E9</f>
        <v>-10386536</v>
      </c>
      <c r="F12" s="58"/>
      <c r="G12" s="59">
        <f>E12-G2+G9</f>
        <v>-18595572</v>
      </c>
      <c r="H12" s="58"/>
      <c r="I12" s="59">
        <f>G12-I2+I9</f>
        <v>-26804608</v>
      </c>
      <c r="J12" s="58"/>
      <c r="K12" s="59">
        <f>I12-K2+K9</f>
        <v>-35013644</v>
      </c>
      <c r="L12" s="58"/>
      <c r="M12" s="59">
        <f>K12-M2+M9</f>
        <v>-43222680</v>
      </c>
      <c r="N12" s="58"/>
      <c r="O12" s="59">
        <f>M12-O2+O9</f>
        <v>-51431716</v>
      </c>
      <c r="P12" s="58"/>
      <c r="Q12" s="59">
        <f>O12-Q2+Q9</f>
        <v>-14191114.799999997</v>
      </c>
      <c r="R12" s="58"/>
      <c r="S12" s="59">
        <f>Q12-S2+S9</f>
        <v>35097665.200000003</v>
      </c>
      <c r="T12" s="58"/>
      <c r="U12" s="59">
        <f>S12-U2+U9</f>
        <v>99561372.800000012</v>
      </c>
      <c r="V12" s="58"/>
      <c r="W12" s="59">
        <f>U12-W2+W9</f>
        <v>140302129.86666667</v>
      </c>
      <c r="X12" s="58"/>
      <c r="Y12" s="59">
        <f>W12-Y2+Y9</f>
        <v>192946623.53333336</v>
      </c>
      <c r="Z12" s="58"/>
      <c r="AA12" s="60">
        <f>Y12-AA2+AA9</f>
        <v>260417684.20000005</v>
      </c>
      <c r="AC12" s="25">
        <f t="shared" si="13"/>
        <v>528679604.80000007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C5" sqref="C5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149" t="s">
        <v>77</v>
      </c>
      <c r="C1" s="128"/>
      <c r="D1" s="149" t="s">
        <v>74</v>
      </c>
      <c r="E1" s="128"/>
      <c r="F1" s="149" t="s">
        <v>75</v>
      </c>
      <c r="G1" s="128"/>
      <c r="H1" s="149" t="s">
        <v>76</v>
      </c>
      <c r="I1" s="128"/>
      <c r="J1" s="149" t="s">
        <v>78</v>
      </c>
      <c r="K1" s="128"/>
      <c r="L1" s="149" t="s">
        <v>79</v>
      </c>
      <c r="M1" s="128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33">
        <f>C2/$C$2</f>
        <v>1</v>
      </c>
      <c r="C2" s="34">
        <f>SUM(C3:C8)</f>
        <v>3956500</v>
      </c>
      <c r="D2" s="33">
        <f t="shared" ref="D2:D8" si="0">E2/$E$2</f>
        <v>1</v>
      </c>
      <c r="E2" s="34">
        <f>SUM(E3:E8)</f>
        <v>572208230.59250784</v>
      </c>
      <c r="F2" s="33">
        <f t="shared" ref="F2:F8" si="1">G2/$G$2</f>
        <v>1</v>
      </c>
      <c r="G2" s="34">
        <f>SUM(G3:G8)</f>
        <v>1354954279.9628425</v>
      </c>
      <c r="H2" s="33">
        <f t="shared" ref="H2:H8" si="2">I2/$I$2</f>
        <v>1</v>
      </c>
      <c r="I2" s="34">
        <f>SUM(I3:I8)</f>
        <v>2508429092.0469122</v>
      </c>
      <c r="J2" s="33">
        <f t="shared" ref="J2:J8" si="3">K2/$K$2</f>
        <v>1</v>
      </c>
      <c r="K2" s="34">
        <f>SUM(K3:K8)</f>
        <v>2637793051.1709824</v>
      </c>
      <c r="L2" s="33">
        <f t="shared" ref="L2:L8" si="4">M2/$M$2</f>
        <v>1</v>
      </c>
      <c r="M2" s="38">
        <f>SUM(M3:M8)</f>
        <v>2645577947.1526098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41">
        <f t="shared" ref="B3:B8" si="5">C3/$C$2</f>
        <v>0</v>
      </c>
      <c r="C3" s="42">
        <v>0</v>
      </c>
      <c r="D3" s="41">
        <f t="shared" si="0"/>
        <v>0.16244910062862206</v>
      </c>
      <c r="E3" s="43">
        <f>'Estado de resultados PyG - 5 añ'!C6</f>
        <v>92954712.432048082</v>
      </c>
      <c r="F3" s="41">
        <f t="shared" si="1"/>
        <v>7.2719792967997479E-2</v>
      </c>
      <c r="G3" s="43">
        <f>'Estado de resultados PyG - 5 añ'!E6</f>
        <v>98531994.719999999</v>
      </c>
      <c r="H3" s="41">
        <f t="shared" si="2"/>
        <v>3.946564349531495E-2</v>
      </c>
      <c r="I3" s="43">
        <f>'Estado de resultados PyG - 5 añ'!G6</f>
        <v>98996768.280000001</v>
      </c>
      <c r="J3" s="41">
        <f t="shared" si="3"/>
        <v>3.770634765901993E-2</v>
      </c>
      <c r="K3" s="43">
        <f>'Estado de resultados PyG - 5 añ'!I6</f>
        <v>99461541.840000004</v>
      </c>
      <c r="L3" s="41">
        <f t="shared" si="4"/>
        <v>3.76656644614266E-2</v>
      </c>
      <c r="M3" s="46">
        <f>'Estado de resultados PyG - 5 añ'!K6</f>
        <v>99647451.263999999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41">
        <f t="shared" si="5"/>
        <v>7.0516870971818524E-2</v>
      </c>
      <c r="C4" s="42">
        <v>279000</v>
      </c>
      <c r="D4" s="41">
        <f t="shared" si="0"/>
        <v>6.9627100537762972E-3</v>
      </c>
      <c r="E4" s="43">
        <f>('Salarios, gastos y costos'!$K$11)*12</f>
        <v>3984120</v>
      </c>
      <c r="F4" s="41">
        <f t="shared" si="1"/>
        <v>1.687059765634813E-2</v>
      </c>
      <c r="G4" s="43">
        <f>('Salarios, gastos y costos'!$K$11)*12*('Estado de resultados PyG - 5 añ'!E18/14000)</f>
        <v>22858888.5</v>
      </c>
      <c r="H4" s="41">
        <f t="shared" si="2"/>
        <v>1.7256915300992867E-2</v>
      </c>
      <c r="I4" s="43">
        <f>('Salarios, gastos y costos'!$K$11)*12*('Estado de resultados PyG - 5 añ'!G18/14000)</f>
        <v>43287748.380000003</v>
      </c>
      <c r="J4" s="41">
        <f t="shared" si="3"/>
        <v>1.7277346333052373E-2</v>
      </c>
      <c r="K4" s="43">
        <f>('Salarios, gastos y costos'!$K$11)*12*('Estado de resultados PyG - 5 añ'!I18/14000)</f>
        <v>45574064.100000001</v>
      </c>
      <c r="L4" s="41">
        <f t="shared" si="4"/>
        <v>1.7277815915118542E-2</v>
      </c>
      <c r="M4" s="46">
        <f>('Salarios, gastos y costos'!$K$11)*12*('Estado de resultados PyG - 5 añ'!K18/14000)</f>
        <v>45709808.760000005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41">
        <f t="shared" si="5"/>
        <v>0</v>
      </c>
      <c r="C5" s="42">
        <v>0</v>
      </c>
      <c r="D5" s="41">
        <f t="shared" si="0"/>
        <v>0</v>
      </c>
      <c r="E5" s="43">
        <f>('Salarios, gastos y costos'!$E$11)*12</f>
        <v>0</v>
      </c>
      <c r="F5" s="41">
        <f t="shared" si="1"/>
        <v>0</v>
      </c>
      <c r="G5" s="43">
        <f>E5*1.7</f>
        <v>0</v>
      </c>
      <c r="H5" s="41">
        <f t="shared" si="2"/>
        <v>0</v>
      </c>
      <c r="I5" s="43">
        <f>G5*1.7</f>
        <v>0</v>
      </c>
      <c r="J5" s="41">
        <f t="shared" si="3"/>
        <v>0</v>
      </c>
      <c r="K5" s="43">
        <f>I5*1.7</f>
        <v>0</v>
      </c>
      <c r="L5" s="41">
        <f t="shared" si="4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41">
        <f t="shared" si="5"/>
        <v>0.89998736256792622</v>
      </c>
      <c r="C6" s="42">
        <f>'Presupuesto Inicial'!D23</f>
        <v>3560800</v>
      </c>
      <c r="D6" s="41">
        <f t="shared" si="0"/>
        <v>0.39518994958504333</v>
      </c>
      <c r="E6" s="43">
        <f>E10*'Estado de resultados PyG - 5 añ'!$M$21*10</f>
        <v>226130941.80000001</v>
      </c>
      <c r="F6" s="41">
        <f t="shared" si="1"/>
        <v>0.43174217658181241</v>
      </c>
      <c r="G6" s="43">
        <f>G10*'Estado de resultados PyG - 5 añ'!$M$21*10</f>
        <v>584990910</v>
      </c>
      <c r="H6" s="41">
        <f t="shared" si="2"/>
        <v>0.441628585122183</v>
      </c>
      <c r="I6" s="43">
        <f>I10*'Estado de resultados PyG - 5 añ'!$M$21*10</f>
        <v>1107793990.8</v>
      </c>
      <c r="J6" s="41">
        <f t="shared" si="3"/>
        <v>0.44215144379209298</v>
      </c>
      <c r="K6" s="43">
        <f>K10*'Estado de resultados PyG - 5 añ'!$M$21*10</f>
        <v>1166304006</v>
      </c>
      <c r="L6" s="41">
        <f t="shared" si="4"/>
        <v>0.44216346105357124</v>
      </c>
      <c r="M6" s="46">
        <f>M10*'Estado de resultados PyG - 5 añ'!$M$21*10</f>
        <v>1169777901.5999999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89</v>
      </c>
      <c r="B7" s="41">
        <f t="shared" si="5"/>
        <v>2.9495766460255275E-2</v>
      </c>
      <c r="C7" s="42">
        <f>'Presupuesto Inicial'!B2</f>
        <v>116700</v>
      </c>
      <c r="D7" s="41">
        <f t="shared" si="0"/>
        <v>6.5011298905314156E-3</v>
      </c>
      <c r="E7" s="42">
        <f>'Estado de resultados PyG - 5 añ'!C13+'Estado de resultados PyG - 5 añ'!C10</f>
        <v>3720000.0315130455</v>
      </c>
      <c r="F7" s="41">
        <f t="shared" si="1"/>
        <v>2.9102089212279282E-3</v>
      </c>
      <c r="G7" s="42">
        <f>'Estado de resultados PyG - 5 añ'!E13+'Estado de resultados PyG - 5 añ'!E10</f>
        <v>3943200.0334038283</v>
      </c>
      <c r="H7" s="41">
        <f t="shared" si="2"/>
        <v>1.5793948675377988E-3</v>
      </c>
      <c r="I7" s="42">
        <f>'Estado de resultados PyG - 5 añ'!G13+'Estado de resultados PyG - 5 añ'!G10</f>
        <v>3961800.0335613936</v>
      </c>
      <c r="J7" s="41">
        <f t="shared" si="3"/>
        <v>1.5089887479808016E-3</v>
      </c>
      <c r="K7" s="42">
        <f>'Estado de resultados PyG - 5 añ'!I13+'Estado de resultados PyG - 5 añ'!I10</f>
        <v>3980400.033718959</v>
      </c>
      <c r="L7" s="41">
        <f t="shared" si="4"/>
        <v>1.5073606272209929E-3</v>
      </c>
      <c r="M7" s="54">
        <f>'Estado de resultados PyG - 5 añ'!K13+'Estado de resultados PyG - 5 añ'!K10</f>
        <v>3987840.0337819848</v>
      </c>
      <c r="N7" s="55"/>
      <c r="O7" s="55"/>
      <c r="P7" s="55"/>
      <c r="Q7" s="55"/>
      <c r="R7" s="55"/>
      <c r="S7" s="55"/>
      <c r="T7" s="55"/>
    </row>
    <row r="8" spans="1:20" ht="15.75" customHeight="1">
      <c r="A8" s="40" t="s">
        <v>91</v>
      </c>
      <c r="B8" s="41">
        <f t="shared" si="5"/>
        <v>0</v>
      </c>
      <c r="C8" s="42">
        <v>0</v>
      </c>
      <c r="D8" s="41">
        <f t="shared" si="0"/>
        <v>0.42889710984202684</v>
      </c>
      <c r="E8" s="42">
        <f>'Estado de resultados PyG - 5 añ'!C15</f>
        <v>245418456.32894665</v>
      </c>
      <c r="F8" s="41">
        <f t="shared" si="1"/>
        <v>0.47575722387261393</v>
      </c>
      <c r="G8" s="42">
        <f>'Estado de resultados PyG - 5 añ'!E15</f>
        <v>644629286.70943844</v>
      </c>
      <c r="H8" s="41">
        <f t="shared" si="2"/>
        <v>0.50006946121397144</v>
      </c>
      <c r="I8" s="42">
        <f>'Estado de resultados PyG - 5 añ'!G15</f>
        <v>1254388784.5533509</v>
      </c>
      <c r="J8" s="41">
        <f t="shared" si="3"/>
        <v>0.50135587346785393</v>
      </c>
      <c r="K8" s="42">
        <f>'Estado de resultados PyG - 5 añ'!I15</f>
        <v>1322473039.1972632</v>
      </c>
      <c r="L8" s="41">
        <f t="shared" si="4"/>
        <v>0.50138569794266274</v>
      </c>
      <c r="M8" s="54">
        <f>'Estado de resultados PyG - 5 añ'!K15</f>
        <v>1326454945.4948282</v>
      </c>
      <c r="N8" s="55"/>
      <c r="O8" s="55"/>
      <c r="P8" s="55"/>
      <c r="Q8" s="55"/>
      <c r="R8" s="55"/>
      <c r="S8" s="55"/>
      <c r="T8" s="55"/>
    </row>
    <row r="9" spans="1:20" ht="15.75" customHeight="1">
      <c r="A9" s="31" t="s">
        <v>93</v>
      </c>
      <c r="B9" s="33">
        <f>C9/$C$9</f>
        <v>1</v>
      </c>
      <c r="C9" s="34">
        <f>SUM(C10:C11)</f>
        <v>70000000</v>
      </c>
      <c r="D9" s="33">
        <f>E9/$E$9</f>
        <v>1</v>
      </c>
      <c r="E9" s="34">
        <f>SUM(E10:E11)</f>
        <v>753769806</v>
      </c>
      <c r="F9" s="33">
        <f>G9/$G$9</f>
        <v>1</v>
      </c>
      <c r="G9" s="34">
        <f>SUM(G10:G11)</f>
        <v>1949969700</v>
      </c>
      <c r="H9" s="33">
        <f>I9/$I$9</f>
        <v>1</v>
      </c>
      <c r="I9" s="34">
        <f>SUM(I10:I11)</f>
        <v>3692646636</v>
      </c>
      <c r="J9" s="33">
        <f>K9/$K$9</f>
        <v>1</v>
      </c>
      <c r="K9" s="34">
        <f>SUM(K10:K11)</f>
        <v>3887680020</v>
      </c>
      <c r="L9" s="33">
        <f>M9/$M$9</f>
        <v>1</v>
      </c>
      <c r="M9" s="38">
        <f>SUM(M10:M11)</f>
        <v>3899259672</v>
      </c>
      <c r="N9" s="39"/>
      <c r="O9" s="39"/>
      <c r="P9" s="39"/>
      <c r="Q9" s="39"/>
      <c r="R9" s="39"/>
      <c r="S9" s="39"/>
      <c r="T9" s="39"/>
    </row>
    <row r="10" spans="1:20" ht="15.75" customHeight="1">
      <c r="A10" s="40" t="s">
        <v>95</v>
      </c>
      <c r="B10" s="41">
        <f>C10/$C$9</f>
        <v>0</v>
      </c>
      <c r="C10" s="42">
        <v>0</v>
      </c>
      <c r="D10" s="41">
        <f>E10/$E$9</f>
        <v>1</v>
      </c>
      <c r="E10" s="42">
        <f>'Estado de resultados PyG - 5 añ'!C3</f>
        <v>753769806</v>
      </c>
      <c r="F10" s="41">
        <f>G10/$G$9</f>
        <v>1</v>
      </c>
      <c r="G10" s="42">
        <f>'Estado de resultados PyG - 5 añ'!E3</f>
        <v>1949969700</v>
      </c>
      <c r="H10" s="41">
        <f>I10/$I$9</f>
        <v>1</v>
      </c>
      <c r="I10" s="42">
        <f>'Estado de resultados PyG - 5 añ'!G3</f>
        <v>3692646636</v>
      </c>
      <c r="J10" s="41">
        <f>K10/$K$9</f>
        <v>1</v>
      </c>
      <c r="K10" s="42">
        <f>'Estado de resultados PyG - 5 añ'!I3</f>
        <v>3887680020</v>
      </c>
      <c r="L10" s="41">
        <f>M10/$K$9</f>
        <v>1.0029785506884386</v>
      </c>
      <c r="M10" s="54">
        <f>'Estado de resultados PyG - 5 añ'!K3</f>
        <v>3899259672</v>
      </c>
      <c r="N10" s="55"/>
      <c r="O10" s="48"/>
      <c r="P10" s="48"/>
      <c r="Q10" s="48"/>
      <c r="R10" s="48"/>
      <c r="S10" s="48"/>
      <c r="T10" s="48"/>
    </row>
    <row r="11" spans="1:20" ht="15.75" customHeight="1">
      <c r="A11" s="40" t="s">
        <v>97</v>
      </c>
      <c r="B11" s="41">
        <f>C11/$C$9</f>
        <v>1</v>
      </c>
      <c r="C11" s="42">
        <v>70000000</v>
      </c>
      <c r="D11" s="41">
        <v>0</v>
      </c>
      <c r="E11" s="42">
        <v>0</v>
      </c>
      <c r="F11" s="41">
        <v>0</v>
      </c>
      <c r="G11" s="42">
        <v>0</v>
      </c>
      <c r="H11" s="41">
        <v>0</v>
      </c>
      <c r="I11" s="42">
        <v>0</v>
      </c>
      <c r="J11" s="41">
        <v>0</v>
      </c>
      <c r="K11" s="42">
        <v>0</v>
      </c>
      <c r="L11" s="41">
        <v>0</v>
      </c>
      <c r="M11" s="54">
        <v>0</v>
      </c>
      <c r="N11" s="55"/>
      <c r="O11" s="55"/>
      <c r="P11" s="55"/>
      <c r="Q11" s="55"/>
      <c r="R11" s="55"/>
      <c r="S11" s="55"/>
      <c r="T11" s="55"/>
    </row>
    <row r="12" spans="1:20" ht="15.75" customHeight="1">
      <c r="A12" s="31" t="s">
        <v>98</v>
      </c>
      <c r="B12" s="58"/>
      <c r="C12" s="59">
        <f>C9-C2</f>
        <v>66043500</v>
      </c>
      <c r="D12" s="58"/>
      <c r="E12" s="59">
        <f>C12-E2+E9</f>
        <v>247605075.40749216</v>
      </c>
      <c r="F12" s="58"/>
      <c r="G12" s="59">
        <f>E12-G2+G9</f>
        <v>842620495.4446497</v>
      </c>
      <c r="H12" s="58"/>
      <c r="I12" s="59">
        <f>G12-I2+I9</f>
        <v>2026838039.3977375</v>
      </c>
      <c r="J12" s="58"/>
      <c r="K12" s="59">
        <f>I12-K2+K9</f>
        <v>3276725008.2267551</v>
      </c>
      <c r="L12" s="58"/>
      <c r="M12" s="60">
        <f>K12-M2+M9</f>
        <v>4530406733.0741453</v>
      </c>
      <c r="N12" s="61"/>
      <c r="O12" s="61"/>
      <c r="P12" s="61"/>
      <c r="Q12" s="61"/>
      <c r="R12" s="61"/>
      <c r="S12" s="61"/>
      <c r="T12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D24" sqref="D24"/>
    </sheetView>
  </sheetViews>
  <sheetFormatPr baseColWidth="10" defaultColWidth="14.42578125" defaultRowHeight="15.75" customHeight="1"/>
  <cols>
    <col min="1" max="2" width="23.140625" customWidth="1"/>
    <col min="3" max="3" width="9.5703125" customWidth="1"/>
    <col min="4" max="4" width="14.7109375" bestFit="1" customWidth="1"/>
    <col min="5" max="5" width="7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26"/>
      <c r="B1" s="26"/>
      <c r="C1" s="146" t="s">
        <v>74</v>
      </c>
      <c r="D1" s="128"/>
      <c r="E1" s="146" t="s">
        <v>75</v>
      </c>
      <c r="F1" s="128"/>
      <c r="G1" s="146" t="s">
        <v>76</v>
      </c>
      <c r="H1" s="128"/>
      <c r="I1" s="146" t="s">
        <v>78</v>
      </c>
      <c r="J1" s="128"/>
      <c r="K1" s="147" t="s">
        <v>79</v>
      </c>
      <c r="L1" s="148"/>
      <c r="M1" s="28"/>
      <c r="N1" s="28"/>
      <c r="O1" s="28"/>
      <c r="P1" s="28"/>
      <c r="Q1" s="28"/>
      <c r="R1" s="28"/>
      <c r="S1" s="28"/>
    </row>
    <row r="2" spans="1:19" ht="12.75">
      <c r="A2" s="30" t="s">
        <v>73</v>
      </c>
      <c r="B2" s="30"/>
      <c r="C2" s="32">
        <v>1</v>
      </c>
      <c r="D2" s="35">
        <f>D3</f>
        <v>753769806</v>
      </c>
      <c r="E2" s="36">
        <v>1</v>
      </c>
      <c r="F2" s="35">
        <f>F3</f>
        <v>1378377000</v>
      </c>
      <c r="G2" s="36">
        <v>1</v>
      </c>
      <c r="H2" s="35">
        <f>H3</f>
        <v>2610224760</v>
      </c>
      <c r="I2" s="36">
        <v>1</v>
      </c>
      <c r="J2" s="35">
        <f>J3</f>
        <v>2748088200</v>
      </c>
      <c r="K2" s="36">
        <v>1</v>
      </c>
      <c r="L2" s="37">
        <f>L3</f>
        <v>2756273520</v>
      </c>
      <c r="M2" s="45"/>
      <c r="N2" s="45"/>
      <c r="O2" s="45"/>
      <c r="P2" s="45"/>
      <c r="Q2" s="45"/>
      <c r="R2" s="45"/>
      <c r="S2" s="45"/>
    </row>
    <row r="3" spans="1:19" ht="15.75" customHeight="1">
      <c r="A3" s="50" t="s">
        <v>82</v>
      </c>
      <c r="B3" s="50"/>
      <c r="C3" s="47">
        <v>1</v>
      </c>
      <c r="D3" s="49">
        <f>'Estado de resultados PyG - 12 m'!U3</f>
        <v>753769806</v>
      </c>
      <c r="E3" s="51">
        <v>1</v>
      </c>
      <c r="F3" s="49">
        <f>F22*$N$24*6</f>
        <v>1378377000</v>
      </c>
      <c r="G3" s="51">
        <v>1</v>
      </c>
      <c r="H3" s="49">
        <f>H22*$N$24*6</f>
        <v>2610224760</v>
      </c>
      <c r="I3" s="51">
        <v>1</v>
      </c>
      <c r="J3" s="49">
        <f>J22*$N$24*6</f>
        <v>2748088200</v>
      </c>
      <c r="K3" s="51">
        <v>1</v>
      </c>
      <c r="L3" s="52">
        <f>L22*$N$24*6</f>
        <v>2756273520</v>
      </c>
      <c r="M3" s="53"/>
      <c r="N3" s="53"/>
      <c r="O3" s="53"/>
      <c r="P3" s="53"/>
      <c r="Q3" s="53"/>
      <c r="R3" s="53"/>
      <c r="S3" s="53"/>
    </row>
    <row r="4" spans="1:19" ht="12.75">
      <c r="A4" s="30" t="s">
        <v>84</v>
      </c>
      <c r="B4" s="30"/>
      <c r="C4" s="32">
        <f t="shared" ref="C4:C19" si="0">(D4)/$D$2</f>
        <v>0.12521636139759726</v>
      </c>
      <c r="D4" s="35">
        <f>SUM(D5:D7)</f>
        <v>94384312.438692778</v>
      </c>
      <c r="E4" s="51">
        <f>(F4)/$F$2</f>
        <v>0.85070546602272101</v>
      </c>
      <c r="F4" s="35">
        <f>SUM(F5:F7)</f>
        <v>1172592848.1400001</v>
      </c>
      <c r="G4" s="36">
        <f t="shared" ref="G4:G19" si="1">(H4)/$H$2</f>
        <v>0.85046579851736603</v>
      </c>
      <c r="H4" s="35">
        <f>SUM(H5:H7)</f>
        <v>2219906884.8232002</v>
      </c>
      <c r="I4" s="36">
        <f t="shared" ref="I4:I19" si="2">(J4)/$J$2</f>
        <v>0.85045234491527599</v>
      </c>
      <c r="J4" s="35">
        <f>SUM(J5:J7)</f>
        <v>2337118053.724</v>
      </c>
      <c r="K4" s="36">
        <f t="shared" ref="K4:K19" si="3">(L4)/$L$2</f>
        <v>0.85045158846441327</v>
      </c>
      <c r="L4" s="37">
        <f>SUM(L5:L7)</f>
        <v>2344077193.3263998</v>
      </c>
      <c r="M4" s="45"/>
      <c r="N4" s="45"/>
      <c r="O4" s="45"/>
      <c r="P4" s="45"/>
      <c r="Q4" s="45"/>
      <c r="R4" s="45"/>
      <c r="S4" s="45"/>
    </row>
    <row r="5" spans="1:19" ht="12.75">
      <c r="A5" s="50" t="s">
        <v>86</v>
      </c>
      <c r="B5" s="50"/>
      <c r="C5" s="47">
        <f t="shared" si="0"/>
        <v>9.6793476945286172E-4</v>
      </c>
      <c r="D5" s="49">
        <f>'Estado de resultados PyG - 12 m'!U5</f>
        <v>729600.00339113828</v>
      </c>
      <c r="E5" s="51">
        <f>(F5)/F2</f>
        <v>0.30850349650349651</v>
      </c>
      <c r="F5" s="49">
        <f>((('Salarios, gastos y costos'!$H$11)*12)*(F22/5000)) + (F3*$N$25*10)</f>
        <v>425234124</v>
      </c>
      <c r="G5" s="51">
        <f t="shared" si="1"/>
        <v>0.30850349650349651</v>
      </c>
      <c r="H5" s="49">
        <f>((('Salarios, gastos y costos'!$H$11)*12)*(H22/5000)) + (H3*$N$25*10)</f>
        <v>805263465.12</v>
      </c>
      <c r="I5" s="51">
        <f t="shared" si="2"/>
        <v>0.30850349650349651</v>
      </c>
      <c r="J5" s="49">
        <f>((('Salarios, gastos y costos'!$H$11)*12)*(J22/5000)) + (J3*$N$25*10)</f>
        <v>847794818.39999998</v>
      </c>
      <c r="K5" s="51">
        <f t="shared" si="3"/>
        <v>0.30850349650349651</v>
      </c>
      <c r="L5" s="52">
        <f>((('Salarios, gastos y costos'!$H$11)*12)*(L22/5000)) + (L3*$N$25*10)</f>
        <v>850320018.24000001</v>
      </c>
      <c r="M5" s="53"/>
      <c r="N5" s="53"/>
      <c r="O5" s="53"/>
      <c r="P5" s="53"/>
      <c r="Q5" s="53"/>
      <c r="R5" s="53"/>
      <c r="S5" s="53"/>
    </row>
    <row r="6" spans="1:19" ht="12.75">
      <c r="A6" s="50" t="s">
        <v>88</v>
      </c>
      <c r="B6" s="50"/>
      <c r="C6" s="47">
        <f t="shared" si="0"/>
        <v>0.12331976114210136</v>
      </c>
      <c r="D6" s="49">
        <f>'Estado de resultados PyG - 12 m'!U6</f>
        <v>92954712.432048082</v>
      </c>
      <c r="E6" s="51">
        <f t="shared" ref="E6:E19" si="4">F6/$F$2</f>
        <v>0.54169412587412591</v>
      </c>
      <c r="F6" s="49">
        <f>('Salarios, gastos y costos'!$B$27)*12*(F22/10000)</f>
        <v>746658724.1400001</v>
      </c>
      <c r="G6" s="51">
        <f t="shared" si="1"/>
        <v>0.54169412587412591</v>
      </c>
      <c r="H6" s="49">
        <f>('Salarios, gastos y costos'!$B$27)*12*(H22/10000)</f>
        <v>1413943419.7032001</v>
      </c>
      <c r="I6" s="51">
        <f t="shared" si="2"/>
        <v>0.54169412587412591</v>
      </c>
      <c r="J6" s="49">
        <f>('Salarios, gastos y costos'!$B$27)*12*(J22/10000)</f>
        <v>1488623235.3240001</v>
      </c>
      <c r="K6" s="51">
        <f t="shared" si="3"/>
        <v>0.54169412587412591</v>
      </c>
      <c r="L6" s="52">
        <f>('Salarios, gastos y costos'!$B$27)*12*(L22/10000)</f>
        <v>1493057175.0864</v>
      </c>
      <c r="M6" s="53"/>
      <c r="N6" s="53"/>
      <c r="O6" s="53"/>
      <c r="P6" s="53"/>
      <c r="Q6" s="53"/>
      <c r="R6" s="53"/>
      <c r="S6" s="53"/>
    </row>
    <row r="7" spans="1:19" ht="12.75">
      <c r="A7" s="50" t="s">
        <v>90</v>
      </c>
      <c r="B7" s="50"/>
      <c r="C7" s="47">
        <f t="shared" si="0"/>
        <v>9.2866548604304149E-4</v>
      </c>
      <c r="D7" s="49">
        <f>'Estado de resultados PyG - 12 m'!U7</f>
        <v>700000.00325355912</v>
      </c>
      <c r="E7" s="51">
        <f t="shared" si="4"/>
        <v>5.0784364509854707E-4</v>
      </c>
      <c r="F7" s="49">
        <f>('Presupuesto Inicial'!$J$20)*12</f>
        <v>700000</v>
      </c>
      <c r="G7" s="51">
        <f t="shared" si="1"/>
        <v>2.6817613974361351E-4</v>
      </c>
      <c r="H7" s="49">
        <f>('Presupuesto Inicial'!$J$20)*12</f>
        <v>700000</v>
      </c>
      <c r="I7" s="51">
        <f t="shared" si="2"/>
        <v>2.5472253765363134E-4</v>
      </c>
      <c r="J7" s="49">
        <f>('Presupuesto Inicial'!$J$20)*12</f>
        <v>700000</v>
      </c>
      <c r="K7" s="51">
        <f t="shared" si="3"/>
        <v>2.5396608679098E-4</v>
      </c>
      <c r="L7" s="52">
        <f>('Presupuesto Inicial'!$J$20)*12</f>
        <v>700000</v>
      </c>
      <c r="M7" s="53"/>
      <c r="N7" s="53"/>
      <c r="O7" s="53"/>
      <c r="P7" s="53"/>
      <c r="Q7" s="53"/>
      <c r="R7" s="53"/>
      <c r="S7" s="53"/>
    </row>
    <row r="8" spans="1:19" ht="12.75">
      <c r="A8" s="30" t="s">
        <v>92</v>
      </c>
      <c r="B8" s="30"/>
      <c r="C8" s="32">
        <f t="shared" si="0"/>
        <v>0.87478363860240271</v>
      </c>
      <c r="D8" s="35">
        <f>D2-D4</f>
        <v>659385493.56130719</v>
      </c>
      <c r="E8" s="36">
        <f t="shared" si="4"/>
        <v>0.14929453397727899</v>
      </c>
      <c r="F8" s="35">
        <f>F2-F4</f>
        <v>205784151.8599999</v>
      </c>
      <c r="G8" s="36">
        <f t="shared" si="1"/>
        <v>0.14953420148263391</v>
      </c>
      <c r="H8" s="35">
        <f>H2-H4</f>
        <v>390317875.17679977</v>
      </c>
      <c r="I8" s="36">
        <f t="shared" si="2"/>
        <v>0.14954765508472401</v>
      </c>
      <c r="J8" s="35">
        <f>J2-J4</f>
        <v>410970146.27600002</v>
      </c>
      <c r="K8" s="36">
        <f t="shared" si="3"/>
        <v>0.14954841153558671</v>
      </c>
      <c r="L8" s="37">
        <f>L2-L4</f>
        <v>412196326.6736002</v>
      </c>
      <c r="M8" s="56"/>
      <c r="N8" s="45"/>
      <c r="O8" s="45"/>
      <c r="P8" s="45"/>
      <c r="Q8" s="45"/>
      <c r="R8" s="45"/>
      <c r="S8" s="45"/>
    </row>
    <row r="9" spans="1:19" ht="12.75">
      <c r="A9" s="57" t="s">
        <v>94</v>
      </c>
      <c r="B9" s="57"/>
      <c r="C9" s="47">
        <f t="shared" si="0"/>
        <v>5.2855924803625748E-3</v>
      </c>
      <c r="D9" s="49">
        <f>'Estado de resultados PyG - 12 m'!U9</f>
        <v>3984120.0185179571</v>
      </c>
      <c r="E9" s="51">
        <f t="shared" si="4"/>
        <v>1.6583916083916083E-2</v>
      </c>
      <c r="F9" s="49">
        <f>('Salarios, gastos y costos'!$E$11+'Salarios, gastos y costos'!$K$11)*12*(F22/14000)</f>
        <v>22858888.5</v>
      </c>
      <c r="G9" s="51">
        <f t="shared" si="1"/>
        <v>1.6583916083916087E-2</v>
      </c>
      <c r="H9" s="49">
        <f>('Salarios, gastos y costos'!$E$11+'Salarios, gastos y costos'!$K$11)*12*(H22/14000)</f>
        <v>43287748.380000003</v>
      </c>
      <c r="I9" s="51">
        <f t="shared" si="2"/>
        <v>1.6583916083916083E-2</v>
      </c>
      <c r="J9" s="49">
        <f>('Salarios, gastos y costos'!$E$11+'Salarios, gastos y costos'!$K$11)*12*(J22/14000)</f>
        <v>45574064.100000001</v>
      </c>
      <c r="K9" s="51">
        <f t="shared" si="3"/>
        <v>1.6583916083916087E-2</v>
      </c>
      <c r="L9" s="52">
        <f>('Salarios, gastos y costos'!$E$11+'Salarios, gastos y costos'!$K$11)*12*(L22/14000)</f>
        <v>45709808.760000005</v>
      </c>
      <c r="M9" s="53"/>
      <c r="N9" s="53"/>
      <c r="O9" s="53"/>
      <c r="P9" s="53"/>
      <c r="Q9" s="53"/>
      <c r="R9" s="53"/>
      <c r="S9" s="53"/>
    </row>
    <row r="10" spans="1:19" ht="12.75">
      <c r="A10" s="50" t="s">
        <v>96</v>
      </c>
      <c r="B10" s="50"/>
      <c r="C10" s="47">
        <f t="shared" si="0"/>
        <v>4.9351937446974964E-3</v>
      </c>
      <c r="D10" s="49">
        <f>'Estado de resultados PyG - 12 m'!$U$10</f>
        <v>3720000.0315130455</v>
      </c>
      <c r="E10" s="51">
        <f t="shared" si="4"/>
        <v>1.4452214574642758E-2</v>
      </c>
      <c r="F10" s="49">
        <f>'Estado de resultados PyG - 12 m'!$U$10*(F22/15000)</f>
        <v>19920600.168752361</v>
      </c>
      <c r="G10" s="51">
        <f t="shared" si="1"/>
        <v>1.4452214574642757E-2</v>
      </c>
      <c r="H10" s="49">
        <f>'Estado de resultados PyG - 12 m'!$U$10*(H22/15000)</f>
        <v>37723528.319565393</v>
      </c>
      <c r="I10" s="51">
        <f t="shared" si="2"/>
        <v>1.4452214574642758E-2</v>
      </c>
      <c r="J10" s="49">
        <f>'Estado de resultados PyG - 12 m'!$U$10*(J22/15000)</f>
        <v>39715960.336443782</v>
      </c>
      <c r="K10" s="51">
        <f t="shared" si="3"/>
        <v>1.4452214574642757E-2</v>
      </c>
      <c r="L10" s="52">
        <f>'Estado de resultados PyG - 12 m'!$U$10*(L22/15000)</f>
        <v>39834256.337445892</v>
      </c>
      <c r="M10" s="53"/>
      <c r="N10" s="53"/>
      <c r="O10" s="53"/>
      <c r="P10" s="53"/>
      <c r="Q10" s="53"/>
      <c r="R10" s="53"/>
      <c r="S10" s="53"/>
    </row>
    <row r="11" spans="1:19" ht="12.75">
      <c r="A11" s="30" t="s">
        <v>99</v>
      </c>
      <c r="B11" s="30"/>
      <c r="C11" s="32">
        <f t="shared" si="0"/>
        <v>0.86456285237734254</v>
      </c>
      <c r="D11" s="35">
        <f>D8-D9-D10</f>
        <v>651681373.51127613</v>
      </c>
      <c r="E11" s="36">
        <f t="shared" si="4"/>
        <v>0.11825840331872015</v>
      </c>
      <c r="F11" s="35">
        <f>F8-F9-F10</f>
        <v>163004663.19124752</v>
      </c>
      <c r="G11" s="36">
        <f t="shared" si="1"/>
        <v>0.11849807082407507</v>
      </c>
      <c r="H11" s="35">
        <f>H8-H9-H10</f>
        <v>309306598.47723436</v>
      </c>
      <c r="I11" s="36">
        <f t="shared" si="2"/>
        <v>0.11851152442616515</v>
      </c>
      <c r="J11" s="35">
        <f>J8-J9-J10</f>
        <v>325680121.83955622</v>
      </c>
      <c r="K11" s="36">
        <f t="shared" si="3"/>
        <v>0.11851228087702786</v>
      </c>
      <c r="L11" s="37">
        <f>L8-L9-L10</f>
        <v>326652261.57615429</v>
      </c>
      <c r="M11" s="56"/>
      <c r="N11" s="56"/>
      <c r="O11" s="56"/>
      <c r="P11" s="56"/>
      <c r="Q11" s="45"/>
      <c r="R11" s="45"/>
      <c r="S11" s="45"/>
    </row>
    <row r="12" spans="1:19" ht="12.75">
      <c r="A12" s="57" t="s">
        <v>100</v>
      </c>
      <c r="B12" s="57"/>
      <c r="C12" s="47">
        <f t="shared" si="0"/>
        <v>0</v>
      </c>
      <c r="D12" s="49">
        <v>0</v>
      </c>
      <c r="E12" s="51">
        <f t="shared" si="4"/>
        <v>0</v>
      </c>
      <c r="F12" s="49">
        <v>0</v>
      </c>
      <c r="G12" s="51">
        <f t="shared" si="1"/>
        <v>0</v>
      </c>
      <c r="H12" s="49">
        <v>0</v>
      </c>
      <c r="I12" s="51">
        <f t="shared" si="2"/>
        <v>0</v>
      </c>
      <c r="J12" s="49">
        <v>0</v>
      </c>
      <c r="K12" s="51">
        <f t="shared" si="3"/>
        <v>0</v>
      </c>
      <c r="L12" s="52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50" t="s">
        <v>101</v>
      </c>
      <c r="B13" s="50"/>
      <c r="C13" s="47">
        <f t="shared" si="0"/>
        <v>0</v>
      </c>
      <c r="D13" s="49">
        <f>'Estado de resultados PyG - 12 m'!U13</f>
        <v>0</v>
      </c>
      <c r="E13" s="51">
        <f t="shared" si="4"/>
        <v>3.4965034965034965E-3</v>
      </c>
      <c r="F13" s="49">
        <f>70000*12*(F22/14000)</f>
        <v>4819500</v>
      </c>
      <c r="G13" s="51">
        <f t="shared" si="1"/>
        <v>3.4965034965034965E-3</v>
      </c>
      <c r="H13" s="49">
        <f>70000*12*(H22/14000)</f>
        <v>9126660</v>
      </c>
      <c r="I13" s="51">
        <f t="shared" si="2"/>
        <v>3.4965034965034965E-3</v>
      </c>
      <c r="J13" s="49">
        <f>70000*12*(J22/14000)</f>
        <v>9608700</v>
      </c>
      <c r="K13" s="51">
        <f t="shared" si="3"/>
        <v>3.4965034965034965E-3</v>
      </c>
      <c r="L13" s="52">
        <f>70000*12*(L22/14000)</f>
        <v>9637320</v>
      </c>
      <c r="M13" s="53"/>
      <c r="N13" s="53"/>
      <c r="O13" s="53"/>
      <c r="P13" s="53"/>
      <c r="Q13" s="53"/>
      <c r="R13" s="53"/>
      <c r="S13" s="53"/>
    </row>
    <row r="14" spans="1:19" ht="12.75">
      <c r="A14" s="30" t="s">
        <v>102</v>
      </c>
      <c r="B14" s="30"/>
      <c r="C14" s="32">
        <f t="shared" si="0"/>
        <v>0.86456285237734254</v>
      </c>
      <c r="D14" s="35">
        <f>D11+D12-D13</f>
        <v>651681373.51127613</v>
      </c>
      <c r="E14" s="36">
        <f t="shared" si="4"/>
        <v>0.11476189982221666</v>
      </c>
      <c r="F14" s="35">
        <f>F11+F12-F13</f>
        <v>158185163.19124752</v>
      </c>
      <c r="G14" s="36">
        <f t="shared" si="1"/>
        <v>0.11500156732757158</v>
      </c>
      <c r="H14" s="35">
        <f>H11+H12-H13</f>
        <v>300179938.47723436</v>
      </c>
      <c r="I14" s="36">
        <f t="shared" si="2"/>
        <v>0.11501502092966165</v>
      </c>
      <c r="J14" s="35">
        <f>J11+J12-J13</f>
        <v>316071421.83955622</v>
      </c>
      <c r="K14" s="36">
        <f t="shared" si="3"/>
        <v>0.11501577738052438</v>
      </c>
      <c r="L14" s="37">
        <f>L11+L12-L13</f>
        <v>317014941.57615429</v>
      </c>
      <c r="M14" s="56"/>
      <c r="N14" s="56"/>
      <c r="O14" s="56"/>
      <c r="P14" s="56"/>
      <c r="Q14" s="45"/>
      <c r="R14" s="45"/>
      <c r="S14" s="45"/>
    </row>
    <row r="15" spans="1:19" ht="12.75">
      <c r="A15" s="50" t="s">
        <v>103</v>
      </c>
      <c r="B15" s="50"/>
      <c r="C15" s="47">
        <f t="shared" si="0"/>
        <v>0.32558806995904882</v>
      </c>
      <c r="D15" s="49">
        <f>'Estado de resultados PyG - 12 m'!U15</f>
        <v>245418456.32894665</v>
      </c>
      <c r="E15" s="51">
        <f t="shared" si="4"/>
        <v>4.0166664937775827E-2</v>
      </c>
      <c r="F15" s="49">
        <f>IF(F14&gt;0, F14*0.35, 0)</f>
        <v>55364807.116936632</v>
      </c>
      <c r="G15" s="51">
        <f t="shared" si="1"/>
        <v>4.0250548564650046E-2</v>
      </c>
      <c r="H15" s="49">
        <f>IF(H14&gt;0, H14*0.35, 0)</f>
        <v>105062978.46703202</v>
      </c>
      <c r="I15" s="51">
        <f t="shared" si="2"/>
        <v>4.0255257325381572E-2</v>
      </c>
      <c r="J15" s="49">
        <f>IF(J14&gt;0, J14*0.35, 0)</f>
        <v>110624997.64384466</v>
      </c>
      <c r="K15" s="51">
        <f t="shared" si="3"/>
        <v>4.0255522083183531E-2</v>
      </c>
      <c r="L15" s="52">
        <f>IF(L14&gt;0, L14*0.35, 0)</f>
        <v>110955229.551654</v>
      </c>
      <c r="M15" s="53"/>
      <c r="N15" s="53"/>
      <c r="O15" s="53"/>
      <c r="P15" s="53"/>
      <c r="Q15" s="53"/>
      <c r="R15" s="53"/>
      <c r="S15" s="53"/>
    </row>
    <row r="16" spans="1:19" ht="12.75">
      <c r="A16" s="30" t="s">
        <v>104</v>
      </c>
      <c r="B16" s="30"/>
      <c r="C16" s="69">
        <f t="shared" si="0"/>
        <v>0.53897478241829377</v>
      </c>
      <c r="D16" s="35">
        <f>D14-D15</f>
        <v>406262917.18232948</v>
      </c>
      <c r="E16" s="70">
        <f t="shared" si="4"/>
        <v>7.4595234884440836E-2</v>
      </c>
      <c r="F16" s="35">
        <f>F14-F15</f>
        <v>102820356.0743109</v>
      </c>
      <c r="G16" s="70">
        <f t="shared" si="1"/>
        <v>7.4751018762921534E-2</v>
      </c>
      <c r="H16" s="35">
        <f>H14-H15</f>
        <v>195116960.01020235</v>
      </c>
      <c r="I16" s="70">
        <f t="shared" si="2"/>
        <v>7.4759763604280077E-2</v>
      </c>
      <c r="J16" s="35">
        <f>J14-J15</f>
        <v>205446424.19571155</v>
      </c>
      <c r="K16" s="70">
        <f t="shared" si="3"/>
        <v>7.4760255297340844E-2</v>
      </c>
      <c r="L16" s="37">
        <f>L14-L15</f>
        <v>206059712.02450031</v>
      </c>
      <c r="M16" s="56"/>
      <c r="N16" s="56"/>
      <c r="O16" s="56"/>
      <c r="P16" s="56"/>
      <c r="Q16" s="45"/>
      <c r="R16" s="45"/>
      <c r="S16" s="45"/>
    </row>
    <row r="17" spans="1:19" ht="12.75">
      <c r="A17" s="7" t="s">
        <v>114</v>
      </c>
      <c r="B17" s="72">
        <v>0</v>
      </c>
      <c r="C17" s="32">
        <f t="shared" si="0"/>
        <v>9.2866548604304149E-4</v>
      </c>
      <c r="D17" s="73">
        <f>D7</f>
        <v>700000.00325355912</v>
      </c>
      <c r="E17" s="36">
        <f t="shared" si="4"/>
        <v>5.0784364509854707E-4</v>
      </c>
      <c r="F17" s="73">
        <f>F7</f>
        <v>700000</v>
      </c>
      <c r="G17" s="36">
        <f t="shared" si="1"/>
        <v>2.6817613974361351E-4</v>
      </c>
      <c r="H17" s="73">
        <f>H7</f>
        <v>700000</v>
      </c>
      <c r="I17" s="36">
        <f t="shared" si="2"/>
        <v>2.5472253765363134E-4</v>
      </c>
      <c r="J17" s="73">
        <f>J7</f>
        <v>700000</v>
      </c>
      <c r="K17" s="36">
        <f t="shared" si="3"/>
        <v>2.5396608679098E-4</v>
      </c>
      <c r="L17" s="74">
        <f>L7</f>
        <v>700000</v>
      </c>
    </row>
    <row r="18" spans="1:19" ht="12.75">
      <c r="A18" s="7" t="s">
        <v>117</v>
      </c>
      <c r="B18" s="72">
        <v>-70000000</v>
      </c>
      <c r="C18" s="32">
        <f t="shared" si="0"/>
        <v>0</v>
      </c>
      <c r="D18" s="75">
        <v>0</v>
      </c>
      <c r="E18" s="36">
        <f t="shared" si="4"/>
        <v>0</v>
      </c>
      <c r="F18" s="75">
        <v>0</v>
      </c>
      <c r="G18" s="36">
        <f t="shared" si="1"/>
        <v>0</v>
      </c>
      <c r="H18" s="75">
        <v>0</v>
      </c>
      <c r="I18" s="36">
        <f t="shared" si="2"/>
        <v>0</v>
      </c>
      <c r="J18" s="75">
        <v>0</v>
      </c>
      <c r="K18" s="36">
        <f t="shared" si="3"/>
        <v>0</v>
      </c>
      <c r="L18" s="76">
        <v>0</v>
      </c>
    </row>
    <row r="19" spans="1:19" ht="12.75">
      <c r="A19" s="5" t="s">
        <v>118</v>
      </c>
      <c r="B19" s="77">
        <f>B18+B17</f>
        <v>-70000000</v>
      </c>
      <c r="C19" s="32">
        <f t="shared" si="0"/>
        <v>0.53990344790433675</v>
      </c>
      <c r="D19" s="79">
        <f>D18+D17+D16</f>
        <v>406962917.18558306</v>
      </c>
      <c r="E19" s="36">
        <f t="shared" si="4"/>
        <v>7.5103078529539374E-2</v>
      </c>
      <c r="F19" s="79">
        <f>F18+F17+F16</f>
        <v>103520356.0743109</v>
      </c>
      <c r="G19" s="36">
        <f t="shared" si="1"/>
        <v>7.5019194902665148E-2</v>
      </c>
      <c r="H19" s="79">
        <f>H18+H17+H16</f>
        <v>195816960.01020235</v>
      </c>
      <c r="I19" s="36">
        <f t="shared" si="2"/>
        <v>7.5014486141933706E-2</v>
      </c>
      <c r="J19" s="79">
        <f>J18+J17+J16</f>
        <v>206146424.19571155</v>
      </c>
      <c r="K19" s="36">
        <f t="shared" si="3"/>
        <v>7.5014221384131829E-2</v>
      </c>
      <c r="L19" s="82">
        <f>L18+L17+L16</f>
        <v>206759712.02450031</v>
      </c>
    </row>
    <row r="22" spans="1:19" ht="12.75">
      <c r="C22" s="11"/>
      <c r="D22" s="11"/>
      <c r="F22" s="62">
        <f>'Tabla Crecimiento'!B10</f>
        <v>80325</v>
      </c>
      <c r="H22" s="62">
        <f>'Tabla Crecimiento'!B11</f>
        <v>152111</v>
      </c>
      <c r="J22" s="62">
        <f>'Tabla Crecimiento'!B12</f>
        <v>160145</v>
      </c>
      <c r="L22" s="62">
        <f>'Tabla Crecimiento'!B13</f>
        <v>160622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M23" s="11" t="s">
        <v>105</v>
      </c>
      <c r="N23" s="11">
        <v>3</v>
      </c>
    </row>
    <row r="24" spans="1:19" ht="12.75">
      <c r="D24" s="44">
        <f>D5+D6+D9+D10+D13+D15</f>
        <v>346806888.81441689</v>
      </c>
      <c r="M24" s="11" t="s">
        <v>106</v>
      </c>
      <c r="N24" s="11">
        <v>2860</v>
      </c>
    </row>
    <row r="25" spans="1:19" ht="12.75">
      <c r="M25" s="11" t="s">
        <v>107</v>
      </c>
      <c r="N25" s="11">
        <v>0.03</v>
      </c>
    </row>
  </sheetData>
  <mergeCells count="5">
    <mergeCell ref="E1:F1"/>
    <mergeCell ref="C1:D1"/>
    <mergeCell ref="G1:H1"/>
    <mergeCell ref="I1:J1"/>
    <mergeCell ref="K1:L1"/>
  </mergeCells>
  <conditionalFormatting sqref="A1:B16 C1:C19 D1:D16 E1:E19 F1:F16 G1:G19 H1:H16 I1:I19 J1:J16 K1:K19 L1:L16">
    <cfRule type="cellIs" dxfId="4" priority="1" operator="lessThan">
      <formula>0</formula>
    </cfRule>
  </conditionalFormatting>
  <conditionalFormatting sqref="B17:L19">
    <cfRule type="cellIs" dxfId="3" priority="2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6" sqref="B6"/>
    </sheetView>
  </sheetViews>
  <sheetFormatPr baseColWidth="10" defaultColWidth="14.42578125" defaultRowHeight="15.75" customHeight="1"/>
  <cols>
    <col min="1" max="1" width="23.85546875" customWidth="1"/>
    <col min="2" max="2" width="20.42578125" customWidth="1"/>
    <col min="4" max="4" width="16.42578125" bestFit="1" customWidth="1"/>
    <col min="5" max="6" width="18.28515625" bestFit="1" customWidth="1"/>
    <col min="8" max="8" width="19.42578125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v>70000000</v>
      </c>
      <c r="H1" s="67">
        <v>-70000000</v>
      </c>
      <c r="J1" s="25">
        <f>'Flujo de Caja (Profesor) - 5 añ'!B19</f>
        <v>-70000000</v>
      </c>
    </row>
    <row r="2" spans="1:13" ht="15.75" customHeight="1">
      <c r="A2" s="11" t="s">
        <v>113</v>
      </c>
      <c r="B2" s="11">
        <v>0.15</v>
      </c>
      <c r="C2" s="11">
        <v>800</v>
      </c>
      <c r="H2" s="68">
        <f>'Flujo de caja - 5 años'!E12</f>
        <v>247605075.40749216</v>
      </c>
      <c r="J2" s="25">
        <f>'Flujo de Caja (Profesor) - 5 añ'!D19</f>
        <v>406962917.18558306</v>
      </c>
    </row>
    <row r="3" spans="1:13" ht="15.75" customHeight="1">
      <c r="H3" s="68">
        <f>'Flujo de caja - 5 años'!G12</f>
        <v>842620495.4446497</v>
      </c>
      <c r="J3" s="25">
        <f>'Flujo de Caja (Profesor) - 5 añ'!F19</f>
        <v>103520356.0743109</v>
      </c>
    </row>
    <row r="4" spans="1:13" ht="15.75" customHeight="1">
      <c r="A4" s="11"/>
      <c r="B4" s="25">
        <f>'Flujo de caja - 5 años'!E12/((1+$B$2)^1)</f>
        <v>215308761.22390625</v>
      </c>
      <c r="C4" s="25">
        <f>'Flujo de caja - 5 años'!G12/((1+$B$2)^2)</f>
        <v>637142151.56495261</v>
      </c>
      <c r="D4" s="25">
        <f>'Flujo de caja - 5 años'!I12/((1+$B$2)^3)</f>
        <v>1332678911.4146383</v>
      </c>
      <c r="E4" s="71">
        <f>'Flujo de caja - 5 años'!K12/((1+$B$2)^4)</f>
        <v>1873478158.3695061</v>
      </c>
      <c r="F4" s="71">
        <f>'Flujo de caja - 5 años'!M12/((1+$B$2)^5)</f>
        <v>2252412829.1231947</v>
      </c>
      <c r="H4" s="68">
        <f>'Flujo de caja - 5 años'!I12</f>
        <v>2026838039.3977375</v>
      </c>
      <c r="J4" s="25">
        <f>'Flujo de Caja (Profesor) - 5 añ'!H19</f>
        <v>195816960.01020235</v>
      </c>
    </row>
    <row r="5" spans="1:13" ht="15.75" customHeight="1">
      <c r="A5" s="11" t="s">
        <v>115</v>
      </c>
      <c r="B5" s="25">
        <f>SUM(B4:F4)-B1</f>
        <v>6241020811.6961975</v>
      </c>
      <c r="H5" s="68">
        <f>'Flujo de caja - 5 años'!K12</f>
        <v>3276725008.2267551</v>
      </c>
      <c r="J5" s="25">
        <f>'Flujo de Caja (Profesor) - 5 añ'!J19</f>
        <v>206146424.19571155</v>
      </c>
      <c r="L5" s="11" t="s">
        <v>116</v>
      </c>
    </row>
    <row r="6" spans="1:13" ht="15.75" customHeight="1">
      <c r="A6" s="11"/>
      <c r="B6" s="25">
        <f>'Flujo de caja - 5 años'!E12/(1+$C$2)^1</f>
        <v>309119.94432895404</v>
      </c>
      <c r="C6" s="25">
        <f>'Flujo de caja - 5 años'!G12/(1+$C$2)^2</f>
        <v>1313.3091990889193</v>
      </c>
      <c r="D6" s="25">
        <f>'Flujo de caja - 5 años'!I12/(1+$C$2)^3</f>
        <v>3.9438600758672466</v>
      </c>
      <c r="E6" s="71">
        <f>'Flujo de caja - 5 años'!K12/(1+$B$2)^4</f>
        <v>1873478158.3695061</v>
      </c>
      <c r="F6" s="71">
        <f>'Flujo de caja - 5 años'!M12/(1+$B$2)^5</f>
        <v>2252412829.1231947</v>
      </c>
      <c r="H6" s="68">
        <f>'Flujo de caja - 5 años'!M12</f>
        <v>4530406733.0741453</v>
      </c>
      <c r="J6" s="25">
        <f>'Flujo de Caja (Profesor) - 5 añ'!L19</f>
        <v>206759712.02450031</v>
      </c>
      <c r="L6" s="11">
        <v>0</v>
      </c>
      <c r="M6" s="44">
        <f t="shared" ref="M6:M30" si="0">NPV(L6,$J$2:$J$6)+$J$1</f>
        <v>1049206369.4903083</v>
      </c>
    </row>
    <row r="7" spans="1:13" ht="15.75" customHeight="1">
      <c r="A7" s="11" t="s">
        <v>119</v>
      </c>
      <c r="B7" s="25">
        <f>SUM(B6:F6)-B1</f>
        <v>4056201424.6900892</v>
      </c>
      <c r="H7" s="78">
        <f>'Flujo de caja - 5 años'!E17</f>
        <v>0</v>
      </c>
      <c r="L7" s="11">
        <v>0.05</v>
      </c>
      <c r="M7" s="44">
        <f t="shared" si="0"/>
        <v>912232615.6177454</v>
      </c>
    </row>
    <row r="8" spans="1:13" ht="15.75" customHeight="1">
      <c r="L8" s="11">
        <v>0.1</v>
      </c>
      <c r="M8" s="44">
        <f t="shared" si="0"/>
        <v>801822777.40495086</v>
      </c>
    </row>
    <row r="9" spans="1:13" ht="15.75" customHeight="1">
      <c r="G9" s="11" t="s">
        <v>115</v>
      </c>
      <c r="H9" s="44">
        <f t="array" ref="H9">NPV(0.15,H2:H6)+H1</f>
        <v>6241020811.6961994</v>
      </c>
      <c r="J9" s="44">
        <f t="array" ref="J9">NPV(0.15,J2:J6)+J1</f>
        <v>711570894.74362516</v>
      </c>
      <c r="L9" s="11">
        <v>0.15</v>
      </c>
      <c r="M9" s="44">
        <f t="shared" si="0"/>
        <v>711570894.74362516</v>
      </c>
    </row>
    <row r="10" spans="1:13" ht="15.75" customHeight="1">
      <c r="G10" s="11" t="s">
        <v>119</v>
      </c>
      <c r="H10" s="80">
        <f>IRR(H1:H6)</f>
        <v>5.3644294585748602</v>
      </c>
      <c r="J10" s="80">
        <f>IRR(J1:J6)</f>
        <v>5.1433762867717165</v>
      </c>
      <c r="L10" s="11">
        <v>0.2</v>
      </c>
      <c r="M10" s="44">
        <f t="shared" si="0"/>
        <v>636851740.87194574</v>
      </c>
    </row>
    <row r="11" spans="1:13" ht="15.75" customHeight="1">
      <c r="L11" s="11">
        <v>0.25</v>
      </c>
      <c r="M11" s="44">
        <f t="shared" si="0"/>
        <v>574270242.94800067</v>
      </c>
    </row>
    <row r="12" spans="1:13" ht="15.75" customHeight="1">
      <c r="G12" s="11" t="s">
        <v>120</v>
      </c>
      <c r="J12" s="11" t="s">
        <v>121</v>
      </c>
      <c r="L12" s="11">
        <v>0.3</v>
      </c>
      <c r="M12" s="44">
        <f t="shared" si="0"/>
        <v>521296290.52127874</v>
      </c>
    </row>
    <row r="13" spans="1:13" ht="15.75" customHeight="1">
      <c r="L13" s="11">
        <v>0.35</v>
      </c>
      <c r="M13" s="44">
        <f t="shared" si="0"/>
        <v>476017909.4246068</v>
      </c>
    </row>
    <row r="14" spans="1:13" ht="15.75" customHeight="1">
      <c r="L14" s="11">
        <v>0.4</v>
      </c>
      <c r="M14" s="44">
        <f t="shared" si="0"/>
        <v>436971527.34845197</v>
      </c>
    </row>
    <row r="15" spans="1:13" ht="15.75" customHeight="1">
      <c r="L15" s="11">
        <v>0.45</v>
      </c>
      <c r="M15" s="44">
        <f t="shared" si="0"/>
        <v>403023376.70173526</v>
      </c>
    </row>
    <row r="16" spans="1:13" ht="15.75" customHeight="1">
      <c r="A16" s="11" t="s">
        <v>122</v>
      </c>
      <c r="B16">
        <f>B17/(B19-B18)</f>
        <v>3066.9166390877763</v>
      </c>
      <c r="L16" s="11">
        <v>0.5</v>
      </c>
      <c r="M16" s="44">
        <f t="shared" si="0"/>
        <v>373285396.32511425</v>
      </c>
    </row>
    <row r="17" spans="1:13" ht="15.75" customHeight="1">
      <c r="A17" s="11" t="s">
        <v>123</v>
      </c>
      <c r="B17" s="44">
        <f>'Estado de resultados PyG - 12 m'!I6+'Estado de resultados PyG - 12 m'!I7+'Estado de resultados PyG - 12 m'!I9+'Estado de resultados PyG - 12 m'!I10+'Estado de resultados PyG - 12 m'!I13</f>
        <v>8701569.3333333321</v>
      </c>
      <c r="L17" s="11">
        <v>0.55000000000000004</v>
      </c>
      <c r="M17" s="44">
        <f t="shared" si="0"/>
        <v>347054774.2409274</v>
      </c>
    </row>
    <row r="18" spans="1:13" ht="15.75" customHeight="1">
      <c r="A18" s="11" t="s">
        <v>124</v>
      </c>
      <c r="B18" s="44">
        <f>'Estado de resultados PyG - 12 m'!I5/'Estado de resultados PyG - 12 m'!I18</f>
        <v>22.763010108573567</v>
      </c>
      <c r="L18" s="11">
        <v>0.6</v>
      </c>
      <c r="M18" s="44">
        <f t="shared" si="0"/>
        <v>323769928.06544971</v>
      </c>
    </row>
    <row r="19" spans="1:13" ht="15.75" customHeight="1">
      <c r="A19" s="11" t="s">
        <v>125</v>
      </c>
      <c r="B19" s="11">
        <v>2860</v>
      </c>
      <c r="L19" s="11">
        <v>0.65</v>
      </c>
      <c r="M19" s="44">
        <f t="shared" si="0"/>
        <v>302978070.32551134</v>
      </c>
    </row>
    <row r="20" spans="1:13" ht="15.75" customHeight="1">
      <c r="L20" s="11">
        <v>0.7</v>
      </c>
      <c r="M20" s="44">
        <f t="shared" si="0"/>
        <v>284311042.42226452</v>
      </c>
    </row>
    <row r="21" spans="1:13" ht="15.75" customHeight="1">
      <c r="L21" s="11">
        <v>0.75</v>
      </c>
      <c r="M21" s="44">
        <f t="shared" si="0"/>
        <v>267467120.52418375</v>
      </c>
    </row>
    <row r="22" spans="1:13" ht="15.75" customHeight="1">
      <c r="L22" s="11">
        <v>0.8</v>
      </c>
      <c r="M22" s="44">
        <f t="shared" si="0"/>
        <v>252197182.74666983</v>
      </c>
    </row>
    <row r="23" spans="1:13" ht="15.75" customHeight="1">
      <c r="L23" s="11">
        <v>0.85</v>
      </c>
      <c r="M23" s="44">
        <f t="shared" si="0"/>
        <v>238294094.7680642</v>
      </c>
    </row>
    <row r="24" spans="1:13" ht="15.75" customHeight="1">
      <c r="L24" s="11">
        <v>0.9</v>
      </c>
      <c r="M24" s="44">
        <f t="shared" si="0"/>
        <v>225584493.95606232</v>
      </c>
    </row>
    <row r="25" spans="1:13" ht="12.75">
      <c r="L25" s="11">
        <v>0.95</v>
      </c>
      <c r="M25" s="44">
        <f t="shared" si="0"/>
        <v>213922377.60500652</v>
      </c>
    </row>
    <row r="26" spans="1:13" ht="12.75">
      <c r="L26" s="11">
        <v>1</v>
      </c>
      <c r="M26" s="44">
        <f t="shared" si="0"/>
        <v>203184060.12564218</v>
      </c>
    </row>
    <row r="27" spans="1:13" ht="12.75">
      <c r="L27" s="11">
        <v>1.05</v>
      </c>
      <c r="M27" s="44">
        <f t="shared" si="0"/>
        <v>193264177.63692695</v>
      </c>
    </row>
    <row r="28" spans="1:13" ht="12.75">
      <c r="L28" s="11">
        <v>1.1000000000000001</v>
      </c>
      <c r="M28" s="44">
        <f t="shared" si="0"/>
        <v>184072500.25897056</v>
      </c>
    </row>
    <row r="29" spans="1:13" ht="12.75">
      <c r="L29" s="11">
        <v>1.1499999999999999</v>
      </c>
      <c r="M29" s="44">
        <f t="shared" si="0"/>
        <v>175531371.924779</v>
      </c>
    </row>
    <row r="30" spans="1:13" ht="12.75">
      <c r="L30" s="11">
        <v>1.2</v>
      </c>
      <c r="M30" s="44">
        <f t="shared" si="0"/>
        <v>167573641.19142193</v>
      </c>
    </row>
    <row r="31" spans="1:13" ht="12.75">
      <c r="L31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4" sqref="E24"/>
    </sheetView>
  </sheetViews>
  <sheetFormatPr baseColWidth="10" defaultColWidth="14.42578125" defaultRowHeight="15.75" customHeight="1"/>
  <cols>
    <col min="1" max="1" width="27.42578125" customWidth="1"/>
    <col min="2" max="2" width="9.28515625" customWidth="1"/>
    <col min="4" max="4" width="8.5703125" customWidth="1"/>
    <col min="6" max="6" width="9" customWidth="1"/>
    <col min="8" max="8" width="8.140625" customWidth="1"/>
    <col min="9" max="9" width="13.5703125" customWidth="1"/>
    <col min="10" max="10" width="9" customWidth="1"/>
    <col min="11" max="11" width="13.85546875" customWidth="1"/>
  </cols>
  <sheetData>
    <row r="1" spans="1:11" ht="15.75" customHeight="1">
      <c r="A1" s="27"/>
      <c r="B1" s="149" t="s">
        <v>74</v>
      </c>
      <c r="C1" s="128"/>
      <c r="D1" s="149" t="s">
        <v>75</v>
      </c>
      <c r="E1" s="128"/>
      <c r="F1" s="149" t="s">
        <v>76</v>
      </c>
      <c r="G1" s="128"/>
      <c r="H1" s="149" t="s">
        <v>78</v>
      </c>
      <c r="I1" s="128"/>
      <c r="J1" s="149" t="s">
        <v>79</v>
      </c>
      <c r="K1" s="128"/>
    </row>
    <row r="2" spans="1:11" ht="15.75" customHeight="1">
      <c r="A2" s="31" t="s">
        <v>128</v>
      </c>
      <c r="B2" s="86" t="e">
        <f>C2/$C$2</f>
        <v>#REF!</v>
      </c>
      <c r="C2" s="88" t="e">
        <f>SUM(C4,C9)</f>
        <v>#REF!</v>
      </c>
      <c r="D2" s="86" t="e">
        <f>E2/$E$2</f>
        <v>#REF!</v>
      </c>
      <c r="E2" s="88" t="e">
        <f>SUM(E4,E9)</f>
        <v>#REF!</v>
      </c>
      <c r="F2" s="86" t="e">
        <f>G2/$G$2</f>
        <v>#REF!</v>
      </c>
      <c r="G2" s="88" t="e">
        <f>SUM(G4,G9)</f>
        <v>#REF!</v>
      </c>
      <c r="H2" s="86" t="e">
        <f>I2/$I$2</f>
        <v>#REF!</v>
      </c>
      <c r="I2" s="88" t="e">
        <f>SUM(I4,I9)</f>
        <v>#REF!</v>
      </c>
      <c r="J2" s="33" t="e">
        <f>K2/$K$2</f>
        <v>#REF!</v>
      </c>
      <c r="K2" s="92" t="e">
        <f>SUM(K4,K9)</f>
        <v>#REF!</v>
      </c>
    </row>
    <row r="3" spans="1:11" ht="15.75" customHeight="1">
      <c r="A3" s="31" t="s">
        <v>142</v>
      </c>
      <c r="B3" s="86"/>
      <c r="C3" s="93"/>
      <c r="D3" s="86"/>
      <c r="E3" s="93"/>
      <c r="F3" s="86"/>
      <c r="G3" s="93"/>
      <c r="H3" s="86" t="e">
        <f>I3/$I$2</f>
        <v>#REF!</v>
      </c>
      <c r="I3" s="93"/>
      <c r="J3" s="94"/>
      <c r="K3" s="95"/>
    </row>
    <row r="4" spans="1:11" ht="15.75" customHeight="1">
      <c r="A4" s="40" t="s">
        <v>147</v>
      </c>
      <c r="B4" s="96" t="e">
        <f>C4/$C$2</f>
        <v>#REF!</v>
      </c>
      <c r="C4" s="97">
        <f>'Estado de resultados PyG - 5 añ'!C3+100000000</f>
        <v>853769806</v>
      </c>
      <c r="D4" s="96" t="e">
        <f>E4/$E$2</f>
        <v>#REF!</v>
      </c>
      <c r="E4" s="97">
        <f>'Estado de resultados PyG - 5 añ'!E3</f>
        <v>1949969700</v>
      </c>
      <c r="F4" s="86" t="e">
        <f>G4/$G$2</f>
        <v>#REF!</v>
      </c>
      <c r="G4" s="97">
        <f>'Estado de resultados PyG - 5 añ'!G3</f>
        <v>3692646636</v>
      </c>
      <c r="H4" s="86" t="e">
        <f>I4/$I$2</f>
        <v>#REF!</v>
      </c>
      <c r="I4" s="97">
        <f>'Estado de resultados PyG - 5 añ'!I3</f>
        <v>3887680020</v>
      </c>
      <c r="J4" s="33" t="e">
        <f>K4/$K$2</f>
        <v>#REF!</v>
      </c>
      <c r="K4" s="99">
        <f>'Estado de resultados PyG - 5 añ'!K3</f>
        <v>3899259672</v>
      </c>
    </row>
    <row r="5" spans="1:11" ht="15.75" customHeight="1">
      <c r="A5" s="31" t="s">
        <v>155</v>
      </c>
      <c r="B5" s="86"/>
      <c r="C5" s="93"/>
      <c r="D5" s="86"/>
      <c r="E5" s="93"/>
      <c r="F5" s="86"/>
      <c r="G5" s="93"/>
      <c r="H5" s="86"/>
      <c r="I5" s="93"/>
      <c r="J5" s="94"/>
      <c r="K5" s="95"/>
    </row>
    <row r="6" spans="1:11" ht="15.75" customHeight="1">
      <c r="A6" s="186" t="s">
        <v>157</v>
      </c>
      <c r="B6" s="187" t="e">
        <f>C6/$C$2</f>
        <v>#REF!</v>
      </c>
      <c r="C6" s="188" t="e">
        <f>'Presupuesto Inicial'!#REF!</f>
        <v>#REF!</v>
      </c>
      <c r="D6" s="187" t="e">
        <f>E6/$E$2</f>
        <v>#REF!</v>
      </c>
      <c r="E6" s="188" t="e">
        <f>C6*3</f>
        <v>#REF!</v>
      </c>
      <c r="F6" s="187" t="e">
        <f>G6/$G$2</f>
        <v>#REF!</v>
      </c>
      <c r="G6" s="188" t="e">
        <f>E6*3</f>
        <v>#REF!</v>
      </c>
      <c r="H6" s="189" t="e">
        <f>I6/$I$2</f>
        <v>#REF!</v>
      </c>
      <c r="I6" s="188" t="e">
        <f>G6*3</f>
        <v>#REF!</v>
      </c>
      <c r="J6" s="190" t="e">
        <f>K6/$K$2</f>
        <v>#REF!</v>
      </c>
      <c r="K6" s="191" t="e">
        <f>I6*3</f>
        <v>#REF!</v>
      </c>
    </row>
    <row r="7" spans="1:11" ht="15.75" customHeight="1">
      <c r="A7" s="40" t="s">
        <v>160</v>
      </c>
      <c r="B7" s="96" t="e">
        <f>C7/$C$2</f>
        <v>#REF!</v>
      </c>
      <c r="C7" s="43">
        <f>'Presupuesto Inicial'!$D$21</f>
        <v>3500000</v>
      </c>
      <c r="D7" s="96" t="e">
        <f>E7/$E$2</f>
        <v>#REF!</v>
      </c>
      <c r="E7" s="43">
        <f>C7*2.5</f>
        <v>8750000</v>
      </c>
      <c r="F7" s="96" t="e">
        <f>G7/$G$2</f>
        <v>#REF!</v>
      </c>
      <c r="G7" s="43">
        <f>E7*2.5</f>
        <v>21875000</v>
      </c>
      <c r="H7" s="86" t="e">
        <f>I7/$I$2</f>
        <v>#REF!</v>
      </c>
      <c r="I7" s="43">
        <f>G7*2.5</f>
        <v>54687500</v>
      </c>
      <c r="J7" s="41" t="e">
        <f>K7/$K$2</f>
        <v>#REF!</v>
      </c>
      <c r="K7" s="46">
        <f>I7*2.5</f>
        <v>136718750</v>
      </c>
    </row>
    <row r="8" spans="1:11" ht="15.75" customHeight="1">
      <c r="A8" s="31" t="s">
        <v>161</v>
      </c>
      <c r="B8" s="86" t="e">
        <f>C8/$C$2</f>
        <v>#REF!</v>
      </c>
      <c r="C8" s="43">
        <f>('Presupuesto Inicial'!J20)*12</f>
        <v>700000</v>
      </c>
      <c r="D8" s="86" t="e">
        <f>E8/$E$2</f>
        <v>#REF!</v>
      </c>
      <c r="E8" s="43">
        <f>C8+$C$8</f>
        <v>1400000</v>
      </c>
      <c r="F8" s="86" t="e">
        <f>G8/$G$2</f>
        <v>#REF!</v>
      </c>
      <c r="G8" s="43">
        <f>E8+$C$8</f>
        <v>2100000</v>
      </c>
      <c r="H8" s="86" t="e">
        <f>I8/$I$2</f>
        <v>#REF!</v>
      </c>
      <c r="I8" s="43">
        <f>G8+$C$8</f>
        <v>2800000</v>
      </c>
      <c r="J8" s="33" t="e">
        <f>K8/$K$2</f>
        <v>#REF!</v>
      </c>
      <c r="K8" s="46">
        <f>I8+$C$8</f>
        <v>3500000</v>
      </c>
    </row>
    <row r="9" spans="1:11" ht="15.75" customHeight="1">
      <c r="A9" s="31" t="s">
        <v>162</v>
      </c>
      <c r="B9" s="86" t="e">
        <f>C9/$C$2</f>
        <v>#REF!</v>
      </c>
      <c r="C9" s="43" t="e">
        <f>C6+C7-C8</f>
        <v>#REF!</v>
      </c>
      <c r="D9" s="86" t="e">
        <f>E9/$E$2</f>
        <v>#REF!</v>
      </c>
      <c r="E9" s="43" t="e">
        <f>E6+E7-E8</f>
        <v>#REF!</v>
      </c>
      <c r="F9" s="86" t="e">
        <f>G9/$G$2</f>
        <v>#REF!</v>
      </c>
      <c r="G9" s="43" t="e">
        <f>G6+G7-G8</f>
        <v>#REF!</v>
      </c>
      <c r="H9" s="86" t="e">
        <f>I9/$I$2</f>
        <v>#REF!</v>
      </c>
      <c r="I9" s="43" t="e">
        <f>I6+I7-I8</f>
        <v>#REF!</v>
      </c>
      <c r="J9" s="33" t="e">
        <f>K9/$K$2</f>
        <v>#REF!</v>
      </c>
      <c r="K9" s="46" t="e">
        <f>K6+K7-K8</f>
        <v>#REF!</v>
      </c>
    </row>
    <row r="10" spans="1:11" ht="15.75" customHeight="1">
      <c r="A10" s="31" t="s">
        <v>163</v>
      </c>
      <c r="B10" s="86">
        <f>C10/$C$10</f>
        <v>1</v>
      </c>
      <c r="C10" s="59">
        <f>SUM(C12:C15)</f>
        <v>572208230.59250784</v>
      </c>
      <c r="D10" s="86">
        <f>E10/$E$10</f>
        <v>1</v>
      </c>
      <c r="E10" s="59">
        <f>SUM(E12:E15)</f>
        <v>1354954279.9628422</v>
      </c>
      <c r="F10" s="86">
        <f>G10/$G$10</f>
        <v>1</v>
      </c>
      <c r="G10" s="59">
        <f>SUM(G12:G15)</f>
        <v>2508429092.0469122</v>
      </c>
      <c r="H10" s="86">
        <f>I10/$I$10</f>
        <v>1</v>
      </c>
      <c r="I10" s="59">
        <f>SUM(I12:I15)</f>
        <v>2637793051.1709824</v>
      </c>
      <c r="J10" s="33">
        <f>K10/$K$10</f>
        <v>1</v>
      </c>
      <c r="K10" s="60">
        <f>SUM(K12:K15)</f>
        <v>2645577947.1526098</v>
      </c>
    </row>
    <row r="11" spans="1:11" ht="15.75" customHeight="1">
      <c r="A11" s="31" t="s">
        <v>164</v>
      </c>
      <c r="B11" s="86"/>
      <c r="C11" s="93"/>
      <c r="D11" s="86"/>
      <c r="E11" s="93"/>
      <c r="F11" s="86"/>
      <c r="G11" s="93"/>
      <c r="H11" s="86"/>
      <c r="I11" s="93"/>
      <c r="J11" s="94"/>
      <c r="K11" s="95"/>
    </row>
    <row r="12" spans="1:11" ht="15.75" customHeight="1">
      <c r="A12" s="40" t="s">
        <v>165</v>
      </c>
      <c r="B12" s="96">
        <f>C12/$C$10</f>
        <v>0.39518994958504333</v>
      </c>
      <c r="C12" s="43">
        <f>'Flujo de caja - 5 años'!E6</f>
        <v>226130941.80000001</v>
      </c>
      <c r="D12" s="96">
        <f>E12/$E$10</f>
        <v>0.43174217658181246</v>
      </c>
      <c r="E12" s="43">
        <f>'Flujo de caja - 5 años'!G6</f>
        <v>584990910</v>
      </c>
      <c r="F12" s="96">
        <f>G12/$G$10</f>
        <v>0.441628585122183</v>
      </c>
      <c r="G12" s="43">
        <f>'Flujo de caja - 5 años'!I6</f>
        <v>1107793990.8</v>
      </c>
      <c r="H12" s="96">
        <f>I12/$I$10</f>
        <v>0.44215144379209298</v>
      </c>
      <c r="I12" s="43">
        <f>'Flujo de caja - 5 años'!K6</f>
        <v>1166304006</v>
      </c>
      <c r="J12" s="41">
        <f>K12/$K$10</f>
        <v>0.44216346105357124</v>
      </c>
      <c r="K12" s="46">
        <f>'Flujo de caja - 5 años'!M6</f>
        <v>1169777901.5999999</v>
      </c>
    </row>
    <row r="13" spans="1:11" ht="15.75" customHeight="1">
      <c r="A13" s="40" t="s">
        <v>166</v>
      </c>
      <c r="B13" s="96">
        <f>C13/$C$10</f>
        <v>0.42889710984202684</v>
      </c>
      <c r="C13" s="43">
        <f>'Flujo de caja - 5 años'!E8</f>
        <v>245418456.32894665</v>
      </c>
      <c r="D13" s="96">
        <f>E13/$E$10</f>
        <v>0.47575722387261399</v>
      </c>
      <c r="E13" s="43">
        <f>'Flujo de caja - 5 años'!G8</f>
        <v>644629286.70943844</v>
      </c>
      <c r="F13" s="96">
        <f>G13/$G$10</f>
        <v>0.50006946121397144</v>
      </c>
      <c r="G13" s="43">
        <f>'Flujo de caja - 5 años'!I8</f>
        <v>1254388784.5533509</v>
      </c>
      <c r="H13" s="96">
        <f>I13/$I$10</f>
        <v>0.50135587346785393</v>
      </c>
      <c r="I13" s="43">
        <f>'Flujo de caja - 5 años'!K8</f>
        <v>1322473039.1972632</v>
      </c>
      <c r="J13" s="41">
        <f>K13/$K$10</f>
        <v>0.50138569794266274</v>
      </c>
      <c r="K13" s="46">
        <f>'Flujo de caja - 5 años'!M8</f>
        <v>1326454945.4948282</v>
      </c>
    </row>
    <row r="14" spans="1:11" ht="15.75" customHeight="1">
      <c r="A14" s="40" t="s">
        <v>167</v>
      </c>
      <c r="B14" s="96">
        <f>C14/$C$10</f>
        <v>0.16244910062862206</v>
      </c>
      <c r="C14" s="43">
        <f>'Flujo de caja - 5 años'!E3</f>
        <v>92954712.432048082</v>
      </c>
      <c r="D14" s="96">
        <f>E14/$E$10</f>
        <v>7.2719792967997493E-2</v>
      </c>
      <c r="E14" s="43">
        <f>'Flujo de caja - 5 años'!G3</f>
        <v>98531994.719999999</v>
      </c>
      <c r="F14" s="96">
        <f>G14/$G$10</f>
        <v>3.946564349531495E-2</v>
      </c>
      <c r="G14" s="43">
        <f>'Flujo de caja - 5 años'!I3</f>
        <v>98996768.280000001</v>
      </c>
      <c r="H14" s="96">
        <f>I14/$I$10</f>
        <v>3.770634765901993E-2</v>
      </c>
      <c r="I14" s="43">
        <f>'Flujo de caja - 5 años'!K3</f>
        <v>99461541.840000004</v>
      </c>
      <c r="J14" s="41">
        <f>K14/$K$10</f>
        <v>3.76656644614266E-2</v>
      </c>
      <c r="K14" s="46">
        <f>'Flujo de caja - 5 años'!M3</f>
        <v>99647451.263999999</v>
      </c>
    </row>
    <row r="15" spans="1:11" ht="15.75" customHeight="1">
      <c r="A15" s="40" t="s">
        <v>168</v>
      </c>
      <c r="B15" s="96">
        <f>C15/$C$10</f>
        <v>1.3463839944307712E-2</v>
      </c>
      <c r="C15" s="43">
        <f>'Flujo de caja - 5 años'!E4+'Flujo de caja - 5 años'!E5+'Flujo de caja - 5 años'!E7</f>
        <v>7704120.0315130455</v>
      </c>
      <c r="D15" s="96">
        <f>E15/$E$10</f>
        <v>1.9780806577576065E-2</v>
      </c>
      <c r="E15" s="43">
        <f>'Flujo de caja - 5 años'!G4+'Flujo de caja - 5 años'!G5+'Flujo de caja - 5 años'!G7</f>
        <v>26802088.533403829</v>
      </c>
      <c r="F15" s="96">
        <f>G15/$G$10</f>
        <v>1.8836310168530664E-2</v>
      </c>
      <c r="G15" s="43">
        <f>'Flujo de caja - 5 años'!I4+'Flujo de caja - 5 años'!I5+'Flujo de caja - 5 años'!I7</f>
        <v>47249548.413561396</v>
      </c>
      <c r="H15" s="96">
        <f>I15/$I$10</f>
        <v>1.8786335081033174E-2</v>
      </c>
      <c r="I15" s="43">
        <f>'Flujo de caja - 5 años'!K4+'Flujo de caja - 5 años'!K5+'Flujo de caja - 5 años'!K7</f>
        <v>49554464.13371896</v>
      </c>
      <c r="J15" s="41">
        <f>K15/$K$10</f>
        <v>1.8785176542339535E-2</v>
      </c>
      <c r="K15" s="46">
        <f>'Flujo de caja - 5 años'!M4+'Flujo de caja - 5 años'!M5+'Flujo de caja - 5 años'!M7</f>
        <v>49697648.793781988</v>
      </c>
    </row>
    <row r="16" spans="1:11" ht="15.75" customHeight="1">
      <c r="A16" s="31" t="s">
        <v>169</v>
      </c>
      <c r="B16" s="86" t="e">
        <f>C16/$C$16</f>
        <v>#REF!</v>
      </c>
      <c r="C16" s="59" t="e">
        <f>C17</f>
        <v>#REF!</v>
      </c>
      <c r="D16" s="86" t="e">
        <f>E16/$E$16</f>
        <v>#REF!</v>
      </c>
      <c r="E16" s="59" t="e">
        <f>E17</f>
        <v>#REF!</v>
      </c>
      <c r="F16" s="86" t="e">
        <f>G16/$G$16</f>
        <v>#REF!</v>
      </c>
      <c r="G16" s="59" t="e">
        <f>G17</f>
        <v>#REF!</v>
      </c>
      <c r="H16" s="86" t="e">
        <f>I16/$I$16</f>
        <v>#REF!</v>
      </c>
      <c r="I16" s="59" t="e">
        <f>I17</f>
        <v>#REF!</v>
      </c>
      <c r="J16" s="33" t="e">
        <f>K16/$K$16</f>
        <v>#REF!</v>
      </c>
      <c r="K16" s="59" t="e">
        <f>K17</f>
        <v>#REF!</v>
      </c>
    </row>
    <row r="17" spans="1:11" ht="15.75" customHeight="1">
      <c r="A17" s="40" t="s">
        <v>170</v>
      </c>
      <c r="B17" s="96" t="e">
        <f>C17/$C$16</f>
        <v>#REF!</v>
      </c>
      <c r="C17" s="42" t="e">
        <f>C2-C10</f>
        <v>#REF!</v>
      </c>
      <c r="D17" s="96" t="e">
        <f>E17/$E$16</f>
        <v>#REF!</v>
      </c>
      <c r="E17" s="42" t="e">
        <f>E2-E10</f>
        <v>#REF!</v>
      </c>
      <c r="F17" s="96" t="e">
        <f>G17/$G$16</f>
        <v>#REF!</v>
      </c>
      <c r="G17" s="42" t="e">
        <f>G2-G10</f>
        <v>#REF!</v>
      </c>
      <c r="H17" s="96" t="e">
        <f>I17/$I$16</f>
        <v>#REF!</v>
      </c>
      <c r="I17" s="42" t="e">
        <f>I2-I10</f>
        <v>#REF!</v>
      </c>
      <c r="J17" s="41" t="e">
        <f>K17/$K$16</f>
        <v>#REF!</v>
      </c>
      <c r="K17" s="42" t="e">
        <f>K2-K10</f>
        <v>#REF!</v>
      </c>
    </row>
  </sheetData>
  <mergeCells count="5">
    <mergeCell ref="B1:C1"/>
    <mergeCell ref="D1:E1"/>
    <mergeCell ref="F1:G1"/>
    <mergeCell ref="H1:I1"/>
    <mergeCell ref="J1:K1"/>
  </mergeCells>
  <conditionalFormatting sqref="A1:K17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C13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18" bestFit="1" customWidth="1"/>
  </cols>
  <sheetData>
    <row r="1" spans="1:15" ht="15.75" customHeight="1">
      <c r="A1" s="83" t="s">
        <v>126</v>
      </c>
      <c r="B1" s="83" t="s">
        <v>127</v>
      </c>
      <c r="C1" s="87" t="s">
        <v>249</v>
      </c>
      <c r="E1" t="s">
        <v>134</v>
      </c>
      <c r="F1" t="s">
        <v>135</v>
      </c>
      <c r="H1" t="s">
        <v>136</v>
      </c>
    </row>
    <row r="2" spans="1:15" ht="15.75" customHeight="1">
      <c r="A2" s="89" t="s">
        <v>137</v>
      </c>
      <c r="B2" s="90">
        <v>0</v>
      </c>
      <c r="C2" s="123"/>
      <c r="E2">
        <v>6</v>
      </c>
      <c r="F2">
        <v>2109</v>
      </c>
      <c r="H2" t="s">
        <v>139</v>
      </c>
      <c r="I2">
        <v>160650</v>
      </c>
      <c r="K2" t="s">
        <v>181</v>
      </c>
      <c r="N2" t="s">
        <v>182</v>
      </c>
      <c r="O2">
        <v>315000</v>
      </c>
    </row>
    <row r="3" spans="1:15" ht="15.75" customHeight="1">
      <c r="A3" s="89" t="s">
        <v>67</v>
      </c>
      <c r="B3" s="90">
        <f>F3</f>
        <v>2671</v>
      </c>
      <c r="C3" s="123">
        <f>B3*(20400+(20400*0.19))</f>
        <v>64841196</v>
      </c>
      <c r="E3">
        <v>7</v>
      </c>
      <c r="F3">
        <v>2671</v>
      </c>
      <c r="H3" t="s">
        <v>141</v>
      </c>
      <c r="I3">
        <v>24</v>
      </c>
      <c r="K3" t="s">
        <v>183</v>
      </c>
      <c r="L3" s="104">
        <v>0.32</v>
      </c>
    </row>
    <row r="4" spans="1:15" ht="15.75" customHeight="1">
      <c r="A4" s="89" t="s">
        <v>68</v>
      </c>
      <c r="B4" s="90">
        <f t="shared" ref="B4:B8" si="0">F4</f>
        <v>3380</v>
      </c>
      <c r="C4" s="123">
        <f t="shared" ref="C4:C13" si="1">B4*(20400+(20400*0.19))</f>
        <v>82052880</v>
      </c>
      <c r="E4">
        <v>8</v>
      </c>
      <c r="F4">
        <v>3380</v>
      </c>
      <c r="H4" t="s">
        <v>144</v>
      </c>
      <c r="I4">
        <v>0.24</v>
      </c>
      <c r="K4" t="s">
        <v>184</v>
      </c>
      <c r="L4" s="104">
        <v>0.51</v>
      </c>
    </row>
    <row r="5" spans="1:15" ht="15.75" customHeight="1">
      <c r="A5" s="89" t="s">
        <v>69</v>
      </c>
      <c r="B5" s="90">
        <f t="shared" si="0"/>
        <v>4273</v>
      </c>
      <c r="C5" s="123">
        <f t="shared" si="1"/>
        <v>103731348</v>
      </c>
      <c r="E5">
        <v>9</v>
      </c>
      <c r="F5">
        <v>4273</v>
      </c>
      <c r="K5" t="s">
        <v>185</v>
      </c>
      <c r="L5" s="104">
        <v>0.16</v>
      </c>
    </row>
    <row r="6" spans="1:15" ht="15.75" customHeight="1">
      <c r="A6" s="89" t="s">
        <v>70</v>
      </c>
      <c r="B6" s="90">
        <f t="shared" si="0"/>
        <v>5393</v>
      </c>
      <c r="C6" s="123">
        <f t="shared" si="1"/>
        <v>130920468</v>
      </c>
      <c r="E6">
        <v>10</v>
      </c>
      <c r="F6">
        <v>5393</v>
      </c>
    </row>
    <row r="7" spans="1:15" ht="15.75" customHeight="1">
      <c r="A7" s="89" t="s">
        <v>71</v>
      </c>
      <c r="B7" s="90">
        <f t="shared" si="0"/>
        <v>6794</v>
      </c>
      <c r="C7" s="123">
        <f t="shared" si="1"/>
        <v>164931144</v>
      </c>
      <c r="E7">
        <v>11</v>
      </c>
      <c r="F7">
        <v>6794</v>
      </c>
    </row>
    <row r="8" spans="1:15" ht="15.75" customHeight="1">
      <c r="A8" s="89" t="s">
        <v>72</v>
      </c>
      <c r="B8" s="90">
        <f t="shared" si="0"/>
        <v>8539</v>
      </c>
      <c r="C8" s="123">
        <f t="shared" si="1"/>
        <v>207292764</v>
      </c>
      <c r="D8" t="s">
        <v>186</v>
      </c>
      <c r="E8">
        <v>12</v>
      </c>
      <c r="F8">
        <v>8539</v>
      </c>
    </row>
    <row r="9" spans="1:15" ht="15.75" customHeight="1">
      <c r="A9" s="89" t="s">
        <v>74</v>
      </c>
      <c r="B9" s="90">
        <f>F8</f>
        <v>8539</v>
      </c>
      <c r="C9" s="123">
        <f t="shared" si="1"/>
        <v>207292764</v>
      </c>
      <c r="D9" t="s">
        <v>187</v>
      </c>
      <c r="E9">
        <v>24</v>
      </c>
      <c r="F9">
        <v>80325</v>
      </c>
    </row>
    <row r="10" spans="1:15" ht="15.75" customHeight="1">
      <c r="A10" s="89" t="s">
        <v>75</v>
      </c>
      <c r="B10" s="90">
        <f t="shared" ref="B10:B13" si="2">F9</f>
        <v>80325</v>
      </c>
      <c r="C10" s="123">
        <f t="shared" si="1"/>
        <v>1949969700</v>
      </c>
      <c r="D10" t="s">
        <v>188</v>
      </c>
      <c r="E10">
        <v>36</v>
      </c>
      <c r="F10">
        <v>152111</v>
      </c>
    </row>
    <row r="11" spans="1:15" ht="15.75" customHeight="1">
      <c r="A11" s="89" t="s">
        <v>76</v>
      </c>
      <c r="B11" s="90">
        <f t="shared" si="2"/>
        <v>152111</v>
      </c>
      <c r="C11" s="123">
        <f t="shared" si="1"/>
        <v>3692646636</v>
      </c>
      <c r="D11" t="s">
        <v>189</v>
      </c>
      <c r="E11">
        <v>48</v>
      </c>
      <c r="F11">
        <v>160145</v>
      </c>
    </row>
    <row r="12" spans="1:15" ht="15.75" customHeight="1">
      <c r="A12" s="89" t="s">
        <v>78</v>
      </c>
      <c r="B12" s="90">
        <f t="shared" si="2"/>
        <v>160145</v>
      </c>
      <c r="C12" s="123">
        <f t="shared" si="1"/>
        <v>3887680020</v>
      </c>
      <c r="D12" t="s">
        <v>190</v>
      </c>
      <c r="E12">
        <v>60</v>
      </c>
      <c r="F12">
        <v>160622</v>
      </c>
    </row>
    <row r="13" spans="1:15" ht="15.75" customHeight="1">
      <c r="A13" s="89" t="s">
        <v>79</v>
      </c>
      <c r="B13" s="90">
        <f t="shared" si="2"/>
        <v>160622</v>
      </c>
      <c r="C13" s="123">
        <f t="shared" si="1"/>
        <v>3899259672</v>
      </c>
    </row>
    <row r="14" spans="1:15" ht="15.75" customHeight="1">
      <c r="A14" s="11"/>
    </row>
    <row r="15" spans="1:15" ht="15.75" customHeight="1">
      <c r="A15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84"/>
      <c r="B1" s="85" t="s">
        <v>129</v>
      </c>
      <c r="C1" s="85" t="s">
        <v>130</v>
      </c>
      <c r="D1" s="85" t="s">
        <v>131</v>
      </c>
      <c r="E1" s="85" t="s">
        <v>132</v>
      </c>
    </row>
    <row r="2" spans="1:6" ht="15.75" customHeight="1">
      <c r="A2" s="85" t="s">
        <v>133</v>
      </c>
      <c r="B2" s="91">
        <v>257331</v>
      </c>
      <c r="C2" s="91">
        <v>142971</v>
      </c>
      <c r="D2" s="91">
        <v>142971</v>
      </c>
      <c r="E2" s="91">
        <v>142971</v>
      </c>
    </row>
    <row r="3" spans="1:6" ht="15.75" customHeight="1">
      <c r="A3" s="85" t="s">
        <v>138</v>
      </c>
      <c r="B3" s="91">
        <v>74360</v>
      </c>
      <c r="C3" s="91">
        <v>20020</v>
      </c>
      <c r="D3" s="91">
        <v>20020</v>
      </c>
      <c r="E3" s="91">
        <v>0</v>
      </c>
    </row>
    <row r="4" spans="1:6" ht="15.75" customHeight="1">
      <c r="A4" s="85" t="s">
        <v>140</v>
      </c>
      <c r="B4" s="91">
        <f>SUM(B2:B3)*0.02</f>
        <v>6633.82</v>
      </c>
      <c r="C4" s="91">
        <f>SUM(C2:C3)*0.02</f>
        <v>3259.82</v>
      </c>
      <c r="D4" s="91">
        <f>SUM(D2:D3)*0.02</f>
        <v>3259.82</v>
      </c>
      <c r="E4" s="91">
        <f>SUM(E2:E3)*0.02</f>
        <v>2859.42</v>
      </c>
    </row>
    <row r="5" spans="1:6" ht="15.75" customHeight="1">
      <c r="A5" s="85" t="s">
        <v>143</v>
      </c>
      <c r="B5" s="91">
        <f>SUM(B2:B4)</f>
        <v>338324.82</v>
      </c>
      <c r="C5" s="91">
        <f>SUM(C2:C4)</f>
        <v>166250.82</v>
      </c>
      <c r="D5" s="91">
        <f>SUM(D2:D4)</f>
        <v>166250.82</v>
      </c>
      <c r="E5" s="91">
        <f>SUM(E2:E4)</f>
        <v>145830.42000000001</v>
      </c>
    </row>
    <row r="6" spans="1:6" ht="15.75" customHeight="1">
      <c r="A6" s="85" t="s">
        <v>145</v>
      </c>
      <c r="B6" s="91">
        <v>350000</v>
      </c>
      <c r="C6" s="91">
        <v>180000</v>
      </c>
      <c r="D6" s="91">
        <v>175000</v>
      </c>
      <c r="E6" s="91">
        <v>160000</v>
      </c>
    </row>
    <row r="7" spans="1:6" ht="15.75" customHeight="1">
      <c r="A7" s="85" t="s">
        <v>146</v>
      </c>
      <c r="B7" s="91">
        <f>((B6/B5)-1)*100</f>
        <v>3.4508789511807025</v>
      </c>
      <c r="C7" s="91">
        <f>((C6/C5)-1)*100</f>
        <v>8.2701426675669829</v>
      </c>
      <c r="D7" s="91">
        <f>((D6/D5)-1)*100</f>
        <v>5.2626387045790146</v>
      </c>
      <c r="E7" s="91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148</v>
      </c>
      <c r="C1" s="1" t="s">
        <v>149</v>
      </c>
      <c r="D1" s="1" t="s">
        <v>150</v>
      </c>
    </row>
    <row r="2" spans="1:4" ht="15.75" customHeight="1">
      <c r="A2" s="98" t="s">
        <v>151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98" t="s">
        <v>152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98" t="s">
        <v>153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98" t="s">
        <v>154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98" t="s">
        <v>156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98" t="s">
        <v>158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98" t="s">
        <v>159</v>
      </c>
      <c r="B8" s="14">
        <f>AVERAGE(B2:B7)</f>
        <v>1950000</v>
      </c>
      <c r="C8" s="100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Presupuesto Inicial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Balance General</vt:lpstr>
      <vt:lpstr>Tabla Crecimiento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2017-05-01T04:44:22Z</dcterms:modified>
</cp:coreProperties>
</file>