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tabRatio="493" activeTab="1"/>
  </bookViews>
  <sheets>
    <sheet name="Demanda Dinamica" sheetId="1" r:id="rId1"/>
    <sheet name="Presupuesto de Inver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4" i="2" l="1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E109" i="2" l="1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D13" i="1"/>
  <c r="E13" i="1"/>
  <c r="F13" i="1"/>
  <c r="G13" i="1"/>
  <c r="H13" i="1"/>
  <c r="I13" i="1"/>
  <c r="J13" i="1"/>
  <c r="K13" i="1"/>
  <c r="L13" i="1"/>
  <c r="M13" i="1"/>
  <c r="N13" i="1"/>
  <c r="C13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O13" i="1"/>
  <c r="C151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Q13" i="1" s="1"/>
  <c r="E151" i="2" s="1"/>
  <c r="G43" i="1"/>
  <c r="F36" i="1"/>
  <c r="G131" i="2" l="1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P13" i="1"/>
  <c r="D151" i="2" s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E74" i="2" l="1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I147" i="2"/>
  <c r="L147" i="2"/>
  <c r="L137" i="2"/>
  <c r="M147" i="2"/>
  <c r="C145" i="2"/>
  <c r="E147" i="2"/>
  <c r="H145" i="2"/>
  <c r="I137" i="2"/>
  <c r="I139" i="2" s="1"/>
  <c r="I140" i="2" s="1"/>
  <c r="I141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H140" i="2" s="1"/>
  <c r="H141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G139" i="2" l="1"/>
  <c r="G140" i="2" s="1"/>
  <c r="G141" i="2" s="1"/>
  <c r="O147" i="2"/>
  <c r="P147" i="2" s="1"/>
  <c r="Q147" i="2" s="1"/>
  <c r="F139" i="2"/>
  <c r="F140" i="2" s="1"/>
  <c r="F141" i="2" s="1"/>
  <c r="O145" i="2"/>
  <c r="P145" i="2" s="1"/>
  <c r="Q145" i="2" s="1"/>
  <c r="I144" i="2"/>
  <c r="I146" i="2" s="1"/>
  <c r="H144" i="2"/>
  <c r="H146" i="2" s="1"/>
  <c r="C139" i="2"/>
  <c r="C140" i="2" s="1"/>
  <c r="C141" i="2" s="1"/>
  <c r="J144" i="2"/>
  <c r="J146" i="2" s="1"/>
  <c r="D139" i="2"/>
  <c r="D140" i="2" s="1"/>
  <c r="D141" i="2" s="1"/>
  <c r="D144" i="2"/>
  <c r="D146" i="2" s="1"/>
  <c r="H142" i="2"/>
  <c r="I142" i="2"/>
  <c r="J140" i="2"/>
  <c r="J141" i="2" s="1"/>
  <c r="K144" i="2" l="1"/>
  <c r="K146" i="2" s="1"/>
  <c r="K139" i="2"/>
  <c r="K140" i="2" s="1"/>
  <c r="K141" i="2" s="1"/>
  <c r="E144" i="2"/>
  <c r="E146" i="2" s="1"/>
  <c r="E139" i="2"/>
  <c r="G142" i="2"/>
  <c r="D142" i="2"/>
  <c r="F142" i="2"/>
  <c r="J142" i="2"/>
  <c r="C142" i="2"/>
  <c r="K142" i="2" l="1"/>
  <c r="L144" i="2"/>
  <c r="L146" i="2" s="1"/>
  <c r="L139" i="2"/>
  <c r="E140" i="2"/>
  <c r="L140" i="2" l="1"/>
  <c r="L141" i="2" s="1"/>
  <c r="M144" i="2"/>
  <c r="M146" i="2" s="1"/>
  <c r="M139" i="2"/>
  <c r="E141" i="2"/>
  <c r="N144" i="2" l="1"/>
  <c r="N139" i="2"/>
  <c r="O139" i="2" s="1"/>
  <c r="G151" i="2" s="1"/>
  <c r="C154" i="2" s="1"/>
  <c r="M140" i="2"/>
  <c r="M141" i="2" s="1"/>
  <c r="M142" i="2" s="1"/>
  <c r="L142" i="2"/>
  <c r="O137" i="2"/>
  <c r="P137" i="2" s="1"/>
  <c r="Q137" i="2" s="1"/>
  <c r="E142" i="2"/>
  <c r="C155" i="2" l="1"/>
  <c r="E181" i="2" s="1"/>
  <c r="E180" i="2"/>
  <c r="D154" i="2"/>
  <c r="F180" i="2" s="1"/>
  <c r="J151" i="2"/>
  <c r="K151" i="2" s="1"/>
  <c r="I151" i="2" s="1"/>
  <c r="P139" i="2"/>
  <c r="C152" i="2"/>
  <c r="E178" i="2" s="1"/>
  <c r="O144" i="2"/>
  <c r="P144" i="2" s="1"/>
  <c r="Q144" i="2" s="1"/>
  <c r="N146" i="2"/>
  <c r="O146" i="2" s="1"/>
  <c r="P146" i="2" s="1"/>
  <c r="Q146" i="2" s="1"/>
  <c r="N140" i="2"/>
  <c r="C153" i="2" l="1"/>
  <c r="E154" i="2"/>
  <c r="D155" i="2"/>
  <c r="F181" i="2" s="1"/>
  <c r="Q139" i="2"/>
  <c r="E152" i="2" s="1"/>
  <c r="G178" i="2" s="1"/>
  <c r="D152" i="2"/>
  <c r="F178" i="2" s="1"/>
  <c r="N141" i="2"/>
  <c r="O140" i="2"/>
  <c r="P140" i="2" s="1"/>
  <c r="Q140" i="2" s="1"/>
  <c r="E155" i="2" l="1"/>
  <c r="G181" i="2" s="1"/>
  <c r="G180" i="2"/>
  <c r="C156" i="2"/>
  <c r="E179" i="2"/>
  <c r="E182" i="2" s="1"/>
  <c r="E183" i="2" s="1"/>
  <c r="D153" i="2"/>
  <c r="E153" i="2"/>
  <c r="O141" i="2"/>
  <c r="P141" i="2" s="1"/>
  <c r="Q141" i="2" s="1"/>
  <c r="N142" i="2"/>
  <c r="O142" i="2" s="1"/>
  <c r="P142" i="2" s="1"/>
  <c r="Q142" i="2" s="1"/>
  <c r="E156" i="2" l="1"/>
  <c r="G179" i="2"/>
  <c r="G182" i="2" s="1"/>
  <c r="G183" i="2" s="1"/>
  <c r="D156" i="2"/>
  <c r="F179" i="2"/>
  <c r="F182" i="2" s="1"/>
  <c r="F183" i="2" s="1"/>
</calcChain>
</file>

<file path=xl/sharedStrings.xml><?xml version="1.0" encoding="utf-8"?>
<sst xmlns="http://schemas.openxmlformats.org/spreadsheetml/2006/main" count="444" uniqueCount="322">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</sst>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79" formatCode="_-[$$-240A]\ * #,##0.0_ ;_-[$$-240A]\ * \-#,##0.0\ ;_-[$$-240A]\ * &quot;-&quot;??_ ;_-@_ "/>
    <numFmt numFmtId="180" formatCode="_-[$$-240A]\ * #,##0_ ;_-[$$-240A]\ * \-#,##0\ ;_-[$$-240A]\ * &quot;-&quot;??_ ;_-@_ "/>
    <numFmt numFmtId="182" formatCode="_-[$$-240A]\ * #,##0.0_ ;_-[$$-240A]\ * \-#,##0.0\ ;_-[$$-240A]\ * &quot;-&quot;?_ ;_-@_ "/>
    <numFmt numFmtId="183" formatCode="_-[$$-240A]\ * #,##0_ ;_-[$$-240A]\ * \-#,##0\ ;_-[$$-240A]\ * &quot;-&quot;?_ ;_-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180" fontId="0" fillId="0" borderId="9" xfId="1" applyNumberFormat="1" applyFont="1" applyBorder="1"/>
    <xf numFmtId="180" fontId="2" fillId="6" borderId="9" xfId="0" applyNumberFormat="1" applyFont="1" applyFill="1" applyBorder="1"/>
    <xf numFmtId="0" fontId="12" fillId="0" borderId="0" xfId="0" applyFont="1"/>
    <xf numFmtId="0" fontId="2" fillId="10" borderId="9" xfId="0" applyFont="1" applyFill="1" applyBorder="1" applyAlignment="1">
      <alignment horizontal="center" vertical="center" wrapText="1"/>
    </xf>
    <xf numFmtId="182" fontId="0" fillId="0" borderId="9" xfId="0" applyNumberFormat="1" applyBorder="1"/>
    <xf numFmtId="182" fontId="0" fillId="0" borderId="9" xfId="0" applyNumberFormat="1" applyBorder="1" applyAlignment="1">
      <alignment horizontal="right" vertical="center"/>
    </xf>
    <xf numFmtId="183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82" fontId="2" fillId="0" borderId="9" xfId="0" applyNumberFormat="1" applyFont="1" applyBorder="1"/>
    <xf numFmtId="182" fontId="2" fillId="6" borderId="9" xfId="0" applyNumberFormat="1" applyFont="1" applyFill="1" applyBorder="1"/>
    <xf numFmtId="0" fontId="9" fillId="0" borderId="0" xfId="0" applyFont="1" applyFill="1"/>
    <xf numFmtId="0" fontId="2" fillId="1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2" fillId="9" borderId="9" xfId="0" applyFont="1" applyFill="1" applyBorder="1"/>
    <xf numFmtId="182" fontId="2" fillId="9" borderId="9" xfId="0" applyNumberFormat="1" applyFont="1" applyFill="1" applyBorder="1"/>
    <xf numFmtId="0" fontId="0" fillId="10" borderId="9" xfId="0" applyFill="1" applyBorder="1"/>
    <xf numFmtId="0" fontId="2" fillId="10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 wrapText="1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79" fontId="0" fillId="0" borderId="9" xfId="0" applyNumberFormat="1" applyBorder="1"/>
    <xf numFmtId="179" fontId="2" fillId="0" borderId="9" xfId="0" applyNumberFormat="1" applyFont="1" applyBorder="1"/>
    <xf numFmtId="0" fontId="2" fillId="11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179" fontId="0" fillId="3" borderId="9" xfId="0" applyNumberFormat="1" applyFill="1" applyBorder="1" applyAlignment="1">
      <alignment horizontal="center"/>
    </xf>
    <xf numFmtId="182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0" fontId="2" fillId="12" borderId="9" xfId="0" applyFont="1" applyFill="1" applyBorder="1" applyAlignment="1">
      <alignment horizontal="center" vertical="center"/>
    </xf>
    <xf numFmtId="182" fontId="2" fillId="12" borderId="9" xfId="0" applyNumberFormat="1" applyFont="1" applyFill="1" applyBorder="1"/>
    <xf numFmtId="0" fontId="0" fillId="5" borderId="0" xfId="0" applyFill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14</c:v>
                </c:pt>
                <c:pt idx="1">
                  <c:v>24</c:v>
                </c:pt>
                <c:pt idx="2">
                  <c:v>21</c:v>
                </c:pt>
                <c:pt idx="3">
                  <c:v>46</c:v>
                </c:pt>
                <c:pt idx="4">
                  <c:v>42</c:v>
                </c:pt>
                <c:pt idx="5">
                  <c:v>10</c:v>
                </c:pt>
                <c:pt idx="6">
                  <c:v>12</c:v>
                </c:pt>
                <c:pt idx="7">
                  <c:v>46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214</c:v>
                </c:pt>
                <c:pt idx="1">
                  <c:v>361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O29" workbookViewId="0">
      <selection activeCell="S7" sqref="S7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78" t="s">
        <v>0</v>
      </c>
      <c r="B2" s="78"/>
      <c r="C2" s="78"/>
      <c r="D2" s="78"/>
    </row>
    <row r="4" spans="1:19">
      <c r="A4" s="112" t="s">
        <v>215</v>
      </c>
      <c r="C4" s="79" t="s">
        <v>1</v>
      </c>
      <c r="D4" s="79"/>
      <c r="I4" s="2" t="s">
        <v>5</v>
      </c>
      <c r="J4" s="4">
        <v>0.19</v>
      </c>
      <c r="M4" s="82" t="s">
        <v>7</v>
      </c>
      <c r="N4" s="83"/>
      <c r="O4" s="81"/>
      <c r="R4" s="73" t="s">
        <v>10</v>
      </c>
      <c r="S4" s="74"/>
    </row>
    <row r="5" spans="1:19">
      <c r="A5" s="112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80" t="s">
        <v>8</v>
      </c>
      <c r="O5" s="81"/>
      <c r="R5" s="75"/>
      <c r="S5" s="76"/>
    </row>
    <row r="6" spans="1:19">
      <c r="A6" s="112" t="s">
        <v>217</v>
      </c>
      <c r="C6" s="2" t="s">
        <v>3</v>
      </c>
      <c r="D6" s="4">
        <v>0.06</v>
      </c>
      <c r="M6" s="6">
        <v>0.5</v>
      </c>
      <c r="N6" s="80" t="s">
        <v>9</v>
      </c>
      <c r="O6" s="81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72" t="s">
        <v>29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20</v>
      </c>
      <c r="D11" s="10">
        <v>50</v>
      </c>
      <c r="E11" s="10">
        <v>50</v>
      </c>
      <c r="F11" s="10">
        <v>50</v>
      </c>
      <c r="G11" s="10">
        <v>50</v>
      </c>
      <c r="H11" s="10">
        <v>20</v>
      </c>
      <c r="I11" s="10">
        <v>20</v>
      </c>
      <c r="J11" s="10">
        <v>50</v>
      </c>
      <c r="K11" s="10">
        <v>50</v>
      </c>
      <c r="L11" s="10">
        <v>50</v>
      </c>
      <c r="M11" s="10">
        <v>50</v>
      </c>
      <c r="N11" s="10">
        <v>50</v>
      </c>
      <c r="O11" s="10">
        <f>SUM(C11:N11)</f>
        <v>510</v>
      </c>
      <c r="P11" s="12">
        <f>O11+(O11*$S$6)</f>
        <v>550.79999999999995</v>
      </c>
      <c r="Q11" s="12">
        <f>P11+(P11*$S$7)</f>
        <v>633.41999999999996</v>
      </c>
    </row>
    <row r="12" spans="1:19">
      <c r="B12" s="10" t="s">
        <v>14</v>
      </c>
      <c r="C12" s="10">
        <v>10</v>
      </c>
      <c r="D12" s="10">
        <v>20</v>
      </c>
      <c r="E12" s="10">
        <v>20</v>
      </c>
      <c r="F12" s="10">
        <v>20</v>
      </c>
      <c r="G12" s="10">
        <v>20</v>
      </c>
      <c r="H12" s="10">
        <v>10</v>
      </c>
      <c r="I12" s="10">
        <v>10</v>
      </c>
      <c r="J12" s="10">
        <v>20</v>
      </c>
      <c r="K12" s="10">
        <v>20</v>
      </c>
      <c r="L12" s="10">
        <v>20</v>
      </c>
      <c r="M12" s="10">
        <v>20</v>
      </c>
      <c r="N12" s="10">
        <v>20</v>
      </c>
      <c r="O12" s="10">
        <f t="shared" ref="O12" si="0">SUM(C12:N12)</f>
        <v>210</v>
      </c>
      <c r="P12" s="12">
        <f>O12+(O12*$S$6)</f>
        <v>226.8</v>
      </c>
      <c r="Q12" s="12">
        <f>P12+(P12*$S$7)</f>
        <v>260.82</v>
      </c>
    </row>
    <row r="13" spans="1:19" ht="15.75" customHeight="1">
      <c r="B13" s="14" t="s">
        <v>37</v>
      </c>
      <c r="C13" s="15">
        <f ca="1">RANDBETWEEN(C12,C11)</f>
        <v>14</v>
      </c>
      <c r="D13" s="15">
        <f t="shared" ref="D13:N13" ca="1" si="1">RANDBETWEEN(D12,D11)</f>
        <v>24</v>
      </c>
      <c r="E13" s="15">
        <f t="shared" ca="1" si="1"/>
        <v>21</v>
      </c>
      <c r="F13" s="15">
        <f t="shared" ca="1" si="1"/>
        <v>46</v>
      </c>
      <c r="G13" s="15">
        <f t="shared" ca="1" si="1"/>
        <v>42</v>
      </c>
      <c r="H13" s="15">
        <f t="shared" ca="1" si="1"/>
        <v>10</v>
      </c>
      <c r="I13" s="15">
        <f t="shared" ca="1" si="1"/>
        <v>12</v>
      </c>
      <c r="J13" s="15">
        <f t="shared" ca="1" si="1"/>
        <v>46</v>
      </c>
      <c r="K13" s="15">
        <f t="shared" ca="1" si="1"/>
        <v>50</v>
      </c>
      <c r="L13" s="15">
        <f t="shared" ca="1" si="1"/>
        <v>40</v>
      </c>
      <c r="M13" s="15">
        <f t="shared" ca="1" si="1"/>
        <v>30</v>
      </c>
      <c r="N13" s="15">
        <f t="shared" ca="1" si="1"/>
        <v>23</v>
      </c>
      <c r="O13" s="15">
        <f t="shared" ref="O13" ca="1" si="2">RANDBETWEEN(O12,O11)</f>
        <v>214</v>
      </c>
      <c r="P13" s="15">
        <f t="shared" ref="P13" ca="1" si="3">RANDBETWEEN(P12,P11)</f>
        <v>361</v>
      </c>
      <c r="Q13" s="15">
        <f t="shared" ref="Q13" ca="1" si="4">RANDBETWEEN(Q12,Q11)</f>
        <v>427</v>
      </c>
    </row>
    <row r="32" spans="2:24">
      <c r="B32" s="77" t="s">
        <v>48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68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68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68"/>
      <c r="C36" s="21" t="s">
        <v>46</v>
      </c>
      <c r="D36" s="21">
        <f>SUM(D34:D35)</f>
        <v>2</v>
      </c>
      <c r="E36" s="25">
        <f t="shared" ref="E36:V36" si="5">SUM(E34:E35)</f>
        <v>1500000</v>
      </c>
      <c r="F36" s="33">
        <f t="shared" si="5"/>
        <v>2.0333000323972472</v>
      </c>
      <c r="G36" s="21">
        <f t="shared" si="5"/>
        <v>0</v>
      </c>
      <c r="H36" s="25">
        <f t="shared" si="5"/>
        <v>680290</v>
      </c>
      <c r="I36" s="25">
        <f t="shared" si="5"/>
        <v>2180290</v>
      </c>
      <c r="J36" s="25">
        <f t="shared" si="5"/>
        <v>200000</v>
      </c>
      <c r="K36" s="25">
        <f t="shared" si="5"/>
        <v>200000</v>
      </c>
      <c r="L36" s="25">
        <f t="shared" si="5"/>
        <v>200000</v>
      </c>
      <c r="M36" s="25">
        <f t="shared" si="5"/>
        <v>200000</v>
      </c>
      <c r="N36" s="25">
        <f t="shared" si="5"/>
        <v>200000</v>
      </c>
      <c r="O36" s="25">
        <f t="shared" si="5"/>
        <v>2180290</v>
      </c>
      <c r="P36" s="25">
        <f t="shared" si="5"/>
        <v>2180290</v>
      </c>
      <c r="Q36" s="25">
        <f t="shared" si="5"/>
        <v>2180290</v>
      </c>
      <c r="R36" s="25">
        <f t="shared" si="5"/>
        <v>2180290</v>
      </c>
      <c r="S36" s="25">
        <f t="shared" si="5"/>
        <v>2180290</v>
      </c>
      <c r="T36" s="25">
        <f t="shared" si="5"/>
        <v>2180290</v>
      </c>
      <c r="U36" s="25">
        <f t="shared" si="5"/>
        <v>2180290</v>
      </c>
      <c r="V36" s="25">
        <f t="shared" si="5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68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68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68"/>
      <c r="C39" s="21" t="s">
        <v>51</v>
      </c>
      <c r="D39" s="21">
        <f>SUM(D37:D38)</f>
        <v>2</v>
      </c>
      <c r="E39" s="25">
        <f t="shared" ref="E39:X39" si="6">SUM(E37:E38)</f>
        <v>2100000</v>
      </c>
      <c r="F39" s="33">
        <f t="shared" si="6"/>
        <v>2.8466200453561461</v>
      </c>
      <c r="G39" s="21">
        <f t="shared" si="6"/>
        <v>77700</v>
      </c>
      <c r="H39" s="25">
        <f t="shared" si="6"/>
        <v>1098930</v>
      </c>
      <c r="I39" s="25">
        <f t="shared" si="6"/>
        <v>3276630</v>
      </c>
      <c r="J39" s="25">
        <f t="shared" si="6"/>
        <v>2380290</v>
      </c>
      <c r="K39" s="25">
        <f t="shared" si="6"/>
        <v>2380290</v>
      </c>
      <c r="L39" s="25">
        <f t="shared" si="6"/>
        <v>2380290</v>
      </c>
      <c r="M39" s="25">
        <f t="shared" si="6"/>
        <v>1980290</v>
      </c>
      <c r="N39" s="25">
        <f t="shared" si="6"/>
        <v>1980290</v>
      </c>
      <c r="O39" s="25">
        <f t="shared" si="6"/>
        <v>1980290</v>
      </c>
      <c r="P39" s="25">
        <f t="shared" si="6"/>
        <v>1980290</v>
      </c>
      <c r="Q39" s="25">
        <f t="shared" si="6"/>
        <v>1980290</v>
      </c>
      <c r="R39" s="25">
        <f t="shared" si="6"/>
        <v>1980290</v>
      </c>
      <c r="S39" s="25">
        <f t="shared" si="6"/>
        <v>1980290</v>
      </c>
      <c r="T39" s="25">
        <f t="shared" si="6"/>
        <v>1980290</v>
      </c>
      <c r="U39" s="25">
        <f t="shared" si="6"/>
        <v>1980290</v>
      </c>
      <c r="V39" s="25">
        <f t="shared" si="6"/>
        <v>24963480</v>
      </c>
      <c r="W39" s="25">
        <f t="shared" si="6"/>
        <v>26461288.800000001</v>
      </c>
      <c r="X39" s="25">
        <f t="shared" si="6"/>
        <v>28181272.572000001</v>
      </c>
    </row>
    <row r="40" spans="2:25">
      <c r="B40" s="68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68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68"/>
      <c r="C42" s="21" t="s">
        <v>54</v>
      </c>
      <c r="D42" s="21">
        <f>SUM(D40:D41)</f>
        <v>2</v>
      </c>
      <c r="E42" s="25">
        <f t="shared" ref="E42:X42" si="7">SUM(E40:E41)</f>
        <v>1600000</v>
      </c>
      <c r="F42" s="33">
        <f t="shared" si="7"/>
        <v>2.1688533678903972</v>
      </c>
      <c r="G42" s="21">
        <f t="shared" si="7"/>
        <v>155400</v>
      </c>
      <c r="H42" s="25">
        <f t="shared" si="7"/>
        <v>837280</v>
      </c>
      <c r="I42" s="25">
        <f t="shared" si="7"/>
        <v>2592680</v>
      </c>
      <c r="J42" s="25">
        <f t="shared" si="7"/>
        <v>200000</v>
      </c>
      <c r="K42" s="25">
        <f t="shared" si="7"/>
        <v>0</v>
      </c>
      <c r="L42" s="25">
        <f t="shared" si="7"/>
        <v>0</v>
      </c>
      <c r="M42" s="25">
        <f t="shared" si="7"/>
        <v>1316340</v>
      </c>
      <c r="N42" s="25">
        <f t="shared" si="7"/>
        <v>1296340</v>
      </c>
      <c r="O42" s="25">
        <f t="shared" si="7"/>
        <v>0</v>
      </c>
      <c r="P42" s="25">
        <f t="shared" si="7"/>
        <v>0</v>
      </c>
      <c r="Q42" s="25">
        <f t="shared" si="7"/>
        <v>0</v>
      </c>
      <c r="R42" s="25">
        <f t="shared" si="7"/>
        <v>0</v>
      </c>
      <c r="S42" s="25">
        <f t="shared" si="7"/>
        <v>1296340</v>
      </c>
      <c r="T42" s="25">
        <f t="shared" si="7"/>
        <v>0</v>
      </c>
      <c r="U42" s="25">
        <f t="shared" si="7"/>
        <v>0</v>
      </c>
      <c r="V42" s="25">
        <f t="shared" si="7"/>
        <v>4109020</v>
      </c>
      <c r="W42" s="25">
        <f t="shared" si="7"/>
        <v>4355561.2</v>
      </c>
      <c r="X42" s="25">
        <f t="shared" si="7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8">F36+F39+F42</f>
        <v>7.0487734456437909</v>
      </c>
      <c r="G43" s="25">
        <f t="shared" si="8"/>
        <v>233100</v>
      </c>
      <c r="H43" s="25">
        <f t="shared" si="8"/>
        <v>2616500</v>
      </c>
      <c r="I43" s="25">
        <f t="shared" si="8"/>
        <v>8049600</v>
      </c>
      <c r="J43" s="25">
        <f t="shared" si="8"/>
        <v>2780290</v>
      </c>
      <c r="K43" s="25">
        <f t="shared" si="8"/>
        <v>2580290</v>
      </c>
      <c r="L43" s="25">
        <f t="shared" si="8"/>
        <v>2580290</v>
      </c>
      <c r="M43" s="25">
        <f t="shared" si="8"/>
        <v>3496630</v>
      </c>
      <c r="N43" s="25">
        <f t="shared" si="8"/>
        <v>3476630</v>
      </c>
      <c r="O43" s="25">
        <f t="shared" si="8"/>
        <v>4160580</v>
      </c>
      <c r="P43" s="25">
        <f t="shared" si="8"/>
        <v>4160580</v>
      </c>
      <c r="Q43" s="25">
        <f t="shared" si="8"/>
        <v>4160580</v>
      </c>
      <c r="R43" s="25">
        <f t="shared" si="8"/>
        <v>4160580</v>
      </c>
      <c r="S43" s="25">
        <f t="shared" si="8"/>
        <v>5456920</v>
      </c>
      <c r="T43" s="25">
        <f t="shared" si="8"/>
        <v>4160580</v>
      </c>
      <c r="U43" s="25">
        <f t="shared" si="8"/>
        <v>4160580</v>
      </c>
      <c r="V43" s="25">
        <f t="shared" si="8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72" t="s">
        <v>77</v>
      </c>
      <c r="C47" s="72"/>
      <c r="D47" s="72"/>
      <c r="E47" s="72"/>
    </row>
    <row r="48" spans="2:25" ht="27.75" customHeight="1">
      <c r="B48" s="71" t="s">
        <v>68</v>
      </c>
      <c r="C48" s="71"/>
      <c r="D48" s="22" t="s">
        <v>71</v>
      </c>
      <c r="E48" s="23" t="s">
        <v>72</v>
      </c>
      <c r="G48" s="67" t="s">
        <v>73</v>
      </c>
      <c r="H48" s="67"/>
      <c r="J48" s="67" t="s">
        <v>79</v>
      </c>
      <c r="K48" s="67"/>
      <c r="L48" s="67"/>
      <c r="N48" s="30" t="s">
        <v>97</v>
      </c>
      <c r="O48" s="30" t="s">
        <v>98</v>
      </c>
      <c r="Q48" s="70" t="s">
        <v>107</v>
      </c>
      <c r="R48" s="70"/>
      <c r="S48" s="70"/>
      <c r="T48" s="70"/>
      <c r="U48" s="70"/>
      <c r="W48" s="66" t="s">
        <v>114</v>
      </c>
      <c r="X48" s="66"/>
      <c r="Y48" s="66"/>
    </row>
    <row r="49" spans="2:25">
      <c r="B49" s="71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68" t="s">
        <v>101</v>
      </c>
      <c r="R49" s="69" t="s">
        <v>102</v>
      </c>
      <c r="S49" s="69" t="s">
        <v>103</v>
      </c>
      <c r="T49" s="69" t="s">
        <v>106</v>
      </c>
      <c r="U49" s="69"/>
      <c r="W49" s="34" t="s">
        <v>115</v>
      </c>
      <c r="X49" s="34" t="s">
        <v>116</v>
      </c>
      <c r="Y49" s="34" t="s">
        <v>117</v>
      </c>
    </row>
    <row r="50" spans="2:25">
      <c r="B50" s="71"/>
      <c r="C50" s="2" t="s">
        <v>58</v>
      </c>
      <c r="D50" s="4">
        <v>0.03</v>
      </c>
      <c r="E50" s="18">
        <f t="shared" ref="E50:E58" si="9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68"/>
      <c r="R50" s="69"/>
      <c r="S50" s="69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71"/>
      <c r="C51" s="2" t="s">
        <v>59</v>
      </c>
      <c r="D51" s="4">
        <v>0.02</v>
      </c>
      <c r="E51" s="18">
        <f t="shared" si="9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10">X51/$U$55</f>
        <v>9.8039215686274508E-3</v>
      </c>
    </row>
    <row r="52" spans="2:25">
      <c r="B52" s="71"/>
      <c r="C52" s="2" t="s">
        <v>60</v>
      </c>
      <c r="D52" s="4">
        <v>0.12</v>
      </c>
      <c r="E52" s="18">
        <f t="shared" si="9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71"/>
      <c r="C53" s="2" t="s">
        <v>61</v>
      </c>
      <c r="D53" s="3">
        <v>8.5000000000000006E-2</v>
      </c>
      <c r="E53" s="18">
        <f t="shared" si="9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10"/>
        <v>0.19607843137254902</v>
      </c>
    </row>
    <row r="54" spans="2:25">
      <c r="B54" s="71"/>
      <c r="C54" s="2" t="s">
        <v>62</v>
      </c>
      <c r="D54" s="4">
        <v>0.01</v>
      </c>
      <c r="E54" s="113">
        <f t="shared" si="9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71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71"/>
      <c r="C56" s="2" t="s">
        <v>64</v>
      </c>
      <c r="D56" s="4">
        <v>0.01</v>
      </c>
      <c r="E56" s="18">
        <f t="shared" si="9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71"/>
      <c r="C57" s="2" t="s">
        <v>65</v>
      </c>
      <c r="D57" s="3">
        <v>8.3299999999999999E-2</v>
      </c>
      <c r="E57" s="18">
        <f t="shared" si="9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71"/>
      <c r="C58" s="2" t="s">
        <v>66</v>
      </c>
      <c r="D58" s="3">
        <v>4.1700000000000001E-2</v>
      </c>
      <c r="E58" s="18">
        <f t="shared" si="9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6"/>
  <sheetViews>
    <sheetView tabSelected="1" topLeftCell="A175" workbookViewId="0">
      <selection activeCell="B185" sqref="B185:F185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5.28515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  <col min="12" max="13" width="14.5703125" bestFit="1" customWidth="1"/>
    <col min="14" max="14" width="16" customWidth="1"/>
    <col min="15" max="15" width="18.140625" customWidth="1"/>
    <col min="16" max="17" width="15.5703125" bestFit="1" customWidth="1"/>
  </cols>
  <sheetData>
    <row r="2" spans="2:12">
      <c r="H2" s="101" t="s">
        <v>147</v>
      </c>
      <c r="I2" s="102"/>
      <c r="J2" s="102"/>
      <c r="K2" s="102"/>
      <c r="L2" s="102"/>
    </row>
    <row r="3" spans="2:12">
      <c r="B3" s="90" t="s">
        <v>128</v>
      </c>
      <c r="C3" s="90"/>
      <c r="D3" s="90"/>
      <c r="E3" s="90"/>
      <c r="F3" s="90"/>
      <c r="H3" s="99" t="s">
        <v>68</v>
      </c>
      <c r="I3" s="99"/>
      <c r="J3" s="99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99" t="s">
        <v>138</v>
      </c>
      <c r="I4" s="99"/>
      <c r="J4" s="99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99" t="s">
        <v>139</v>
      </c>
      <c r="I5" s="99"/>
      <c r="J5" s="99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114"/>
      <c r="E6" s="27"/>
      <c r="F6" s="3"/>
      <c r="H6" s="99" t="s">
        <v>140</v>
      </c>
      <c r="I6" s="99"/>
      <c r="J6" s="99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04" t="s">
        <v>143</v>
      </c>
      <c r="I9" s="104"/>
      <c r="J9" s="104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99" t="s">
        <v>144</v>
      </c>
      <c r="I10" s="99"/>
      <c r="J10" s="99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99" t="s">
        <v>145</v>
      </c>
      <c r="I11" s="99"/>
      <c r="J11" s="99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00" t="s">
        <v>146</v>
      </c>
      <c r="I12" s="100"/>
      <c r="J12" s="100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05" t="s">
        <v>137</v>
      </c>
      <c r="C16" s="106"/>
      <c r="D16" s="106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08" t="s">
        <v>148</v>
      </c>
      <c r="C18" s="108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89" t="s">
        <v>161</v>
      </c>
      <c r="C23" s="89"/>
      <c r="D23" s="89"/>
      <c r="E23" s="89"/>
      <c r="F23" s="89"/>
      <c r="G23" s="89"/>
      <c r="H23" s="89"/>
      <c r="I23" s="89"/>
      <c r="J23" s="89"/>
    </row>
    <row r="24" spans="2:12">
      <c r="B24" s="69" t="s">
        <v>68</v>
      </c>
      <c r="C24" s="69" t="s">
        <v>151</v>
      </c>
      <c r="D24" s="69" t="s">
        <v>125</v>
      </c>
      <c r="E24" s="69" t="s">
        <v>152</v>
      </c>
      <c r="F24" s="69" t="s">
        <v>153</v>
      </c>
      <c r="G24" s="103" t="s">
        <v>155</v>
      </c>
      <c r="H24" s="103"/>
      <c r="I24" s="103"/>
      <c r="J24" s="69" t="s">
        <v>154</v>
      </c>
    </row>
    <row r="25" spans="2:12">
      <c r="B25" s="69"/>
      <c r="C25" s="69"/>
      <c r="D25" s="69"/>
      <c r="E25" s="69"/>
      <c r="F25" s="69"/>
      <c r="G25" s="2" t="s">
        <v>2</v>
      </c>
      <c r="H25" s="2" t="s">
        <v>3</v>
      </c>
      <c r="I25" s="2" t="s">
        <v>43</v>
      </c>
      <c r="J25" s="69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93" t="s">
        <v>158</v>
      </c>
      <c r="C28" s="94"/>
      <c r="D28" s="94"/>
      <c r="E28" s="94"/>
      <c r="F28" s="95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96" t="s">
        <v>159</v>
      </c>
      <c r="C31" s="97"/>
      <c r="D31" s="97"/>
      <c r="E31" s="97"/>
      <c r="F31" s="98"/>
      <c r="G31" s="123">
        <f>G28+G30+G29</f>
        <v>200000</v>
      </c>
      <c r="H31" s="123">
        <f t="shared" ref="H31:I31" si="2">H28+H30+H29</f>
        <v>200000</v>
      </c>
      <c r="I31" s="123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89" t="s">
        <v>167</v>
      </c>
      <c r="C33" s="89"/>
      <c r="D33" s="89"/>
      <c r="E33" s="89"/>
      <c r="F33" s="89"/>
      <c r="G33" s="89"/>
    </row>
    <row r="34" spans="2:7">
      <c r="B34" s="69" t="s">
        <v>68</v>
      </c>
      <c r="C34" s="69" t="s">
        <v>164</v>
      </c>
      <c r="D34" s="69" t="s">
        <v>165</v>
      </c>
      <c r="E34" s="69" t="s">
        <v>166</v>
      </c>
      <c r="F34" s="69"/>
      <c r="G34" s="69"/>
    </row>
    <row r="35" spans="2:7">
      <c r="B35" s="69"/>
      <c r="C35" s="69"/>
      <c r="D35" s="69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89" t="s">
        <v>171</v>
      </c>
      <c r="C38" s="89"/>
      <c r="D38" s="89"/>
      <c r="E38" s="89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89" t="s">
        <v>175</v>
      </c>
      <c r="C44" s="89"/>
      <c r="D44" s="89"/>
      <c r="F44" s="90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90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90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92" t="s">
        <v>184</v>
      </c>
      <c r="C52" s="92"/>
      <c r="D52" s="92"/>
      <c r="E52" s="92"/>
      <c r="F52" s="92"/>
      <c r="G52" s="92"/>
    </row>
    <row r="53" spans="2:7">
      <c r="B53" s="91" t="s">
        <v>68</v>
      </c>
      <c r="C53" s="91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79" t="s">
        <v>178</v>
      </c>
      <c r="C54" s="79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79" t="s">
        <v>179</v>
      </c>
      <c r="C55" s="79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79" t="s">
        <v>180</v>
      </c>
      <c r="C56" s="79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79" t="s">
        <v>181</v>
      </c>
      <c r="C57" s="79"/>
      <c r="D57" s="18">
        <v>0</v>
      </c>
      <c r="E57" s="18">
        <v>0</v>
      </c>
      <c r="F57" s="18">
        <v>0</v>
      </c>
      <c r="G57" s="18">
        <v>0</v>
      </c>
    </row>
    <row r="58" spans="2:7">
      <c r="B58" s="79" t="s">
        <v>182</v>
      </c>
      <c r="C58" s="79"/>
      <c r="D58" s="18">
        <v>0</v>
      </c>
      <c r="E58" s="18">
        <v>0</v>
      </c>
      <c r="F58" s="18">
        <v>0</v>
      </c>
      <c r="G58" s="18">
        <v>0</v>
      </c>
    </row>
    <row r="59" spans="2:7">
      <c r="B59" s="79" t="s">
        <v>183</v>
      </c>
      <c r="C59" s="79"/>
      <c r="D59" s="18">
        <v>0</v>
      </c>
      <c r="E59" s="18">
        <v>0</v>
      </c>
      <c r="F59" s="18">
        <v>0</v>
      </c>
      <c r="G59" s="18">
        <v>0</v>
      </c>
    </row>
    <row r="60" spans="2:7">
      <c r="B60" s="87" t="s">
        <v>185</v>
      </c>
      <c r="C60" s="87"/>
      <c r="D60" s="87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07" t="s">
        <v>200</v>
      </c>
      <c r="C62" s="107"/>
      <c r="D62" s="107"/>
      <c r="E62" s="107"/>
      <c r="F62" s="107"/>
      <c r="G62" s="107"/>
    </row>
    <row r="63" spans="2:7">
      <c r="B63" s="71" t="s">
        <v>68</v>
      </c>
      <c r="C63" s="71"/>
      <c r="D63" s="71"/>
      <c r="E63" s="22" t="s">
        <v>2</v>
      </c>
      <c r="F63" s="22" t="s">
        <v>3</v>
      </c>
      <c r="G63" s="22" t="s">
        <v>43</v>
      </c>
    </row>
    <row r="64" spans="2:7">
      <c r="B64" s="88" t="s">
        <v>194</v>
      </c>
      <c r="C64" s="79" t="s">
        <v>186</v>
      </c>
      <c r="D64" s="79"/>
      <c r="E64" s="19">
        <f>0</f>
        <v>0</v>
      </c>
      <c r="F64" s="19">
        <f>0</f>
        <v>0</v>
      </c>
      <c r="G64" s="19">
        <f>0</f>
        <v>0</v>
      </c>
    </row>
    <row r="65" spans="2:8">
      <c r="B65" s="88"/>
      <c r="C65" s="79" t="s">
        <v>198</v>
      </c>
      <c r="D65" s="79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88"/>
      <c r="C66" s="79" t="s">
        <v>197</v>
      </c>
      <c r="D66" s="79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88"/>
      <c r="C67" s="79" t="s">
        <v>199</v>
      </c>
      <c r="D67" s="79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88"/>
      <c r="C68" s="79" t="s">
        <v>187</v>
      </c>
      <c r="D68" s="79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88"/>
      <c r="C69" s="84" t="s">
        <v>188</v>
      </c>
      <c r="D69" s="84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4" t="s">
        <v>201</v>
      </c>
    </row>
    <row r="70" spans="2:8">
      <c r="B70" s="88" t="s">
        <v>195</v>
      </c>
      <c r="C70" s="79" t="s">
        <v>189</v>
      </c>
      <c r="D70" s="79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88"/>
      <c r="C71" s="79" t="s">
        <v>190</v>
      </c>
      <c r="D71" s="79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88"/>
      <c r="C72" s="79" t="s">
        <v>191</v>
      </c>
      <c r="D72" s="79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88"/>
      <c r="C73" s="79" t="s">
        <v>192</v>
      </c>
      <c r="D73" s="79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88"/>
      <c r="C74" s="84" t="s">
        <v>193</v>
      </c>
      <c r="D74" s="84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87" t="s">
        <v>196</v>
      </c>
      <c r="C75" s="87"/>
      <c r="D75" s="87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84" t="s">
        <v>202</v>
      </c>
      <c r="C78" s="84"/>
      <c r="D78" s="84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85" t="s">
        <v>203</v>
      </c>
      <c r="C81" s="85"/>
      <c r="D81" s="4">
        <v>0.35</v>
      </c>
      <c r="F81" s="85" t="s">
        <v>206</v>
      </c>
      <c r="G81" s="85"/>
    </row>
    <row r="82" spans="2:7">
      <c r="B82" s="85" t="s">
        <v>204</v>
      </c>
      <c r="C82" s="85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86" t="s">
        <v>205</v>
      </c>
      <c r="C83" s="86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87" t="s">
        <v>211</v>
      </c>
      <c r="C89" s="87"/>
      <c r="D89" s="87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09" t="s">
        <v>212</v>
      </c>
      <c r="C92" s="109"/>
      <c r="D92" s="110">
        <f>+(D83-E89)/D83</f>
        <v>5.9219259259259402E-2</v>
      </c>
    </row>
    <row r="93" spans="2:7">
      <c r="B93" s="109" t="s">
        <v>213</v>
      </c>
      <c r="C93" s="109"/>
      <c r="D93" s="111">
        <f>E89*D92</f>
        <v>237.82829559277377</v>
      </c>
    </row>
    <row r="95" spans="2:7">
      <c r="B95" s="115" t="s">
        <v>214</v>
      </c>
      <c r="C95" s="115"/>
      <c r="D95" s="115"/>
      <c r="E95" s="115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116">
        <f>'Demanda Dinamica'!V43</f>
        <v>45334530</v>
      </c>
      <c r="D97" s="116">
        <f>'Demanda Dinamica'!W43</f>
        <v>48054601.800000004</v>
      </c>
      <c r="E97" s="116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117">
        <f>SUM(C97:C99)</f>
        <v>91037540</v>
      </c>
      <c r="D100" s="117">
        <f t="shared" ref="D100:E100" si="10">SUM(D97:D99)</f>
        <v>96499792.399999991</v>
      </c>
      <c r="E100" s="117">
        <f t="shared" si="10"/>
        <v>99862622.43900001</v>
      </c>
    </row>
    <row r="102" spans="2:7">
      <c r="B102" s="118"/>
    </row>
    <row r="103" spans="2:7">
      <c r="B103" s="119" t="s">
        <v>226</v>
      </c>
      <c r="C103" s="119"/>
      <c r="D103" s="119"/>
      <c r="E103" s="119"/>
      <c r="F103" s="119"/>
      <c r="G103" s="119"/>
    </row>
    <row r="104" spans="2:7">
      <c r="B104" s="71" t="s">
        <v>68</v>
      </c>
      <c r="C104" s="71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04" t="s">
        <v>227</v>
      </c>
      <c r="C105" s="104"/>
      <c r="D105" s="121">
        <f>'Demanda Dinamica'!I36</f>
        <v>2180290</v>
      </c>
      <c r="E105" s="121">
        <f>'Demanda Dinamica'!V36</f>
        <v>16262030</v>
      </c>
      <c r="F105" s="121">
        <f>'Demanda Dinamica'!W36</f>
        <v>17237751.800000001</v>
      </c>
      <c r="G105" s="121">
        <f>'Demanda Dinamica'!X36</f>
        <v>18358205.667000003</v>
      </c>
    </row>
    <row r="106" spans="2:7">
      <c r="B106" s="104" t="s">
        <v>178</v>
      </c>
      <c r="C106" s="104"/>
      <c r="D106" s="121">
        <f>E16</f>
        <v>4848000</v>
      </c>
      <c r="E106" s="122">
        <f>D106*1%</f>
        <v>48480</v>
      </c>
      <c r="F106" s="121">
        <f>E106*(1+'Demanda Dinamica'!$D$6)</f>
        <v>51388.800000000003</v>
      </c>
      <c r="G106" s="121">
        <f>F106*(1+'Demanda Dinamica'!$D$7)</f>
        <v>54729.072</v>
      </c>
    </row>
    <row r="107" spans="2:7">
      <c r="B107" s="104" t="s">
        <v>228</v>
      </c>
      <c r="C107" s="104"/>
      <c r="D107" s="121">
        <f>D55</f>
        <v>0</v>
      </c>
      <c r="E107" s="121">
        <f t="shared" ref="E107:G107" si="11">E55</f>
        <v>0</v>
      </c>
      <c r="F107" s="121">
        <f t="shared" si="11"/>
        <v>0</v>
      </c>
      <c r="G107" s="121">
        <f t="shared" si="11"/>
        <v>0</v>
      </c>
    </row>
    <row r="108" spans="2:7">
      <c r="B108" s="104" t="s">
        <v>229</v>
      </c>
      <c r="C108" s="104"/>
      <c r="D108" s="121">
        <f>D56</f>
        <v>10000</v>
      </c>
      <c r="E108" s="121">
        <f t="shared" ref="E108:G108" si="12">E56</f>
        <v>120000</v>
      </c>
      <c r="F108" s="121">
        <f t="shared" si="12"/>
        <v>127200</v>
      </c>
      <c r="G108" s="121">
        <f t="shared" si="12"/>
        <v>135468</v>
      </c>
    </row>
    <row r="109" spans="2:7">
      <c r="B109" s="104" t="s">
        <v>230</v>
      </c>
      <c r="C109" s="104"/>
      <c r="D109" s="121">
        <f>D57</f>
        <v>0</v>
      </c>
      <c r="E109" s="121">
        <f t="shared" ref="E109:G109" si="13">E57</f>
        <v>0</v>
      </c>
      <c r="F109" s="121">
        <f t="shared" si="13"/>
        <v>0</v>
      </c>
      <c r="G109" s="121">
        <f t="shared" si="13"/>
        <v>0</v>
      </c>
    </row>
    <row r="110" spans="2:7">
      <c r="B110" s="104" t="s">
        <v>231</v>
      </c>
      <c r="C110" s="104"/>
      <c r="D110" s="121"/>
      <c r="E110" s="121">
        <f>G31</f>
        <v>200000</v>
      </c>
      <c r="F110" s="121">
        <f t="shared" ref="F110:G110" si="14">H31</f>
        <v>200000</v>
      </c>
      <c r="G110" s="121">
        <f t="shared" si="14"/>
        <v>200000</v>
      </c>
    </row>
    <row r="111" spans="2:7">
      <c r="B111" s="104" t="s">
        <v>232</v>
      </c>
      <c r="C111" s="104"/>
      <c r="D111" s="121"/>
      <c r="E111" s="121">
        <f>G31</f>
        <v>200000</v>
      </c>
      <c r="F111" s="121">
        <f t="shared" ref="F111:G111" si="15">H31</f>
        <v>200000</v>
      </c>
      <c r="G111" s="121">
        <f t="shared" si="15"/>
        <v>200000</v>
      </c>
    </row>
    <row r="112" spans="2:7">
      <c r="B112" s="104" t="s">
        <v>233</v>
      </c>
      <c r="C112" s="104"/>
      <c r="D112" s="121"/>
      <c r="E112" s="121">
        <f>E16/3</f>
        <v>1616000</v>
      </c>
      <c r="F112" s="121">
        <f>E112</f>
        <v>1616000</v>
      </c>
      <c r="G112" s="121">
        <f>F112</f>
        <v>1616000</v>
      </c>
    </row>
    <row r="113" spans="1:12">
      <c r="B113" s="104" t="s">
        <v>234</v>
      </c>
      <c r="C113" s="104"/>
      <c r="D113" s="121"/>
      <c r="E113" s="121">
        <v>0</v>
      </c>
      <c r="F113" s="121">
        <v>80000</v>
      </c>
      <c r="G113" s="121">
        <f>F113+(F113*'Demanda Dinamica'!D7)</f>
        <v>85200</v>
      </c>
    </row>
    <row r="114" spans="1:12">
      <c r="B114" s="104" t="s">
        <v>235</v>
      </c>
      <c r="C114" s="104"/>
      <c r="D114" s="121"/>
      <c r="E114" s="121">
        <v>0</v>
      </c>
      <c r="F114" s="121">
        <v>0</v>
      </c>
      <c r="G114" s="121">
        <v>0</v>
      </c>
    </row>
    <row r="115" spans="1:12">
      <c r="B115" s="96" t="s">
        <v>237</v>
      </c>
      <c r="C115" s="97"/>
      <c r="D115" s="98"/>
      <c r="E115" s="125">
        <f>SUM(E105:E114)</f>
        <v>18446510</v>
      </c>
      <c r="F115" s="125">
        <f t="shared" ref="F115:G115" si="16">SUM(F105:F114)</f>
        <v>19512340.600000001</v>
      </c>
      <c r="G115" s="125">
        <f t="shared" si="16"/>
        <v>20649602.739000004</v>
      </c>
    </row>
    <row r="117" spans="1:12">
      <c r="B117" s="127" t="s">
        <v>238</v>
      </c>
      <c r="C117" s="127"/>
      <c r="D117" s="127"/>
      <c r="E117" s="127"/>
    </row>
    <row r="118" spans="1:12">
      <c r="A118" s="126"/>
      <c r="B118" s="128" t="s">
        <v>68</v>
      </c>
      <c r="C118" s="128" t="s">
        <v>241</v>
      </c>
      <c r="D118" s="128" t="s">
        <v>242</v>
      </c>
      <c r="E118" s="128" t="s">
        <v>243</v>
      </c>
      <c r="F118" s="126"/>
    </row>
    <row r="119" spans="1:12">
      <c r="B119" s="2" t="s">
        <v>239</v>
      </c>
      <c r="C119" s="120">
        <f>E115</f>
        <v>18446510</v>
      </c>
      <c r="D119" s="120">
        <f t="shared" ref="D119:E119" si="17">F115</f>
        <v>19512340.600000001</v>
      </c>
      <c r="E119" s="120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129" t="s">
        <v>244</v>
      </c>
      <c r="C121" s="130">
        <f>SUM(C119:C120)</f>
        <v>63981040</v>
      </c>
      <c r="D121" s="130">
        <f t="shared" ref="D121:E121" si="19">SUM(D119:D120)</f>
        <v>67778942.400000006</v>
      </c>
      <c r="E121" s="130">
        <f t="shared" si="19"/>
        <v>69143877.18900001</v>
      </c>
    </row>
    <row r="123" spans="1:12">
      <c r="B123" s="131"/>
      <c r="C123" s="132" t="s">
        <v>245</v>
      </c>
      <c r="D123" s="132" t="s">
        <v>246</v>
      </c>
      <c r="E123" s="132" t="s">
        <v>243</v>
      </c>
    </row>
    <row r="124" spans="1:12">
      <c r="B124" s="2" t="s">
        <v>247</v>
      </c>
      <c r="C124" s="120">
        <f ca="1">C121/'Demanda Dinamica'!O13</f>
        <v>298976.82242990652</v>
      </c>
      <c r="D124" s="120">
        <f ca="1">D121/'Demanda Dinamica'!P13</f>
        <v>187753.30304709144</v>
      </c>
      <c r="E124" s="120">
        <f ca="1">E121/'Demanda Dinamica'!Q13</f>
        <v>161929.45477517566</v>
      </c>
    </row>
    <row r="125" spans="1:12">
      <c r="B125" s="2" t="s">
        <v>248</v>
      </c>
      <c r="C125" s="120">
        <f ca="1">C124+(C124*1.25)</f>
        <v>672697.85046728968</v>
      </c>
      <c r="D125" s="120">
        <f t="shared" ref="D125:E125" ca="1" si="20">D124+(D124*1.25)</f>
        <v>422444.93185595574</v>
      </c>
      <c r="E125" s="120">
        <f t="shared" ca="1" si="20"/>
        <v>364341.27324414521</v>
      </c>
    </row>
    <row r="127" spans="1:12">
      <c r="B127" s="133" t="s">
        <v>264</v>
      </c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</row>
    <row r="128" spans="1:12">
      <c r="B128" s="69" t="s">
        <v>249</v>
      </c>
      <c r="C128" s="69"/>
      <c r="D128" s="69" t="s">
        <v>256</v>
      </c>
      <c r="E128" s="69" t="s">
        <v>259</v>
      </c>
      <c r="F128" s="69"/>
      <c r="G128" s="69"/>
      <c r="H128" s="68" t="s">
        <v>260</v>
      </c>
      <c r="I128" s="68" t="s">
        <v>261</v>
      </c>
      <c r="J128" s="68" t="s">
        <v>262</v>
      </c>
      <c r="K128" s="68" t="s">
        <v>263</v>
      </c>
      <c r="L128" s="68"/>
    </row>
    <row r="129" spans="2:20">
      <c r="B129" s="69"/>
      <c r="C129" s="69"/>
      <c r="D129" s="69"/>
      <c r="E129" s="61" t="s">
        <v>125</v>
      </c>
      <c r="F129" s="61" t="s">
        <v>257</v>
      </c>
      <c r="G129" s="61" t="s">
        <v>258</v>
      </c>
      <c r="H129" s="68"/>
      <c r="I129" s="68"/>
      <c r="J129" s="68"/>
      <c r="K129" s="68"/>
      <c r="L129" s="68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 ca="1">'Demanda Dinamica'!$O$13/2</f>
        <v>107</v>
      </c>
      <c r="H131" s="120">
        <f ca="1">C125-(C125/4)</f>
        <v>504523.38785046723</v>
      </c>
      <c r="I131" s="120">
        <f ca="1">D125-(D125/4)</f>
        <v>316833.69889196684</v>
      </c>
      <c r="J131" s="120">
        <f ca="1">E125-(E125/4)</f>
        <v>273255.95493310888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 ca="1">'Demanda Dinamica'!$O$13/2</f>
        <v>107</v>
      </c>
      <c r="H132" s="120">
        <f ca="1">C125</f>
        <v>672697.85046728968</v>
      </c>
      <c r="I132" s="120">
        <f ca="1">D125</f>
        <v>422444.93185595574</v>
      </c>
      <c r="J132" s="120">
        <f ca="1">E125</f>
        <v>364341.27324414521</v>
      </c>
      <c r="K132" s="2"/>
      <c r="L132" s="2"/>
    </row>
    <row r="133" spans="2:20">
      <c r="D133" s="134">
        <f>SUM(D130:D132)</f>
        <v>1</v>
      </c>
    </row>
    <row r="135" spans="2:20">
      <c r="B135" s="133" t="s">
        <v>282</v>
      </c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137">
        <f ca="1">$H$131*('Demanda Dinamica'!C13/2)</f>
        <v>3531663.7149532707</v>
      </c>
      <c r="D137" s="137">
        <f ca="1">$H$131*('Demanda Dinamica'!D13/2)</f>
        <v>6054280.6542056073</v>
      </c>
      <c r="E137" s="137">
        <f ca="1">$H$131*('Demanda Dinamica'!E13/2)</f>
        <v>5297495.5724299056</v>
      </c>
      <c r="F137" s="137">
        <f ca="1">$H$131*('Demanda Dinamica'!F13/2)</f>
        <v>11604037.920560746</v>
      </c>
      <c r="G137" s="137">
        <f ca="1">$H$131*('Demanda Dinamica'!G13/2)</f>
        <v>10594991.144859811</v>
      </c>
      <c r="H137" s="137">
        <f ca="1">$H$131*('Demanda Dinamica'!H13/2)</f>
        <v>2522616.939252336</v>
      </c>
      <c r="I137" s="137">
        <f ca="1">$H$131*('Demanda Dinamica'!I13/2)</f>
        <v>3027140.3271028036</v>
      </c>
      <c r="J137" s="137">
        <f ca="1">$H$131*('Demanda Dinamica'!J13/2)</f>
        <v>11604037.920560746</v>
      </c>
      <c r="K137" s="137">
        <f ca="1">$H$131*('Demanda Dinamica'!K13/2)</f>
        <v>12613084.696261682</v>
      </c>
      <c r="L137" s="137">
        <f ca="1">$H$131*('Demanda Dinamica'!L13/2)</f>
        <v>10090467.757009344</v>
      </c>
      <c r="M137" s="137">
        <f ca="1">$H$131*('Demanda Dinamica'!M13/2)</f>
        <v>7567850.8177570086</v>
      </c>
      <c r="N137" s="137">
        <f ca="1">$H$131*('Demanda Dinamica'!N13/2)</f>
        <v>5802018.9602803728</v>
      </c>
      <c r="O137" s="137">
        <f ca="1">SUM(C137:N137)</f>
        <v>90309686.425233647</v>
      </c>
      <c r="P137" s="137">
        <f ca="1">O137+(O137*'Demanda Dinamica'!$S$6)</f>
        <v>97534461.339252338</v>
      </c>
      <c r="Q137" s="137">
        <f ca="1">P137+(P137*'Demanda Dinamica'!$S$7)</f>
        <v>112164630.54014018</v>
      </c>
    </row>
    <row r="138" spans="2:20" ht="15.75" thickBot="1">
      <c r="B138" s="2" t="s">
        <v>273</v>
      </c>
      <c r="C138" s="137">
        <f ca="1">$H$132*('Demanda Dinamica'!C13/2)</f>
        <v>4708884.9532710277</v>
      </c>
      <c r="D138" s="137">
        <f ca="1">$H$132*('Demanda Dinamica'!D13/2)</f>
        <v>8072374.2056074757</v>
      </c>
      <c r="E138" s="137">
        <f ca="1">$H$132*('Demanda Dinamica'!E13/2)</f>
        <v>7063327.4299065415</v>
      </c>
      <c r="F138" s="137">
        <f ca="1">$H$132*('Demanda Dinamica'!F13/2)</f>
        <v>15472050.560747663</v>
      </c>
      <c r="G138" s="137">
        <f ca="1">$H$132*('Demanda Dinamica'!G13/2)</f>
        <v>14126654.859813083</v>
      </c>
      <c r="H138" s="137">
        <f ca="1">$H$132*('Demanda Dinamica'!H13/2)</f>
        <v>3363489.2523364485</v>
      </c>
      <c r="I138" s="137">
        <f ca="1">$H$132*('Demanda Dinamica'!I13/2)</f>
        <v>4036187.1028037379</v>
      </c>
      <c r="J138" s="137">
        <f ca="1">$H$132*('Demanda Dinamica'!J13/2)</f>
        <v>15472050.560747663</v>
      </c>
      <c r="K138" s="137">
        <f ca="1">$H$132*('Demanda Dinamica'!K13/2)</f>
        <v>16817446.261682242</v>
      </c>
      <c r="L138" s="137">
        <f ca="1">$H$132*('Demanda Dinamica'!L13/2)</f>
        <v>13453957.009345794</v>
      </c>
      <c r="M138" s="137">
        <f ca="1">$H$132*('Demanda Dinamica'!M13/2)</f>
        <v>10090467.757009346</v>
      </c>
      <c r="N138" s="137">
        <f ca="1">$H$132*('Demanda Dinamica'!N13/2)</f>
        <v>7736025.2803738313</v>
      </c>
      <c r="O138" s="137">
        <f ca="1">SUM(C138:N138)</f>
        <v>120412915.23364484</v>
      </c>
      <c r="P138" s="137">
        <f ca="1">O138+(O138*'Demanda Dinamica'!$S$6)</f>
        <v>130045948.45233643</v>
      </c>
      <c r="Q138" s="137">
        <f ca="1">P138+(P138*'Demanda Dinamica'!$S$7)</f>
        <v>149552840.72018689</v>
      </c>
    </row>
    <row r="139" spans="2:20" ht="15.75" thickBot="1">
      <c r="B139" s="22" t="s">
        <v>274</v>
      </c>
      <c r="C139" s="138">
        <f ca="1">SUM(C137:C138)</f>
        <v>8240548.6682242984</v>
      </c>
      <c r="D139" s="138">
        <f t="shared" ref="D139:L139" ca="1" si="21">SUM(D137:D138)</f>
        <v>14126654.859813083</v>
      </c>
      <c r="E139" s="138">
        <f t="shared" ca="1" si="21"/>
        <v>12360823.002336446</v>
      </c>
      <c r="F139" s="138">
        <f t="shared" ca="1" si="21"/>
        <v>27076088.481308408</v>
      </c>
      <c r="G139" s="138">
        <f t="shared" ca="1" si="21"/>
        <v>24721646.004672892</v>
      </c>
      <c r="H139" s="138">
        <f t="shared" ca="1" si="21"/>
        <v>5886106.1915887846</v>
      </c>
      <c r="I139" s="138">
        <f t="shared" ca="1" si="21"/>
        <v>7063327.4299065415</v>
      </c>
      <c r="J139" s="138">
        <f t="shared" ca="1" si="21"/>
        <v>27076088.481308408</v>
      </c>
      <c r="K139" s="138">
        <f t="shared" ca="1" si="21"/>
        <v>29430530.957943924</v>
      </c>
      <c r="L139" s="138">
        <f t="shared" ca="1" si="21"/>
        <v>23544424.766355138</v>
      </c>
      <c r="M139" s="138">
        <f t="shared" ref="M139" ca="1" si="22">SUM(M137:M138)</f>
        <v>17658318.574766353</v>
      </c>
      <c r="N139" s="138">
        <f t="shared" ref="N139" ca="1" si="23">SUM(N137:N138)</f>
        <v>13538044.240654204</v>
      </c>
      <c r="O139" s="138">
        <f ca="1">SUM(C139:N139)</f>
        <v>210722601.65887848</v>
      </c>
      <c r="P139" s="138">
        <f ca="1">O139+(O139*'Demanda Dinamica'!$S$6)</f>
        <v>227580409.79158875</v>
      </c>
      <c r="Q139" s="138">
        <f ca="1">P139+(P139*'Demanda Dinamica'!$S$7)</f>
        <v>261717471.26032707</v>
      </c>
      <c r="S139" s="135" t="s">
        <v>271</v>
      </c>
      <c r="T139" s="136">
        <v>0.15</v>
      </c>
    </row>
    <row r="140" spans="2:20">
      <c r="B140" s="2" t="s">
        <v>5</v>
      </c>
      <c r="C140" s="137">
        <f ca="1">C139*0.19</f>
        <v>1565704.2469626167</v>
      </c>
      <c r="D140" s="137">
        <f t="shared" ref="D140:P140" ca="1" si="24">D139*0.19</f>
        <v>2684064.4233644856</v>
      </c>
      <c r="E140" s="137">
        <f t="shared" ca="1" si="24"/>
        <v>2348556.3704439248</v>
      </c>
      <c r="F140" s="137">
        <f t="shared" ca="1" si="24"/>
        <v>5144456.8114485973</v>
      </c>
      <c r="G140" s="137">
        <f t="shared" ca="1" si="24"/>
        <v>4697112.7408878496</v>
      </c>
      <c r="H140" s="137">
        <f t="shared" ca="1" si="24"/>
        <v>1118360.1764018692</v>
      </c>
      <c r="I140" s="137">
        <f t="shared" ca="1" si="24"/>
        <v>1342032.2116822428</v>
      </c>
      <c r="J140" s="137">
        <f t="shared" ca="1" si="24"/>
        <v>5144456.8114485973</v>
      </c>
      <c r="K140" s="137">
        <f t="shared" ca="1" si="24"/>
        <v>5591800.882009346</v>
      </c>
      <c r="L140" s="137">
        <f t="shared" ca="1" si="24"/>
        <v>4473440.7056074766</v>
      </c>
      <c r="M140" s="137">
        <f t="shared" ca="1" si="24"/>
        <v>3355080.5292056073</v>
      </c>
      <c r="N140" s="137">
        <f t="shared" ca="1" si="24"/>
        <v>2572228.4057242987</v>
      </c>
      <c r="O140" s="137">
        <f ca="1">SUM(C140:N140)</f>
        <v>40037294.31518691</v>
      </c>
      <c r="P140" s="137">
        <f ca="1">O140+(O140*'Demanda Dinamica'!$S$6)</f>
        <v>43240277.860401861</v>
      </c>
      <c r="Q140" s="137">
        <f ca="1">P140+(P140*'Demanda Dinamica'!$S$7)</f>
        <v>49726319.539462142</v>
      </c>
    </row>
    <row r="141" spans="2:20">
      <c r="B141" s="2" t="s">
        <v>275</v>
      </c>
      <c r="C141" s="137">
        <f ca="1">C140*0.15</f>
        <v>234855.6370443925</v>
      </c>
      <c r="D141" s="137">
        <f t="shared" ref="D141:J141" ca="1" si="25">D140*0.15</f>
        <v>402609.66350467282</v>
      </c>
      <c r="E141" s="137">
        <f t="shared" ca="1" si="25"/>
        <v>352283.45556658873</v>
      </c>
      <c r="F141" s="137">
        <f t="shared" ca="1" si="25"/>
        <v>771668.52171728958</v>
      </c>
      <c r="G141" s="137">
        <f t="shared" ca="1" si="25"/>
        <v>704566.91113317746</v>
      </c>
      <c r="H141" s="137">
        <f t="shared" ca="1" si="25"/>
        <v>167754.02646028038</v>
      </c>
      <c r="I141" s="137">
        <f t="shared" ca="1" si="25"/>
        <v>201304.83175233641</v>
      </c>
      <c r="J141" s="137">
        <f t="shared" ca="1" si="25"/>
        <v>771668.52171728958</v>
      </c>
      <c r="K141" s="137">
        <f t="shared" ref="K141" ca="1" si="26">K140*0.15</f>
        <v>838770.13230140193</v>
      </c>
      <c r="L141" s="137">
        <f t="shared" ref="L141" ca="1" si="27">L140*0.15</f>
        <v>671016.10584112152</v>
      </c>
      <c r="M141" s="137">
        <f t="shared" ref="M141" ca="1" si="28">M140*0.15</f>
        <v>503262.07938084105</v>
      </c>
      <c r="N141" s="137">
        <f t="shared" ref="N141" ca="1" si="29">N140*0.15</f>
        <v>385834.26085864479</v>
      </c>
      <c r="O141" s="137">
        <f ca="1">SUM(C141:N141)</f>
        <v>6005594.1472780369</v>
      </c>
      <c r="P141" s="137">
        <f ca="1">O141+(O141*'Demanda Dinamica'!$S$6)</f>
        <v>6486041.6790602803</v>
      </c>
      <c r="Q141" s="137">
        <f ca="1">P141+(P141*'Demanda Dinamica'!$S$7)</f>
        <v>7458947.9309193222</v>
      </c>
    </row>
    <row r="142" spans="2:20">
      <c r="B142" s="2" t="s">
        <v>276</v>
      </c>
      <c r="C142" s="137">
        <f ca="1">C139+C140-C141</f>
        <v>9571397.278142523</v>
      </c>
      <c r="D142" s="137">
        <f t="shared" ref="D142:N142" ca="1" si="30">D139+D140-D141</f>
        <v>16408109.619672896</v>
      </c>
      <c r="E142" s="137">
        <f t="shared" ca="1" si="30"/>
        <v>14357095.917213783</v>
      </c>
      <c r="F142" s="137">
        <f t="shared" ca="1" si="30"/>
        <v>31448876.771039713</v>
      </c>
      <c r="G142" s="137">
        <f t="shared" ca="1" si="30"/>
        <v>28714191.834427565</v>
      </c>
      <c r="H142" s="137">
        <f t="shared" ca="1" si="30"/>
        <v>6836712.3415303733</v>
      </c>
      <c r="I142" s="137">
        <f t="shared" ca="1" si="30"/>
        <v>8204054.8098364482</v>
      </c>
      <c r="J142" s="137">
        <f t="shared" ca="1" si="30"/>
        <v>31448876.771039713</v>
      </c>
      <c r="K142" s="137">
        <f t="shared" ca="1" si="30"/>
        <v>34183561.707651868</v>
      </c>
      <c r="L142" s="137">
        <f t="shared" ca="1" si="30"/>
        <v>27346849.366121493</v>
      </c>
      <c r="M142" s="137">
        <f t="shared" ca="1" si="30"/>
        <v>20510137.024591118</v>
      </c>
      <c r="N142" s="137">
        <f t="shared" ca="1" si="30"/>
        <v>15724438.385519857</v>
      </c>
      <c r="O142" s="137">
        <f ca="1">SUM(C142:N142)</f>
        <v>244754301.82678735</v>
      </c>
      <c r="P142" s="137">
        <f ca="1">O142+(O142*'Demanda Dinamica'!$S$6)</f>
        <v>264334645.97293034</v>
      </c>
      <c r="Q142" s="137">
        <f ca="1">P142+(P142*'Demanda Dinamica'!$S$7)</f>
        <v>303984842.8688699</v>
      </c>
    </row>
    <row r="143" spans="2:20">
      <c r="B143" s="2" t="s">
        <v>277</v>
      </c>
      <c r="C143" s="137">
        <f ca="1">(C138+(C138*0.19))-(C138*0.19*0.15)</f>
        <v>5469369.8732242985</v>
      </c>
      <c r="D143" s="137">
        <f t="shared" ref="D143:N143" ca="1" si="31">(D138+(D138*0.19))-(D138*0.19*0.15)</f>
        <v>9376062.6398130842</v>
      </c>
      <c r="E143" s="137">
        <f t="shared" ca="1" si="31"/>
        <v>8204054.8098364482</v>
      </c>
      <c r="F143" s="137">
        <f t="shared" ca="1" si="31"/>
        <v>17970786.726308409</v>
      </c>
      <c r="G143" s="137">
        <f t="shared" ca="1" si="31"/>
        <v>16408109.619672896</v>
      </c>
      <c r="H143" s="137">
        <f t="shared" ca="1" si="31"/>
        <v>3906692.7665887848</v>
      </c>
      <c r="I143" s="137">
        <f t="shared" ca="1" si="31"/>
        <v>4688031.3199065421</v>
      </c>
      <c r="J143" s="137">
        <f t="shared" ca="1" si="31"/>
        <v>17970786.726308409</v>
      </c>
      <c r="K143" s="137">
        <f t="shared" ca="1" si="31"/>
        <v>19533463.832943924</v>
      </c>
      <c r="L143" s="137">
        <f t="shared" ca="1" si="31"/>
        <v>15626771.066355139</v>
      </c>
      <c r="M143" s="137">
        <f t="shared" ca="1" si="31"/>
        <v>11720078.299766354</v>
      </c>
      <c r="N143" s="137">
        <f t="shared" ca="1" si="31"/>
        <v>8985393.3631542046</v>
      </c>
      <c r="O143" s="137">
        <f ca="1">SUM(C143:N143)</f>
        <v>139859601.0438785</v>
      </c>
      <c r="P143" s="137">
        <f ca="1">O143+(O143*'Demanda Dinamica'!$S$6)</f>
        <v>151048369.12738878</v>
      </c>
      <c r="Q143" s="137">
        <f ca="1">P143+(P143*'Demanda Dinamica'!$S$7)</f>
        <v>173705624.49649709</v>
      </c>
    </row>
    <row r="144" spans="2:20">
      <c r="B144" s="2" t="s">
        <v>281</v>
      </c>
      <c r="C144" s="137">
        <f ca="1">(C137+(C137*0.19))-(C137*0.19*0.15)</f>
        <v>4102027.4049182241</v>
      </c>
      <c r="D144" s="137">
        <f t="shared" ref="D144:N144" ca="1" si="32">(D137+(D137*0.19))-(D137*0.19*0.15)</f>
        <v>7032046.9798598131</v>
      </c>
      <c r="E144" s="137">
        <f t="shared" ca="1" si="32"/>
        <v>6153041.1073773354</v>
      </c>
      <c r="F144" s="137">
        <f t="shared" ca="1" si="32"/>
        <v>13478090.044731306</v>
      </c>
      <c r="G144" s="137">
        <f t="shared" ca="1" si="32"/>
        <v>12306082.214754671</v>
      </c>
      <c r="H144" s="137">
        <f t="shared" ca="1" si="32"/>
        <v>2930019.5749415881</v>
      </c>
      <c r="I144" s="137">
        <f t="shared" ca="1" si="32"/>
        <v>3516023.4899299066</v>
      </c>
      <c r="J144" s="137">
        <f t="shared" ca="1" si="32"/>
        <v>13478090.044731306</v>
      </c>
      <c r="K144" s="137">
        <f t="shared" ca="1" si="32"/>
        <v>14650097.874707943</v>
      </c>
      <c r="L144" s="137">
        <f t="shared" ca="1" si="32"/>
        <v>11720078.299766352</v>
      </c>
      <c r="M144" s="137">
        <f t="shared" ca="1" si="32"/>
        <v>8790058.7248247657</v>
      </c>
      <c r="N144" s="137">
        <f t="shared" ca="1" si="32"/>
        <v>6739045.022365653</v>
      </c>
      <c r="O144" s="137">
        <f ca="1">SUM(C144:N144)</f>
        <v>104894700.78290887</v>
      </c>
      <c r="P144" s="137">
        <f ca="1">O144+(O144*'Demanda Dinamica'!$S$6)</f>
        <v>113286276.84554158</v>
      </c>
      <c r="Q144" s="137">
        <f ca="1">P144+(P144*'Demanda Dinamica'!$S$7)</f>
        <v>130279218.37237282</v>
      </c>
    </row>
    <row r="145" spans="2:17">
      <c r="B145" s="2" t="s">
        <v>278</v>
      </c>
      <c r="C145" s="137">
        <f ca="1">$H$131*'Demanda Dinamica'!C13/2</f>
        <v>3531663.7149532707</v>
      </c>
      <c r="D145" s="137">
        <f ca="1">$H$131*'Demanda Dinamica'!D13/2</f>
        <v>6054280.6542056073</v>
      </c>
      <c r="E145" s="137">
        <f ca="1">$H$131*'Demanda Dinamica'!E13/2</f>
        <v>5297495.5724299056</v>
      </c>
      <c r="F145" s="137">
        <f ca="1">$H$131*'Demanda Dinamica'!F13/2</f>
        <v>11604037.920560746</v>
      </c>
      <c r="G145" s="137">
        <f ca="1">$H$131*'Demanda Dinamica'!G13/2</f>
        <v>10594991.144859811</v>
      </c>
      <c r="H145" s="137">
        <f ca="1">$H$131*'Demanda Dinamica'!H13/2</f>
        <v>2522616.939252336</v>
      </c>
      <c r="I145" s="137">
        <f ca="1">$H$131*'Demanda Dinamica'!I13/2</f>
        <v>3027140.3271028036</v>
      </c>
      <c r="J145" s="137">
        <f ca="1">$H$131*'Demanda Dinamica'!J13/2</f>
        <v>11604037.920560746</v>
      </c>
      <c r="K145" s="137">
        <f ca="1">$H$131*'Demanda Dinamica'!K13/2</f>
        <v>12613084.696261682</v>
      </c>
      <c r="L145" s="137">
        <f ca="1">$H$131*'Demanda Dinamica'!L13/2</f>
        <v>10090467.757009344</v>
      </c>
      <c r="M145" s="137">
        <f ca="1">$H$131*'Demanda Dinamica'!M13/2</f>
        <v>7567850.8177570086</v>
      </c>
      <c r="N145" s="137">
        <f ca="1">$H$131*'Demanda Dinamica'!N13/2</f>
        <v>5802018.9602803728</v>
      </c>
      <c r="O145" s="137">
        <f t="shared" ref="O145:O147" ca="1" si="33">SUM(C145:N145)</f>
        <v>90309686.425233647</v>
      </c>
      <c r="P145" s="137">
        <f ca="1">O145+(O145*'Demanda Dinamica'!$S$6)</f>
        <v>97534461.339252338</v>
      </c>
      <c r="Q145" s="137">
        <f ca="1">P145+(P145*'Demanda Dinamica'!$S$7)</f>
        <v>112164630.54014018</v>
      </c>
    </row>
    <row r="146" spans="2:17">
      <c r="B146" s="2" t="s">
        <v>279</v>
      </c>
      <c r="C146" s="137">
        <f ca="1">C143+C144</f>
        <v>9571397.278142523</v>
      </c>
      <c r="D146" s="137">
        <f t="shared" ref="D146:M146" ca="1" si="34">D143+D144</f>
        <v>16408109.619672898</v>
      </c>
      <c r="E146" s="137">
        <f t="shared" ca="1" si="34"/>
        <v>14357095.917213783</v>
      </c>
      <c r="F146" s="137">
        <f t="shared" ca="1" si="34"/>
        <v>31448876.771039717</v>
      </c>
      <c r="G146" s="137">
        <f t="shared" ca="1" si="34"/>
        <v>28714191.834427565</v>
      </c>
      <c r="H146" s="137">
        <f t="shared" ca="1" si="34"/>
        <v>6836712.3415303733</v>
      </c>
      <c r="I146" s="137">
        <f t="shared" ca="1" si="34"/>
        <v>8204054.8098364491</v>
      </c>
      <c r="J146" s="137">
        <f t="shared" ca="1" si="34"/>
        <v>31448876.771039717</v>
      </c>
      <c r="K146" s="137">
        <f t="shared" ca="1" si="34"/>
        <v>34183561.707651868</v>
      </c>
      <c r="L146" s="137">
        <f t="shared" ca="1" si="34"/>
        <v>27346849.366121493</v>
      </c>
      <c r="M146" s="137">
        <f t="shared" ca="1" si="34"/>
        <v>20510137.024591118</v>
      </c>
      <c r="N146" s="137">
        <f ca="1">N143+N144</f>
        <v>15724438.385519858</v>
      </c>
      <c r="O146" s="137">
        <f t="shared" ca="1" si="33"/>
        <v>244754301.82678735</v>
      </c>
      <c r="P146" s="137">
        <f ca="1">O146+(O146*'Demanda Dinamica'!$S$6)</f>
        <v>264334645.97293034</v>
      </c>
      <c r="Q146" s="137">
        <f ca="1">P146+(P146*'Demanda Dinamica'!$S$7)</f>
        <v>303984842.8688699</v>
      </c>
    </row>
    <row r="147" spans="2:17">
      <c r="B147" s="2" t="s">
        <v>280</v>
      </c>
      <c r="C147" s="40">
        <f ca="1">$H$131*('Demanda Dinamica'!C13/2)</f>
        <v>3531663.7149532707</v>
      </c>
      <c r="D147" s="40">
        <f ca="1">$H$131*('Demanda Dinamica'!D13/2)</f>
        <v>6054280.6542056073</v>
      </c>
      <c r="E147" s="40">
        <f ca="1">$H$131*('Demanda Dinamica'!E13/2)</f>
        <v>5297495.5724299056</v>
      </c>
      <c r="F147" s="40">
        <f ca="1">$H$131*('Demanda Dinamica'!F13/2)</f>
        <v>11604037.920560746</v>
      </c>
      <c r="G147" s="40">
        <f ca="1">$H$131*('Demanda Dinamica'!G13/2)</f>
        <v>10594991.144859811</v>
      </c>
      <c r="H147" s="40">
        <f ca="1">$H$131*('Demanda Dinamica'!H13/2)</f>
        <v>2522616.939252336</v>
      </c>
      <c r="I147" s="40">
        <f ca="1">$H$131*('Demanda Dinamica'!I13/2)</f>
        <v>3027140.3271028036</v>
      </c>
      <c r="J147" s="40">
        <f ca="1">$H$131*('Demanda Dinamica'!J13/2)</f>
        <v>11604037.920560746</v>
      </c>
      <c r="K147" s="40">
        <f ca="1">$H$131*('Demanda Dinamica'!K13/2)</f>
        <v>12613084.696261682</v>
      </c>
      <c r="L147" s="40">
        <f ca="1">$H$131*('Demanda Dinamica'!L13/2)</f>
        <v>10090467.757009344</v>
      </c>
      <c r="M147" s="40">
        <f ca="1">$H$131*('Demanda Dinamica'!M13/2)</f>
        <v>7567850.8177570086</v>
      </c>
      <c r="N147" s="40">
        <f ca="1">$H$131*('Demanda Dinamica'!N13/2)</f>
        <v>5802018.9602803728</v>
      </c>
      <c r="O147" s="137">
        <f t="shared" ca="1" si="33"/>
        <v>90309686.425233647</v>
      </c>
      <c r="P147" s="137">
        <f ca="1">O147+(O147*'Demanda Dinamica'!$S$6)</f>
        <v>97534461.339252338</v>
      </c>
      <c r="Q147" s="137">
        <f ca="1">P147+(P147*'Demanda Dinamica'!$S$7)</f>
        <v>112164630.54014018</v>
      </c>
    </row>
    <row r="149" spans="2:17">
      <c r="B149" s="139" t="s">
        <v>283</v>
      </c>
      <c r="C149" s="139"/>
      <c r="D149" s="139"/>
      <c r="E149" s="139"/>
      <c r="G149" s="140" t="s">
        <v>2</v>
      </c>
      <c r="H149" s="140"/>
      <c r="I149" s="140"/>
      <c r="J149" s="140"/>
      <c r="K149" s="140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141" t="s">
        <v>290</v>
      </c>
      <c r="H150" s="141" t="s">
        <v>291</v>
      </c>
      <c r="I150" s="141" t="s">
        <v>292</v>
      </c>
      <c r="J150" s="141" t="s">
        <v>293</v>
      </c>
      <c r="K150" s="141" t="s">
        <v>294</v>
      </c>
    </row>
    <row r="151" spans="2:17" ht="21" customHeight="1">
      <c r="B151" s="59" t="s">
        <v>284</v>
      </c>
      <c r="C151" s="144">
        <f ca="1">0*'Demanda Dinamica'!O13</f>
        <v>0</v>
      </c>
      <c r="D151" s="144">
        <f ca="1">0*'Demanda Dinamica'!P13</f>
        <v>0</v>
      </c>
      <c r="E151" s="144">
        <f ca="1">0*'Demanda Dinamica'!Q13</f>
        <v>0</v>
      </c>
      <c r="G151" s="142">
        <f ca="1">O139</f>
        <v>210722601.65887848</v>
      </c>
      <c r="H151" s="143">
        <f ca="1">C124*'Demanda Dinamica'!O13</f>
        <v>63981039.999999993</v>
      </c>
      <c r="I151" s="143">
        <f ca="1">G151-H151-J151-K151</f>
        <v>125669301.49299064</v>
      </c>
      <c r="J151" s="143">
        <f ca="1">G151*0.05</f>
        <v>10536130.082943924</v>
      </c>
      <c r="K151" s="143">
        <f ca="1">J151</f>
        <v>10536130.082943924</v>
      </c>
    </row>
    <row r="152" spans="2:17" ht="30">
      <c r="B152" s="59" t="s">
        <v>285</v>
      </c>
      <c r="C152" s="144">
        <f ca="1">O139*0.05</f>
        <v>10536130.082943924</v>
      </c>
      <c r="D152" s="144">
        <f t="shared" ref="D152:E152" ca="1" si="35">P139*0.05</f>
        <v>11379020.489579439</v>
      </c>
      <c r="E152" s="144">
        <f t="shared" ca="1" si="35"/>
        <v>13085873.563016355</v>
      </c>
    </row>
    <row r="153" spans="2:17" ht="30">
      <c r="B153" s="59" t="s">
        <v>286</v>
      </c>
      <c r="C153" s="144">
        <f ca="1">C152</f>
        <v>10536130.082943924</v>
      </c>
      <c r="D153" s="144">
        <f t="shared" ref="D153:E153" ca="1" si="36">D152</f>
        <v>11379020.489579439</v>
      </c>
      <c r="E153" s="144">
        <f t="shared" ca="1" si="36"/>
        <v>13085873.563016355</v>
      </c>
    </row>
    <row r="154" spans="2:17" ht="30">
      <c r="B154" s="59" t="s">
        <v>287</v>
      </c>
      <c r="C154" s="144">
        <f ca="1">(G151/1000)*11</f>
        <v>2317948.6182476631</v>
      </c>
      <c r="D154" s="144">
        <f ca="1">C154+(C154*'Demanda Dinamica'!$D$6)</f>
        <v>2457025.5353425229</v>
      </c>
      <c r="E154" s="144">
        <f ca="1">D154+('Demanda Dinamica'!$D$7*D154)</f>
        <v>2616732.1951397867</v>
      </c>
    </row>
    <row r="155" spans="2:17" ht="30">
      <c r="B155" s="59" t="s">
        <v>288</v>
      </c>
      <c r="C155" s="144">
        <f ca="1">C154*0.15</f>
        <v>347692.29273714946</v>
      </c>
      <c r="D155" s="144">
        <f t="shared" ref="D155:E155" ca="1" si="37">D154*0.15</f>
        <v>368553.83030137845</v>
      </c>
      <c r="E155" s="144">
        <f t="shared" ca="1" si="37"/>
        <v>392509.82927096798</v>
      </c>
    </row>
    <row r="156" spans="2:17">
      <c r="B156" s="22" t="s">
        <v>289</v>
      </c>
      <c r="C156" s="145">
        <f ca="1">SUM(C151:C155)</f>
        <v>23737901.076872658</v>
      </c>
      <c r="D156" s="145">
        <f t="shared" ref="D156:E156" ca="1" si="38">SUM(D151:D155)</f>
        <v>25583620.344802778</v>
      </c>
      <c r="E156" s="145">
        <f t="shared" ca="1" si="38"/>
        <v>29180989.150443465</v>
      </c>
    </row>
    <row r="158" spans="2:17">
      <c r="B158" s="89" t="s">
        <v>318</v>
      </c>
      <c r="C158" s="89"/>
      <c r="D158" s="89"/>
      <c r="E158" s="89"/>
      <c r="F158" s="89"/>
      <c r="G158" s="89"/>
    </row>
    <row r="159" spans="2:17">
      <c r="B159" s="88" t="s">
        <v>68</v>
      </c>
      <c r="C159" s="88"/>
      <c r="D159" s="88"/>
      <c r="E159" s="62" t="s">
        <v>2</v>
      </c>
      <c r="F159" s="62" t="s">
        <v>3</v>
      </c>
      <c r="G159" s="62" t="s">
        <v>43</v>
      </c>
    </row>
    <row r="160" spans="2:17">
      <c r="B160" s="71" t="s">
        <v>295</v>
      </c>
      <c r="C160" s="69" t="s">
        <v>296</v>
      </c>
      <c r="D160" s="69"/>
      <c r="E160" s="2" t="s">
        <v>297</v>
      </c>
      <c r="F160" s="137">
        <f>F113</f>
        <v>80000</v>
      </c>
      <c r="G160" s="137">
        <f>G113</f>
        <v>85200</v>
      </c>
    </row>
    <row r="161" spans="2:7">
      <c r="B161" s="71"/>
      <c r="C161" s="69" t="s">
        <v>298</v>
      </c>
      <c r="D161" s="69"/>
      <c r="E161" s="2" t="s">
        <v>297</v>
      </c>
      <c r="F161" s="137">
        <v>0</v>
      </c>
      <c r="G161" s="137">
        <v>0</v>
      </c>
    </row>
    <row r="162" spans="2:7">
      <c r="B162" s="71"/>
      <c r="C162" s="79" t="s">
        <v>299</v>
      </c>
      <c r="D162" s="79"/>
      <c r="E162" s="120">
        <f>'Demanda Dinamica'!V43</f>
        <v>45334530</v>
      </c>
      <c r="F162" s="120">
        <f>'Demanda Dinamica'!W43</f>
        <v>48054601.800000004</v>
      </c>
      <c r="G162" s="120">
        <f>'Demanda Dinamica'!X43</f>
        <v>51178150.917000011</v>
      </c>
    </row>
    <row r="163" spans="2:7">
      <c r="B163" s="71"/>
      <c r="C163" s="69" t="s">
        <v>300</v>
      </c>
      <c r="D163" s="69"/>
      <c r="E163" s="120">
        <f>'Demanda Dinamica'!V35</f>
        <v>2400000</v>
      </c>
      <c r="F163" s="120">
        <f>'Demanda Dinamica'!W35</f>
        <v>2544000</v>
      </c>
      <c r="G163" s="120">
        <f>'Demanda Dinamica'!X35</f>
        <v>2709360</v>
      </c>
    </row>
    <row r="164" spans="2:7">
      <c r="B164" s="71"/>
      <c r="C164" s="69" t="s">
        <v>301</v>
      </c>
      <c r="D164" s="69"/>
      <c r="E164" s="120">
        <v>0</v>
      </c>
      <c r="F164" s="137">
        <v>0</v>
      </c>
      <c r="G164" s="137">
        <v>0</v>
      </c>
    </row>
    <row r="165" spans="2:7">
      <c r="B165" s="71"/>
      <c r="C165" s="69" t="s">
        <v>302</v>
      </c>
      <c r="D165" s="69"/>
      <c r="E165" s="120">
        <f>E106</f>
        <v>48480</v>
      </c>
      <c r="F165" s="120">
        <f t="shared" ref="F165:G165" si="39">F106</f>
        <v>51388.800000000003</v>
      </c>
      <c r="G165" s="120">
        <f t="shared" si="39"/>
        <v>54729.072</v>
      </c>
    </row>
    <row r="166" spans="2:7">
      <c r="B166" s="71"/>
      <c r="C166" s="69" t="s">
        <v>303</v>
      </c>
      <c r="D166" s="69"/>
      <c r="E166" s="120">
        <f>E107</f>
        <v>0</v>
      </c>
      <c r="F166" s="120">
        <f t="shared" ref="F166:G166" si="40">F107</f>
        <v>0</v>
      </c>
      <c r="G166" s="120">
        <f t="shared" si="40"/>
        <v>0</v>
      </c>
    </row>
    <row r="167" spans="2:7">
      <c r="B167" s="71"/>
      <c r="C167" s="69" t="s">
        <v>304</v>
      </c>
      <c r="D167" s="69"/>
      <c r="E167" s="120">
        <f t="shared" ref="E167:G169" si="41">E108</f>
        <v>120000</v>
      </c>
      <c r="F167" s="120">
        <f t="shared" si="41"/>
        <v>127200</v>
      </c>
      <c r="G167" s="120">
        <f t="shared" si="41"/>
        <v>135468</v>
      </c>
    </row>
    <row r="168" spans="2:7">
      <c r="B168" s="71"/>
      <c r="C168" s="69" t="s">
        <v>305</v>
      </c>
      <c r="D168" s="69"/>
      <c r="E168" s="120">
        <f t="shared" si="41"/>
        <v>0</v>
      </c>
      <c r="F168" s="120">
        <f t="shared" si="41"/>
        <v>0</v>
      </c>
      <c r="G168" s="120">
        <f t="shared" si="41"/>
        <v>0</v>
      </c>
    </row>
    <row r="169" spans="2:7">
      <c r="B169" s="71"/>
      <c r="C169" s="69" t="s">
        <v>161</v>
      </c>
      <c r="D169" s="69"/>
      <c r="E169" s="120">
        <f>E110</f>
        <v>200000</v>
      </c>
      <c r="F169" s="120">
        <f t="shared" ref="F169:G169" si="42">F110</f>
        <v>200000</v>
      </c>
      <c r="G169" s="120">
        <f t="shared" si="42"/>
        <v>200000</v>
      </c>
    </row>
    <row r="170" spans="2:7">
      <c r="B170" s="71"/>
      <c r="C170" s="69" t="s">
        <v>306</v>
      </c>
      <c r="D170" s="69"/>
      <c r="E170" s="120">
        <f>E111</f>
        <v>200000</v>
      </c>
      <c r="F170" s="120">
        <f t="shared" ref="F170:G170" si="43">F111</f>
        <v>200000</v>
      </c>
      <c r="G170" s="120">
        <f t="shared" si="43"/>
        <v>200000</v>
      </c>
    </row>
    <row r="171" spans="2:7">
      <c r="B171" s="71"/>
      <c r="C171" s="69" t="s">
        <v>319</v>
      </c>
      <c r="D171" s="69"/>
      <c r="E171" s="120">
        <v>0</v>
      </c>
      <c r="F171" s="137">
        <v>0</v>
      </c>
      <c r="G171" s="137">
        <v>0</v>
      </c>
    </row>
    <row r="172" spans="2:7">
      <c r="B172" s="71"/>
      <c r="C172" s="88" t="s">
        <v>307</v>
      </c>
      <c r="D172" s="88"/>
      <c r="E172" s="124">
        <f>SUM(E162:E171)</f>
        <v>48303010</v>
      </c>
      <c r="F172" s="138">
        <f>SUM(F160:F171)</f>
        <v>51257190.600000001</v>
      </c>
      <c r="G172" s="138">
        <f>SUM(G160:G171)</f>
        <v>54562907.989000008</v>
      </c>
    </row>
    <row r="173" spans="2:7">
      <c r="B173" s="88" t="s">
        <v>308</v>
      </c>
      <c r="C173" s="69" t="s">
        <v>186</v>
      </c>
      <c r="D173" s="69"/>
      <c r="E173" s="120">
        <f>E64</f>
        <v>0</v>
      </c>
      <c r="F173" s="120">
        <f t="shared" ref="F173:G173" si="44">F64</f>
        <v>0</v>
      </c>
      <c r="G173" s="120">
        <f t="shared" si="44"/>
        <v>0</v>
      </c>
    </row>
    <row r="174" spans="2:7">
      <c r="B174" s="88"/>
      <c r="C174" s="69" t="s">
        <v>309</v>
      </c>
      <c r="D174" s="69"/>
      <c r="E174" s="120">
        <f>0</f>
        <v>0</v>
      </c>
      <c r="F174" s="120">
        <f>0</f>
        <v>0</v>
      </c>
      <c r="G174" s="120">
        <f>0</f>
        <v>0</v>
      </c>
    </row>
    <row r="175" spans="2:7">
      <c r="B175" s="88"/>
      <c r="C175" s="69" t="s">
        <v>310</v>
      </c>
      <c r="D175" s="69"/>
      <c r="E175" s="120">
        <v>0</v>
      </c>
      <c r="F175" s="120">
        <v>0</v>
      </c>
      <c r="G175" s="120">
        <v>0</v>
      </c>
    </row>
    <row r="176" spans="2:7">
      <c r="B176" s="88"/>
      <c r="C176" s="69" t="s">
        <v>311</v>
      </c>
      <c r="D176" s="69"/>
      <c r="E176" s="120">
        <v>0</v>
      </c>
      <c r="F176" s="120">
        <v>0</v>
      </c>
      <c r="G176" s="120">
        <v>0</v>
      </c>
    </row>
    <row r="177" spans="2:7">
      <c r="B177" s="88"/>
      <c r="C177" s="69" t="s">
        <v>284</v>
      </c>
      <c r="D177" s="69"/>
      <c r="E177" s="120">
        <v>0</v>
      </c>
      <c r="F177" s="120">
        <v>0</v>
      </c>
      <c r="G177" s="120">
        <v>0</v>
      </c>
    </row>
    <row r="178" spans="2:7">
      <c r="B178" s="88"/>
      <c r="C178" s="69" t="s">
        <v>312</v>
      </c>
      <c r="D178" s="69"/>
      <c r="E178" s="120">
        <f ca="1">C152</f>
        <v>10536130.082943924</v>
      </c>
      <c r="F178" s="120">
        <f t="shared" ref="F178:G178" ca="1" si="45">D152</f>
        <v>11379020.489579439</v>
      </c>
      <c r="G178" s="120">
        <f t="shared" ca="1" si="45"/>
        <v>13085873.563016355</v>
      </c>
    </row>
    <row r="179" spans="2:7">
      <c r="B179" s="88"/>
      <c r="C179" s="69" t="s">
        <v>313</v>
      </c>
      <c r="D179" s="69"/>
      <c r="E179" s="120">
        <f ca="1">C153</f>
        <v>10536130.082943924</v>
      </c>
      <c r="F179" s="120">
        <f t="shared" ref="F179:G181" ca="1" si="46">D153</f>
        <v>11379020.489579439</v>
      </c>
      <c r="G179" s="120">
        <f t="shared" ca="1" si="46"/>
        <v>13085873.563016355</v>
      </c>
    </row>
    <row r="180" spans="2:7">
      <c r="B180" s="88"/>
      <c r="C180" s="69" t="s">
        <v>314</v>
      </c>
      <c r="D180" s="69"/>
      <c r="E180" s="120">
        <f t="shared" ref="E180:E181" ca="1" si="47">C154</f>
        <v>2317948.6182476631</v>
      </c>
      <c r="F180" s="120">
        <f t="shared" ca="1" si="46"/>
        <v>2457025.5353425229</v>
      </c>
      <c r="G180" s="120">
        <f t="shared" ca="1" si="46"/>
        <v>2616732.1951397867</v>
      </c>
    </row>
    <row r="181" spans="2:7">
      <c r="B181" s="88"/>
      <c r="C181" s="69" t="s">
        <v>315</v>
      </c>
      <c r="D181" s="69"/>
      <c r="E181" s="120">
        <f t="shared" ca="1" si="47"/>
        <v>347692.29273714946</v>
      </c>
      <c r="F181" s="120">
        <f t="shared" ca="1" si="46"/>
        <v>368553.83030137845</v>
      </c>
      <c r="G181" s="120">
        <f t="shared" ca="1" si="46"/>
        <v>392509.82927096798</v>
      </c>
    </row>
    <row r="182" spans="2:7">
      <c r="B182" s="88"/>
      <c r="C182" s="88" t="s">
        <v>316</v>
      </c>
      <c r="D182" s="88"/>
      <c r="E182" s="124">
        <f ca="1">SUM(E173:E181)</f>
        <v>23737901.076872658</v>
      </c>
      <c r="F182" s="124">
        <f t="shared" ref="F182:G182" ca="1" si="48">SUM(F173:F181)</f>
        <v>25583620.344802778</v>
      </c>
      <c r="G182" s="124">
        <f t="shared" ca="1" si="48"/>
        <v>29180989.150443465</v>
      </c>
    </row>
    <row r="183" spans="2:7">
      <c r="B183" s="146" t="s">
        <v>317</v>
      </c>
      <c r="C183" s="146"/>
      <c r="D183" s="146"/>
      <c r="E183" s="147">
        <f ca="1">E172+E182</f>
        <v>72040911.076872662</v>
      </c>
      <c r="F183" s="147">
        <f t="shared" ref="F183:G183" ca="1" si="49">F172+F182</f>
        <v>76840810.944802776</v>
      </c>
      <c r="G183" s="147">
        <f t="shared" ca="1" si="49"/>
        <v>83743897.139443472</v>
      </c>
    </row>
    <row r="185" spans="2:7">
      <c r="B185" s="148" t="s">
        <v>321</v>
      </c>
      <c r="C185" s="148"/>
      <c r="D185" s="148"/>
      <c r="E185" s="148"/>
      <c r="F185" s="148"/>
    </row>
    <row r="186" spans="2:7">
      <c r="B186" t="s">
        <v>68</v>
      </c>
      <c r="C186" t="s">
        <v>320</v>
      </c>
      <c r="D186" t="s">
        <v>2</v>
      </c>
      <c r="E186" t="s">
        <v>3</v>
      </c>
      <c r="F186" t="s">
        <v>43</v>
      </c>
    </row>
  </sheetData>
  <mergeCells count="118">
    <mergeCell ref="B183:D183"/>
    <mergeCell ref="B185:F18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60:D60"/>
    <mergeCell ref="B38:E38"/>
    <mergeCell ref="B44:D44"/>
    <mergeCell ref="F44:F46"/>
    <mergeCell ref="B53:C53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93:C93"/>
    <mergeCell ref="B78:D78"/>
    <mergeCell ref="B81:C81"/>
    <mergeCell ref="B82:C82"/>
    <mergeCell ref="B83:C8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Demanda Dinamica</vt:lpstr>
      <vt:lpstr>Presupuesto de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2017-02-14T23:48:34Z</dcterms:modified>
</cp:coreProperties>
</file>