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firstSheet="2" activeTab="3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5" l="1"/>
  <c r="G4" i="5"/>
  <c r="E10" i="4" l="1"/>
  <c r="F10" i="4"/>
  <c r="G10" i="4"/>
  <c r="G105" i="3" l="1"/>
  <c r="H99" i="3"/>
  <c r="I99" i="3"/>
  <c r="J99" i="3"/>
  <c r="G99" i="3"/>
  <c r="G95" i="3"/>
  <c r="G100" i="3" s="1"/>
  <c r="G106" i="3" s="1"/>
  <c r="I87" i="3"/>
  <c r="J87" i="3"/>
  <c r="H87" i="3"/>
  <c r="J81" i="3"/>
  <c r="I80" i="3"/>
  <c r="I81" i="3" s="1"/>
  <c r="J80" i="3"/>
  <c r="H80" i="3"/>
  <c r="H81" i="3" s="1"/>
  <c r="G78" i="3"/>
  <c r="G79" i="3"/>
  <c r="G77" i="3"/>
  <c r="G76" i="3"/>
  <c r="G75" i="3"/>
  <c r="G81" i="3" s="1"/>
  <c r="U55" i="3"/>
  <c r="V55" i="3"/>
  <c r="U54" i="3"/>
  <c r="V54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L52" i="3" s="1"/>
  <c r="M48" i="3"/>
  <c r="M52" i="3" s="1"/>
  <c r="N48" i="3"/>
  <c r="O48" i="3"/>
  <c r="P48" i="3"/>
  <c r="Q48" i="3"/>
  <c r="R48" i="3"/>
  <c r="S48" i="3"/>
  <c r="H48" i="3"/>
  <c r="U47" i="3"/>
  <c r="U52" i="3" s="1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H52" i="3" s="1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V52" i="3" s="1"/>
  <c r="T45" i="3"/>
  <c r="T52" i="3" s="1"/>
  <c r="H45" i="3"/>
  <c r="I45" i="3"/>
  <c r="I52" i="3" s="1"/>
  <c r="J45" i="3"/>
  <c r="J52" i="3" s="1"/>
  <c r="K45" i="3"/>
  <c r="K52" i="3" s="1"/>
  <c r="L45" i="3"/>
  <c r="M45" i="3"/>
  <c r="N45" i="3"/>
  <c r="N52" i="3" s="1"/>
  <c r="O45" i="3"/>
  <c r="O52" i="3" s="1"/>
  <c r="P45" i="3"/>
  <c r="P52" i="3" s="1"/>
  <c r="Q45" i="3"/>
  <c r="Q52" i="3" s="1"/>
  <c r="R45" i="3"/>
  <c r="R52" i="3" s="1"/>
  <c r="S45" i="3"/>
  <c r="S52" i="3" s="1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G31" i="3" l="1"/>
  <c r="G64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L23" i="3" l="1"/>
  <c r="L24" i="3"/>
  <c r="Q23" i="3"/>
  <c r="Q24" i="3"/>
  <c r="K23" i="3"/>
  <c r="K24" i="3"/>
  <c r="J23" i="3"/>
  <c r="J24" i="3"/>
  <c r="R23" i="3"/>
  <c r="R24" i="3"/>
  <c r="O23" i="3"/>
  <c r="O24" i="3"/>
  <c r="M23" i="3"/>
  <c r="M24" i="3"/>
  <c r="N23" i="3"/>
  <c r="N24" i="3"/>
  <c r="P23" i="3"/>
  <c r="P24" i="3"/>
  <c r="I23" i="3"/>
  <c r="I24" i="3"/>
  <c r="S23" i="3"/>
  <c r="S24" i="3"/>
  <c r="H23" i="3"/>
  <c r="H24" i="3"/>
  <c r="H140" i="2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N28" i="3" l="1"/>
  <c r="S28" i="3"/>
  <c r="M28" i="3"/>
  <c r="K28" i="3"/>
  <c r="I28" i="3"/>
  <c r="O28" i="3"/>
  <c r="Q28" i="3"/>
  <c r="T23" i="3"/>
  <c r="H71" i="3" s="1"/>
  <c r="T24" i="3"/>
  <c r="J28" i="3"/>
  <c r="P28" i="3"/>
  <c r="R28" i="3"/>
  <c r="L28" i="3"/>
  <c r="H28" i="3"/>
  <c r="J141" i="2"/>
  <c r="O59" i="3" s="1"/>
  <c r="O58" i="3"/>
  <c r="I141" i="2"/>
  <c r="N59" i="3" s="1"/>
  <c r="N58" i="3"/>
  <c r="H141" i="2"/>
  <c r="M58" i="3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T28" i="3" l="1"/>
  <c r="U23" i="3"/>
  <c r="I71" i="3" s="1"/>
  <c r="U24" i="3"/>
  <c r="I142" i="2"/>
  <c r="J142" i="2"/>
  <c r="H142" i="2"/>
  <c r="M59" i="3"/>
  <c r="D141" i="2"/>
  <c r="I59" i="3" s="1"/>
  <c r="I58" i="3"/>
  <c r="G141" i="2"/>
  <c r="L58" i="3"/>
  <c r="F141" i="2"/>
  <c r="K58" i="3"/>
  <c r="C141" i="2"/>
  <c r="H59" i="3" s="1"/>
  <c r="H58" i="3"/>
  <c r="Q145" i="2"/>
  <c r="K140" i="2"/>
  <c r="K196" i="2"/>
  <c r="L144" i="2"/>
  <c r="L146" i="2" s="1"/>
  <c r="L139" i="2"/>
  <c r="L196" i="2" s="1"/>
  <c r="E140" i="2"/>
  <c r="J58" i="3" s="1"/>
  <c r="U28" i="3" l="1"/>
  <c r="V23" i="3"/>
  <c r="J71" i="3" s="1"/>
  <c r="V24" i="3"/>
  <c r="D142" i="2"/>
  <c r="F142" i="2"/>
  <c r="K59" i="3"/>
  <c r="G142" i="2"/>
  <c r="L59" i="3"/>
  <c r="C142" i="2"/>
  <c r="K141" i="2"/>
  <c r="P58" i="3"/>
  <c r="L140" i="2"/>
  <c r="M144" i="2"/>
  <c r="M146" i="2" s="1"/>
  <c r="M139" i="2"/>
  <c r="M196" i="2" s="1"/>
  <c r="E141" i="2"/>
  <c r="J59" i="3" s="1"/>
  <c r="V28" i="3" l="1"/>
  <c r="K142" i="2"/>
  <c r="P59" i="3"/>
  <c r="L141" i="2"/>
  <c r="Q58" i="3"/>
  <c r="N144" i="2"/>
  <c r="N139" i="2"/>
  <c r="M140" i="2"/>
  <c r="O137" i="2"/>
  <c r="P137" i="2" s="1"/>
  <c r="Q137" i="2" s="1"/>
  <c r="E142" i="2"/>
  <c r="L142" i="2" l="1"/>
  <c r="Q59" i="3"/>
  <c r="M141" i="2"/>
  <c r="R58" i="3"/>
  <c r="O139" i="2"/>
  <c r="N196" i="2"/>
  <c r="O144" i="2"/>
  <c r="P144" i="2" s="1"/>
  <c r="Q144" i="2" s="1"/>
  <c r="N146" i="2"/>
  <c r="O146" i="2" s="1"/>
  <c r="P146" i="2" s="1"/>
  <c r="Q146" i="2" s="1"/>
  <c r="N140" i="2"/>
  <c r="S58" i="3" s="1"/>
  <c r="M142" i="2" l="1"/>
  <c r="R59" i="3"/>
  <c r="O196" i="2"/>
  <c r="E4" i="3"/>
  <c r="C152" i="2"/>
  <c r="E178" i="2" s="1"/>
  <c r="P139" i="2"/>
  <c r="D190" i="2"/>
  <c r="G151" i="2"/>
  <c r="C154" i="2" s="1"/>
  <c r="N141" i="2"/>
  <c r="S59" i="3" s="1"/>
  <c r="O140" i="2"/>
  <c r="H91" i="3" s="1"/>
  <c r="T56" i="3" l="1"/>
  <c r="H89" i="3"/>
  <c r="H56" i="3"/>
  <c r="I56" i="3"/>
  <c r="Q56" i="3"/>
  <c r="S56" i="3"/>
  <c r="O56" i="3"/>
  <c r="J56" i="3"/>
  <c r="R56" i="3"/>
  <c r="K56" i="3"/>
  <c r="N56" i="3"/>
  <c r="L56" i="3"/>
  <c r="M56" i="3"/>
  <c r="P56" i="3"/>
  <c r="P140" i="2"/>
  <c r="I91" i="3" s="1"/>
  <c r="T58" i="3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92" i="3" s="1"/>
  <c r="N142" i="2"/>
  <c r="O142" i="2" s="1"/>
  <c r="P142" i="2" s="1"/>
  <c r="Q142" i="2" s="1"/>
  <c r="T57" i="3" l="1"/>
  <c r="H90" i="3"/>
  <c r="U56" i="3"/>
  <c r="I89" i="3"/>
  <c r="P141" i="2"/>
  <c r="I92" i="3" s="1"/>
  <c r="T59" i="3"/>
  <c r="Q140" i="2"/>
  <c r="U58" i="3"/>
  <c r="I57" i="3"/>
  <c r="Q57" i="3"/>
  <c r="S57" i="3"/>
  <c r="M57" i="3"/>
  <c r="P57" i="3"/>
  <c r="J57" i="3"/>
  <c r="R57" i="3"/>
  <c r="K57" i="3"/>
  <c r="L57" i="3"/>
  <c r="N57" i="3"/>
  <c r="O57" i="3"/>
  <c r="E181" i="2"/>
  <c r="E182" i="2" s="1"/>
  <c r="H57" i="3"/>
  <c r="F180" i="2"/>
  <c r="F6" i="3"/>
  <c r="F190" i="2"/>
  <c r="Q196" i="2"/>
  <c r="G4" i="3"/>
  <c r="D155" i="2"/>
  <c r="I90" i="3" s="1"/>
  <c r="E154" i="2"/>
  <c r="J89" i="3" s="1"/>
  <c r="D153" i="2"/>
  <c r="F179" i="2" s="1"/>
  <c r="C156" i="2"/>
  <c r="E9" i="3" s="1"/>
  <c r="E12" i="3" s="1"/>
  <c r="E13" i="3" s="1"/>
  <c r="E153" i="2"/>
  <c r="G179" i="2" s="1"/>
  <c r="D189" i="2" l="1"/>
  <c r="D191" i="2" s="1"/>
  <c r="D192" i="2" s="1"/>
  <c r="V58" i="3"/>
  <c r="J91" i="3"/>
  <c r="Q141" i="2"/>
  <c r="U59" i="3"/>
  <c r="F181" i="2"/>
  <c r="F182" i="2" s="1"/>
  <c r="U57" i="3"/>
  <c r="E155" i="2"/>
  <c r="J90" i="3" s="1"/>
  <c r="V56" i="3"/>
  <c r="G6" i="3"/>
  <c r="E183" i="2"/>
  <c r="O197" i="2" s="1"/>
  <c r="O198" i="2" s="1"/>
  <c r="G180" i="2"/>
  <c r="D156" i="2"/>
  <c r="F9" i="3" s="1"/>
  <c r="E189" i="2" l="1"/>
  <c r="E191" i="2" s="1"/>
  <c r="E192" i="2" s="1"/>
  <c r="V59" i="3"/>
  <c r="J92" i="3"/>
  <c r="G181" i="2"/>
  <c r="G182" i="2" s="1"/>
  <c r="V57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16" i="3" l="1"/>
  <c r="H102" i="3" s="1"/>
  <c r="F189" i="2"/>
  <c r="F191" i="2" s="1"/>
  <c r="F192" i="2" s="1"/>
  <c r="T60" i="3"/>
  <c r="T61" i="3" s="1"/>
  <c r="T64" i="3" s="1"/>
  <c r="T65" i="3" s="1"/>
  <c r="H93" i="3"/>
  <c r="H95" i="3" s="1"/>
  <c r="H100" i="3" s="1"/>
  <c r="H60" i="3"/>
  <c r="H61" i="3" s="1"/>
  <c r="H64" i="3" s="1"/>
  <c r="H65" i="3" s="1"/>
  <c r="I60" i="3"/>
  <c r="I61" i="3" s="1"/>
  <c r="I64" i="3" s="1"/>
  <c r="I65" i="3" s="1"/>
  <c r="Q60" i="3"/>
  <c r="Q61" i="3" s="1"/>
  <c r="Q64" i="3" s="1"/>
  <c r="Q65" i="3" s="1"/>
  <c r="O60" i="3"/>
  <c r="O61" i="3" s="1"/>
  <c r="O64" i="3" s="1"/>
  <c r="O65" i="3" s="1"/>
  <c r="J60" i="3"/>
  <c r="J61" i="3" s="1"/>
  <c r="J64" i="3" s="1"/>
  <c r="J65" i="3" s="1"/>
  <c r="R60" i="3"/>
  <c r="R61" i="3" s="1"/>
  <c r="R64" i="3" s="1"/>
  <c r="R65" i="3" s="1"/>
  <c r="K60" i="3"/>
  <c r="K61" i="3" s="1"/>
  <c r="K64" i="3" s="1"/>
  <c r="K65" i="3" s="1"/>
  <c r="S60" i="3"/>
  <c r="S61" i="3" s="1"/>
  <c r="S64" i="3" s="1"/>
  <c r="S65" i="3" s="1"/>
  <c r="L60" i="3"/>
  <c r="L61" i="3" s="1"/>
  <c r="L64" i="3" s="1"/>
  <c r="L65" i="3" s="1"/>
  <c r="P60" i="3"/>
  <c r="P61" i="3" s="1"/>
  <c r="P64" i="3" s="1"/>
  <c r="P65" i="3" s="1"/>
  <c r="M60" i="3"/>
  <c r="M61" i="3" s="1"/>
  <c r="M64" i="3" s="1"/>
  <c r="M65" i="3" s="1"/>
  <c r="N60" i="3"/>
  <c r="N61" i="3" s="1"/>
  <c r="N64" i="3" s="1"/>
  <c r="N65" i="3" s="1"/>
  <c r="G183" i="2"/>
  <c r="Q197" i="2" s="1"/>
  <c r="Q198" i="2" s="1"/>
  <c r="G14" i="3"/>
  <c r="G15" i="3"/>
  <c r="F14" i="3"/>
  <c r="F15" i="3"/>
  <c r="E202" i="2"/>
  <c r="C198" i="2"/>
  <c r="D202" i="2"/>
  <c r="H70" i="3" l="1"/>
  <c r="H74" i="3" s="1"/>
  <c r="H82" i="3" s="1"/>
  <c r="H107" i="3" s="1"/>
  <c r="E7" i="4"/>
  <c r="E11" i="4" s="1"/>
  <c r="G16" i="3"/>
  <c r="J102" i="3" s="1"/>
  <c r="F16" i="3"/>
  <c r="I102" i="3" s="1"/>
  <c r="V60" i="3"/>
  <c r="V61" i="3" s="1"/>
  <c r="V64" i="3" s="1"/>
  <c r="V65" i="3" s="1"/>
  <c r="J93" i="3"/>
  <c r="J95" i="3" s="1"/>
  <c r="J100" i="3" s="1"/>
  <c r="U60" i="3"/>
  <c r="U61" i="3" s="1"/>
  <c r="U64" i="3" s="1"/>
  <c r="U65" i="3" s="1"/>
  <c r="I93" i="3"/>
  <c r="I95" i="3" s="1"/>
  <c r="I100" i="3" s="1"/>
  <c r="E17" i="3"/>
  <c r="F202" i="2"/>
  <c r="C203" i="2"/>
  <c r="F203" i="2" s="1"/>
  <c r="J70" i="3" l="1"/>
  <c r="J74" i="3" s="1"/>
  <c r="J82" i="3" s="1"/>
  <c r="J107" i="3" s="1"/>
  <c r="G7" i="4"/>
  <c r="G11" i="4" s="1"/>
  <c r="I70" i="3"/>
  <c r="I74" i="3" s="1"/>
  <c r="I82" i="3" s="1"/>
  <c r="I107" i="3" s="1"/>
  <c r="F7" i="4"/>
  <c r="F11" i="4" s="1"/>
  <c r="T62" i="3"/>
  <c r="H104" i="3"/>
  <c r="H105" i="3" s="1"/>
  <c r="H62" i="3"/>
  <c r="I62" i="3"/>
  <c r="Q62" i="3"/>
  <c r="N62" i="3"/>
  <c r="J62" i="3"/>
  <c r="R62" i="3"/>
  <c r="P62" i="3"/>
  <c r="K62" i="3"/>
  <c r="S62" i="3"/>
  <c r="L62" i="3"/>
  <c r="M62" i="3"/>
  <c r="O62" i="3"/>
  <c r="E18" i="3"/>
  <c r="G17" i="3"/>
  <c r="J104" i="3" s="1"/>
  <c r="J105" i="3" s="1"/>
  <c r="J106" i="3" s="1"/>
  <c r="F17" i="3"/>
  <c r="I104" i="3" s="1"/>
  <c r="I105" i="3" s="1"/>
  <c r="I106" i="3" s="1"/>
  <c r="F204" i="2"/>
  <c r="C208" i="2" s="1"/>
  <c r="C209" i="2" s="1"/>
  <c r="G22" i="3" l="1"/>
  <c r="G28" i="3" s="1"/>
  <c r="G65" i="3" s="1"/>
  <c r="G70" i="3" s="1"/>
  <c r="G74" i="3" s="1"/>
  <c r="G82" i="3" s="1"/>
  <c r="G107" i="3" s="1"/>
  <c r="G108" i="3" s="1"/>
  <c r="C2" i="4"/>
  <c r="H108" i="3"/>
  <c r="H106" i="3"/>
  <c r="I108" i="3"/>
  <c r="J108" i="3"/>
  <c r="G18" i="3"/>
  <c r="V62" i="3"/>
  <c r="F18" i="3"/>
  <c r="U62" i="3"/>
  <c r="D207" i="2"/>
  <c r="D209" i="2"/>
  <c r="D206" i="2"/>
  <c r="D208" i="2"/>
  <c r="C18" i="4" l="1"/>
  <c r="C21" i="4"/>
  <c r="D8" i="4"/>
  <c r="D9" i="4"/>
  <c r="C22" i="4" l="1"/>
  <c r="C25" i="4" s="1"/>
  <c r="C26" i="4" s="1"/>
  <c r="C24" i="4"/>
  <c r="D10" i="4"/>
  <c r="D11" i="4" s="1"/>
  <c r="C27" i="4" l="1"/>
  <c r="C19" i="4" s="1"/>
  <c r="B15" i="4"/>
  <c r="C15" i="4" s="1"/>
  <c r="D15" i="4" s="1"/>
  <c r="E15" i="4" s="1"/>
  <c r="C2" i="5" l="1"/>
  <c r="C11" i="5" l="1"/>
  <c r="C10" i="5"/>
  <c r="G5" i="5"/>
  <c r="G6" i="5" s="1"/>
  <c r="H10" i="5" l="1"/>
  <c r="D10" i="5"/>
  <c r="D11" i="5"/>
  <c r="E11" i="5" s="1"/>
  <c r="G11" i="5" l="1"/>
  <c r="H11" i="5" s="1"/>
  <c r="C12" i="5" s="1"/>
  <c r="D12" i="5" l="1"/>
  <c r="E12" i="5" l="1"/>
  <c r="G12" i="5" l="1"/>
  <c r="H12" i="5" s="1"/>
  <c r="C13" i="5" s="1"/>
  <c r="D13" i="5" l="1"/>
  <c r="E13" i="5" l="1"/>
  <c r="G13" i="5" l="1"/>
  <c r="H13" i="5" s="1"/>
  <c r="C14" i="5" s="1"/>
  <c r="D14" i="5" l="1"/>
  <c r="E14" i="5" s="1"/>
  <c r="G14" i="5" l="1"/>
  <c r="H14" i="5" s="1"/>
  <c r="C15" i="5" s="1"/>
  <c r="D15" i="5" l="1"/>
  <c r="E15" i="5" s="1"/>
  <c r="G15" i="5" l="1"/>
  <c r="H15" i="5" s="1"/>
  <c r="C16" i="5" s="1"/>
  <c r="D16" i="5" l="1"/>
  <c r="E16" i="5" s="1"/>
  <c r="G16" i="5" s="1"/>
  <c r="H16" i="5" s="1"/>
  <c r="C17" i="5" s="1"/>
  <c r="E17" i="5" l="1"/>
  <c r="G17" i="5" s="1"/>
  <c r="H17" i="5" s="1"/>
  <c r="C18" i="5" s="1"/>
  <c r="D17" i="5"/>
  <c r="E18" i="5" l="1"/>
  <c r="G18" i="5" s="1"/>
  <c r="H18" i="5" s="1"/>
  <c r="C19" i="5" s="1"/>
  <c r="D18" i="5"/>
  <c r="E19" i="5" l="1"/>
  <c r="G19" i="5" s="1"/>
  <c r="H19" i="5" s="1"/>
  <c r="C20" i="5" s="1"/>
  <c r="D19" i="5"/>
  <c r="D20" i="5" l="1"/>
  <c r="E20" i="5" s="1"/>
  <c r="G20" i="5" s="1"/>
  <c r="H20" i="5" s="1"/>
  <c r="C21" i="5" s="1"/>
  <c r="D21" i="5" l="1"/>
  <c r="D22" i="5" s="1"/>
  <c r="E24" i="5" s="1"/>
  <c r="E21" i="5" l="1"/>
  <c r="G21" i="5" l="1"/>
  <c r="H21" i="5" s="1"/>
  <c r="E22" i="5"/>
</calcChain>
</file>

<file path=xl/sharedStrings.xml><?xml version="1.0" encoding="utf-8"?>
<sst xmlns="http://schemas.openxmlformats.org/spreadsheetml/2006/main" count="683" uniqueCount="476">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</sst>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0" fontId="0" fillId="0" borderId="9" xfId="0" applyBorder="1" applyAlignment="1">
      <alignment horizontal="left"/>
    </xf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10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2" fillId="10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 applyAlignment="1">
      <alignment horizontal="center"/>
    </xf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_financiero_Demanda_Dina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Dinamica"/>
      <sheetName val="Presupuesto de Inversion"/>
      <sheetName val="Analisis Financiero"/>
      <sheetName val="Indicadores Financieros"/>
      <sheetName val="Analisis Prestamo "/>
    </sheetNames>
    <sheetDataSet>
      <sheetData sheetId="0" refreshError="1"/>
      <sheetData sheetId="1" refreshError="1"/>
      <sheetData sheetId="2" refreshError="1"/>
      <sheetData sheetId="3">
        <row r="9">
          <cell r="D9">
            <v>10212776.344385484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C2" zoomScale="60" zoomScaleNormal="60" workbookViewId="0">
      <selection activeCell="C14" sqref="C14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37" t="s">
        <v>0</v>
      </c>
      <c r="B2" s="137"/>
      <c r="C2" s="137"/>
      <c r="D2" s="137"/>
    </row>
    <row r="4" spans="1:19">
      <c r="A4" s="71" t="s">
        <v>215</v>
      </c>
      <c r="C4" s="138" t="s">
        <v>1</v>
      </c>
      <c r="D4" s="138"/>
      <c r="I4" s="2" t="s">
        <v>5</v>
      </c>
      <c r="J4" s="4">
        <v>0.19</v>
      </c>
      <c r="M4" s="141" t="s">
        <v>7</v>
      </c>
      <c r="N4" s="142"/>
      <c r="O4" s="140"/>
      <c r="R4" s="132" t="s">
        <v>10</v>
      </c>
      <c r="S4" s="133"/>
    </row>
    <row r="5" spans="1:19">
      <c r="A5" s="71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39" t="s">
        <v>8</v>
      </c>
      <c r="O5" s="140"/>
      <c r="R5" s="134"/>
      <c r="S5" s="135"/>
    </row>
    <row r="6" spans="1:19">
      <c r="A6" s="71" t="s">
        <v>217</v>
      </c>
      <c r="C6" s="2" t="s">
        <v>3</v>
      </c>
      <c r="D6" s="4">
        <v>0.06</v>
      </c>
      <c r="M6" s="6">
        <v>0.5</v>
      </c>
      <c r="N6" s="139" t="s">
        <v>9</v>
      </c>
      <c r="O6" s="140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31" t="s">
        <v>29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2">
        <v>166</v>
      </c>
      <c r="E13" s="112">
        <v>226</v>
      </c>
      <c r="F13" s="112">
        <v>413</v>
      </c>
      <c r="G13" s="112">
        <v>131</v>
      </c>
      <c r="H13" s="112">
        <v>110</v>
      </c>
      <c r="I13" s="112">
        <v>173</v>
      </c>
      <c r="J13" s="112">
        <v>458</v>
      </c>
      <c r="K13" s="112">
        <v>454</v>
      </c>
      <c r="L13" s="112">
        <v>365</v>
      </c>
      <c r="M13" s="112">
        <v>153</v>
      </c>
      <c r="N13" s="112">
        <v>103</v>
      </c>
      <c r="O13" s="15">
        <v>2180</v>
      </c>
      <c r="P13" s="15">
        <v>4283</v>
      </c>
      <c r="Q13" s="15">
        <v>4641</v>
      </c>
    </row>
    <row r="32" spans="2:24">
      <c r="B32" s="136" t="s">
        <v>48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27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27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27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27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27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27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27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27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27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31" t="s">
        <v>77</v>
      </c>
      <c r="C47" s="131"/>
      <c r="D47" s="131"/>
      <c r="E47" s="131"/>
    </row>
    <row r="48" spans="2:25" ht="27.75" customHeight="1">
      <c r="B48" s="130" t="s">
        <v>68</v>
      </c>
      <c r="C48" s="130"/>
      <c r="D48" s="22" t="s">
        <v>71</v>
      </c>
      <c r="E48" s="23" t="s">
        <v>72</v>
      </c>
      <c r="G48" s="126" t="s">
        <v>73</v>
      </c>
      <c r="H48" s="126"/>
      <c r="J48" s="126" t="s">
        <v>79</v>
      </c>
      <c r="K48" s="126"/>
      <c r="L48" s="126"/>
      <c r="N48" s="30" t="s">
        <v>97</v>
      </c>
      <c r="O48" s="30" t="s">
        <v>98</v>
      </c>
      <c r="Q48" s="129" t="s">
        <v>107</v>
      </c>
      <c r="R48" s="129"/>
      <c r="S48" s="129"/>
      <c r="T48" s="129"/>
      <c r="U48" s="129"/>
      <c r="W48" s="125" t="s">
        <v>114</v>
      </c>
      <c r="X48" s="125"/>
      <c r="Y48" s="125"/>
    </row>
    <row r="49" spans="2:25">
      <c r="B49" s="130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27" t="s">
        <v>101</v>
      </c>
      <c r="R49" s="128" t="s">
        <v>102</v>
      </c>
      <c r="S49" s="128" t="s">
        <v>103</v>
      </c>
      <c r="T49" s="128" t="s">
        <v>106</v>
      </c>
      <c r="U49" s="128"/>
      <c r="W49" s="34" t="s">
        <v>115</v>
      </c>
      <c r="X49" s="34" t="s">
        <v>116</v>
      </c>
      <c r="Y49" s="34" t="s">
        <v>117</v>
      </c>
    </row>
    <row r="50" spans="2:25">
      <c r="B50" s="130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27"/>
      <c r="R50" s="128"/>
      <c r="S50" s="128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30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30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30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30"/>
      <c r="C54" s="2" t="s">
        <v>62</v>
      </c>
      <c r="D54" s="4">
        <v>0.01</v>
      </c>
      <c r="E54" s="72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30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30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30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30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A2:D2"/>
    <mergeCell ref="C4:D4"/>
    <mergeCell ref="N5:O5"/>
    <mergeCell ref="M4:O4"/>
    <mergeCell ref="N6:O6"/>
    <mergeCell ref="R4:S5"/>
    <mergeCell ref="B9:Q9"/>
    <mergeCell ref="B34:B36"/>
    <mergeCell ref="B37:B39"/>
    <mergeCell ref="B32:X32"/>
    <mergeCell ref="B40:B42"/>
    <mergeCell ref="B48:C48"/>
    <mergeCell ref="B49:B54"/>
    <mergeCell ref="B55:B58"/>
    <mergeCell ref="G48:H48"/>
    <mergeCell ref="B47:E47"/>
    <mergeCell ref="W48:Y48"/>
    <mergeCell ref="J48:L48"/>
    <mergeCell ref="Q49:Q50"/>
    <mergeCell ref="R49:R50"/>
    <mergeCell ref="S49:S50"/>
    <mergeCell ref="T49:U49"/>
    <mergeCell ref="Q48:U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124" workbookViewId="0">
      <selection activeCell="E133" sqref="E133"/>
    </sheetView>
  </sheetViews>
  <sheetFormatPr baseColWidth="10" defaultRowHeight="15"/>
  <cols>
    <col min="2" max="2" width="30.85546875" customWidth="1"/>
    <col min="3" max="3" width="16.7109375" customWidth="1"/>
    <col min="4" max="4" width="18.5703125" customWidth="1"/>
    <col min="5" max="5" width="15.5703125" customWidth="1"/>
    <col min="6" max="6" width="22.7109375" customWidth="1"/>
    <col min="7" max="7" width="15.28515625" bestFit="1" customWidth="1"/>
    <col min="8" max="8" width="16.42578125" customWidth="1"/>
    <col min="9" max="9" width="19.140625" customWidth="1"/>
    <col min="10" max="10" width="21.28515625" customWidth="1"/>
    <col min="11" max="11" width="16.28515625" customWidth="1"/>
    <col min="12" max="13" width="14.5703125" bestFit="1" customWidth="1"/>
    <col min="14" max="14" width="16" customWidth="1"/>
    <col min="15" max="15" width="18.140625" customWidth="1"/>
    <col min="16" max="17" width="15.5703125" bestFit="1" customWidth="1"/>
  </cols>
  <sheetData>
    <row r="2" spans="2:12">
      <c r="H2" s="152" t="s">
        <v>147</v>
      </c>
      <c r="I2" s="153"/>
      <c r="J2" s="153"/>
      <c r="K2" s="153"/>
      <c r="L2" s="153"/>
    </row>
    <row r="3" spans="2:12">
      <c r="B3" s="157" t="s">
        <v>128</v>
      </c>
      <c r="C3" s="157"/>
      <c r="D3" s="157"/>
      <c r="E3" s="157"/>
      <c r="F3" s="157"/>
      <c r="H3" s="150" t="s">
        <v>68</v>
      </c>
      <c r="I3" s="150"/>
      <c r="J3" s="150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50" t="s">
        <v>138</v>
      </c>
      <c r="I4" s="150"/>
      <c r="J4" s="150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50" t="s">
        <v>139</v>
      </c>
      <c r="I5" s="150"/>
      <c r="J5" s="150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3"/>
      <c r="E6" s="27"/>
      <c r="F6" s="3"/>
      <c r="H6" s="150" t="s">
        <v>140</v>
      </c>
      <c r="I6" s="150"/>
      <c r="J6" s="150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55" t="s">
        <v>143</v>
      </c>
      <c r="I9" s="155"/>
      <c r="J9" s="155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50" t="s">
        <v>144</v>
      </c>
      <c r="I10" s="150"/>
      <c r="J10" s="150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50" t="s">
        <v>145</v>
      </c>
      <c r="I11" s="150"/>
      <c r="J11" s="150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51" t="s">
        <v>146</v>
      </c>
      <c r="I12" s="151"/>
      <c r="J12" s="151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58" t="s">
        <v>137</v>
      </c>
      <c r="C16" s="159"/>
      <c r="D16" s="159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63" t="s">
        <v>148</v>
      </c>
      <c r="C18" s="163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56" t="s">
        <v>161</v>
      </c>
      <c r="C23" s="156"/>
      <c r="D23" s="156"/>
      <c r="E23" s="156"/>
      <c r="F23" s="156"/>
      <c r="G23" s="156"/>
      <c r="H23" s="156"/>
      <c r="I23" s="156"/>
      <c r="J23" s="156"/>
    </row>
    <row r="24" spans="2:12">
      <c r="B24" s="128" t="s">
        <v>68</v>
      </c>
      <c r="C24" s="128" t="s">
        <v>151</v>
      </c>
      <c r="D24" s="128" t="s">
        <v>125</v>
      </c>
      <c r="E24" s="128" t="s">
        <v>152</v>
      </c>
      <c r="F24" s="128" t="s">
        <v>153</v>
      </c>
      <c r="G24" s="154" t="s">
        <v>155</v>
      </c>
      <c r="H24" s="154"/>
      <c r="I24" s="154"/>
      <c r="J24" s="128" t="s">
        <v>154</v>
      </c>
    </row>
    <row r="25" spans="2:12">
      <c r="B25" s="128"/>
      <c r="C25" s="128"/>
      <c r="D25" s="128"/>
      <c r="E25" s="128"/>
      <c r="F25" s="128"/>
      <c r="G25" s="2" t="s">
        <v>2</v>
      </c>
      <c r="H25" s="2" t="s">
        <v>3</v>
      </c>
      <c r="I25" s="2" t="s">
        <v>43</v>
      </c>
      <c r="J25" s="128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64" t="s">
        <v>158</v>
      </c>
      <c r="C28" s="165"/>
      <c r="D28" s="165"/>
      <c r="E28" s="165"/>
      <c r="F28" s="166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167" t="s">
        <v>159</v>
      </c>
      <c r="C31" s="168"/>
      <c r="D31" s="168"/>
      <c r="E31" s="168"/>
      <c r="F31" s="169"/>
      <c r="G31" s="81">
        <f>G28+G30+G29</f>
        <v>200000</v>
      </c>
      <c r="H31" s="81">
        <f t="shared" ref="H31:I31" si="2">H28+H30+H29</f>
        <v>200000</v>
      </c>
      <c r="I31" s="81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156" t="s">
        <v>167</v>
      </c>
      <c r="C33" s="156"/>
      <c r="D33" s="156"/>
      <c r="E33" s="156"/>
      <c r="F33" s="156"/>
      <c r="G33" s="156"/>
    </row>
    <row r="34" spans="2:7">
      <c r="B34" s="128" t="s">
        <v>68</v>
      </c>
      <c r="C34" s="128" t="s">
        <v>164</v>
      </c>
      <c r="D34" s="128" t="s">
        <v>165</v>
      </c>
      <c r="E34" s="128" t="s">
        <v>166</v>
      </c>
      <c r="F34" s="128"/>
      <c r="G34" s="128"/>
    </row>
    <row r="35" spans="2:7">
      <c r="B35" s="128"/>
      <c r="C35" s="128"/>
      <c r="D35" s="128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156" t="s">
        <v>171</v>
      </c>
      <c r="C38" s="156"/>
      <c r="D38" s="156"/>
      <c r="E38" s="156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156" t="s">
        <v>175</v>
      </c>
      <c r="C44" s="156"/>
      <c r="D44" s="156"/>
      <c r="F44" s="157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57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157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148" t="s">
        <v>184</v>
      </c>
      <c r="C52" s="148"/>
      <c r="D52" s="148"/>
      <c r="E52" s="148"/>
      <c r="F52" s="148"/>
      <c r="G52" s="148"/>
    </row>
    <row r="53" spans="2:7">
      <c r="B53" s="170" t="s">
        <v>68</v>
      </c>
      <c r="C53" s="170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38" t="s">
        <v>178</v>
      </c>
      <c r="C54" s="138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38" t="s">
        <v>179</v>
      </c>
      <c r="C55" s="138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38" t="s">
        <v>180</v>
      </c>
      <c r="C56" s="138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38" t="s">
        <v>181</v>
      </c>
      <c r="C57" s="138"/>
      <c r="D57" s="18">
        <v>0</v>
      </c>
      <c r="E57" s="18">
        <v>0</v>
      </c>
      <c r="F57" s="18">
        <v>0</v>
      </c>
      <c r="G57" s="18">
        <v>0</v>
      </c>
    </row>
    <row r="58" spans="2:7">
      <c r="B58" s="138" t="s">
        <v>182</v>
      </c>
      <c r="C58" s="138"/>
      <c r="D58" s="18">
        <v>0</v>
      </c>
      <c r="E58" s="18">
        <v>0</v>
      </c>
      <c r="F58" s="18">
        <v>0</v>
      </c>
      <c r="G58" s="18">
        <v>0</v>
      </c>
    </row>
    <row r="59" spans="2:7">
      <c r="B59" s="138" t="s">
        <v>183</v>
      </c>
      <c r="C59" s="138"/>
      <c r="D59" s="18">
        <v>0</v>
      </c>
      <c r="E59" s="18">
        <v>0</v>
      </c>
      <c r="F59" s="18">
        <v>0</v>
      </c>
      <c r="G59" s="18">
        <v>0</v>
      </c>
    </row>
    <row r="60" spans="2:7">
      <c r="B60" s="147" t="s">
        <v>185</v>
      </c>
      <c r="C60" s="147"/>
      <c r="D60" s="147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62" t="s">
        <v>200</v>
      </c>
      <c r="C62" s="162"/>
      <c r="D62" s="162"/>
      <c r="E62" s="162"/>
      <c r="F62" s="162"/>
      <c r="G62" s="162"/>
    </row>
    <row r="63" spans="2:7">
      <c r="B63" s="130" t="s">
        <v>68</v>
      </c>
      <c r="C63" s="130"/>
      <c r="D63" s="130"/>
      <c r="E63" s="22" t="s">
        <v>2</v>
      </c>
      <c r="F63" s="22" t="s">
        <v>3</v>
      </c>
      <c r="G63" s="22" t="s">
        <v>43</v>
      </c>
    </row>
    <row r="64" spans="2:7">
      <c r="B64" s="149" t="s">
        <v>194</v>
      </c>
      <c r="C64" s="138" t="s">
        <v>186</v>
      </c>
      <c r="D64" s="138"/>
      <c r="E64" s="19">
        <f>0</f>
        <v>0</v>
      </c>
      <c r="F64" s="19">
        <f>0</f>
        <v>0</v>
      </c>
      <c r="G64" s="19">
        <f>0</f>
        <v>0</v>
      </c>
    </row>
    <row r="65" spans="2:8">
      <c r="B65" s="149"/>
      <c r="C65" s="138" t="s">
        <v>198</v>
      </c>
      <c r="D65" s="138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49"/>
      <c r="C66" s="138" t="s">
        <v>197</v>
      </c>
      <c r="D66" s="138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49"/>
      <c r="C67" s="138" t="s">
        <v>199</v>
      </c>
      <c r="D67" s="138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49"/>
      <c r="C68" s="138" t="s">
        <v>187</v>
      </c>
      <c r="D68" s="138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49"/>
      <c r="C69" s="144" t="s">
        <v>188</v>
      </c>
      <c r="D69" s="144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149" t="s">
        <v>195</v>
      </c>
      <c r="C70" s="138" t="s">
        <v>189</v>
      </c>
      <c r="D70" s="138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49"/>
      <c r="C71" s="138" t="s">
        <v>190</v>
      </c>
      <c r="D71" s="138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49"/>
      <c r="C72" s="138" t="s">
        <v>191</v>
      </c>
      <c r="D72" s="138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49"/>
      <c r="C73" s="138" t="s">
        <v>192</v>
      </c>
      <c r="D73" s="138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49"/>
      <c r="C74" s="144" t="s">
        <v>193</v>
      </c>
      <c r="D74" s="144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147" t="s">
        <v>196</v>
      </c>
      <c r="C75" s="147"/>
      <c r="D75" s="147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144" t="s">
        <v>202</v>
      </c>
      <c r="C78" s="144"/>
      <c r="D78" s="144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145" t="s">
        <v>203</v>
      </c>
      <c r="C81" s="145"/>
      <c r="D81" s="4">
        <v>0.35</v>
      </c>
      <c r="F81" s="145" t="s">
        <v>206</v>
      </c>
      <c r="G81" s="145"/>
    </row>
    <row r="82" spans="2:7">
      <c r="B82" s="145" t="s">
        <v>204</v>
      </c>
      <c r="C82" s="145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146" t="s">
        <v>205</v>
      </c>
      <c r="C83" s="146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147" t="s">
        <v>211</v>
      </c>
      <c r="C89" s="147"/>
      <c r="D89" s="147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43" t="s">
        <v>212</v>
      </c>
      <c r="C92" s="143"/>
      <c r="D92" s="69">
        <f>+(D83-E89)/D83</f>
        <v>5.9219259259259402E-2</v>
      </c>
    </row>
    <row r="93" spans="2:7">
      <c r="B93" s="143" t="s">
        <v>213</v>
      </c>
      <c r="C93" s="143"/>
      <c r="D93" s="70">
        <f>E89*D92</f>
        <v>237.82829559277377</v>
      </c>
    </row>
    <row r="95" spans="2:7">
      <c r="B95" s="160" t="s">
        <v>214</v>
      </c>
      <c r="C95" s="160"/>
      <c r="D95" s="160"/>
      <c r="E95" s="160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74">
        <f>'Demanda Dinamica'!V43</f>
        <v>45334530</v>
      </c>
      <c r="D97" s="74">
        <f>'Demanda Dinamica'!W43</f>
        <v>48054601.800000004</v>
      </c>
      <c r="E97" s="74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5">
        <f>SUM(C97:C99)</f>
        <v>91037540</v>
      </c>
      <c r="D100" s="75">
        <f t="shared" ref="D100:E100" si="10">SUM(D97:D99)</f>
        <v>96499792.399999991</v>
      </c>
      <c r="E100" s="75">
        <f t="shared" si="10"/>
        <v>99862622.43900001</v>
      </c>
    </row>
    <row r="102" spans="2:7">
      <c r="B102" s="76"/>
    </row>
    <row r="103" spans="2:7">
      <c r="B103" s="161" t="s">
        <v>226</v>
      </c>
      <c r="C103" s="161"/>
      <c r="D103" s="161"/>
      <c r="E103" s="161"/>
      <c r="F103" s="161"/>
      <c r="G103" s="161"/>
    </row>
    <row r="104" spans="2:7">
      <c r="B104" s="130" t="s">
        <v>68</v>
      </c>
      <c r="C104" s="130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55" t="s">
        <v>227</v>
      </c>
      <c r="C105" s="155"/>
      <c r="D105" s="79">
        <f>'Demanda Dinamica'!I36</f>
        <v>2180290</v>
      </c>
      <c r="E105" s="79">
        <f>'Demanda Dinamica'!V36</f>
        <v>16262030</v>
      </c>
      <c r="F105" s="79">
        <f>'Demanda Dinamica'!W36</f>
        <v>17237751.800000001</v>
      </c>
      <c r="G105" s="79">
        <f>'Demanda Dinamica'!X36</f>
        <v>18358205.667000003</v>
      </c>
    </row>
    <row r="106" spans="2:7">
      <c r="B106" s="155" t="s">
        <v>178</v>
      </c>
      <c r="C106" s="155"/>
      <c r="D106" s="79">
        <f>E16</f>
        <v>4848000</v>
      </c>
      <c r="E106" s="80">
        <f>D106*1%</f>
        <v>48480</v>
      </c>
      <c r="F106" s="79">
        <f>E106*(1+'Demanda Dinamica'!$D$6)</f>
        <v>51388.800000000003</v>
      </c>
      <c r="G106" s="79">
        <f>F106*(1+'Demanda Dinamica'!$D$7)</f>
        <v>54729.072</v>
      </c>
    </row>
    <row r="107" spans="2:7">
      <c r="B107" s="155" t="s">
        <v>228</v>
      </c>
      <c r="C107" s="155"/>
      <c r="D107" s="79">
        <f>D55</f>
        <v>0</v>
      </c>
      <c r="E107" s="79">
        <f t="shared" ref="E107:G107" si="11">E55</f>
        <v>0</v>
      </c>
      <c r="F107" s="79">
        <f t="shared" si="11"/>
        <v>0</v>
      </c>
      <c r="G107" s="79">
        <f t="shared" si="11"/>
        <v>0</v>
      </c>
    </row>
    <row r="108" spans="2:7">
      <c r="B108" s="155" t="s">
        <v>229</v>
      </c>
      <c r="C108" s="155"/>
      <c r="D108" s="79">
        <f>D56</f>
        <v>10000</v>
      </c>
      <c r="E108" s="79">
        <f t="shared" ref="E108:G108" si="12">E56</f>
        <v>120000</v>
      </c>
      <c r="F108" s="79">
        <f t="shared" si="12"/>
        <v>127200</v>
      </c>
      <c r="G108" s="79">
        <f t="shared" si="12"/>
        <v>135468</v>
      </c>
    </row>
    <row r="109" spans="2:7">
      <c r="B109" s="155" t="s">
        <v>230</v>
      </c>
      <c r="C109" s="155"/>
      <c r="D109" s="79">
        <f>D57</f>
        <v>0</v>
      </c>
      <c r="E109" s="79">
        <f t="shared" ref="E109:G109" si="13">E57</f>
        <v>0</v>
      </c>
      <c r="F109" s="79">
        <f t="shared" si="13"/>
        <v>0</v>
      </c>
      <c r="G109" s="79">
        <f t="shared" si="13"/>
        <v>0</v>
      </c>
    </row>
    <row r="110" spans="2:7">
      <c r="B110" s="155" t="s">
        <v>231</v>
      </c>
      <c r="C110" s="155"/>
      <c r="D110" s="79"/>
      <c r="E110" s="79">
        <f>G31</f>
        <v>200000</v>
      </c>
      <c r="F110" s="79">
        <f t="shared" ref="F110:G110" si="14">H31</f>
        <v>200000</v>
      </c>
      <c r="G110" s="79">
        <f t="shared" si="14"/>
        <v>200000</v>
      </c>
    </row>
    <row r="111" spans="2:7">
      <c r="B111" s="155" t="s">
        <v>232</v>
      </c>
      <c r="C111" s="155"/>
      <c r="D111" s="79"/>
      <c r="E111" s="79">
        <f>G31</f>
        <v>200000</v>
      </c>
      <c r="F111" s="79">
        <f t="shared" ref="F111:G111" si="15">H31</f>
        <v>200000</v>
      </c>
      <c r="G111" s="79">
        <f t="shared" si="15"/>
        <v>200000</v>
      </c>
    </row>
    <row r="112" spans="2:7">
      <c r="B112" s="155" t="s">
        <v>233</v>
      </c>
      <c r="C112" s="155"/>
      <c r="D112" s="79"/>
      <c r="E112" s="79">
        <f>E16/3</f>
        <v>1616000</v>
      </c>
      <c r="F112" s="79">
        <f>E112</f>
        <v>1616000</v>
      </c>
      <c r="G112" s="79">
        <f>F112</f>
        <v>1616000</v>
      </c>
    </row>
    <row r="113" spans="1:12">
      <c r="B113" s="155" t="s">
        <v>234</v>
      </c>
      <c r="C113" s="155"/>
      <c r="D113" s="79"/>
      <c r="E113" s="79">
        <v>0</v>
      </c>
      <c r="F113" s="79">
        <v>80000</v>
      </c>
      <c r="G113" s="79">
        <f>F113+(F113*'Demanda Dinamica'!D7)</f>
        <v>85200</v>
      </c>
    </row>
    <row r="114" spans="1:12">
      <c r="B114" s="155" t="s">
        <v>235</v>
      </c>
      <c r="C114" s="155"/>
      <c r="D114" s="79"/>
      <c r="E114" s="79">
        <v>0</v>
      </c>
      <c r="F114" s="79">
        <v>0</v>
      </c>
      <c r="G114" s="79">
        <v>0</v>
      </c>
    </row>
    <row r="115" spans="1:12">
      <c r="B115" s="167" t="s">
        <v>237</v>
      </c>
      <c r="C115" s="168"/>
      <c r="D115" s="169"/>
      <c r="E115" s="83">
        <f>SUM(E105:E114)</f>
        <v>18446510</v>
      </c>
      <c r="F115" s="83">
        <f t="shared" ref="F115:G115" si="16">SUM(F105:F114)</f>
        <v>19512340.600000001</v>
      </c>
      <c r="G115" s="83">
        <f t="shared" si="16"/>
        <v>20649602.739000004</v>
      </c>
    </row>
    <row r="117" spans="1:12">
      <c r="B117" s="171" t="s">
        <v>238</v>
      </c>
      <c r="C117" s="171"/>
      <c r="D117" s="171"/>
      <c r="E117" s="171"/>
    </row>
    <row r="118" spans="1:12">
      <c r="A118" s="84"/>
      <c r="B118" s="85" t="s">
        <v>68</v>
      </c>
      <c r="C118" s="85" t="s">
        <v>241</v>
      </c>
      <c r="D118" s="85" t="s">
        <v>242</v>
      </c>
      <c r="E118" s="85" t="s">
        <v>243</v>
      </c>
      <c r="F118" s="84"/>
    </row>
    <row r="119" spans="1:12">
      <c r="B119" s="2" t="s">
        <v>239</v>
      </c>
      <c r="C119" s="77">
        <f>E115</f>
        <v>18446510</v>
      </c>
      <c r="D119" s="77">
        <f t="shared" ref="D119:E119" si="17">F115</f>
        <v>19512340.600000001</v>
      </c>
      <c r="E119" s="77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6" t="s">
        <v>244</v>
      </c>
      <c r="C121" s="87">
        <f>SUM(C119:C120)</f>
        <v>63981040</v>
      </c>
      <c r="D121" s="87">
        <f t="shared" ref="D121:E121" si="19">SUM(D119:D120)</f>
        <v>67778942.400000006</v>
      </c>
      <c r="E121" s="87">
        <f t="shared" si="19"/>
        <v>69143877.18900001</v>
      </c>
    </row>
    <row r="123" spans="1:12">
      <c r="B123" s="88"/>
      <c r="C123" s="89" t="s">
        <v>245</v>
      </c>
      <c r="D123" s="89" t="s">
        <v>246</v>
      </c>
      <c r="E123" s="89" t="s">
        <v>243</v>
      </c>
    </row>
    <row r="124" spans="1:12">
      <c r="B124" s="2" t="s">
        <v>247</v>
      </c>
      <c r="C124" s="77">
        <f>C121/'Demanda Dinamica'!O13</f>
        <v>29349.100917431191</v>
      </c>
      <c r="D124" s="77">
        <f>D121/'Demanda Dinamica'!P13</f>
        <v>15825.109129115108</v>
      </c>
      <c r="E124" s="77">
        <f>E121/'Demanda Dinamica'!Q13</f>
        <v>14898.486789269557</v>
      </c>
    </row>
    <row r="125" spans="1:12">
      <c r="B125" s="2" t="s">
        <v>248</v>
      </c>
      <c r="C125" s="77">
        <f>C124+(C124*1.25)</f>
        <v>66035.477064220177</v>
      </c>
      <c r="D125" s="77">
        <f t="shared" ref="D125:E125" si="20">D124+(D124*1.25)</f>
        <v>35606.495540508993</v>
      </c>
      <c r="E125" s="77">
        <f t="shared" si="20"/>
        <v>33521.595275856504</v>
      </c>
    </row>
    <row r="127" spans="1:12">
      <c r="B127" s="172" t="s">
        <v>264</v>
      </c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</row>
    <row r="128" spans="1:12">
      <c r="B128" s="128" t="s">
        <v>249</v>
      </c>
      <c r="C128" s="128"/>
      <c r="D128" s="128" t="s">
        <v>256</v>
      </c>
      <c r="E128" s="128" t="s">
        <v>259</v>
      </c>
      <c r="F128" s="128"/>
      <c r="G128" s="128"/>
      <c r="H128" s="127" t="s">
        <v>260</v>
      </c>
      <c r="I128" s="127" t="s">
        <v>261</v>
      </c>
      <c r="J128" s="127" t="s">
        <v>262</v>
      </c>
      <c r="K128" s="127" t="s">
        <v>263</v>
      </c>
      <c r="L128" s="127"/>
    </row>
    <row r="129" spans="2:20">
      <c r="B129" s="128"/>
      <c r="C129" s="128"/>
      <c r="D129" s="128"/>
      <c r="E129" s="61" t="s">
        <v>125</v>
      </c>
      <c r="F129" s="61" t="s">
        <v>257</v>
      </c>
      <c r="G129" s="61" t="s">
        <v>258</v>
      </c>
      <c r="H129" s="127"/>
      <c r="I129" s="127"/>
      <c r="J129" s="127"/>
      <c r="K129" s="127"/>
      <c r="L129" s="127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>'Demanda Dinamica'!$O$13/2</f>
        <v>1090</v>
      </c>
      <c r="H131" s="77">
        <f>C125-(C125/4)</f>
        <v>49526.607798165132</v>
      </c>
      <c r="I131" s="77">
        <f>D125-(D125/4)</f>
        <v>26704.871655381743</v>
      </c>
      <c r="J131" s="77">
        <f>E125-(E125/4)</f>
        <v>25141.19645689238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>'Demanda Dinamica'!$O$13/2</f>
        <v>1090</v>
      </c>
      <c r="H132" s="77">
        <f>C125</f>
        <v>66035.477064220177</v>
      </c>
      <c r="I132" s="77">
        <f>D125</f>
        <v>35606.495540508993</v>
      </c>
      <c r="J132" s="77">
        <f>E125</f>
        <v>33521.595275856504</v>
      </c>
      <c r="K132" s="2"/>
      <c r="L132" s="2"/>
    </row>
    <row r="133" spans="2:20">
      <c r="D133" s="90">
        <f>SUM(D130:D132)</f>
        <v>1</v>
      </c>
    </row>
    <row r="135" spans="2:20">
      <c r="B135" s="172" t="s">
        <v>282</v>
      </c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3">
        <f>$H$131*('Demanda Dinamica'!C13/2)</f>
        <v>2080117.5275229355</v>
      </c>
      <c r="D137" s="93">
        <f>$H$131*('Demanda Dinamica'!D13/2)</f>
        <v>4110708.4472477059</v>
      </c>
      <c r="E137" s="93">
        <f>$H$131*('Demanda Dinamica'!E13/2)</f>
        <v>5596506.6811926598</v>
      </c>
      <c r="F137" s="93">
        <f>$H$131*('Demanda Dinamica'!F13/2)</f>
        <v>10227244.510321099</v>
      </c>
      <c r="G137" s="93">
        <f>$H$131*('Demanda Dinamica'!G13/2)</f>
        <v>3243992.810779816</v>
      </c>
      <c r="H137" s="93">
        <f>$H$131*('Demanda Dinamica'!H13/2)</f>
        <v>2723963.4288990824</v>
      </c>
      <c r="I137" s="93">
        <f>$H$131*('Demanda Dinamica'!I13/2)</f>
        <v>4284051.5745412838</v>
      </c>
      <c r="J137" s="93">
        <f>$H$131*('Demanda Dinamica'!J13/2)</f>
        <v>11341593.185779816</v>
      </c>
      <c r="K137" s="93">
        <f>$H$131*('Demanda Dinamica'!K13/2)</f>
        <v>11242539.970183484</v>
      </c>
      <c r="L137" s="93">
        <f>$H$131*('Demanda Dinamica'!L13/2)</f>
        <v>9038605.9231651369</v>
      </c>
      <c r="M137" s="93">
        <f>$H$131*('Demanda Dinamica'!M13/2)</f>
        <v>3788785.4965596325</v>
      </c>
      <c r="N137" s="93">
        <f>$H$131*('Demanda Dinamica'!N13/2)</f>
        <v>2550620.3016055045</v>
      </c>
      <c r="O137" s="93">
        <f t="shared" ref="O137:O144" si="21">SUM(C137:N137)</f>
        <v>70228729.857798159</v>
      </c>
      <c r="P137" s="93">
        <f>O137+(O137*'Demanda Dinamica'!$S$6)</f>
        <v>75847028.246422008</v>
      </c>
      <c r="Q137" s="93">
        <f>P137+(P137*'Demanda Dinamica'!$S$7)</f>
        <v>87224082.48338531</v>
      </c>
    </row>
    <row r="138" spans="2:20" ht="15.75" thickBot="1">
      <c r="B138" s="2" t="s">
        <v>273</v>
      </c>
      <c r="C138" s="93">
        <f>$H$132*('Demanda Dinamica'!C13/2)</f>
        <v>2773490.0366972475</v>
      </c>
      <c r="D138" s="93">
        <f>$H$132*('Demanda Dinamica'!D13/2)</f>
        <v>5480944.5963302748</v>
      </c>
      <c r="E138" s="93">
        <f>$H$132*('Demanda Dinamica'!E13/2)</f>
        <v>7462008.90825688</v>
      </c>
      <c r="F138" s="93">
        <f>$H$132*('Demanda Dinamica'!F13/2)</f>
        <v>13636326.013761466</v>
      </c>
      <c r="G138" s="93">
        <f>$H$132*('Demanda Dinamica'!G13/2)</f>
        <v>4325323.7477064217</v>
      </c>
      <c r="H138" s="93">
        <f>$H$132*('Demanda Dinamica'!H13/2)</f>
        <v>3631951.2385321097</v>
      </c>
      <c r="I138" s="93">
        <f>$H$132*('Demanda Dinamica'!I13/2)</f>
        <v>5712068.7660550456</v>
      </c>
      <c r="J138" s="93">
        <f>$H$132*('Demanda Dinamica'!J13/2)</f>
        <v>15122124.247706421</v>
      </c>
      <c r="K138" s="93">
        <f>$H$132*('Demanda Dinamica'!K13/2)</f>
        <v>14990053.29357798</v>
      </c>
      <c r="L138" s="93">
        <f>$H$132*('Demanda Dinamica'!L13/2)</f>
        <v>12051474.564220183</v>
      </c>
      <c r="M138" s="93">
        <f>$H$132*('Demanda Dinamica'!M13/2)</f>
        <v>5051713.9954128433</v>
      </c>
      <c r="N138" s="93">
        <f>$H$132*('Demanda Dinamica'!N13/2)</f>
        <v>3400827.0688073393</v>
      </c>
      <c r="O138" s="93">
        <f t="shared" si="21"/>
        <v>93638306.477064207</v>
      </c>
      <c r="P138" s="93">
        <f>O138+(O138*'Demanda Dinamica'!$S$6)</f>
        <v>101129370.99522935</v>
      </c>
      <c r="Q138" s="93">
        <f>P138+(P138*'Demanda Dinamica'!$S$7)</f>
        <v>116298776.64451376</v>
      </c>
    </row>
    <row r="139" spans="2:20" ht="15.75" thickBot="1">
      <c r="B139" s="22" t="s">
        <v>274</v>
      </c>
      <c r="C139" s="94">
        <f>SUM(C137:C138)</f>
        <v>4853607.5642201826</v>
      </c>
      <c r="D139" s="94">
        <f t="shared" ref="D139:L139" si="22">SUM(D137:D138)</f>
        <v>9591653.0435779803</v>
      </c>
      <c r="E139" s="94">
        <f t="shared" si="22"/>
        <v>13058515.58944954</v>
      </c>
      <c r="F139" s="94">
        <f t="shared" si="22"/>
        <v>23863570.524082564</v>
      </c>
      <c r="G139" s="94">
        <f t="shared" si="22"/>
        <v>7569316.5584862381</v>
      </c>
      <c r="H139" s="94">
        <f t="shared" si="22"/>
        <v>6355914.6674311925</v>
      </c>
      <c r="I139" s="94">
        <f t="shared" si="22"/>
        <v>9996120.3405963294</v>
      </c>
      <c r="J139" s="94">
        <f t="shared" si="22"/>
        <v>26463717.433486238</v>
      </c>
      <c r="K139" s="94">
        <f t="shared" si="22"/>
        <v>26232593.263761465</v>
      </c>
      <c r="L139" s="94">
        <f t="shared" si="22"/>
        <v>21090080.487385318</v>
      </c>
      <c r="M139" s="94">
        <f t="shared" ref="M139" si="23">SUM(M137:M138)</f>
        <v>8840499.4919724762</v>
      </c>
      <c r="N139" s="94">
        <f t="shared" ref="N139" si="24">SUM(N137:N138)</f>
        <v>5951447.3704128433</v>
      </c>
      <c r="O139" s="94">
        <f t="shared" si="21"/>
        <v>163867036.33486238</v>
      </c>
      <c r="P139" s="94">
        <f>O139+(O139*'Demanda Dinamica'!$S$6)</f>
        <v>176976399.24165136</v>
      </c>
      <c r="Q139" s="94">
        <f>P139+(P139*'Demanda Dinamica'!$S$7)</f>
        <v>203522859.12789905</v>
      </c>
      <c r="S139" s="91" t="s">
        <v>271</v>
      </c>
      <c r="T139" s="92">
        <v>0.15</v>
      </c>
    </row>
    <row r="140" spans="2:20">
      <c r="B140" s="2" t="s">
        <v>5</v>
      </c>
      <c r="C140" s="93">
        <f>C139*0.19</f>
        <v>922185.43720183475</v>
      </c>
      <c r="D140" s="93">
        <f t="shared" ref="D140:N140" si="25">D139*0.19</f>
        <v>1822414.0782798163</v>
      </c>
      <c r="E140" s="93">
        <f t="shared" si="25"/>
        <v>2481117.9619954126</v>
      </c>
      <c r="F140" s="93">
        <f t="shared" si="25"/>
        <v>4534078.399575687</v>
      </c>
      <c r="G140" s="93">
        <f t="shared" si="25"/>
        <v>1438170.1461123852</v>
      </c>
      <c r="H140" s="93">
        <f t="shared" si="25"/>
        <v>1207623.7868119266</v>
      </c>
      <c r="I140" s="93">
        <f t="shared" si="25"/>
        <v>1899262.8647133026</v>
      </c>
      <c r="J140" s="93">
        <f t="shared" si="25"/>
        <v>5028106.312362385</v>
      </c>
      <c r="K140" s="93">
        <f t="shared" si="25"/>
        <v>4984192.7201146781</v>
      </c>
      <c r="L140" s="93">
        <f t="shared" si="25"/>
        <v>4007115.2926032105</v>
      </c>
      <c r="M140" s="93">
        <f t="shared" si="25"/>
        <v>1679694.9034747705</v>
      </c>
      <c r="N140" s="93">
        <f t="shared" si="25"/>
        <v>1130775.0003784401</v>
      </c>
      <c r="O140" s="93">
        <f t="shared" si="21"/>
        <v>31134736.903623849</v>
      </c>
      <c r="P140" s="93">
        <f>O140+(O140*'Demanda Dinamica'!$S$6)</f>
        <v>33625515.855913758</v>
      </c>
      <c r="Q140" s="93">
        <f>P140+(P140*'Demanda Dinamica'!$S$7)</f>
        <v>38669343.234300822</v>
      </c>
    </row>
    <row r="141" spans="2:20">
      <c r="B141" s="2" t="s">
        <v>275</v>
      </c>
      <c r="C141" s="93">
        <f>C140*0.15</f>
        <v>138327.8155802752</v>
      </c>
      <c r="D141" s="93">
        <f t="shared" ref="D141:J141" si="26">D140*0.15</f>
        <v>273362.11174197245</v>
      </c>
      <c r="E141" s="93">
        <f t="shared" si="26"/>
        <v>372167.6942993119</v>
      </c>
      <c r="F141" s="93">
        <f t="shared" si="26"/>
        <v>680111.75993635308</v>
      </c>
      <c r="G141" s="93">
        <f t="shared" si="26"/>
        <v>215725.52191685778</v>
      </c>
      <c r="H141" s="93">
        <f t="shared" si="26"/>
        <v>181143.56802178899</v>
      </c>
      <c r="I141" s="93">
        <f t="shared" si="26"/>
        <v>284889.42970699538</v>
      </c>
      <c r="J141" s="93">
        <f t="shared" si="26"/>
        <v>754215.94685435772</v>
      </c>
      <c r="K141" s="93">
        <f t="shared" ref="K141" si="27">K140*0.15</f>
        <v>747628.9080172017</v>
      </c>
      <c r="L141" s="93">
        <f t="shared" ref="L141" si="28">L140*0.15</f>
        <v>601067.29389048158</v>
      </c>
      <c r="M141" s="93">
        <f t="shared" ref="M141" si="29">M140*0.15</f>
        <v>251954.23552121557</v>
      </c>
      <c r="N141" s="93">
        <f t="shared" ref="N141" si="30">N140*0.15</f>
        <v>169616.250056766</v>
      </c>
      <c r="O141" s="93">
        <f t="shared" si="21"/>
        <v>4670210.5355435777</v>
      </c>
      <c r="P141" s="93">
        <f>O141+(O141*'Demanda Dinamica'!$S$6)</f>
        <v>5043827.3783870637</v>
      </c>
      <c r="Q141" s="93">
        <f>P141+(P141*'Demanda Dinamica'!$S$7)</f>
        <v>5800401.4851451237</v>
      </c>
    </row>
    <row r="142" spans="2:20">
      <c r="B142" s="2" t="s">
        <v>276</v>
      </c>
      <c r="C142" s="93">
        <f>C139+C140-C141</f>
        <v>5637465.1858417429</v>
      </c>
      <c r="D142" s="93">
        <f t="shared" ref="D142:N142" si="31">D139+D140-D141</f>
        <v>11140705.010115823</v>
      </c>
      <c r="E142" s="93">
        <f t="shared" si="31"/>
        <v>15167465.857145639</v>
      </c>
      <c r="F142" s="93">
        <f t="shared" si="31"/>
        <v>27717537.1637219</v>
      </c>
      <c r="G142" s="93">
        <f t="shared" si="31"/>
        <v>8791761.1826817673</v>
      </c>
      <c r="H142" s="93">
        <f t="shared" si="31"/>
        <v>7382394.8862213297</v>
      </c>
      <c r="I142" s="93">
        <f t="shared" si="31"/>
        <v>11610493.775602635</v>
      </c>
      <c r="J142" s="93">
        <f t="shared" si="31"/>
        <v>30737607.798994265</v>
      </c>
      <c r="K142" s="93">
        <f t="shared" si="31"/>
        <v>30469157.075858939</v>
      </c>
      <c r="L142" s="93">
        <f t="shared" si="31"/>
        <v>24496128.486098047</v>
      </c>
      <c r="M142" s="93">
        <f t="shared" si="31"/>
        <v>10268240.159926031</v>
      </c>
      <c r="N142" s="93">
        <f t="shared" si="31"/>
        <v>6912606.1207345175</v>
      </c>
      <c r="O142" s="93">
        <f t="shared" si="21"/>
        <v>190331562.70294264</v>
      </c>
      <c r="P142" s="93">
        <f>O142+(O142*'Demanda Dinamica'!$S$6)</f>
        <v>205558087.71917805</v>
      </c>
      <c r="Q142" s="93">
        <f>P142+(P142*'Demanda Dinamica'!$S$7)</f>
        <v>236391800.87705475</v>
      </c>
    </row>
    <row r="143" spans="2:20">
      <c r="B143" s="2" t="s">
        <v>277</v>
      </c>
      <c r="C143" s="93">
        <f>(C138+(C138*0.19))-(C138*0.19*0.15)</f>
        <v>3221408.6776238531</v>
      </c>
      <c r="D143" s="93">
        <f t="shared" ref="D143:N143" si="32">(D138+(D138*0.19))-(D138*0.19*0.15)</f>
        <v>6366117.1486376151</v>
      </c>
      <c r="E143" s="93">
        <f t="shared" si="32"/>
        <v>8667123.3469403666</v>
      </c>
      <c r="F143" s="93">
        <f t="shared" si="32"/>
        <v>15838592.664983943</v>
      </c>
      <c r="G143" s="93">
        <f t="shared" si="32"/>
        <v>5023863.5329610091</v>
      </c>
      <c r="H143" s="93">
        <f t="shared" si="32"/>
        <v>4218511.3635550449</v>
      </c>
      <c r="I143" s="93">
        <f t="shared" si="32"/>
        <v>6634567.8717729356</v>
      </c>
      <c r="J143" s="93">
        <f t="shared" si="32"/>
        <v>17564347.31371101</v>
      </c>
      <c r="K143" s="93">
        <f t="shared" si="32"/>
        <v>17410946.900490824</v>
      </c>
      <c r="L143" s="93">
        <f t="shared" si="32"/>
        <v>13997787.706341743</v>
      </c>
      <c r="M143" s="93">
        <f t="shared" si="32"/>
        <v>5867565.8056720179</v>
      </c>
      <c r="N143" s="93">
        <f t="shared" si="32"/>
        <v>3950060.6404197244</v>
      </c>
      <c r="O143" s="93">
        <f t="shared" si="21"/>
        <v>108760892.97311008</v>
      </c>
      <c r="P143" s="93">
        <f>O143+(O143*'Demanda Dinamica'!$S$6)</f>
        <v>117461764.41095889</v>
      </c>
      <c r="Q143" s="93">
        <f>P143+(P143*'Demanda Dinamica'!$S$7)</f>
        <v>135081029.07260272</v>
      </c>
    </row>
    <row r="144" spans="2:20">
      <c r="B144" s="2" t="s">
        <v>281</v>
      </c>
      <c r="C144" s="93">
        <f>(C137+(C137*0.19))-(C137*0.19*0.15)</f>
        <v>2416056.5082178898</v>
      </c>
      <c r="D144" s="93">
        <f t="shared" ref="D144:N144" si="33">(D137+(D137*0.19))-(D137*0.19*0.15)</f>
        <v>4774587.8614782104</v>
      </c>
      <c r="E144" s="93">
        <f t="shared" si="33"/>
        <v>6500342.5102052744</v>
      </c>
      <c r="F144" s="93">
        <f t="shared" si="33"/>
        <v>11878944.498737957</v>
      </c>
      <c r="G144" s="93">
        <f t="shared" si="33"/>
        <v>3767897.6497207563</v>
      </c>
      <c r="H144" s="93">
        <f t="shared" si="33"/>
        <v>3163883.5226662839</v>
      </c>
      <c r="I144" s="93">
        <f t="shared" si="33"/>
        <v>4975925.9038297012</v>
      </c>
      <c r="J144" s="93">
        <f t="shared" si="33"/>
        <v>13173260.485283256</v>
      </c>
      <c r="K144" s="93">
        <f t="shared" si="33"/>
        <v>13058210.175368117</v>
      </c>
      <c r="L144" s="93">
        <f t="shared" si="33"/>
        <v>10498340.779756306</v>
      </c>
      <c r="M144" s="93">
        <f t="shared" si="33"/>
        <v>4400674.3542540129</v>
      </c>
      <c r="N144" s="93">
        <f t="shared" si="33"/>
        <v>2962545.4803147931</v>
      </c>
      <c r="O144" s="93">
        <f t="shared" si="21"/>
        <v>81570669.729832545</v>
      </c>
      <c r="P144" s="93">
        <f>O144+(O144*'Demanda Dinamica'!$S$6)</f>
        <v>88096323.30821915</v>
      </c>
      <c r="Q144" s="93">
        <f>P144+(P144*'Demanda Dinamica'!$S$7)</f>
        <v>101310771.80445202</v>
      </c>
    </row>
    <row r="145" spans="2:17">
      <c r="B145" s="2" t="s">
        <v>278</v>
      </c>
      <c r="C145" s="93">
        <f>$H$131*'Demanda Dinamica'!C13/2</f>
        <v>2080117.5275229355</v>
      </c>
      <c r="D145" s="93">
        <f>$H$131*'Demanda Dinamica'!D13/2</f>
        <v>4110708.4472477059</v>
      </c>
      <c r="E145" s="93">
        <f>$H$131*'Demanda Dinamica'!E13/2</f>
        <v>5596506.6811926598</v>
      </c>
      <c r="F145" s="93">
        <f>$H$131*'Demanda Dinamica'!F13/2</f>
        <v>10227244.510321099</v>
      </c>
      <c r="G145" s="93">
        <f>$H$131*'Demanda Dinamica'!G13/2</f>
        <v>3243992.810779816</v>
      </c>
      <c r="H145" s="93">
        <f>$H$131*'Demanda Dinamica'!H13/2</f>
        <v>2723963.4288990824</v>
      </c>
      <c r="I145" s="93">
        <f>$H$131*'Demanda Dinamica'!I13/2</f>
        <v>4284051.5745412838</v>
      </c>
      <c r="J145" s="93">
        <f>$H$131*'Demanda Dinamica'!J13/2</f>
        <v>11341593.185779816</v>
      </c>
      <c r="K145" s="93">
        <f>$H$131*'Demanda Dinamica'!K13/2</f>
        <v>11242539.970183484</v>
      </c>
      <c r="L145" s="93">
        <f>$H$131*'Demanda Dinamica'!L13/2</f>
        <v>9038605.9231651369</v>
      </c>
      <c r="M145" s="93">
        <f>$H$131*'Demanda Dinamica'!M13/2</f>
        <v>3788785.4965596325</v>
      </c>
      <c r="N145" s="93">
        <f>$H$131*'Demanda Dinamica'!N13/2</f>
        <v>2550620.3016055045</v>
      </c>
      <c r="O145" s="93">
        <f t="shared" ref="O145:O147" si="34">SUM(C145:N145)</f>
        <v>70228729.857798159</v>
      </c>
      <c r="P145" s="93">
        <f>O145+(O145*'Demanda Dinamica'!$S$6)</f>
        <v>75847028.246422008</v>
      </c>
      <c r="Q145" s="93">
        <f>P145+(P145*'Demanda Dinamica'!$S$7)</f>
        <v>87224082.48338531</v>
      </c>
    </row>
    <row r="146" spans="2:17">
      <c r="B146" s="2" t="s">
        <v>279</v>
      </c>
      <c r="C146" s="93">
        <f>C143+C144</f>
        <v>5637465.1858417429</v>
      </c>
      <c r="D146" s="93">
        <f t="shared" ref="D146:M146" si="35">D143+D144</f>
        <v>11140705.010115825</v>
      </c>
      <c r="E146" s="93">
        <f t="shared" si="35"/>
        <v>15167465.857145641</v>
      </c>
      <c r="F146" s="93">
        <f t="shared" si="35"/>
        <v>27717537.1637219</v>
      </c>
      <c r="G146" s="93">
        <f t="shared" si="35"/>
        <v>8791761.1826817654</v>
      </c>
      <c r="H146" s="93">
        <f t="shared" si="35"/>
        <v>7382394.8862213288</v>
      </c>
      <c r="I146" s="93">
        <f t="shared" si="35"/>
        <v>11610493.775602637</v>
      </c>
      <c r="J146" s="93">
        <f t="shared" si="35"/>
        <v>30737607.798994265</v>
      </c>
      <c r="K146" s="93">
        <f t="shared" si="35"/>
        <v>30469157.075858943</v>
      </c>
      <c r="L146" s="93">
        <f t="shared" si="35"/>
        <v>24496128.486098051</v>
      </c>
      <c r="M146" s="93">
        <f t="shared" si="35"/>
        <v>10268240.159926031</v>
      </c>
      <c r="N146" s="93">
        <f>N143+N144</f>
        <v>6912606.1207345175</v>
      </c>
      <c r="O146" s="93">
        <f t="shared" si="34"/>
        <v>190331562.70294267</v>
      </c>
      <c r="P146" s="93">
        <f>O146+(O146*'Demanda Dinamica'!$S$6)</f>
        <v>205558087.71917808</v>
      </c>
      <c r="Q146" s="93">
        <f>P146+(P146*'Demanda Dinamica'!$S$7)</f>
        <v>236391800.87705478</v>
      </c>
    </row>
    <row r="147" spans="2:17">
      <c r="B147" s="2" t="s">
        <v>280</v>
      </c>
      <c r="C147" s="40">
        <f>$H$131*('Demanda Dinamica'!C13/2)</f>
        <v>2080117.5275229355</v>
      </c>
      <c r="D147" s="40">
        <f>$H$131*('Demanda Dinamica'!D13/2)</f>
        <v>4110708.4472477059</v>
      </c>
      <c r="E147" s="40">
        <f>$H$131*('Demanda Dinamica'!E13/2)</f>
        <v>5596506.6811926598</v>
      </c>
      <c r="F147" s="40">
        <f>$H$131*('Demanda Dinamica'!F13/2)</f>
        <v>10227244.510321099</v>
      </c>
      <c r="G147" s="40">
        <f>$H$131*('Demanda Dinamica'!G13/2)</f>
        <v>3243992.810779816</v>
      </c>
      <c r="H147" s="40">
        <f>$H$131*('Demanda Dinamica'!H13/2)</f>
        <v>2723963.4288990824</v>
      </c>
      <c r="I147" s="40">
        <f>$H$131*('Demanda Dinamica'!I13/2)</f>
        <v>4284051.5745412838</v>
      </c>
      <c r="J147" s="40">
        <f>$H$131*('Demanda Dinamica'!J13/2)</f>
        <v>11341593.185779816</v>
      </c>
      <c r="K147" s="40">
        <f>$H$131*('Demanda Dinamica'!K13/2)</f>
        <v>11242539.970183484</v>
      </c>
      <c r="L147" s="40">
        <f>$H$131*('Demanda Dinamica'!L13/2)</f>
        <v>9038605.9231651369</v>
      </c>
      <c r="M147" s="40">
        <f>$H$131*('Demanda Dinamica'!M13/2)</f>
        <v>3788785.4965596325</v>
      </c>
      <c r="N147" s="40">
        <f>$H$131*('Demanda Dinamica'!N13/2)</f>
        <v>2550620.3016055045</v>
      </c>
      <c r="O147" s="93">
        <f t="shared" si="34"/>
        <v>70228729.857798159</v>
      </c>
      <c r="P147" s="93">
        <f>O147+(O147*'Demanda Dinamica'!$S$6)</f>
        <v>75847028.246422008</v>
      </c>
      <c r="Q147" s="93">
        <f>P147+(P147*'Demanda Dinamica'!$S$7)</f>
        <v>87224082.48338531</v>
      </c>
    </row>
    <row r="149" spans="2:17">
      <c r="B149" s="173" t="s">
        <v>283</v>
      </c>
      <c r="C149" s="173"/>
      <c r="D149" s="173"/>
      <c r="E149" s="173"/>
      <c r="G149" s="174" t="s">
        <v>2</v>
      </c>
      <c r="H149" s="174"/>
      <c r="I149" s="174"/>
      <c r="J149" s="174"/>
      <c r="K149" s="174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6" t="s">
        <v>290</v>
      </c>
      <c r="H150" s="96" t="s">
        <v>291</v>
      </c>
      <c r="I150" s="96" t="s">
        <v>292</v>
      </c>
      <c r="J150" s="96" t="s">
        <v>293</v>
      </c>
      <c r="K150" s="96" t="s">
        <v>294</v>
      </c>
    </row>
    <row r="151" spans="2:17" ht="21" customHeight="1">
      <c r="B151" s="59" t="s">
        <v>284</v>
      </c>
      <c r="C151" s="99">
        <f>0*'Demanda Dinamica'!O13</f>
        <v>0</v>
      </c>
      <c r="D151" s="99">
        <f>0*'Demanda Dinamica'!P13</f>
        <v>0</v>
      </c>
      <c r="E151" s="99">
        <f>0*'Demanda Dinamica'!Q13</f>
        <v>0</v>
      </c>
      <c r="G151" s="97">
        <f>O139</f>
        <v>163867036.33486238</v>
      </c>
      <c r="H151" s="98">
        <f>C124*'Demanda Dinamica'!O13</f>
        <v>63981040</v>
      </c>
      <c r="I151" s="98">
        <f>G151-H151-J151-K151</f>
        <v>83499292.70137614</v>
      </c>
      <c r="J151" s="98">
        <f>G151*0.05</f>
        <v>8193351.8167431196</v>
      </c>
      <c r="K151" s="98">
        <f>J151</f>
        <v>8193351.8167431196</v>
      </c>
    </row>
    <row r="152" spans="2:17" ht="30">
      <c r="B152" s="59" t="s">
        <v>285</v>
      </c>
      <c r="C152" s="99">
        <f>O139*0.05</f>
        <v>8193351.8167431196</v>
      </c>
      <c r="D152" s="99">
        <f t="shared" ref="D152:E152" si="36">P139*0.05</f>
        <v>8848819.9620825686</v>
      </c>
      <c r="E152" s="99">
        <f t="shared" si="36"/>
        <v>10176142.956394954</v>
      </c>
    </row>
    <row r="153" spans="2:17" ht="30">
      <c r="B153" s="59" t="s">
        <v>286</v>
      </c>
      <c r="C153" s="99">
        <f>C152</f>
        <v>8193351.8167431196</v>
      </c>
      <c r="D153" s="99">
        <f t="shared" ref="D153:E153" si="37">D152</f>
        <v>8848819.9620825686</v>
      </c>
      <c r="E153" s="99">
        <f t="shared" si="37"/>
        <v>10176142.956394954</v>
      </c>
    </row>
    <row r="154" spans="2:17" ht="30">
      <c r="B154" s="59" t="s">
        <v>287</v>
      </c>
      <c r="C154" s="99">
        <f>(G151/1000)*11</f>
        <v>1802537.3996834862</v>
      </c>
      <c r="D154" s="99">
        <f>C154+(C154*'Demanda Dinamica'!$D$6)</f>
        <v>1910689.6436644953</v>
      </c>
      <c r="E154" s="99">
        <f>D154+('Demanda Dinamica'!$D$7*D154)</f>
        <v>2034884.4705026876</v>
      </c>
    </row>
    <row r="155" spans="2:17" ht="30">
      <c r="B155" s="59" t="s">
        <v>288</v>
      </c>
      <c r="C155" s="99">
        <f>C154*0.15</f>
        <v>270380.60995252291</v>
      </c>
      <c r="D155" s="99">
        <f t="shared" ref="D155:E155" si="38">D154*0.15</f>
        <v>286603.44654967426</v>
      </c>
      <c r="E155" s="99">
        <f t="shared" si="38"/>
        <v>305232.67057540314</v>
      </c>
    </row>
    <row r="156" spans="2:17">
      <c r="B156" s="22" t="s">
        <v>289</v>
      </c>
      <c r="C156" s="100">
        <f>SUM(C151:C155)</f>
        <v>18459621.643122248</v>
      </c>
      <c r="D156" s="100">
        <f t="shared" ref="D156:E156" si="39">SUM(D151:D155)</f>
        <v>19894933.014379304</v>
      </c>
      <c r="E156" s="100">
        <f t="shared" si="39"/>
        <v>22692403.053867996</v>
      </c>
    </row>
    <row r="158" spans="2:17">
      <c r="B158" s="156" t="s">
        <v>318</v>
      </c>
      <c r="C158" s="156"/>
      <c r="D158" s="156"/>
      <c r="E158" s="156"/>
      <c r="F158" s="156"/>
      <c r="G158" s="156"/>
    </row>
    <row r="159" spans="2:17">
      <c r="B159" s="149" t="s">
        <v>68</v>
      </c>
      <c r="C159" s="149"/>
      <c r="D159" s="149"/>
      <c r="E159" s="63" t="s">
        <v>2</v>
      </c>
      <c r="F159" s="63" t="s">
        <v>3</v>
      </c>
      <c r="G159" s="63" t="s">
        <v>43</v>
      </c>
    </row>
    <row r="160" spans="2:17">
      <c r="B160" s="130" t="s">
        <v>295</v>
      </c>
      <c r="C160" s="128" t="s">
        <v>296</v>
      </c>
      <c r="D160" s="128"/>
      <c r="E160" s="2" t="s">
        <v>297</v>
      </c>
      <c r="F160" s="93">
        <f>F113</f>
        <v>80000</v>
      </c>
      <c r="G160" s="93">
        <f>G113</f>
        <v>85200</v>
      </c>
    </row>
    <row r="161" spans="2:7">
      <c r="B161" s="130"/>
      <c r="C161" s="128" t="s">
        <v>298</v>
      </c>
      <c r="D161" s="128"/>
      <c r="E161" s="2" t="s">
        <v>297</v>
      </c>
      <c r="F161" s="93">
        <v>0</v>
      </c>
      <c r="G161" s="93">
        <v>0</v>
      </c>
    </row>
    <row r="162" spans="2:7">
      <c r="B162" s="130"/>
      <c r="C162" s="138" t="s">
        <v>299</v>
      </c>
      <c r="D162" s="138"/>
      <c r="E162" s="77">
        <f>'Demanda Dinamica'!V43</f>
        <v>45334530</v>
      </c>
      <c r="F162" s="77">
        <f>'Demanda Dinamica'!W43</f>
        <v>48054601.800000004</v>
      </c>
      <c r="G162" s="77">
        <f>'Demanda Dinamica'!X43</f>
        <v>51178150.917000011</v>
      </c>
    </row>
    <row r="163" spans="2:7">
      <c r="B163" s="130"/>
      <c r="C163" s="128" t="s">
        <v>300</v>
      </c>
      <c r="D163" s="128"/>
      <c r="E163" s="77">
        <f>'Demanda Dinamica'!V35</f>
        <v>2400000</v>
      </c>
      <c r="F163" s="77">
        <f>'Demanda Dinamica'!W35</f>
        <v>2544000</v>
      </c>
      <c r="G163" s="77">
        <f>'Demanda Dinamica'!X35</f>
        <v>2709360</v>
      </c>
    </row>
    <row r="164" spans="2:7">
      <c r="B164" s="130"/>
      <c r="C164" s="128" t="s">
        <v>301</v>
      </c>
      <c r="D164" s="128"/>
      <c r="E164" s="77">
        <v>0</v>
      </c>
      <c r="F164" s="93">
        <v>0</v>
      </c>
      <c r="G164" s="93">
        <v>0</v>
      </c>
    </row>
    <row r="165" spans="2:7">
      <c r="B165" s="130"/>
      <c r="C165" s="128" t="s">
        <v>302</v>
      </c>
      <c r="D165" s="128"/>
      <c r="E165" s="77">
        <f>E106</f>
        <v>48480</v>
      </c>
      <c r="F165" s="77">
        <f t="shared" ref="F165:G165" si="40">F106</f>
        <v>51388.800000000003</v>
      </c>
      <c r="G165" s="77">
        <f t="shared" si="40"/>
        <v>54729.072</v>
      </c>
    </row>
    <row r="166" spans="2:7">
      <c r="B166" s="130"/>
      <c r="C166" s="128" t="s">
        <v>303</v>
      </c>
      <c r="D166" s="128"/>
      <c r="E166" s="77">
        <f>E107</f>
        <v>0</v>
      </c>
      <c r="F166" s="77">
        <f t="shared" ref="F166:G166" si="41">F107</f>
        <v>0</v>
      </c>
      <c r="G166" s="77">
        <f t="shared" si="41"/>
        <v>0</v>
      </c>
    </row>
    <row r="167" spans="2:7">
      <c r="B167" s="130"/>
      <c r="C167" s="128" t="s">
        <v>304</v>
      </c>
      <c r="D167" s="128"/>
      <c r="E167" s="77">
        <f t="shared" ref="E167:G168" si="42">E108</f>
        <v>120000</v>
      </c>
      <c r="F167" s="77">
        <f t="shared" si="42"/>
        <v>127200</v>
      </c>
      <c r="G167" s="77">
        <f t="shared" si="42"/>
        <v>135468</v>
      </c>
    </row>
    <row r="168" spans="2:7">
      <c r="B168" s="130"/>
      <c r="C168" s="128" t="s">
        <v>305</v>
      </c>
      <c r="D168" s="128"/>
      <c r="E168" s="77">
        <f t="shared" si="42"/>
        <v>0</v>
      </c>
      <c r="F168" s="77">
        <f t="shared" si="42"/>
        <v>0</v>
      </c>
      <c r="G168" s="77">
        <f t="shared" si="42"/>
        <v>0</v>
      </c>
    </row>
    <row r="169" spans="2:7">
      <c r="B169" s="130"/>
      <c r="C169" s="128" t="s">
        <v>161</v>
      </c>
      <c r="D169" s="128"/>
      <c r="E169" s="77">
        <f>E110</f>
        <v>200000</v>
      </c>
      <c r="F169" s="77">
        <f t="shared" ref="F169:G169" si="43">F110</f>
        <v>200000</v>
      </c>
      <c r="G169" s="77">
        <f t="shared" si="43"/>
        <v>200000</v>
      </c>
    </row>
    <row r="170" spans="2:7">
      <c r="B170" s="130"/>
      <c r="C170" s="128" t="s">
        <v>306</v>
      </c>
      <c r="D170" s="128"/>
      <c r="E170" s="77">
        <f>E111</f>
        <v>200000</v>
      </c>
      <c r="F170" s="77">
        <f t="shared" ref="F170:G170" si="44">F111</f>
        <v>200000</v>
      </c>
      <c r="G170" s="77">
        <f t="shared" si="44"/>
        <v>200000</v>
      </c>
    </row>
    <row r="171" spans="2:7">
      <c r="B171" s="130"/>
      <c r="C171" s="128" t="s">
        <v>319</v>
      </c>
      <c r="D171" s="128"/>
      <c r="E171" s="77">
        <v>0</v>
      </c>
      <c r="F171" s="93">
        <v>0</v>
      </c>
      <c r="G171" s="93">
        <v>0</v>
      </c>
    </row>
    <row r="172" spans="2:7">
      <c r="B172" s="130"/>
      <c r="C172" s="149" t="s">
        <v>307</v>
      </c>
      <c r="D172" s="149"/>
      <c r="E172" s="82">
        <f>SUM(E162:E171)</f>
        <v>48303010</v>
      </c>
      <c r="F172" s="94">
        <f>SUM(F160:F171)</f>
        <v>51257190.600000001</v>
      </c>
      <c r="G172" s="94">
        <f>SUM(G160:G171)</f>
        <v>54562907.989000008</v>
      </c>
    </row>
    <row r="173" spans="2:7">
      <c r="B173" s="149" t="s">
        <v>308</v>
      </c>
      <c r="C173" s="128" t="s">
        <v>186</v>
      </c>
      <c r="D173" s="128"/>
      <c r="E173" s="77">
        <f>E64</f>
        <v>0</v>
      </c>
      <c r="F173" s="77">
        <f t="shared" ref="F173:G173" si="45">F64</f>
        <v>0</v>
      </c>
      <c r="G173" s="77">
        <f t="shared" si="45"/>
        <v>0</v>
      </c>
    </row>
    <row r="174" spans="2:7">
      <c r="B174" s="149"/>
      <c r="C174" s="128" t="s">
        <v>309</v>
      </c>
      <c r="D174" s="128"/>
      <c r="E174" s="77">
        <f>0</f>
        <v>0</v>
      </c>
      <c r="F174" s="77">
        <f>0</f>
        <v>0</v>
      </c>
      <c r="G174" s="77">
        <f>0</f>
        <v>0</v>
      </c>
    </row>
    <row r="175" spans="2:7">
      <c r="B175" s="149"/>
      <c r="C175" s="128" t="s">
        <v>310</v>
      </c>
      <c r="D175" s="128"/>
      <c r="E175" s="77">
        <v>0</v>
      </c>
      <c r="F175" s="77">
        <v>0</v>
      </c>
      <c r="G175" s="77">
        <v>0</v>
      </c>
    </row>
    <row r="176" spans="2:7">
      <c r="B176" s="149"/>
      <c r="C176" s="128" t="s">
        <v>311</v>
      </c>
      <c r="D176" s="128"/>
      <c r="E176" s="77">
        <v>0</v>
      </c>
      <c r="F176" s="77">
        <v>0</v>
      </c>
      <c r="G176" s="77">
        <v>0</v>
      </c>
    </row>
    <row r="177" spans="2:7">
      <c r="B177" s="149"/>
      <c r="C177" s="128" t="s">
        <v>284</v>
      </c>
      <c r="D177" s="128"/>
      <c r="E177" s="77">
        <v>0</v>
      </c>
      <c r="F177" s="77">
        <v>0</v>
      </c>
      <c r="G177" s="77">
        <v>0</v>
      </c>
    </row>
    <row r="178" spans="2:7">
      <c r="B178" s="149"/>
      <c r="C178" s="128" t="s">
        <v>312</v>
      </c>
      <c r="D178" s="128"/>
      <c r="E178" s="77">
        <f>C152</f>
        <v>8193351.8167431196</v>
      </c>
      <c r="F178" s="77">
        <f t="shared" ref="F178:G178" si="46">D152</f>
        <v>8848819.9620825686</v>
      </c>
      <c r="G178" s="77">
        <f t="shared" si="46"/>
        <v>10176142.956394954</v>
      </c>
    </row>
    <row r="179" spans="2:7">
      <c r="B179" s="149"/>
      <c r="C179" s="128" t="s">
        <v>313</v>
      </c>
      <c r="D179" s="128"/>
      <c r="E179" s="77">
        <f>C153</f>
        <v>8193351.8167431196</v>
      </c>
      <c r="F179" s="77">
        <f t="shared" ref="F179:G181" si="47">D153</f>
        <v>8848819.9620825686</v>
      </c>
      <c r="G179" s="77">
        <f t="shared" si="47"/>
        <v>10176142.956394954</v>
      </c>
    </row>
    <row r="180" spans="2:7">
      <c r="B180" s="149"/>
      <c r="C180" s="128" t="s">
        <v>314</v>
      </c>
      <c r="D180" s="128"/>
      <c r="E180" s="77">
        <f t="shared" ref="E180:E181" si="48">C154</f>
        <v>1802537.3996834862</v>
      </c>
      <c r="F180" s="77">
        <f t="shared" si="47"/>
        <v>1910689.6436644953</v>
      </c>
      <c r="G180" s="77">
        <f t="shared" si="47"/>
        <v>2034884.4705026876</v>
      </c>
    </row>
    <row r="181" spans="2:7">
      <c r="B181" s="149"/>
      <c r="C181" s="128" t="s">
        <v>315</v>
      </c>
      <c r="D181" s="128"/>
      <c r="E181" s="77">
        <f t="shared" si="48"/>
        <v>270380.60995252291</v>
      </c>
      <c r="F181" s="77">
        <f t="shared" si="47"/>
        <v>286603.44654967426</v>
      </c>
      <c r="G181" s="77">
        <f t="shared" si="47"/>
        <v>305232.67057540314</v>
      </c>
    </row>
    <row r="182" spans="2:7">
      <c r="B182" s="149"/>
      <c r="C182" s="149" t="s">
        <v>316</v>
      </c>
      <c r="D182" s="149"/>
      <c r="E182" s="82">
        <f>SUM(E173:E181)</f>
        <v>18459621.643122248</v>
      </c>
      <c r="F182" s="82">
        <f t="shared" ref="F182:G182" si="49">SUM(F173:F181)</f>
        <v>19894933.014379304</v>
      </c>
      <c r="G182" s="82">
        <f t="shared" si="49"/>
        <v>22692403.053867996</v>
      </c>
    </row>
    <row r="183" spans="2:7">
      <c r="B183" s="175" t="s">
        <v>317</v>
      </c>
      <c r="C183" s="175"/>
      <c r="D183" s="175"/>
      <c r="E183" s="101">
        <f>E172+E182</f>
        <v>66762631.643122248</v>
      </c>
      <c r="F183" s="101">
        <f t="shared" ref="F183:G183" si="50">F172+F182</f>
        <v>71152123.614379302</v>
      </c>
      <c r="G183" s="101">
        <f t="shared" si="50"/>
        <v>77255311.042868003</v>
      </c>
    </row>
    <row r="184" spans="2:7">
      <c r="B184" s="67"/>
      <c r="C184" s="67"/>
      <c r="D184" s="67"/>
      <c r="E184" s="67"/>
      <c r="F184" s="67"/>
    </row>
    <row r="185" spans="2:7">
      <c r="B185" s="156" t="s">
        <v>321</v>
      </c>
      <c r="C185" s="156"/>
      <c r="D185" s="156"/>
      <c r="E185" s="156"/>
      <c r="F185" s="156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60" t="s">
        <v>324</v>
      </c>
      <c r="C188" s="59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60" t="s">
        <v>326</v>
      </c>
      <c r="C189" s="59" t="s">
        <v>327</v>
      </c>
      <c r="D189" s="77">
        <f>E182/D187</f>
        <v>8467.7163500560764</v>
      </c>
      <c r="E189" s="77">
        <f t="shared" ref="E189:F189" si="52">F182/E187</f>
        <v>4645.0929288767929</v>
      </c>
      <c r="F189" s="77">
        <f t="shared" si="52"/>
        <v>4889.5503240396456</v>
      </c>
    </row>
    <row r="190" spans="2:7" ht="30">
      <c r="B190" s="60" t="s">
        <v>328</v>
      </c>
      <c r="C190" s="59" t="s">
        <v>329</v>
      </c>
      <c r="D190" s="77">
        <f>O139/D187</f>
        <v>75168.365291221271</v>
      </c>
      <c r="E190" s="77">
        <f t="shared" ref="E190:F190" si="53">P139/E187</f>
        <v>41320.662909561375</v>
      </c>
      <c r="F190" s="77">
        <f t="shared" si="53"/>
        <v>43853.234028851337</v>
      </c>
    </row>
    <row r="191" spans="2:7" ht="30">
      <c r="B191" s="60" t="s">
        <v>330</v>
      </c>
      <c r="C191" s="59" t="s">
        <v>331</v>
      </c>
      <c r="D191" s="77">
        <f>D190-D189</f>
        <v>66700.6489411652</v>
      </c>
      <c r="E191" s="77">
        <f t="shared" ref="E191:F191" si="54">E190-E189</f>
        <v>36675.569980684581</v>
      </c>
      <c r="F191" s="77">
        <f t="shared" si="54"/>
        <v>38963.683704811694</v>
      </c>
    </row>
    <row r="192" spans="2:7" ht="30">
      <c r="B192" s="60" t="s">
        <v>332</v>
      </c>
      <c r="C192" s="59" t="s">
        <v>333</v>
      </c>
      <c r="D192" s="2">
        <f>E172/D191</f>
        <v>724.17601277922722</v>
      </c>
      <c r="E192" s="2">
        <f>F172/E191</f>
        <v>1397.5840219250831</v>
      </c>
      <c r="F192" s="2">
        <f>G172/F191</f>
        <v>1400.352913301725</v>
      </c>
    </row>
    <row r="194" spans="2:17">
      <c r="B194" s="157" t="s">
        <v>336</v>
      </c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93">
        <f>C139</f>
        <v>4853607.5642201826</v>
      </c>
      <c r="D196" s="93">
        <f t="shared" ref="D196:Q196" si="55">D139</f>
        <v>9591653.0435779803</v>
      </c>
      <c r="E196" s="93">
        <f t="shared" si="55"/>
        <v>13058515.58944954</v>
      </c>
      <c r="F196" s="93">
        <f t="shared" si="55"/>
        <v>23863570.524082564</v>
      </c>
      <c r="G196" s="93">
        <f t="shared" si="55"/>
        <v>7569316.5584862381</v>
      </c>
      <c r="H196" s="93">
        <f t="shared" si="55"/>
        <v>6355914.6674311925</v>
      </c>
      <c r="I196" s="93">
        <f t="shared" si="55"/>
        <v>9996120.3405963294</v>
      </c>
      <c r="J196" s="93">
        <f t="shared" si="55"/>
        <v>26463717.433486238</v>
      </c>
      <c r="K196" s="93">
        <f t="shared" si="55"/>
        <v>26232593.263761465</v>
      </c>
      <c r="L196" s="93">
        <f t="shared" si="55"/>
        <v>21090080.487385318</v>
      </c>
      <c r="M196" s="93">
        <f t="shared" si="55"/>
        <v>8840499.4919724762</v>
      </c>
      <c r="N196" s="93">
        <f t="shared" si="55"/>
        <v>5951447.3704128433</v>
      </c>
      <c r="O196" s="93">
        <f t="shared" si="55"/>
        <v>163867036.33486238</v>
      </c>
      <c r="P196" s="93">
        <f t="shared" si="55"/>
        <v>176976399.24165136</v>
      </c>
      <c r="Q196" s="93">
        <f t="shared" si="55"/>
        <v>203522859.12789905</v>
      </c>
    </row>
    <row r="197" spans="2:17">
      <c r="B197" s="63" t="s">
        <v>338</v>
      </c>
      <c r="C197" s="77">
        <f>$E$183/12</f>
        <v>5563552.636926854</v>
      </c>
      <c r="D197" s="77">
        <f t="shared" ref="D197:N197" si="56">$E$183/12</f>
        <v>5563552.636926854</v>
      </c>
      <c r="E197" s="77">
        <f t="shared" si="56"/>
        <v>5563552.636926854</v>
      </c>
      <c r="F197" s="77">
        <f t="shared" si="56"/>
        <v>5563552.636926854</v>
      </c>
      <c r="G197" s="77">
        <f t="shared" si="56"/>
        <v>5563552.636926854</v>
      </c>
      <c r="H197" s="77">
        <f t="shared" si="56"/>
        <v>5563552.636926854</v>
      </c>
      <c r="I197" s="77">
        <f t="shared" si="56"/>
        <v>5563552.636926854</v>
      </c>
      <c r="J197" s="77">
        <f t="shared" si="56"/>
        <v>5563552.636926854</v>
      </c>
      <c r="K197" s="77">
        <f t="shared" si="56"/>
        <v>5563552.636926854</v>
      </c>
      <c r="L197" s="77">
        <f t="shared" si="56"/>
        <v>5563552.636926854</v>
      </c>
      <c r="M197" s="77">
        <f t="shared" si="56"/>
        <v>5563552.636926854</v>
      </c>
      <c r="N197" s="77">
        <f t="shared" si="56"/>
        <v>5563552.636926854</v>
      </c>
      <c r="O197" s="77">
        <f>E183</f>
        <v>66762631.643122248</v>
      </c>
      <c r="P197" s="77">
        <f t="shared" ref="P197:Q197" si="57">F183</f>
        <v>71152123.614379302</v>
      </c>
      <c r="Q197" s="77">
        <f t="shared" si="57"/>
        <v>77255311.042868003</v>
      </c>
    </row>
    <row r="198" spans="2:17">
      <c r="B198" s="63" t="s">
        <v>339</v>
      </c>
      <c r="C198" s="77">
        <f>C196-C197</f>
        <v>-709945.07270667143</v>
      </c>
      <c r="D198" s="77">
        <f t="shared" ref="D198:Q198" si="58">D196-D197</f>
        <v>4028100.4066511262</v>
      </c>
      <c r="E198" s="77">
        <f t="shared" si="58"/>
        <v>7494962.9525226858</v>
      </c>
      <c r="F198" s="77">
        <f t="shared" si="58"/>
        <v>18300017.887155712</v>
      </c>
      <c r="G198" s="77">
        <f t="shared" si="58"/>
        <v>2005763.9215593841</v>
      </c>
      <c r="H198" s="77">
        <f t="shared" si="58"/>
        <v>792362.03050433844</v>
      </c>
      <c r="I198" s="77">
        <f t="shared" si="58"/>
        <v>4432567.7036694754</v>
      </c>
      <c r="J198" s="77">
        <f t="shared" si="58"/>
        <v>20900164.796559386</v>
      </c>
      <c r="K198" s="77">
        <f t="shared" si="58"/>
        <v>20669040.626834609</v>
      </c>
      <c r="L198" s="77">
        <f t="shared" si="58"/>
        <v>15526527.850458464</v>
      </c>
      <c r="M198" s="77">
        <f t="shared" si="58"/>
        <v>3276946.8550456222</v>
      </c>
      <c r="N198" s="77">
        <f t="shared" si="58"/>
        <v>387894.73348598927</v>
      </c>
      <c r="O198" s="77">
        <f t="shared" si="58"/>
        <v>97104404.691740125</v>
      </c>
      <c r="P198" s="77">
        <f t="shared" si="58"/>
        <v>105824275.62727205</v>
      </c>
      <c r="Q198" s="77">
        <f t="shared" si="58"/>
        <v>126267548.08503105</v>
      </c>
    </row>
    <row r="200" spans="2:17">
      <c r="B200" s="176" t="s">
        <v>340</v>
      </c>
      <c r="C200" s="176"/>
      <c r="D200" s="176"/>
      <c r="E200" s="176"/>
      <c r="F200" s="176"/>
    </row>
    <row r="201" spans="2:17">
      <c r="B201" s="103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03" t="s">
        <v>341</v>
      </c>
      <c r="C202" s="77">
        <f>C197</f>
        <v>5563552.636926854</v>
      </c>
      <c r="D202" s="77">
        <f t="shared" ref="D202:E202" si="59">D197</f>
        <v>5563552.636926854</v>
      </c>
      <c r="E202" s="77">
        <f t="shared" si="59"/>
        <v>5563552.636926854</v>
      </c>
      <c r="F202" s="77">
        <f>SUM(C202:E202)</f>
        <v>16690657.910780562</v>
      </c>
    </row>
    <row r="203" spans="2:17">
      <c r="B203" s="103" t="s">
        <v>342</v>
      </c>
      <c r="C203" s="77">
        <f>C198</f>
        <v>-709945.07270667143</v>
      </c>
      <c r="D203" s="77">
        <f>D198</f>
        <v>4028100.4066511262</v>
      </c>
      <c r="E203" s="2"/>
      <c r="F203" s="77">
        <f>SUM(C203:E203)</f>
        <v>3318155.3339444548</v>
      </c>
    </row>
    <row r="204" spans="2:17">
      <c r="F204" s="77">
        <f>SUM(F202:F203)</f>
        <v>20008813.244725019</v>
      </c>
    </row>
    <row r="205" spans="2:17">
      <c r="B205" s="177" t="s">
        <v>343</v>
      </c>
      <c r="C205" s="177"/>
      <c r="D205" s="177"/>
    </row>
    <row r="206" spans="2:17">
      <c r="B206" s="103" t="s">
        <v>344</v>
      </c>
      <c r="C206" s="18">
        <f>E16</f>
        <v>4848000</v>
      </c>
      <c r="D206" s="104">
        <f>C206/$C$209</f>
        <v>0.19014140918190992</v>
      </c>
    </row>
    <row r="207" spans="2:17">
      <c r="B207" s="103" t="s">
        <v>345</v>
      </c>
      <c r="C207" s="40">
        <f>K12</f>
        <v>640000</v>
      </c>
      <c r="D207" s="104">
        <f t="shared" ref="D207:D209" si="60">C207/$C$209</f>
        <v>2.510117612962507E-2</v>
      </c>
    </row>
    <row r="208" spans="2:17">
      <c r="B208" s="103" t="s">
        <v>346</v>
      </c>
      <c r="C208" s="77">
        <f>F204</f>
        <v>20008813.244725019</v>
      </c>
      <c r="D208" s="104">
        <f t="shared" si="60"/>
        <v>0.78475741468846505</v>
      </c>
    </row>
    <row r="209" spans="2:4">
      <c r="B209" s="103" t="s">
        <v>56</v>
      </c>
      <c r="C209" s="18">
        <f>SUM(C206:C208)</f>
        <v>25496813.244725019</v>
      </c>
      <c r="D209" s="104">
        <f t="shared" si="60"/>
        <v>1</v>
      </c>
    </row>
  </sheetData>
  <mergeCells count="121"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D37" workbookViewId="0">
      <selection activeCell="H102" sqref="H102"/>
    </sheetView>
  </sheetViews>
  <sheetFormatPr baseColWidth="10" defaultRowHeight="15"/>
  <cols>
    <col min="5" max="5" width="16.140625" bestFit="1" customWidth="1"/>
    <col min="6" max="6" width="18.7109375" customWidth="1"/>
    <col min="7" max="7" width="17.42578125" customWidth="1"/>
    <col min="8" max="8" width="22" customWidth="1"/>
    <col min="9" max="9" width="16.42578125" customWidth="1"/>
    <col min="10" max="10" width="18.85546875" customWidth="1"/>
    <col min="11" max="19" width="14.5703125" bestFit="1" customWidth="1"/>
    <col min="20" max="22" width="15.5703125" bestFit="1" customWidth="1"/>
  </cols>
  <sheetData>
    <row r="2" spans="2:7">
      <c r="B2" s="178" t="s">
        <v>349</v>
      </c>
      <c r="C2" s="178"/>
      <c r="D2" s="178"/>
      <c r="E2" s="178"/>
      <c r="F2" s="178"/>
      <c r="G2" s="178"/>
    </row>
    <row r="3" spans="2:7">
      <c r="B3" s="149" t="s">
        <v>68</v>
      </c>
      <c r="C3" s="149"/>
      <c r="D3" s="149"/>
      <c r="E3" s="62" t="s">
        <v>2</v>
      </c>
      <c r="F3" s="62" t="s">
        <v>3</v>
      </c>
      <c r="G3" s="62" t="s">
        <v>43</v>
      </c>
    </row>
    <row r="4" spans="2:7">
      <c r="B4" s="149" t="s">
        <v>337</v>
      </c>
      <c r="C4" s="128" t="s">
        <v>347</v>
      </c>
      <c r="D4" s="128"/>
      <c r="E4" s="78">
        <f>'Presupuesto de Inversion'!O139</f>
        <v>163867036.33486238</v>
      </c>
      <c r="F4" s="78">
        <f>'Presupuesto de Inversion'!P139</f>
        <v>176976399.24165136</v>
      </c>
      <c r="G4" s="78">
        <f>'Presupuesto de Inversion'!Q139</f>
        <v>203522859.12789905</v>
      </c>
    </row>
    <row r="5" spans="2:7" ht="28.5" customHeight="1">
      <c r="B5" s="149"/>
      <c r="C5" s="127" t="s">
        <v>348</v>
      </c>
      <c r="D5" s="127"/>
      <c r="E5" s="78">
        <v>0</v>
      </c>
      <c r="F5" s="78">
        <v>0</v>
      </c>
      <c r="G5" s="78">
        <v>0</v>
      </c>
    </row>
    <row r="6" spans="2:7" ht="16.5" customHeight="1">
      <c r="B6" s="149"/>
      <c r="C6" s="130" t="s">
        <v>354</v>
      </c>
      <c r="D6" s="130"/>
      <c r="E6" s="105">
        <f>SUM(E4:E5)</f>
        <v>163867036.33486238</v>
      </c>
      <c r="F6" s="105">
        <f t="shared" ref="F6:G6" si="0">SUM(F4:F5)</f>
        <v>176976399.24165136</v>
      </c>
      <c r="G6" s="105">
        <f t="shared" si="0"/>
        <v>203522859.12789905</v>
      </c>
    </row>
    <row r="7" spans="2:7">
      <c r="B7" s="149" t="s">
        <v>338</v>
      </c>
      <c r="C7" s="128" t="s">
        <v>223</v>
      </c>
      <c r="D7" s="128"/>
      <c r="E7" s="78">
        <f>'Presupuesto de Inversion'!E75</f>
        <v>45534530</v>
      </c>
      <c r="F7" s="78">
        <f>'Presupuesto de Inversion'!F75</f>
        <v>48266601.799999997</v>
      </c>
      <c r="G7" s="78">
        <f>'Presupuesto de Inversion'!G75</f>
        <v>48494274.450000003</v>
      </c>
    </row>
    <row r="8" spans="2:7">
      <c r="B8" s="149"/>
      <c r="C8" s="138" t="s">
        <v>351</v>
      </c>
      <c r="D8" s="138"/>
      <c r="E8" s="78">
        <f>'Presupuesto de Inversion'!E115</f>
        <v>18446510</v>
      </c>
      <c r="F8" s="78">
        <f>'Presupuesto de Inversion'!F115</f>
        <v>19512340.600000001</v>
      </c>
      <c r="G8" s="78">
        <f>'Presupuesto de Inversion'!G115</f>
        <v>20649602.739000004</v>
      </c>
    </row>
    <row r="9" spans="2:7">
      <c r="B9" s="149"/>
      <c r="C9" s="128" t="s">
        <v>350</v>
      </c>
      <c r="D9" s="128"/>
      <c r="E9" s="78">
        <f>'Presupuesto de Inversion'!C156</f>
        <v>18459621.643122248</v>
      </c>
      <c r="F9" s="78">
        <f>'Presupuesto de Inversion'!D156</f>
        <v>19894933.014379304</v>
      </c>
      <c r="G9" s="78">
        <f>'Presupuesto de Inversion'!E156</f>
        <v>22692403.053867996</v>
      </c>
    </row>
    <row r="10" spans="2:7" ht="32.25" customHeight="1">
      <c r="B10" s="149"/>
      <c r="C10" s="127" t="s">
        <v>352</v>
      </c>
      <c r="D10" s="127"/>
      <c r="E10" s="78">
        <v>0</v>
      </c>
      <c r="F10" s="78">
        <v>0</v>
      </c>
      <c r="G10" s="78">
        <v>0</v>
      </c>
    </row>
    <row r="11" spans="2:7">
      <c r="B11" s="149"/>
      <c r="C11" s="127" t="s">
        <v>353</v>
      </c>
      <c r="D11" s="127"/>
      <c r="E11" s="78">
        <v>0</v>
      </c>
      <c r="F11" s="78">
        <v>0</v>
      </c>
      <c r="G11" s="78">
        <v>0</v>
      </c>
    </row>
    <row r="12" spans="2:7">
      <c r="B12" s="149"/>
      <c r="C12" s="149" t="s">
        <v>355</v>
      </c>
      <c r="D12" s="149"/>
      <c r="E12" s="105">
        <f>SUM(E7:E11)</f>
        <v>82440661.643122256</v>
      </c>
      <c r="F12" s="105">
        <f t="shared" ref="F12:G12" si="1">SUM(F7:F11)</f>
        <v>87673875.414379314</v>
      </c>
      <c r="G12" s="105">
        <f t="shared" si="1"/>
        <v>91836280.242868006</v>
      </c>
    </row>
    <row r="13" spans="2:7" ht="30.75" customHeight="1">
      <c r="B13" s="181" t="s">
        <v>356</v>
      </c>
      <c r="C13" s="181"/>
      <c r="D13" s="181"/>
      <c r="E13" s="78">
        <f>E6-E12</f>
        <v>81426374.691740125</v>
      </c>
      <c r="F13" s="78">
        <f t="shared" ref="F13:G13" si="2">F6-F12</f>
        <v>89302523.827272043</v>
      </c>
      <c r="G13" s="78">
        <f t="shared" si="2"/>
        <v>111686578.88503104</v>
      </c>
    </row>
    <row r="14" spans="2:7">
      <c r="B14" s="128" t="s">
        <v>357</v>
      </c>
      <c r="C14" s="128"/>
      <c r="D14" s="128"/>
      <c r="E14" s="78">
        <f>(E13*0.25)</f>
        <v>20356593.672935031</v>
      </c>
      <c r="F14" s="78">
        <f t="shared" ref="F14:G14" si="3">(F13*0.25)</f>
        <v>22325630.956818011</v>
      </c>
      <c r="G14" s="78">
        <f t="shared" si="3"/>
        <v>27921644.721257761</v>
      </c>
    </row>
    <row r="15" spans="2:7" ht="33.75" customHeight="1">
      <c r="B15" s="182" t="s">
        <v>358</v>
      </c>
      <c r="C15" s="182"/>
      <c r="D15" s="182"/>
      <c r="E15" s="78">
        <f>E13*0.09</f>
        <v>7328373.7222566111</v>
      </c>
      <c r="F15" s="78">
        <f t="shared" ref="F15:G15" si="4">F13*0.09</f>
        <v>8037227.1444544839</v>
      </c>
      <c r="G15" s="78">
        <f t="shared" si="4"/>
        <v>10051792.099652793</v>
      </c>
    </row>
    <row r="16" spans="2:7" ht="29.25" customHeight="1">
      <c r="B16" s="127" t="s">
        <v>359</v>
      </c>
      <c r="C16" s="127"/>
      <c r="D16" s="127"/>
      <c r="E16" s="78">
        <f>E13-E14-E15</f>
        <v>53741407.296548486</v>
      </c>
      <c r="F16" s="78">
        <f t="shared" ref="F16:G16" si="5">F13-F14-F15</f>
        <v>58939665.725999542</v>
      </c>
      <c r="G16" s="78">
        <f t="shared" si="5"/>
        <v>73713142.064120486</v>
      </c>
    </row>
    <row r="17" spans="1:22">
      <c r="B17" s="128" t="s">
        <v>360</v>
      </c>
      <c r="C17" s="128"/>
      <c r="D17" s="128"/>
      <c r="E17" s="78">
        <f>E16*0.1</f>
        <v>5374140.7296548486</v>
      </c>
      <c r="F17" s="78">
        <f t="shared" ref="F17:G17" si="6">F16*0.1</f>
        <v>5893966.5725999549</v>
      </c>
      <c r="G17" s="78">
        <f t="shared" si="6"/>
        <v>7371314.206412049</v>
      </c>
    </row>
    <row r="18" spans="1:22" ht="32.25" customHeight="1">
      <c r="B18" s="179" t="s">
        <v>361</v>
      </c>
      <c r="C18" s="179"/>
      <c r="D18" s="179"/>
      <c r="E18" s="106">
        <f>E16-E17</f>
        <v>48367266.566893637</v>
      </c>
      <c r="F18" s="106">
        <f t="shared" ref="F18:G18" si="7">F16-F17</f>
        <v>53045699.153399587</v>
      </c>
      <c r="G18" s="106">
        <f t="shared" si="7"/>
        <v>66341827.857708439</v>
      </c>
    </row>
    <row r="19" spans="1:22">
      <c r="A19" s="108"/>
    </row>
    <row r="20" spans="1:22">
      <c r="A20" s="108"/>
      <c r="B20" s="180" t="s">
        <v>401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</row>
    <row r="21" spans="1:22">
      <c r="A21" s="108"/>
      <c r="B21" s="149" t="s">
        <v>68</v>
      </c>
      <c r="C21" s="149"/>
      <c r="D21" s="149"/>
      <c r="E21" s="149"/>
      <c r="F21" s="149"/>
      <c r="G21" s="62" t="s">
        <v>399</v>
      </c>
      <c r="H21" s="62" t="s">
        <v>15</v>
      </c>
      <c r="I21" s="62" t="s">
        <v>334</v>
      </c>
      <c r="J21" s="62" t="s">
        <v>33</v>
      </c>
      <c r="K21" s="62" t="s">
        <v>34</v>
      </c>
      <c r="L21" s="62" t="s">
        <v>19</v>
      </c>
      <c r="M21" s="62" t="s">
        <v>400</v>
      </c>
      <c r="N21" s="62" t="s">
        <v>21</v>
      </c>
      <c r="O21" s="62" t="s">
        <v>22</v>
      </c>
      <c r="P21" s="62" t="s">
        <v>42</v>
      </c>
      <c r="Q21" s="62" t="s">
        <v>24</v>
      </c>
      <c r="R21" s="62" t="s">
        <v>25</v>
      </c>
      <c r="S21" s="62" t="s">
        <v>26</v>
      </c>
      <c r="T21" s="62" t="s">
        <v>27</v>
      </c>
      <c r="U21" s="62" t="s">
        <v>28</v>
      </c>
      <c r="V21" s="62" t="s">
        <v>43</v>
      </c>
    </row>
    <row r="22" spans="1:22" ht="15.75" customHeight="1">
      <c r="A22" s="108"/>
      <c r="B22" s="149" t="s">
        <v>362</v>
      </c>
      <c r="C22" s="149"/>
      <c r="D22" s="149"/>
      <c r="E22" s="149"/>
      <c r="F22" s="149"/>
      <c r="G22" s="109">
        <f>'Presupuesto de Inversion'!C209</f>
        <v>25496813.244725019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08"/>
      <c r="B23" s="149" t="s">
        <v>337</v>
      </c>
      <c r="C23" s="150" t="s">
        <v>363</v>
      </c>
      <c r="D23" s="150"/>
      <c r="E23" s="150"/>
      <c r="F23" s="150"/>
      <c r="G23" s="109">
        <v>0</v>
      </c>
      <c r="H23" s="109">
        <f>'Presupuesto de Inversion'!C145</f>
        <v>2080117.5275229355</v>
      </c>
      <c r="I23" s="109">
        <f>'Presupuesto de Inversion'!D145</f>
        <v>4110708.4472477059</v>
      </c>
      <c r="J23" s="109">
        <f>'Presupuesto de Inversion'!E145</f>
        <v>5596506.6811926598</v>
      </c>
      <c r="K23" s="109">
        <f>'Presupuesto de Inversion'!F145</f>
        <v>10227244.510321099</v>
      </c>
      <c r="L23" s="109">
        <f>'Presupuesto de Inversion'!G145</f>
        <v>3243992.810779816</v>
      </c>
      <c r="M23" s="109">
        <f>'Presupuesto de Inversion'!H145</f>
        <v>2723963.4288990824</v>
      </c>
      <c r="N23" s="109">
        <f>'Presupuesto de Inversion'!I145</f>
        <v>4284051.5745412838</v>
      </c>
      <c r="O23" s="109">
        <f>'Presupuesto de Inversion'!J145</f>
        <v>11341593.185779816</v>
      </c>
      <c r="P23" s="109">
        <f>'Presupuesto de Inversion'!K145</f>
        <v>11242539.970183484</v>
      </c>
      <c r="Q23" s="109">
        <f>'Presupuesto de Inversion'!L145</f>
        <v>9038605.9231651369</v>
      </c>
      <c r="R23" s="109">
        <f>'Presupuesto de Inversion'!M145</f>
        <v>3788785.4965596325</v>
      </c>
      <c r="S23" s="109">
        <f>'Presupuesto de Inversion'!N145</f>
        <v>2550620.3016055045</v>
      </c>
      <c r="T23" s="109">
        <f>'Presupuesto de Inversion'!O145</f>
        <v>70228729.857798159</v>
      </c>
      <c r="U23" s="109">
        <f>'Presupuesto de Inversion'!P145</f>
        <v>75847028.246422008</v>
      </c>
      <c r="V23" s="109">
        <f>'Presupuesto de Inversion'!Q145</f>
        <v>87224082.48338531</v>
      </c>
    </row>
    <row r="24" spans="1:22">
      <c r="A24" s="108"/>
      <c r="B24" s="149"/>
      <c r="C24" s="150" t="s">
        <v>364</v>
      </c>
      <c r="D24" s="150"/>
      <c r="E24" s="150"/>
      <c r="F24" s="150"/>
      <c r="G24" s="109">
        <v>0</v>
      </c>
      <c r="H24" s="109">
        <f>'Presupuesto de Inversion'!C145</f>
        <v>2080117.5275229355</v>
      </c>
      <c r="I24" s="109">
        <f>'Presupuesto de Inversion'!D145</f>
        <v>4110708.4472477059</v>
      </c>
      <c r="J24" s="109">
        <f>'Presupuesto de Inversion'!E145</f>
        <v>5596506.6811926598</v>
      </c>
      <c r="K24" s="109">
        <f>'Presupuesto de Inversion'!F145</f>
        <v>10227244.510321099</v>
      </c>
      <c r="L24" s="109">
        <f>'Presupuesto de Inversion'!G145</f>
        <v>3243992.810779816</v>
      </c>
      <c r="M24" s="109">
        <f>'Presupuesto de Inversion'!H145</f>
        <v>2723963.4288990824</v>
      </c>
      <c r="N24" s="109">
        <f>'Presupuesto de Inversion'!I145</f>
        <v>4284051.5745412838</v>
      </c>
      <c r="O24" s="109">
        <f>'Presupuesto de Inversion'!J145</f>
        <v>11341593.185779816</v>
      </c>
      <c r="P24" s="109">
        <f>'Presupuesto de Inversion'!K145</f>
        <v>11242539.970183484</v>
      </c>
      <c r="Q24" s="109">
        <f>'Presupuesto de Inversion'!L145</f>
        <v>9038605.9231651369</v>
      </c>
      <c r="R24" s="109">
        <f>'Presupuesto de Inversion'!M145</f>
        <v>3788785.4965596325</v>
      </c>
      <c r="S24" s="109">
        <f>'Presupuesto de Inversion'!N145</f>
        <v>2550620.3016055045</v>
      </c>
      <c r="T24" s="109">
        <f>'Presupuesto de Inversion'!O145</f>
        <v>70228729.857798159</v>
      </c>
      <c r="U24" s="109">
        <f>'Presupuesto de Inversion'!P145</f>
        <v>75847028.246422008</v>
      </c>
      <c r="V24" s="109">
        <f>'Presupuesto de Inversion'!Q145</f>
        <v>87224082.48338531</v>
      </c>
    </row>
    <row r="25" spans="1:22" ht="15" customHeight="1">
      <c r="A25" s="108"/>
      <c r="B25" s="149"/>
      <c r="C25" s="155" t="s">
        <v>365</v>
      </c>
      <c r="D25" s="155"/>
      <c r="E25" s="155"/>
      <c r="F25" s="155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>
      <c r="A26" s="108"/>
      <c r="B26" s="149"/>
      <c r="C26" s="150" t="s">
        <v>366</v>
      </c>
      <c r="D26" s="150"/>
      <c r="E26" s="150"/>
      <c r="F26" s="15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>
      <c r="A27" s="108"/>
      <c r="B27" s="149"/>
      <c r="C27" s="150" t="s">
        <v>367</v>
      </c>
      <c r="D27" s="150"/>
      <c r="E27" s="150"/>
      <c r="F27" s="15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>
      <c r="A28" s="108"/>
      <c r="B28" s="174" t="s">
        <v>368</v>
      </c>
      <c r="C28" s="174"/>
      <c r="D28" s="174"/>
      <c r="E28" s="174"/>
      <c r="F28" s="174"/>
      <c r="G28" s="110">
        <f>SUM(G22:G27)</f>
        <v>25496813.244725019</v>
      </c>
      <c r="H28" s="110">
        <f>SUM(H22:H27)</f>
        <v>4160235.0550458711</v>
      </c>
      <c r="I28" s="110">
        <f t="shared" ref="I28:V28" si="8">SUM(I22:I27)</f>
        <v>8221416.8944954118</v>
      </c>
      <c r="J28" s="110">
        <f t="shared" si="8"/>
        <v>11193013.36238532</v>
      </c>
      <c r="K28" s="110">
        <f t="shared" si="8"/>
        <v>20454489.020642199</v>
      </c>
      <c r="L28" s="110">
        <f t="shared" si="8"/>
        <v>6487985.621559632</v>
      </c>
      <c r="M28" s="110">
        <f t="shared" si="8"/>
        <v>5447926.8577981647</v>
      </c>
      <c r="N28" s="110">
        <f t="shared" si="8"/>
        <v>8568103.1490825675</v>
      </c>
      <c r="O28" s="110">
        <f t="shared" si="8"/>
        <v>22683186.371559631</v>
      </c>
      <c r="P28" s="110">
        <f t="shared" si="8"/>
        <v>22485079.940366969</v>
      </c>
      <c r="Q28" s="110">
        <f t="shared" si="8"/>
        <v>18077211.846330274</v>
      </c>
      <c r="R28" s="110">
        <f t="shared" si="8"/>
        <v>7577570.993119265</v>
      </c>
      <c r="S28" s="110">
        <f t="shared" si="8"/>
        <v>5101240.6032110089</v>
      </c>
      <c r="T28" s="110">
        <f t="shared" si="8"/>
        <v>140457459.71559632</v>
      </c>
      <c r="U28" s="110">
        <f t="shared" si="8"/>
        <v>151694056.49284402</v>
      </c>
      <c r="V28" s="110">
        <f t="shared" si="8"/>
        <v>174448164.96677062</v>
      </c>
    </row>
    <row r="29" spans="1:22">
      <c r="A29" s="108"/>
      <c r="B29" s="149" t="s">
        <v>338</v>
      </c>
      <c r="C29" s="130" t="s">
        <v>369</v>
      </c>
      <c r="D29" s="130"/>
      <c r="E29" s="150" t="s">
        <v>370</v>
      </c>
      <c r="F29" s="150"/>
      <c r="G29" s="109">
        <f>'Presupuesto de Inversion'!E16</f>
        <v>4848000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>
      <c r="A30" s="108"/>
      <c r="B30" s="149"/>
      <c r="C30" s="130"/>
      <c r="D30" s="130"/>
      <c r="E30" s="150" t="s">
        <v>371</v>
      </c>
      <c r="F30" s="150"/>
      <c r="G30" s="109">
        <f>'Presupuesto de Inversion'!K12</f>
        <v>640000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>
      <c r="A31" s="108"/>
      <c r="B31" s="149"/>
      <c r="C31" s="130"/>
      <c r="D31" s="130"/>
      <c r="E31" s="174" t="s">
        <v>372</v>
      </c>
      <c r="F31" s="174"/>
      <c r="G31" s="113">
        <f>SUM(G29:G30)</f>
        <v>5488000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ht="15" customHeight="1">
      <c r="A32" s="108"/>
      <c r="B32" s="149"/>
      <c r="C32" s="149" t="s">
        <v>295</v>
      </c>
      <c r="D32" s="149"/>
      <c r="E32" s="130" t="s">
        <v>381</v>
      </c>
      <c r="F32" s="2" t="s">
        <v>373</v>
      </c>
      <c r="G32" s="109"/>
      <c r="H32" s="109">
        <f>'Demanda Dinamica'!$E$43</f>
        <v>5200000</v>
      </c>
      <c r="I32" s="109">
        <f>'Demanda Dinamica'!$E$43</f>
        <v>5200000</v>
      </c>
      <c r="J32" s="109">
        <f>'Demanda Dinamica'!$E$43</f>
        <v>5200000</v>
      </c>
      <c r="K32" s="109">
        <f>'Demanda Dinamica'!$E$43</f>
        <v>5200000</v>
      </c>
      <c r="L32" s="109">
        <f>'Demanda Dinamica'!$E$43</f>
        <v>5200000</v>
      </c>
      <c r="M32" s="109">
        <f>'Demanda Dinamica'!$E$43</f>
        <v>5200000</v>
      </c>
      <c r="N32" s="109">
        <f>'Demanda Dinamica'!$E$43</f>
        <v>5200000</v>
      </c>
      <c r="O32" s="109">
        <f>'Demanda Dinamica'!$E$43</f>
        <v>5200000</v>
      </c>
      <c r="P32" s="109">
        <f>'Demanda Dinamica'!$E$43</f>
        <v>5200000</v>
      </c>
      <c r="Q32" s="109">
        <f>'Demanda Dinamica'!$E$43</f>
        <v>5200000</v>
      </c>
      <c r="R32" s="109">
        <f>'Demanda Dinamica'!$E$43</f>
        <v>5200000</v>
      </c>
      <c r="S32" s="109">
        <f>'Demanda Dinamica'!$E$43</f>
        <v>5200000</v>
      </c>
      <c r="T32" s="109">
        <f>SUM(G32:S32)</f>
        <v>62400000</v>
      </c>
      <c r="U32" s="109">
        <f>T32+(T32*'Demanda Dinamica'!$D$6)</f>
        <v>66144000</v>
      </c>
      <c r="V32" s="109">
        <f>U32+(U32*'Demanda Dinamica'!$D$7)</f>
        <v>70443360</v>
      </c>
    </row>
    <row r="33" spans="1:22" ht="30">
      <c r="A33" s="108"/>
      <c r="B33" s="149"/>
      <c r="C33" s="149"/>
      <c r="D33" s="149"/>
      <c r="E33" s="130"/>
      <c r="F33" s="107" t="s">
        <v>374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>
      <c r="A34" s="108"/>
      <c r="B34" s="149"/>
      <c r="C34" s="149"/>
      <c r="D34" s="149"/>
      <c r="E34" s="130"/>
      <c r="F34" s="2" t="s">
        <v>375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>
      <c r="A35" s="108"/>
      <c r="B35" s="149"/>
      <c r="C35" s="149"/>
      <c r="D35" s="149"/>
      <c r="E35" s="130"/>
      <c r="F35" s="2" t="s">
        <v>58</v>
      </c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>
      <c r="A36" s="108"/>
      <c r="B36" s="149"/>
      <c r="C36" s="149"/>
      <c r="D36" s="149"/>
      <c r="E36" s="130"/>
      <c r="F36" s="2" t="s">
        <v>59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>
      <c r="A37" s="108"/>
      <c r="B37" s="149"/>
      <c r="C37" s="149"/>
      <c r="D37" s="149"/>
      <c r="E37" s="130"/>
      <c r="F37" s="2" t="s">
        <v>376</v>
      </c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>
      <c r="A38" s="108"/>
      <c r="B38" s="149"/>
      <c r="C38" s="149"/>
      <c r="D38" s="149"/>
      <c r="E38" s="130"/>
      <c r="F38" s="2" t="s">
        <v>377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>
      <c r="A39" s="108"/>
      <c r="B39" s="149"/>
      <c r="C39" s="149"/>
      <c r="D39" s="149"/>
      <c r="E39" s="130"/>
      <c r="F39" s="2" t="s">
        <v>62</v>
      </c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>
      <c r="A40" s="108"/>
      <c r="B40" s="149"/>
      <c r="C40" s="149"/>
      <c r="D40" s="149"/>
      <c r="E40" s="130"/>
      <c r="F40" s="2" t="s">
        <v>65</v>
      </c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>
      <c r="A41" s="108"/>
      <c r="B41" s="149"/>
      <c r="C41" s="149"/>
      <c r="D41" s="149"/>
      <c r="E41" s="130"/>
      <c r="F41" s="2" t="s">
        <v>66</v>
      </c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>
      <c r="A42" s="108"/>
      <c r="B42" s="149"/>
      <c r="C42" s="149"/>
      <c r="D42" s="149"/>
      <c r="E42" s="130"/>
      <c r="F42" s="2" t="s">
        <v>378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>
      <c r="A43" s="108"/>
      <c r="B43" s="149"/>
      <c r="C43" s="149"/>
      <c r="D43" s="149"/>
      <c r="E43" s="130"/>
      <c r="F43" s="2" t="s">
        <v>379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>
      <c r="A44" s="108"/>
      <c r="B44" s="149"/>
      <c r="C44" s="149"/>
      <c r="D44" s="149"/>
      <c r="E44" s="130"/>
      <c r="F44" s="114" t="s">
        <v>380</v>
      </c>
      <c r="G44" s="110"/>
      <c r="H44" s="110">
        <f>'Demanda Dinamica'!J43</f>
        <v>2780290</v>
      </c>
      <c r="I44" s="110">
        <f>'Demanda Dinamica'!K43</f>
        <v>2580290</v>
      </c>
      <c r="J44" s="110">
        <f>'Demanda Dinamica'!L43</f>
        <v>2580290</v>
      </c>
      <c r="K44" s="110">
        <f>'Demanda Dinamica'!M43</f>
        <v>3496630</v>
      </c>
      <c r="L44" s="110">
        <f>'Demanda Dinamica'!N43</f>
        <v>3476630</v>
      </c>
      <c r="M44" s="110">
        <f>'Demanda Dinamica'!O43</f>
        <v>4160580</v>
      </c>
      <c r="N44" s="110">
        <f>'Demanda Dinamica'!P43</f>
        <v>4160580</v>
      </c>
      <c r="O44" s="110">
        <f>'Demanda Dinamica'!Q43</f>
        <v>4160580</v>
      </c>
      <c r="P44" s="110">
        <f>'Demanda Dinamica'!R43</f>
        <v>4160580</v>
      </c>
      <c r="Q44" s="110">
        <f>'Demanda Dinamica'!S43</f>
        <v>5456920</v>
      </c>
      <c r="R44" s="110">
        <f>'Demanda Dinamica'!T43</f>
        <v>4160580</v>
      </c>
      <c r="S44" s="110">
        <f>'Demanda Dinamica'!U43</f>
        <v>4160580</v>
      </c>
      <c r="T44" s="110">
        <f>'Demanda Dinamica'!V43</f>
        <v>45334530</v>
      </c>
      <c r="U44" s="110">
        <f>'Demanda Dinamica'!W43</f>
        <v>48054601.800000004</v>
      </c>
      <c r="V44" s="110">
        <f>'Demanda Dinamica'!X43</f>
        <v>51178150.917000011</v>
      </c>
    </row>
    <row r="45" spans="1:22">
      <c r="A45" s="108"/>
      <c r="B45" s="149"/>
      <c r="C45" s="149"/>
      <c r="D45" s="149"/>
      <c r="E45" s="183" t="s">
        <v>382</v>
      </c>
      <c r="F45" s="183"/>
      <c r="G45" s="109"/>
      <c r="H45" s="109">
        <f>'Presupuesto de Inversion'!$E$163/12</f>
        <v>200000</v>
      </c>
      <c r="I45" s="109">
        <f>'Presupuesto de Inversion'!$E$163/12</f>
        <v>200000</v>
      </c>
      <c r="J45" s="109">
        <f>'Presupuesto de Inversion'!$E$163/12</f>
        <v>200000</v>
      </c>
      <c r="K45" s="109">
        <f>'Presupuesto de Inversion'!$E$163/12</f>
        <v>200000</v>
      </c>
      <c r="L45" s="109">
        <f>'Presupuesto de Inversion'!$E$163/12</f>
        <v>200000</v>
      </c>
      <c r="M45" s="109">
        <f>'Presupuesto de Inversion'!$E$163/12</f>
        <v>200000</v>
      </c>
      <c r="N45" s="109">
        <f>'Presupuesto de Inversion'!$E$163/12</f>
        <v>200000</v>
      </c>
      <c r="O45" s="109">
        <f>'Presupuesto de Inversion'!$E$163/12</f>
        <v>200000</v>
      </c>
      <c r="P45" s="109">
        <f>'Presupuesto de Inversion'!$E$163/12</f>
        <v>200000</v>
      </c>
      <c r="Q45" s="109">
        <f>'Presupuesto de Inversion'!$E$163/12</f>
        <v>200000</v>
      </c>
      <c r="R45" s="109">
        <f>'Presupuesto de Inversion'!$E$163/12</f>
        <v>200000</v>
      </c>
      <c r="S45" s="109">
        <f>'Presupuesto de Inversion'!$E$163/12</f>
        <v>200000</v>
      </c>
      <c r="T45" s="115">
        <f>'Presupuesto de Inversion'!E163</f>
        <v>2400000</v>
      </c>
      <c r="U45" s="115">
        <f>'Presupuesto de Inversion'!F163</f>
        <v>2544000</v>
      </c>
      <c r="V45" s="115">
        <f>'Presupuesto de Inversion'!G163</f>
        <v>2709360</v>
      </c>
    </row>
    <row r="46" spans="1:22">
      <c r="A46" s="108"/>
      <c r="B46" s="149"/>
      <c r="C46" s="149"/>
      <c r="D46" s="149"/>
      <c r="E46" s="183" t="s">
        <v>383</v>
      </c>
      <c r="F46" s="183"/>
      <c r="G46" s="109"/>
      <c r="H46" s="109">
        <f>'Presupuesto de Inversion'!$E$164/12</f>
        <v>0</v>
      </c>
      <c r="I46" s="109">
        <f>'Presupuesto de Inversion'!$E$164/12</f>
        <v>0</v>
      </c>
      <c r="J46" s="109">
        <f>'Presupuesto de Inversion'!$E$164/12</f>
        <v>0</v>
      </c>
      <c r="K46" s="109">
        <f>'Presupuesto de Inversion'!$E$164/12</f>
        <v>0</v>
      </c>
      <c r="L46" s="109">
        <f>'Presupuesto de Inversion'!$E$164/12</f>
        <v>0</v>
      </c>
      <c r="M46" s="109">
        <f>'Presupuesto de Inversion'!$E$164/12</f>
        <v>0</v>
      </c>
      <c r="N46" s="109">
        <f>'Presupuesto de Inversion'!$E$164/12</f>
        <v>0</v>
      </c>
      <c r="O46" s="109">
        <f>'Presupuesto de Inversion'!$E$164/12</f>
        <v>0</v>
      </c>
      <c r="P46" s="109">
        <f>'Presupuesto de Inversion'!$E$164/12</f>
        <v>0</v>
      </c>
      <c r="Q46" s="109">
        <f>'Presupuesto de Inversion'!$E$164/12</f>
        <v>0</v>
      </c>
      <c r="R46" s="109">
        <f>'Presupuesto de Inversion'!$E$164/12</f>
        <v>0</v>
      </c>
      <c r="S46" s="109">
        <f>'Presupuesto de Inversion'!$E$164/12</f>
        <v>0</v>
      </c>
      <c r="T46" s="109">
        <f>'Presupuesto de Inversion'!E164</f>
        <v>0</v>
      </c>
      <c r="U46" s="109">
        <f>'Presupuesto de Inversion'!F164</f>
        <v>0</v>
      </c>
      <c r="V46" s="109">
        <f>'Presupuesto de Inversion'!G164</f>
        <v>0</v>
      </c>
    </row>
    <row r="47" spans="1:22">
      <c r="A47" s="108"/>
      <c r="B47" s="149"/>
      <c r="C47" s="149"/>
      <c r="D47" s="149"/>
      <c r="E47" s="183" t="s">
        <v>384</v>
      </c>
      <c r="F47" s="183"/>
      <c r="G47" s="109"/>
      <c r="H47" s="109">
        <f>'Presupuesto de Inversion'!$E$165/12</f>
        <v>4040</v>
      </c>
      <c r="I47" s="109">
        <f>'Presupuesto de Inversion'!$E$165/12</f>
        <v>4040</v>
      </c>
      <c r="J47" s="109">
        <f>'Presupuesto de Inversion'!$E$165/12</f>
        <v>4040</v>
      </c>
      <c r="K47" s="109">
        <f>'Presupuesto de Inversion'!$E$165/12</f>
        <v>4040</v>
      </c>
      <c r="L47" s="109">
        <f>'Presupuesto de Inversion'!$E$165/12</f>
        <v>4040</v>
      </c>
      <c r="M47" s="109">
        <f>'Presupuesto de Inversion'!$E$165/12</f>
        <v>4040</v>
      </c>
      <c r="N47" s="109">
        <f>'Presupuesto de Inversion'!$E$165/12</f>
        <v>4040</v>
      </c>
      <c r="O47" s="109">
        <f>'Presupuesto de Inversion'!$E$165/12</f>
        <v>4040</v>
      </c>
      <c r="P47" s="109">
        <f>'Presupuesto de Inversion'!$E$165/12</f>
        <v>4040</v>
      </c>
      <c r="Q47" s="109">
        <f>'Presupuesto de Inversion'!$E$165/12</f>
        <v>4040</v>
      </c>
      <c r="R47" s="109">
        <f>'Presupuesto de Inversion'!$E$165/12</f>
        <v>4040</v>
      </c>
      <c r="S47" s="109">
        <f>'Presupuesto de Inversion'!$E$165/12</f>
        <v>4040</v>
      </c>
      <c r="T47" s="109">
        <f>'Presupuesto de Inversion'!E165</f>
        <v>48480</v>
      </c>
      <c r="U47" s="109">
        <f>'Presupuesto de Inversion'!F165</f>
        <v>51388.800000000003</v>
      </c>
      <c r="V47" s="109">
        <f>'Presupuesto de Inversion'!G165</f>
        <v>54729.072</v>
      </c>
    </row>
    <row r="48" spans="1:22">
      <c r="A48" s="108"/>
      <c r="B48" s="149"/>
      <c r="C48" s="149"/>
      <c r="D48" s="149"/>
      <c r="E48" s="183" t="s">
        <v>179</v>
      </c>
      <c r="F48" s="183"/>
      <c r="G48" s="109"/>
      <c r="H48" s="109">
        <f>'Presupuesto de Inversion'!$E$166/12</f>
        <v>0</v>
      </c>
      <c r="I48" s="109">
        <f>'Presupuesto de Inversion'!$E$166/12</f>
        <v>0</v>
      </c>
      <c r="J48" s="109">
        <f>'Presupuesto de Inversion'!$E$166/12</f>
        <v>0</v>
      </c>
      <c r="K48" s="109">
        <f>'Presupuesto de Inversion'!$E$166/12</f>
        <v>0</v>
      </c>
      <c r="L48" s="109">
        <f>'Presupuesto de Inversion'!$E$166/12</f>
        <v>0</v>
      </c>
      <c r="M48" s="109">
        <f>'Presupuesto de Inversion'!$E$166/12</f>
        <v>0</v>
      </c>
      <c r="N48" s="109">
        <f>'Presupuesto de Inversion'!$E$166/12</f>
        <v>0</v>
      </c>
      <c r="O48" s="109">
        <f>'Presupuesto de Inversion'!$E$166/12</f>
        <v>0</v>
      </c>
      <c r="P48" s="109">
        <f>'Presupuesto de Inversion'!$E$166/12</f>
        <v>0</v>
      </c>
      <c r="Q48" s="109">
        <f>'Presupuesto de Inversion'!$E$166/12</f>
        <v>0</v>
      </c>
      <c r="R48" s="109">
        <f>'Presupuesto de Inversion'!$E$166/12</f>
        <v>0</v>
      </c>
      <c r="S48" s="109">
        <f>'Presupuesto de Inversion'!$E$166/12</f>
        <v>0</v>
      </c>
      <c r="T48" s="109">
        <f>'Presupuesto de Inversion'!E166</f>
        <v>0</v>
      </c>
      <c r="U48" s="109">
        <f>'Presupuesto de Inversion'!F166</f>
        <v>0</v>
      </c>
      <c r="V48" s="109">
        <f>'Presupuesto de Inversion'!G166</f>
        <v>0</v>
      </c>
    </row>
    <row r="49" spans="1:22">
      <c r="A49" s="108"/>
      <c r="B49" s="149"/>
      <c r="C49" s="149"/>
      <c r="D49" s="149"/>
      <c r="E49" s="183" t="s">
        <v>180</v>
      </c>
      <c r="F49" s="183"/>
      <c r="G49" s="109"/>
      <c r="H49" s="109">
        <f>'Presupuesto de Inversion'!$E$167/12</f>
        <v>10000</v>
      </c>
      <c r="I49" s="109">
        <f>'Presupuesto de Inversion'!$E$167/12</f>
        <v>10000</v>
      </c>
      <c r="J49" s="109">
        <f>'Presupuesto de Inversion'!$E$167/12</f>
        <v>10000</v>
      </c>
      <c r="K49" s="109">
        <f>'Presupuesto de Inversion'!$E$167/12</f>
        <v>10000</v>
      </c>
      <c r="L49" s="109">
        <f>'Presupuesto de Inversion'!$E$167/12</f>
        <v>10000</v>
      </c>
      <c r="M49" s="109">
        <f>'Presupuesto de Inversion'!$E$167/12</f>
        <v>10000</v>
      </c>
      <c r="N49" s="109">
        <f>'Presupuesto de Inversion'!$E$167/12</f>
        <v>10000</v>
      </c>
      <c r="O49" s="109">
        <f>'Presupuesto de Inversion'!$E$167/12</f>
        <v>10000</v>
      </c>
      <c r="P49" s="109">
        <f>'Presupuesto de Inversion'!$E$167/12</f>
        <v>10000</v>
      </c>
      <c r="Q49" s="109">
        <f>'Presupuesto de Inversion'!$E$167/12</f>
        <v>10000</v>
      </c>
      <c r="R49" s="109">
        <f>'Presupuesto de Inversion'!$E$167/12</f>
        <v>10000</v>
      </c>
      <c r="S49" s="109">
        <f>'Presupuesto de Inversion'!$E$167/12</f>
        <v>10000</v>
      </c>
      <c r="T49" s="109">
        <f>'Presupuesto de Inversion'!E167</f>
        <v>120000</v>
      </c>
      <c r="U49" s="109">
        <f>'Presupuesto de Inversion'!F167</f>
        <v>127200</v>
      </c>
      <c r="V49" s="109">
        <f>'Presupuesto de Inversion'!G167</f>
        <v>135468</v>
      </c>
    </row>
    <row r="50" spans="1:22">
      <c r="A50" s="108"/>
      <c r="B50" s="149"/>
      <c r="C50" s="149"/>
      <c r="D50" s="149"/>
      <c r="E50" s="183" t="s">
        <v>385</v>
      </c>
      <c r="F50" s="183"/>
      <c r="G50" s="109"/>
      <c r="H50" s="109">
        <f>'Presupuesto de Inversion'!$E$168/12</f>
        <v>0</v>
      </c>
      <c r="I50" s="109">
        <f>'Presupuesto de Inversion'!$E$168/12</f>
        <v>0</v>
      </c>
      <c r="J50" s="109">
        <f>'Presupuesto de Inversion'!$E$168/12</f>
        <v>0</v>
      </c>
      <c r="K50" s="109">
        <f>'Presupuesto de Inversion'!$E$168/12</f>
        <v>0</v>
      </c>
      <c r="L50" s="109">
        <f>'Presupuesto de Inversion'!$E$168/12</f>
        <v>0</v>
      </c>
      <c r="M50" s="109">
        <f>'Presupuesto de Inversion'!$E$168/12</f>
        <v>0</v>
      </c>
      <c r="N50" s="109">
        <f>'Presupuesto de Inversion'!$E$168/12</f>
        <v>0</v>
      </c>
      <c r="O50" s="109">
        <f>'Presupuesto de Inversion'!$E$168/12</f>
        <v>0</v>
      </c>
      <c r="P50" s="109">
        <f>'Presupuesto de Inversion'!$E$168/12</f>
        <v>0</v>
      </c>
      <c r="Q50" s="109">
        <f>'Presupuesto de Inversion'!$E$168/12</f>
        <v>0</v>
      </c>
      <c r="R50" s="109">
        <f>'Presupuesto de Inversion'!$E$168/12</f>
        <v>0</v>
      </c>
      <c r="S50" s="109">
        <f>'Presupuesto de Inversion'!$E$168/12</f>
        <v>0</v>
      </c>
      <c r="T50" s="109">
        <f>'Presupuesto de Inversion'!E168</f>
        <v>0</v>
      </c>
      <c r="U50" s="109">
        <f>'Presupuesto de Inversion'!F168</f>
        <v>0</v>
      </c>
      <c r="V50" s="109">
        <f>'Presupuesto de Inversion'!G168</f>
        <v>0</v>
      </c>
    </row>
    <row r="51" spans="1:22">
      <c r="A51" s="108"/>
      <c r="B51" s="149"/>
      <c r="C51" s="149"/>
      <c r="D51" s="149"/>
      <c r="E51" s="183" t="s">
        <v>386</v>
      </c>
      <c r="F51" s="183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>
      <c r="A52" s="108"/>
      <c r="B52" s="149"/>
      <c r="C52" s="149"/>
      <c r="D52" s="149"/>
      <c r="E52" s="174" t="s">
        <v>307</v>
      </c>
      <c r="F52" s="174"/>
      <c r="G52" s="110"/>
      <c r="H52" s="110">
        <f>SUM(H45:H51)</f>
        <v>214040</v>
      </c>
      <c r="I52" s="110">
        <f t="shared" ref="I52:V52" si="9">SUM(I45:I51)</f>
        <v>214040</v>
      </c>
      <c r="J52" s="110">
        <f t="shared" si="9"/>
        <v>214040</v>
      </c>
      <c r="K52" s="110">
        <f t="shared" si="9"/>
        <v>214040</v>
      </c>
      <c r="L52" s="110">
        <f t="shared" si="9"/>
        <v>214040</v>
      </c>
      <c r="M52" s="110">
        <f t="shared" si="9"/>
        <v>214040</v>
      </c>
      <c r="N52" s="110">
        <f t="shared" si="9"/>
        <v>214040</v>
      </c>
      <c r="O52" s="110">
        <f t="shared" si="9"/>
        <v>214040</v>
      </c>
      <c r="P52" s="110">
        <f t="shared" si="9"/>
        <v>214040</v>
      </c>
      <c r="Q52" s="110">
        <f t="shared" si="9"/>
        <v>214040</v>
      </c>
      <c r="R52" s="110">
        <f t="shared" si="9"/>
        <v>214040</v>
      </c>
      <c r="S52" s="110">
        <f t="shared" si="9"/>
        <v>214040</v>
      </c>
      <c r="T52" s="110">
        <f t="shared" si="9"/>
        <v>2568480</v>
      </c>
      <c r="U52" s="110">
        <f t="shared" si="9"/>
        <v>2722588.8</v>
      </c>
      <c r="V52" s="110">
        <f t="shared" si="9"/>
        <v>2899557.0720000002</v>
      </c>
    </row>
    <row r="53" spans="1:22">
      <c r="A53" s="108"/>
      <c r="B53" s="149"/>
      <c r="C53" s="149" t="s">
        <v>206</v>
      </c>
      <c r="D53" s="149"/>
      <c r="E53" s="150" t="s">
        <v>387</v>
      </c>
      <c r="F53" s="150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>
      <c r="A54" s="108"/>
      <c r="B54" s="149"/>
      <c r="C54" s="149"/>
      <c r="D54" s="149"/>
      <c r="E54" s="150" t="s">
        <v>388</v>
      </c>
      <c r="F54" s="150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>
        <v>0</v>
      </c>
      <c r="U54" s="109">
        <f>'Presupuesto de Inversion'!F160</f>
        <v>80000</v>
      </c>
      <c r="V54" s="109">
        <f>'Presupuesto de Inversion'!G160</f>
        <v>85200</v>
      </c>
    </row>
    <row r="55" spans="1:22">
      <c r="A55" s="108"/>
      <c r="B55" s="149"/>
      <c r="C55" s="149"/>
      <c r="D55" s="149"/>
      <c r="E55" s="150" t="s">
        <v>389</v>
      </c>
      <c r="F55" s="150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>
        <v>0</v>
      </c>
      <c r="U55" s="109">
        <f>'Presupuesto de Inversion'!F161</f>
        <v>0</v>
      </c>
      <c r="V55" s="109">
        <f>'Presupuesto de Inversion'!G161</f>
        <v>0</v>
      </c>
    </row>
    <row r="56" spans="1:22">
      <c r="A56" s="108"/>
      <c r="B56" s="149"/>
      <c r="C56" s="149"/>
      <c r="D56" s="149"/>
      <c r="E56" s="150" t="s">
        <v>390</v>
      </c>
      <c r="F56" s="150"/>
      <c r="G56" s="109"/>
      <c r="H56" s="109">
        <f>'Presupuesto de Inversion'!$C$154/12</f>
        <v>150211.44997362385</v>
      </c>
      <c r="I56" s="109">
        <f>'Presupuesto de Inversion'!$C$154/12</f>
        <v>150211.44997362385</v>
      </c>
      <c r="J56" s="109">
        <f>'Presupuesto de Inversion'!$C$154/12</f>
        <v>150211.44997362385</v>
      </c>
      <c r="K56" s="109">
        <f>'Presupuesto de Inversion'!$C$154/12</f>
        <v>150211.44997362385</v>
      </c>
      <c r="L56" s="109">
        <f>'Presupuesto de Inversion'!$C$154/12</f>
        <v>150211.44997362385</v>
      </c>
      <c r="M56" s="109">
        <f>'Presupuesto de Inversion'!$C$154/12</f>
        <v>150211.44997362385</v>
      </c>
      <c r="N56" s="109">
        <f>'Presupuesto de Inversion'!$C$154/12</f>
        <v>150211.44997362385</v>
      </c>
      <c r="O56" s="109">
        <f>'Presupuesto de Inversion'!$C$154/12</f>
        <v>150211.44997362385</v>
      </c>
      <c r="P56" s="109">
        <f>'Presupuesto de Inversion'!$C$154/12</f>
        <v>150211.44997362385</v>
      </c>
      <c r="Q56" s="109">
        <f>'Presupuesto de Inversion'!$C$154/12</f>
        <v>150211.44997362385</v>
      </c>
      <c r="R56" s="109">
        <f>'Presupuesto de Inversion'!$C$154/12</f>
        <v>150211.44997362385</v>
      </c>
      <c r="S56" s="109">
        <f>'Presupuesto de Inversion'!$C$154/12</f>
        <v>150211.44997362385</v>
      </c>
      <c r="T56" s="109">
        <f>'Presupuesto de Inversion'!C154</f>
        <v>1802537.3996834862</v>
      </c>
      <c r="U56" s="109">
        <f>'Presupuesto de Inversion'!D154</f>
        <v>1910689.6436644953</v>
      </c>
      <c r="V56" s="109">
        <f>'Presupuesto de Inversion'!E154</f>
        <v>2034884.4705026876</v>
      </c>
    </row>
    <row r="57" spans="1:22">
      <c r="A57" s="108"/>
      <c r="B57" s="149"/>
      <c r="C57" s="149"/>
      <c r="D57" s="149"/>
      <c r="E57" s="150" t="s">
        <v>391</v>
      </c>
      <c r="F57" s="150"/>
      <c r="G57" s="109"/>
      <c r="H57" s="109">
        <f>'Presupuesto de Inversion'!$C$155/12</f>
        <v>22531.717496043577</v>
      </c>
      <c r="I57" s="109">
        <f>'Presupuesto de Inversion'!$C$155/12</f>
        <v>22531.717496043577</v>
      </c>
      <c r="J57" s="109">
        <f>'Presupuesto de Inversion'!$C$155/12</f>
        <v>22531.717496043577</v>
      </c>
      <c r="K57" s="109">
        <f>'Presupuesto de Inversion'!$C$155/12</f>
        <v>22531.717496043577</v>
      </c>
      <c r="L57" s="109">
        <f>'Presupuesto de Inversion'!$C$155/12</f>
        <v>22531.717496043577</v>
      </c>
      <c r="M57" s="109">
        <f>'Presupuesto de Inversion'!$C$155/12</f>
        <v>22531.717496043577</v>
      </c>
      <c r="N57" s="109">
        <f>'Presupuesto de Inversion'!$C$155/12</f>
        <v>22531.717496043577</v>
      </c>
      <c r="O57" s="109">
        <f>'Presupuesto de Inversion'!$C$155/12</f>
        <v>22531.717496043577</v>
      </c>
      <c r="P57" s="109">
        <f>'Presupuesto de Inversion'!$C$155/12</f>
        <v>22531.717496043577</v>
      </c>
      <c r="Q57" s="109">
        <f>'Presupuesto de Inversion'!$C$155/12</f>
        <v>22531.717496043577</v>
      </c>
      <c r="R57" s="109">
        <f>'Presupuesto de Inversion'!$C$155/12</f>
        <v>22531.717496043577</v>
      </c>
      <c r="S57" s="109">
        <f>'Presupuesto de Inversion'!$C$155/12</f>
        <v>22531.717496043577</v>
      </c>
      <c r="T57" s="109">
        <f>'Presupuesto de Inversion'!C155</f>
        <v>270380.60995252291</v>
      </c>
      <c r="U57" s="109">
        <f>'Presupuesto de Inversion'!D155</f>
        <v>286603.44654967426</v>
      </c>
      <c r="V57" s="109">
        <f>'Presupuesto de Inversion'!E155</f>
        <v>305232.67057540314</v>
      </c>
    </row>
    <row r="58" spans="1:22">
      <c r="A58" s="108"/>
      <c r="B58" s="149"/>
      <c r="C58" s="149"/>
      <c r="D58" s="149"/>
      <c r="E58" s="150" t="s">
        <v>392</v>
      </c>
      <c r="F58" s="150"/>
      <c r="G58" s="109"/>
      <c r="H58" s="109">
        <f>'Presupuesto de Inversion'!C140</f>
        <v>922185.43720183475</v>
      </c>
      <c r="I58" s="109">
        <f>'Presupuesto de Inversion'!D140</f>
        <v>1822414.0782798163</v>
      </c>
      <c r="J58" s="109">
        <f>'Presupuesto de Inversion'!E140</f>
        <v>2481117.9619954126</v>
      </c>
      <c r="K58" s="109">
        <f>'Presupuesto de Inversion'!F140</f>
        <v>4534078.399575687</v>
      </c>
      <c r="L58" s="109">
        <f>'Presupuesto de Inversion'!G140</f>
        <v>1438170.1461123852</v>
      </c>
      <c r="M58" s="109">
        <f>'Presupuesto de Inversion'!H140</f>
        <v>1207623.7868119266</v>
      </c>
      <c r="N58" s="109">
        <f>'Presupuesto de Inversion'!I140</f>
        <v>1899262.8647133026</v>
      </c>
      <c r="O58" s="109">
        <f>'Presupuesto de Inversion'!J140</f>
        <v>5028106.312362385</v>
      </c>
      <c r="P58" s="109">
        <f>'Presupuesto de Inversion'!K140</f>
        <v>4984192.7201146781</v>
      </c>
      <c r="Q58" s="109">
        <f>'Presupuesto de Inversion'!L140</f>
        <v>4007115.2926032105</v>
      </c>
      <c r="R58" s="109">
        <f>'Presupuesto de Inversion'!M140</f>
        <v>1679694.9034747705</v>
      </c>
      <c r="S58" s="109">
        <f>'Presupuesto de Inversion'!N140</f>
        <v>1130775.0003784401</v>
      </c>
      <c r="T58" s="109">
        <f>'Presupuesto de Inversion'!O140</f>
        <v>31134736.903623849</v>
      </c>
      <c r="U58" s="109">
        <f>'Presupuesto de Inversion'!P140</f>
        <v>33625515.855913758</v>
      </c>
      <c r="V58" s="109">
        <f>'Presupuesto de Inversion'!Q140</f>
        <v>38669343.234300822</v>
      </c>
    </row>
    <row r="59" spans="1:22">
      <c r="A59" s="108"/>
      <c r="B59" s="149"/>
      <c r="C59" s="149"/>
      <c r="D59" s="149"/>
      <c r="E59" s="150" t="s">
        <v>393</v>
      </c>
      <c r="F59" s="150"/>
      <c r="G59" s="109"/>
      <c r="H59" s="109">
        <f>'Presupuesto de Inversion'!C141</f>
        <v>138327.8155802752</v>
      </c>
      <c r="I59" s="109">
        <f>'Presupuesto de Inversion'!D141</f>
        <v>273362.11174197245</v>
      </c>
      <c r="J59" s="109">
        <f>'Presupuesto de Inversion'!E141</f>
        <v>372167.6942993119</v>
      </c>
      <c r="K59" s="109">
        <f>'Presupuesto de Inversion'!F141</f>
        <v>680111.75993635308</v>
      </c>
      <c r="L59" s="109">
        <f>'Presupuesto de Inversion'!G141</f>
        <v>215725.52191685778</v>
      </c>
      <c r="M59" s="109">
        <f>'Presupuesto de Inversion'!H141</f>
        <v>181143.56802178899</v>
      </c>
      <c r="N59" s="109">
        <f>'Presupuesto de Inversion'!I141</f>
        <v>284889.42970699538</v>
      </c>
      <c r="O59" s="109">
        <f>'Presupuesto de Inversion'!J141</f>
        <v>754215.94685435772</v>
      </c>
      <c r="P59" s="109">
        <f>'Presupuesto de Inversion'!K141</f>
        <v>747628.9080172017</v>
      </c>
      <c r="Q59" s="109">
        <f>'Presupuesto de Inversion'!L141</f>
        <v>601067.29389048158</v>
      </c>
      <c r="R59" s="109">
        <f>'Presupuesto de Inversion'!M141</f>
        <v>251954.23552121557</v>
      </c>
      <c r="S59" s="109">
        <f>'Presupuesto de Inversion'!N141</f>
        <v>169616.250056766</v>
      </c>
      <c r="T59" s="109">
        <f>'Presupuesto de Inversion'!O141</f>
        <v>4670210.5355435777</v>
      </c>
      <c r="U59" s="109">
        <f>'Presupuesto de Inversion'!P141</f>
        <v>5043827.3783870637</v>
      </c>
      <c r="V59" s="109">
        <f>'Presupuesto de Inversion'!Q141</f>
        <v>5800401.4851451237</v>
      </c>
    </row>
    <row r="60" spans="1:22">
      <c r="A60" s="108"/>
      <c r="B60" s="149"/>
      <c r="C60" s="149"/>
      <c r="D60" s="149"/>
      <c r="E60" s="150" t="s">
        <v>394</v>
      </c>
      <c r="F60" s="150"/>
      <c r="G60" s="109"/>
      <c r="H60" s="109">
        <f>$E$14/12</f>
        <v>1696382.8060779192</v>
      </c>
      <c r="I60" s="109">
        <f t="shared" ref="I60:S60" si="10">$E$14/12</f>
        <v>1696382.8060779192</v>
      </c>
      <c r="J60" s="109">
        <f t="shared" si="10"/>
        <v>1696382.8060779192</v>
      </c>
      <c r="K60" s="109">
        <f t="shared" si="10"/>
        <v>1696382.8060779192</v>
      </c>
      <c r="L60" s="109">
        <f t="shared" si="10"/>
        <v>1696382.8060779192</v>
      </c>
      <c r="M60" s="109">
        <f t="shared" si="10"/>
        <v>1696382.8060779192</v>
      </c>
      <c r="N60" s="109">
        <f t="shared" si="10"/>
        <v>1696382.8060779192</v>
      </c>
      <c r="O60" s="109">
        <f t="shared" si="10"/>
        <v>1696382.8060779192</v>
      </c>
      <c r="P60" s="109">
        <f t="shared" si="10"/>
        <v>1696382.8060779192</v>
      </c>
      <c r="Q60" s="109">
        <f t="shared" si="10"/>
        <v>1696382.8060779192</v>
      </c>
      <c r="R60" s="109">
        <f t="shared" si="10"/>
        <v>1696382.8060779192</v>
      </c>
      <c r="S60" s="109">
        <f t="shared" si="10"/>
        <v>1696382.8060779192</v>
      </c>
      <c r="T60" s="109">
        <f>E14</f>
        <v>20356593.672935031</v>
      </c>
      <c r="U60" s="109">
        <f t="shared" ref="U60:V60" si="11">F14</f>
        <v>22325630.956818011</v>
      </c>
      <c r="V60" s="109">
        <f t="shared" si="11"/>
        <v>27921644.721257761</v>
      </c>
    </row>
    <row r="61" spans="1:22">
      <c r="A61" s="108"/>
      <c r="B61" s="149"/>
      <c r="C61" s="149"/>
      <c r="D61" s="149"/>
      <c r="E61" s="174" t="s">
        <v>210</v>
      </c>
      <c r="F61" s="174"/>
      <c r="G61" s="110"/>
      <c r="H61" s="110">
        <f>SUM(H53:H60)</f>
        <v>2929639.2263296964</v>
      </c>
      <c r="I61" s="110">
        <f t="shared" ref="I61:V61" si="12">SUM(I53:I60)</f>
        <v>3964902.1635693759</v>
      </c>
      <c r="J61" s="110">
        <f t="shared" si="12"/>
        <v>4722411.6298423111</v>
      </c>
      <c r="K61" s="110">
        <f t="shared" si="12"/>
        <v>7083316.1330596264</v>
      </c>
      <c r="L61" s="110">
        <f t="shared" si="12"/>
        <v>3523021.6415768294</v>
      </c>
      <c r="M61" s="110">
        <f t="shared" si="12"/>
        <v>3257893.3283813023</v>
      </c>
      <c r="N61" s="110">
        <f t="shared" si="12"/>
        <v>4053278.2679678844</v>
      </c>
      <c r="O61" s="110">
        <f t="shared" si="12"/>
        <v>7651448.2327643288</v>
      </c>
      <c r="P61" s="110">
        <f t="shared" si="12"/>
        <v>7600947.6016794657</v>
      </c>
      <c r="Q61" s="110">
        <f t="shared" si="12"/>
        <v>6477308.5600412786</v>
      </c>
      <c r="R61" s="110">
        <f t="shared" si="12"/>
        <v>3800775.1125435727</v>
      </c>
      <c r="S61" s="110">
        <f t="shared" si="12"/>
        <v>3169517.2239827928</v>
      </c>
      <c r="T61" s="110">
        <f t="shared" si="12"/>
        <v>58234459.121738464</v>
      </c>
      <c r="U61" s="110">
        <f t="shared" si="12"/>
        <v>63272267.281332999</v>
      </c>
      <c r="V61" s="110">
        <f t="shared" si="12"/>
        <v>74816706.581781805</v>
      </c>
    </row>
    <row r="62" spans="1:22">
      <c r="A62" s="108"/>
      <c r="B62" s="149"/>
      <c r="C62" s="184" t="s">
        <v>395</v>
      </c>
      <c r="D62" s="184"/>
      <c r="E62" s="184"/>
      <c r="F62" s="184"/>
      <c r="G62" s="109"/>
      <c r="H62" s="109">
        <f>$E$17/12</f>
        <v>447845.06080457073</v>
      </c>
      <c r="I62" s="109">
        <f t="shared" ref="I62:S62" si="13">$E$17/12</f>
        <v>447845.06080457073</v>
      </c>
      <c r="J62" s="109">
        <f t="shared" si="13"/>
        <v>447845.06080457073</v>
      </c>
      <c r="K62" s="109">
        <f t="shared" si="13"/>
        <v>447845.06080457073</v>
      </c>
      <c r="L62" s="109">
        <f t="shared" si="13"/>
        <v>447845.06080457073</v>
      </c>
      <c r="M62" s="109">
        <f t="shared" si="13"/>
        <v>447845.06080457073</v>
      </c>
      <c r="N62" s="109">
        <f t="shared" si="13"/>
        <v>447845.06080457073</v>
      </c>
      <c r="O62" s="109">
        <f t="shared" si="13"/>
        <v>447845.06080457073</v>
      </c>
      <c r="P62" s="109">
        <f t="shared" si="13"/>
        <v>447845.06080457073</v>
      </c>
      <c r="Q62" s="109">
        <f t="shared" si="13"/>
        <v>447845.06080457073</v>
      </c>
      <c r="R62" s="109">
        <f t="shared" si="13"/>
        <v>447845.06080457073</v>
      </c>
      <c r="S62" s="109">
        <f t="shared" si="13"/>
        <v>447845.06080457073</v>
      </c>
      <c r="T62" s="109">
        <f>E17</f>
        <v>5374140.7296548486</v>
      </c>
      <c r="U62" s="109">
        <f t="shared" ref="U62:V62" si="14">F17</f>
        <v>5893966.5725999549</v>
      </c>
      <c r="V62" s="109">
        <f t="shared" si="14"/>
        <v>7371314.206412049</v>
      </c>
    </row>
    <row r="63" spans="1:22">
      <c r="A63" s="108"/>
      <c r="B63" s="149"/>
      <c r="C63" s="150" t="s">
        <v>396</v>
      </c>
      <c r="D63" s="150"/>
      <c r="E63" s="150"/>
      <c r="F63" s="150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>
      <c r="A64" s="108"/>
      <c r="B64" s="149"/>
      <c r="C64" s="175" t="s">
        <v>355</v>
      </c>
      <c r="D64" s="175"/>
      <c r="E64" s="175"/>
      <c r="F64" s="175"/>
      <c r="G64" s="111">
        <f>G31</f>
        <v>5488000</v>
      </c>
      <c r="H64" s="111">
        <f>H44+H52+H61</f>
        <v>5923969.2263296964</v>
      </c>
      <c r="I64" s="111">
        <f t="shared" ref="I64:V64" si="15">I44+I52+I61</f>
        <v>6759232.1635693759</v>
      </c>
      <c r="J64" s="111">
        <f t="shared" si="15"/>
        <v>7516741.6298423111</v>
      </c>
      <c r="K64" s="111">
        <f t="shared" si="15"/>
        <v>10793986.133059626</v>
      </c>
      <c r="L64" s="111">
        <f t="shared" si="15"/>
        <v>7213691.6415768294</v>
      </c>
      <c r="M64" s="111">
        <f t="shared" si="15"/>
        <v>7632513.3283813018</v>
      </c>
      <c r="N64" s="111">
        <f t="shared" si="15"/>
        <v>8427898.2679678835</v>
      </c>
      <c r="O64" s="111">
        <f t="shared" si="15"/>
        <v>12026068.23276433</v>
      </c>
      <c r="P64" s="111">
        <f t="shared" si="15"/>
        <v>11975567.601679467</v>
      </c>
      <c r="Q64" s="111">
        <f t="shared" si="15"/>
        <v>12148268.560041279</v>
      </c>
      <c r="R64" s="111">
        <f t="shared" si="15"/>
        <v>8175395.1125435727</v>
      </c>
      <c r="S64" s="111">
        <f t="shared" si="15"/>
        <v>7544137.2239827923</v>
      </c>
      <c r="T64" s="111">
        <f t="shared" si="15"/>
        <v>106137469.12173846</v>
      </c>
      <c r="U64" s="111">
        <f t="shared" si="15"/>
        <v>114049457.88133299</v>
      </c>
      <c r="V64" s="111">
        <f t="shared" si="15"/>
        <v>128894414.57078181</v>
      </c>
    </row>
    <row r="65" spans="1:22">
      <c r="A65" s="108"/>
      <c r="B65" s="185" t="s">
        <v>397</v>
      </c>
      <c r="C65" s="185"/>
      <c r="D65" s="185"/>
      <c r="E65" s="185"/>
      <c r="F65" s="185"/>
      <c r="G65" s="113">
        <f>G28-G64</f>
        <v>20008813.244725019</v>
      </c>
      <c r="H65" s="113">
        <f>H28-H64</f>
        <v>-1763734.1712838253</v>
      </c>
      <c r="I65" s="113">
        <f t="shared" ref="I65:V65" si="16">I28-I64</f>
        <v>1462184.7309260359</v>
      </c>
      <c r="J65" s="113">
        <f t="shared" si="16"/>
        <v>3676271.7325430084</v>
      </c>
      <c r="K65" s="113">
        <f t="shared" si="16"/>
        <v>9660502.8875825722</v>
      </c>
      <c r="L65" s="113">
        <f t="shared" si="16"/>
        <v>-725706.02001719736</v>
      </c>
      <c r="M65" s="113">
        <f t="shared" si="16"/>
        <v>-2184586.4705831371</v>
      </c>
      <c r="N65" s="113">
        <f t="shared" si="16"/>
        <v>140204.88111468405</v>
      </c>
      <c r="O65" s="113">
        <f t="shared" si="16"/>
        <v>10657118.138795301</v>
      </c>
      <c r="P65" s="113">
        <f t="shared" si="16"/>
        <v>10509512.338687502</v>
      </c>
      <c r="Q65" s="113">
        <f t="shared" si="16"/>
        <v>5928943.2862889953</v>
      </c>
      <c r="R65" s="113">
        <f t="shared" si="16"/>
        <v>-597824.11942430772</v>
      </c>
      <c r="S65" s="113">
        <f t="shared" si="16"/>
        <v>-2442896.6207717834</v>
      </c>
      <c r="T65" s="113">
        <f t="shared" si="16"/>
        <v>34319990.593857855</v>
      </c>
      <c r="U65" s="113">
        <f t="shared" si="16"/>
        <v>37644598.611511022</v>
      </c>
      <c r="V65" s="113">
        <f t="shared" si="16"/>
        <v>45553750.395988807</v>
      </c>
    </row>
    <row r="66" spans="1:22">
      <c r="A66" s="108"/>
      <c r="B66" s="128" t="s">
        <v>398</v>
      </c>
      <c r="C66" s="128"/>
      <c r="D66" s="128"/>
      <c r="E66" s="128"/>
      <c r="F66" s="128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>
      <c r="A67" s="108"/>
    </row>
    <row r="68" spans="1:22">
      <c r="B68" s="187" t="s">
        <v>419</v>
      </c>
      <c r="C68" s="187"/>
      <c r="D68" s="187"/>
      <c r="E68" s="187"/>
      <c r="F68" s="187"/>
      <c r="G68" s="187"/>
      <c r="H68" s="187"/>
      <c r="I68" s="187"/>
      <c r="J68" s="187"/>
    </row>
    <row r="69" spans="1:22">
      <c r="B69" s="149" t="s">
        <v>68</v>
      </c>
      <c r="C69" s="149"/>
      <c r="D69" s="149"/>
      <c r="E69" s="149"/>
      <c r="F69" s="149"/>
      <c r="G69" s="62" t="s">
        <v>418</v>
      </c>
      <c r="H69" s="62" t="s">
        <v>2</v>
      </c>
      <c r="I69" s="62" t="s">
        <v>3</v>
      </c>
      <c r="J69" s="62" t="s">
        <v>43</v>
      </c>
    </row>
    <row r="70" spans="1:22">
      <c r="B70" s="149" t="s">
        <v>416</v>
      </c>
      <c r="C70" s="149" t="s">
        <v>406</v>
      </c>
      <c r="D70" s="149"/>
      <c r="E70" s="150" t="s">
        <v>402</v>
      </c>
      <c r="F70" s="150"/>
      <c r="G70" s="109">
        <f>G65</f>
        <v>20008813.244725019</v>
      </c>
      <c r="H70" s="109">
        <f>T65</f>
        <v>34319990.593857855</v>
      </c>
      <c r="I70" s="109">
        <f t="shared" ref="I70:J70" si="17">U65</f>
        <v>37644598.611511022</v>
      </c>
      <c r="J70" s="109">
        <f t="shared" si="17"/>
        <v>45553750.395988807</v>
      </c>
    </row>
    <row r="71" spans="1:22">
      <c r="B71" s="149"/>
      <c r="C71" s="149"/>
      <c r="D71" s="149"/>
      <c r="E71" s="150" t="s">
        <v>403</v>
      </c>
      <c r="F71" s="150"/>
      <c r="G71" s="109">
        <v>0</v>
      </c>
      <c r="H71" s="109">
        <f>T23</f>
        <v>70228729.857798159</v>
      </c>
      <c r="I71" s="109">
        <f t="shared" ref="I71:J71" si="18">U23</f>
        <v>75847028.246422008</v>
      </c>
      <c r="J71" s="109">
        <f t="shared" si="18"/>
        <v>87224082.48338531</v>
      </c>
    </row>
    <row r="72" spans="1:22">
      <c r="B72" s="149"/>
      <c r="C72" s="149"/>
      <c r="D72" s="149"/>
      <c r="E72" s="150" t="s">
        <v>404</v>
      </c>
      <c r="F72" s="150"/>
      <c r="G72" s="109"/>
      <c r="H72" s="109"/>
      <c r="I72" s="109"/>
      <c r="J72" s="109"/>
    </row>
    <row r="73" spans="1:22">
      <c r="B73" s="149"/>
      <c r="C73" s="149"/>
      <c r="D73" s="149"/>
      <c r="E73" s="150" t="s">
        <v>405</v>
      </c>
      <c r="F73" s="150"/>
      <c r="G73" s="109"/>
      <c r="H73" s="109"/>
      <c r="I73" s="109"/>
      <c r="J73" s="109"/>
    </row>
    <row r="74" spans="1:22">
      <c r="B74" s="149"/>
      <c r="C74" s="149"/>
      <c r="D74" s="149"/>
      <c r="E74" s="174" t="s">
        <v>407</v>
      </c>
      <c r="F74" s="174"/>
      <c r="G74" s="110">
        <f>SUM(G70:G73)</f>
        <v>20008813.244725019</v>
      </c>
      <c r="H74" s="110">
        <f t="shared" ref="H74:J74" si="19">SUM(H70:H73)</f>
        <v>104548720.45165601</v>
      </c>
      <c r="I74" s="110">
        <f t="shared" si="19"/>
        <v>113491626.85793303</v>
      </c>
      <c r="J74" s="110">
        <f t="shared" si="19"/>
        <v>132777832.87937412</v>
      </c>
    </row>
    <row r="75" spans="1:22">
      <c r="B75" s="149"/>
      <c r="C75" s="149" t="s">
        <v>417</v>
      </c>
      <c r="D75" s="149"/>
      <c r="E75" s="128" t="s">
        <v>408</v>
      </c>
      <c r="F75" s="128"/>
      <c r="G75" s="109">
        <f>'Presupuesto de Inversion'!E5</f>
        <v>3348000</v>
      </c>
      <c r="H75" s="109"/>
      <c r="I75" s="109"/>
      <c r="J75" s="109"/>
    </row>
    <row r="76" spans="1:22">
      <c r="B76" s="149"/>
      <c r="C76" s="149"/>
      <c r="D76" s="149"/>
      <c r="E76" s="128" t="s">
        <v>409</v>
      </c>
      <c r="F76" s="128"/>
      <c r="G76" s="109">
        <f>'Presupuesto de Inversion'!E8</f>
        <v>1500000</v>
      </c>
      <c r="H76" s="109"/>
      <c r="I76" s="109"/>
      <c r="J76" s="109"/>
    </row>
    <row r="77" spans="1:22">
      <c r="B77" s="149"/>
      <c r="C77" s="149"/>
      <c r="D77" s="149"/>
      <c r="E77" s="128" t="s">
        <v>410</v>
      </c>
      <c r="F77" s="128"/>
      <c r="G77" s="109">
        <f>'Presupuesto de Inversion'!E11</f>
        <v>0</v>
      </c>
      <c r="H77" s="109"/>
      <c r="I77" s="109"/>
      <c r="J77" s="109"/>
    </row>
    <row r="78" spans="1:22">
      <c r="B78" s="149"/>
      <c r="C78" s="149"/>
      <c r="D78" s="149"/>
      <c r="E78" s="128" t="s">
        <v>411</v>
      </c>
      <c r="F78" s="128"/>
      <c r="G78" s="109">
        <f>0</f>
        <v>0</v>
      </c>
      <c r="H78" s="109"/>
      <c r="I78" s="109"/>
      <c r="J78" s="109"/>
    </row>
    <row r="79" spans="1:22">
      <c r="B79" s="149"/>
      <c r="C79" s="149"/>
      <c r="D79" s="149"/>
      <c r="E79" s="128" t="s">
        <v>412</v>
      </c>
      <c r="F79" s="128"/>
      <c r="G79" s="109">
        <f>'Presupuesto de Inversion'!E15</f>
        <v>0</v>
      </c>
      <c r="H79" s="109"/>
      <c r="I79" s="109"/>
      <c r="J79" s="109"/>
    </row>
    <row r="80" spans="1:22">
      <c r="B80" s="149"/>
      <c r="C80" s="149"/>
      <c r="D80" s="149"/>
      <c r="E80" s="128" t="s">
        <v>413</v>
      </c>
      <c r="F80" s="128"/>
      <c r="G80" s="109"/>
      <c r="H80" s="109">
        <f>'Presupuesto de Inversion'!G31</f>
        <v>200000</v>
      </c>
      <c r="I80" s="109">
        <f>'Presupuesto de Inversion'!H31</f>
        <v>200000</v>
      </c>
      <c r="J80" s="109">
        <f>'Presupuesto de Inversion'!I31</f>
        <v>200000</v>
      </c>
    </row>
    <row r="81" spans="1:10">
      <c r="B81" s="149"/>
      <c r="C81" s="149"/>
      <c r="D81" s="149"/>
      <c r="E81" s="186" t="s">
        <v>414</v>
      </c>
      <c r="F81" s="186"/>
      <c r="G81" s="113">
        <f>SUM(G75:G80)</f>
        <v>4848000</v>
      </c>
      <c r="H81" s="113">
        <f t="shared" ref="H81:J81" si="20">SUM(H75:H80)</f>
        <v>200000</v>
      </c>
      <c r="I81" s="113">
        <f t="shared" si="20"/>
        <v>200000</v>
      </c>
      <c r="J81" s="113">
        <f t="shared" si="20"/>
        <v>200000</v>
      </c>
    </row>
    <row r="82" spans="1:10">
      <c r="B82" s="149"/>
      <c r="C82" s="175" t="s">
        <v>415</v>
      </c>
      <c r="D82" s="175"/>
      <c r="E82" s="175"/>
      <c r="F82" s="175"/>
      <c r="G82" s="116">
        <f>G74+G81</f>
        <v>24856813.244725019</v>
      </c>
      <c r="H82" s="116">
        <f t="shared" ref="H82:J82" si="21">H74+H81</f>
        <v>104748720.45165601</v>
      </c>
      <c r="I82" s="116">
        <f t="shared" si="21"/>
        <v>113691626.85793303</v>
      </c>
      <c r="J82" s="116">
        <f t="shared" si="21"/>
        <v>132977832.87937412</v>
      </c>
    </row>
    <row r="84" spans="1:10">
      <c r="A84" s="2"/>
      <c r="B84" s="187" t="s">
        <v>419</v>
      </c>
      <c r="C84" s="187"/>
      <c r="D84" s="187"/>
      <c r="E84" s="187"/>
      <c r="F84" s="187"/>
      <c r="G84" s="187"/>
      <c r="H84" s="187"/>
      <c r="I84" s="187"/>
      <c r="J84" s="187"/>
    </row>
    <row r="85" spans="1:10">
      <c r="A85" s="2"/>
      <c r="B85" s="149" t="s">
        <v>68</v>
      </c>
      <c r="C85" s="149"/>
      <c r="D85" s="149"/>
      <c r="E85" s="149"/>
      <c r="F85" s="149"/>
      <c r="G85" s="62" t="s">
        <v>443</v>
      </c>
      <c r="H85" s="62" t="s">
        <v>2</v>
      </c>
      <c r="I85" s="62" t="s">
        <v>3</v>
      </c>
      <c r="J85" s="62" t="s">
        <v>43</v>
      </c>
    </row>
    <row r="86" spans="1:10">
      <c r="A86" s="2"/>
      <c r="B86" s="149" t="s">
        <v>434</v>
      </c>
      <c r="C86" s="149" t="s">
        <v>429</v>
      </c>
      <c r="D86" s="149"/>
      <c r="E86" s="150" t="s">
        <v>420</v>
      </c>
      <c r="F86" s="150"/>
      <c r="G86" s="77"/>
      <c r="H86" s="77"/>
      <c r="I86" s="77"/>
      <c r="J86" s="77"/>
    </row>
    <row r="87" spans="1:10">
      <c r="A87" s="2"/>
      <c r="B87" s="149"/>
      <c r="C87" s="149"/>
      <c r="D87" s="149"/>
      <c r="E87" s="150" t="s">
        <v>421</v>
      </c>
      <c r="F87" s="150"/>
      <c r="G87" s="77"/>
      <c r="H87" s="77">
        <f>'Presupuesto de Inversion'!E64</f>
        <v>0</v>
      </c>
      <c r="I87" s="77">
        <f>'Presupuesto de Inversion'!F64</f>
        <v>0</v>
      </c>
      <c r="J87" s="77">
        <f>'Presupuesto de Inversion'!G64</f>
        <v>0</v>
      </c>
    </row>
    <row r="88" spans="1:10">
      <c r="A88" s="2"/>
      <c r="B88" s="149"/>
      <c r="C88" s="149"/>
      <c r="D88" s="149"/>
      <c r="E88" s="184" t="s">
        <v>422</v>
      </c>
      <c r="F88" s="184"/>
      <c r="G88" s="77"/>
      <c r="H88" s="77"/>
      <c r="I88" s="77"/>
      <c r="J88" s="77"/>
    </row>
    <row r="89" spans="1:10">
      <c r="A89" s="2"/>
      <c r="B89" s="149"/>
      <c r="C89" s="149"/>
      <c r="D89" s="149"/>
      <c r="E89" s="184" t="s">
        <v>423</v>
      </c>
      <c r="F89" s="184"/>
      <c r="G89" s="77"/>
      <c r="H89" s="77">
        <f>'Presupuesto de Inversion'!C154</f>
        <v>1802537.3996834862</v>
      </c>
      <c r="I89" s="77">
        <f>'Presupuesto de Inversion'!D154</f>
        <v>1910689.6436644953</v>
      </c>
      <c r="J89" s="77">
        <f>'Presupuesto de Inversion'!E154</f>
        <v>2034884.4705026876</v>
      </c>
    </row>
    <row r="90" spans="1:10">
      <c r="A90" s="2"/>
      <c r="B90" s="149"/>
      <c r="C90" s="149"/>
      <c r="D90" s="149"/>
      <c r="E90" s="184" t="s">
        <v>391</v>
      </c>
      <c r="F90" s="184"/>
      <c r="G90" s="77"/>
      <c r="H90" s="77">
        <f>'Presupuesto de Inversion'!C155</f>
        <v>270380.60995252291</v>
      </c>
      <c r="I90" s="77">
        <f>'Presupuesto de Inversion'!D155</f>
        <v>286603.44654967426</v>
      </c>
      <c r="J90" s="77">
        <f>'Presupuesto de Inversion'!E155</f>
        <v>305232.67057540314</v>
      </c>
    </row>
    <row r="91" spans="1:10">
      <c r="A91" s="2"/>
      <c r="B91" s="149"/>
      <c r="C91" s="149"/>
      <c r="D91" s="149"/>
      <c r="E91" s="184" t="s">
        <v>424</v>
      </c>
      <c r="F91" s="184"/>
      <c r="G91" s="77"/>
      <c r="H91" s="77">
        <f>'Presupuesto de Inversion'!O140</f>
        <v>31134736.903623849</v>
      </c>
      <c r="I91" s="77">
        <f>'Presupuesto de Inversion'!P140</f>
        <v>33625515.855913758</v>
      </c>
      <c r="J91" s="77">
        <f>'Presupuesto de Inversion'!Q140</f>
        <v>38669343.234300822</v>
      </c>
    </row>
    <row r="92" spans="1:10">
      <c r="A92" s="2"/>
      <c r="B92" s="149"/>
      <c r="C92" s="149"/>
      <c r="D92" s="149"/>
      <c r="E92" s="184" t="s">
        <v>425</v>
      </c>
      <c r="F92" s="184"/>
      <c r="G92" s="77"/>
      <c r="H92" s="77">
        <f>'Presupuesto de Inversion'!O141</f>
        <v>4670210.5355435777</v>
      </c>
      <c r="I92" s="77">
        <f>'Presupuesto de Inversion'!P141</f>
        <v>5043827.3783870637</v>
      </c>
      <c r="J92" s="77">
        <f>'Presupuesto de Inversion'!Q141</f>
        <v>5800401.4851451237</v>
      </c>
    </row>
    <row r="93" spans="1:10">
      <c r="A93" s="2"/>
      <c r="B93" s="149"/>
      <c r="C93" s="149"/>
      <c r="D93" s="149"/>
      <c r="E93" s="184" t="s">
        <v>426</v>
      </c>
      <c r="F93" s="184"/>
      <c r="G93" s="77"/>
      <c r="H93" s="77">
        <f>E14+E15</f>
        <v>27684967.395191643</v>
      </c>
      <c r="I93" s="77">
        <f t="shared" ref="I93:J93" si="22">F14+F15</f>
        <v>30362858.101272494</v>
      </c>
      <c r="J93" s="77">
        <f t="shared" si="22"/>
        <v>37973436.820910558</v>
      </c>
    </row>
    <row r="94" spans="1:10">
      <c r="A94" s="2"/>
      <c r="B94" s="149"/>
      <c r="C94" s="149"/>
      <c r="D94" s="149"/>
      <c r="E94" s="184" t="s">
        <v>427</v>
      </c>
      <c r="F94" s="184"/>
      <c r="G94" s="77"/>
      <c r="H94" s="77">
        <v>0</v>
      </c>
      <c r="I94" s="77">
        <v>0</v>
      </c>
      <c r="J94" s="77">
        <v>0</v>
      </c>
    </row>
    <row r="95" spans="1:10">
      <c r="A95" s="2"/>
      <c r="B95" s="149"/>
      <c r="C95" s="149"/>
      <c r="D95" s="149"/>
      <c r="E95" s="189" t="s">
        <v>428</v>
      </c>
      <c r="F95" s="189"/>
      <c r="G95" s="102">
        <f>SUM(G86:G94)</f>
        <v>0</v>
      </c>
      <c r="H95" s="102">
        <f t="shared" ref="H95:J95" si="23">SUM(H86:H94)</f>
        <v>65562832.843995079</v>
      </c>
      <c r="I95" s="102">
        <f t="shared" si="23"/>
        <v>71229494.425787479</v>
      </c>
      <c r="J95" s="102">
        <f t="shared" si="23"/>
        <v>84783298.681434602</v>
      </c>
    </row>
    <row r="96" spans="1:10">
      <c r="A96" s="2"/>
      <c r="B96" s="149"/>
      <c r="C96" s="149" t="s">
        <v>433</v>
      </c>
      <c r="D96" s="149"/>
      <c r="E96" s="150" t="s">
        <v>430</v>
      </c>
      <c r="F96" s="150"/>
      <c r="G96" s="77"/>
      <c r="H96" s="77"/>
      <c r="I96" s="77"/>
      <c r="J96" s="77"/>
    </row>
    <row r="97" spans="1:10">
      <c r="A97" s="2"/>
      <c r="B97" s="149"/>
      <c r="C97" s="149"/>
      <c r="D97" s="149"/>
      <c r="E97" s="117" t="s">
        <v>431</v>
      </c>
      <c r="F97" s="117"/>
      <c r="G97" s="77"/>
      <c r="H97" s="77"/>
      <c r="I97" s="77"/>
      <c r="J97" s="77"/>
    </row>
    <row r="98" spans="1:10">
      <c r="A98" s="2"/>
      <c r="B98" s="149"/>
      <c r="C98" s="149"/>
      <c r="D98" s="149"/>
      <c r="E98" s="150" t="s">
        <v>427</v>
      </c>
      <c r="F98" s="150"/>
      <c r="G98" s="77"/>
      <c r="H98" s="77"/>
      <c r="I98" s="77"/>
      <c r="J98" s="77"/>
    </row>
    <row r="99" spans="1:10">
      <c r="A99" s="2"/>
      <c r="B99" s="149"/>
      <c r="C99" s="149"/>
      <c r="D99" s="149"/>
      <c r="E99" s="174" t="s">
        <v>432</v>
      </c>
      <c r="F99" s="174"/>
      <c r="G99" s="102">
        <f>SUM(G96:G98)</f>
        <v>0</v>
      </c>
      <c r="H99" s="102">
        <f t="shared" ref="H99:J99" si="24">SUM(H96:H98)</f>
        <v>0</v>
      </c>
      <c r="I99" s="102">
        <f t="shared" si="24"/>
        <v>0</v>
      </c>
      <c r="J99" s="102">
        <f t="shared" si="24"/>
        <v>0</v>
      </c>
    </row>
    <row r="100" spans="1:10">
      <c r="A100" s="2"/>
      <c r="B100" s="149"/>
      <c r="C100" s="188" t="s">
        <v>435</v>
      </c>
      <c r="D100" s="188"/>
      <c r="E100" s="188"/>
      <c r="F100" s="188"/>
      <c r="G100" s="118">
        <f>G95+G99</f>
        <v>0</v>
      </c>
      <c r="H100" s="118">
        <f t="shared" ref="H100:J100" si="25">H95+H99</f>
        <v>65562832.843995079</v>
      </c>
      <c r="I100" s="118">
        <f t="shared" si="25"/>
        <v>71229494.425787479</v>
      </c>
      <c r="J100" s="118">
        <f t="shared" si="25"/>
        <v>84783298.681434602</v>
      </c>
    </row>
    <row r="101" spans="1:10">
      <c r="A101" s="2"/>
      <c r="B101" s="149" t="s">
        <v>441</v>
      </c>
      <c r="C101" s="149"/>
      <c r="D101" s="149"/>
      <c r="E101" s="2" t="s">
        <v>436</v>
      </c>
      <c r="F101" s="2"/>
      <c r="G101" s="77"/>
      <c r="H101" s="77"/>
      <c r="I101" s="77"/>
      <c r="J101" s="77"/>
    </row>
    <row r="102" spans="1:10">
      <c r="A102" s="2"/>
      <c r="B102" s="149"/>
      <c r="C102" s="149"/>
      <c r="D102" s="149"/>
      <c r="E102" s="2" t="s">
        <v>437</v>
      </c>
      <c r="F102" s="2"/>
      <c r="G102" s="77"/>
      <c r="H102" s="77">
        <f>E16</f>
        <v>53741407.296548486</v>
      </c>
      <c r="I102" s="77">
        <f t="shared" ref="I102:J102" si="26">F16</f>
        <v>58939665.725999542</v>
      </c>
      <c r="J102" s="77">
        <f t="shared" si="26"/>
        <v>73713142.064120486</v>
      </c>
    </row>
    <row r="103" spans="1:10">
      <c r="A103" s="2"/>
      <c r="B103" s="149"/>
      <c r="C103" s="149"/>
      <c r="D103" s="149"/>
      <c r="E103" s="2" t="s">
        <v>438</v>
      </c>
      <c r="F103" s="2"/>
      <c r="G103" s="77"/>
      <c r="H103" s="77"/>
      <c r="I103" s="77"/>
      <c r="J103" s="77"/>
    </row>
    <row r="104" spans="1:10">
      <c r="A104" s="2"/>
      <c r="B104" s="149"/>
      <c r="C104" s="149"/>
      <c r="D104" s="149"/>
      <c r="E104" s="2" t="s">
        <v>439</v>
      </c>
      <c r="F104" s="2"/>
      <c r="G104" s="77"/>
      <c r="H104" s="77">
        <f>E17</f>
        <v>5374140.7296548486</v>
      </c>
      <c r="I104" s="77">
        <f t="shared" ref="I104:J104" si="27">F17</f>
        <v>5893966.5725999549</v>
      </c>
      <c r="J104" s="77">
        <f t="shared" si="27"/>
        <v>7371314.206412049</v>
      </c>
    </row>
    <row r="105" spans="1:10">
      <c r="A105" s="2"/>
      <c r="B105" s="149"/>
      <c r="C105" s="149"/>
      <c r="D105" s="149"/>
      <c r="E105" s="174" t="s">
        <v>440</v>
      </c>
      <c r="F105" s="174"/>
      <c r="G105" s="102">
        <f>SUM(G101:G104)</f>
        <v>0</v>
      </c>
      <c r="H105" s="102">
        <f t="shared" ref="H105:J105" si="28">SUM(H101:H104)</f>
        <v>59115548.026203334</v>
      </c>
      <c r="I105" s="102">
        <f t="shared" si="28"/>
        <v>64833632.298599496</v>
      </c>
      <c r="J105" s="102">
        <f t="shared" si="28"/>
        <v>81084456.270532534</v>
      </c>
    </row>
    <row r="106" spans="1:10">
      <c r="A106" s="2"/>
      <c r="B106" s="188" t="s">
        <v>442</v>
      </c>
      <c r="C106" s="188"/>
      <c r="D106" s="188"/>
      <c r="E106" s="188"/>
      <c r="F106" s="188"/>
      <c r="G106" s="118">
        <f>G100+G105</f>
        <v>0</v>
      </c>
      <c r="H106" s="118">
        <f>H100+H105</f>
        <v>124678380.87019841</v>
      </c>
      <c r="I106" s="118">
        <f t="shared" ref="I106:J106" si="29">I100+I105</f>
        <v>136063126.72438699</v>
      </c>
      <c r="J106" s="118">
        <f t="shared" si="29"/>
        <v>165867754.95196712</v>
      </c>
    </row>
    <row r="107" spans="1:10">
      <c r="A107" s="2"/>
      <c r="B107" s="128" t="s">
        <v>416</v>
      </c>
      <c r="C107" s="128"/>
      <c r="D107" s="128"/>
      <c r="E107" s="128"/>
      <c r="F107" s="128"/>
      <c r="G107" s="77">
        <f>G82</f>
        <v>24856813.244725019</v>
      </c>
      <c r="H107" s="77">
        <f t="shared" ref="H107:J107" si="30">H82</f>
        <v>104748720.45165601</v>
      </c>
      <c r="I107" s="77">
        <f t="shared" si="30"/>
        <v>113691626.85793303</v>
      </c>
      <c r="J107" s="77">
        <f t="shared" si="30"/>
        <v>132977832.87937412</v>
      </c>
    </row>
    <row r="108" spans="1:10">
      <c r="A108" s="2"/>
      <c r="B108" s="185" t="s">
        <v>444</v>
      </c>
      <c r="C108" s="185"/>
      <c r="D108" s="185"/>
      <c r="E108" s="185"/>
      <c r="F108" s="185"/>
      <c r="G108" s="95">
        <f>G107-(G100+G105)</f>
        <v>24856813.244725019</v>
      </c>
      <c r="H108" s="95">
        <f t="shared" ref="H108:J108" si="31">H107-(H100+H105)</f>
        <v>-19929660.4185424</v>
      </c>
      <c r="I108" s="95">
        <f t="shared" si="31"/>
        <v>-22371499.866453961</v>
      </c>
      <c r="J108" s="95">
        <f t="shared" si="31"/>
        <v>-32889922.072593004</v>
      </c>
    </row>
  </sheetData>
  <mergeCells count="101">
    <mergeCell ref="B106:F106"/>
    <mergeCell ref="B107:F107"/>
    <mergeCell ref="B108:F108"/>
    <mergeCell ref="B84:J84"/>
    <mergeCell ref="E105:F105"/>
    <mergeCell ref="B101:D105"/>
    <mergeCell ref="E98:F98"/>
    <mergeCell ref="E99:F99"/>
    <mergeCell ref="C96:D99"/>
    <mergeCell ref="B86:B100"/>
    <mergeCell ref="C100:F100"/>
    <mergeCell ref="E92:F92"/>
    <mergeCell ref="E93:F93"/>
    <mergeCell ref="E94:F94"/>
    <mergeCell ref="E95:F95"/>
    <mergeCell ref="C86:D95"/>
    <mergeCell ref="E96:F96"/>
    <mergeCell ref="E86:F86"/>
    <mergeCell ref="E87:F87"/>
    <mergeCell ref="E88:F88"/>
    <mergeCell ref="E89:F89"/>
    <mergeCell ref="E90:F90"/>
    <mergeCell ref="E91:F91"/>
    <mergeCell ref="E81:F81"/>
    <mergeCell ref="C82:F82"/>
    <mergeCell ref="B70:B82"/>
    <mergeCell ref="C75:D81"/>
    <mergeCell ref="B68:J68"/>
    <mergeCell ref="B85:F85"/>
    <mergeCell ref="E75:F75"/>
    <mergeCell ref="E76:F76"/>
    <mergeCell ref="E77:F77"/>
    <mergeCell ref="E78:F78"/>
    <mergeCell ref="E79:F79"/>
    <mergeCell ref="E80:F80"/>
    <mergeCell ref="B69:F69"/>
    <mergeCell ref="E70:F70"/>
    <mergeCell ref="E71:F71"/>
    <mergeCell ref="E72:F72"/>
    <mergeCell ref="E73:F73"/>
    <mergeCell ref="C70:D74"/>
    <mergeCell ref="E74:F74"/>
    <mergeCell ref="C62:F62"/>
    <mergeCell ref="C63:F63"/>
    <mergeCell ref="C64:F64"/>
    <mergeCell ref="B29:B64"/>
    <mergeCell ref="B65:F65"/>
    <mergeCell ref="B66:F66"/>
    <mergeCell ref="E56:F56"/>
    <mergeCell ref="E57:F57"/>
    <mergeCell ref="E58:F58"/>
    <mergeCell ref="E59:F59"/>
    <mergeCell ref="E60:F60"/>
    <mergeCell ref="E61:F61"/>
    <mergeCell ref="E51:F51"/>
    <mergeCell ref="E52:F52"/>
    <mergeCell ref="C32:D52"/>
    <mergeCell ref="E53:F53"/>
    <mergeCell ref="E54:F54"/>
    <mergeCell ref="E55:F55"/>
    <mergeCell ref="C53:D61"/>
    <mergeCell ref="E45:F45"/>
    <mergeCell ref="E46:F46"/>
    <mergeCell ref="E47:F47"/>
    <mergeCell ref="E48:F48"/>
    <mergeCell ref="E49:F49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B3:D3"/>
    <mergeCell ref="C4:D4"/>
    <mergeCell ref="C5:D5"/>
    <mergeCell ref="B2:G2"/>
    <mergeCell ref="C7:D7"/>
    <mergeCell ref="B16:D16"/>
    <mergeCell ref="B17:D17"/>
    <mergeCell ref="B18:D18"/>
    <mergeCell ref="B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F14" sqref="F14"/>
    </sheetView>
  </sheetViews>
  <sheetFormatPr baseColWidth="10" defaultRowHeight="15"/>
  <cols>
    <col min="2" max="2" width="22" customWidth="1"/>
    <col min="3" max="3" width="25.28515625" customWidth="1"/>
    <col min="4" max="4" width="15" bestFit="1" customWidth="1"/>
    <col min="5" max="5" width="17.42578125" customWidth="1"/>
    <col min="6" max="7" width="14.140625" bestFit="1" customWidth="1"/>
  </cols>
  <sheetData>
    <row r="2" spans="2:11">
      <c r="B2" s="119" t="s">
        <v>450</v>
      </c>
      <c r="C2" s="120">
        <f>'Presupuesto de Inversion'!C209</f>
        <v>25496813.244725019</v>
      </c>
      <c r="J2" s="212" t="s">
        <v>1</v>
      </c>
      <c r="K2" s="212"/>
    </row>
    <row r="3" spans="2:11">
      <c r="J3" s="213" t="s">
        <v>2</v>
      </c>
      <c r="K3" s="214">
        <v>5.5E-2</v>
      </c>
    </row>
    <row r="4" spans="2:11">
      <c r="J4" s="213" t="s">
        <v>3</v>
      </c>
      <c r="K4" s="215">
        <v>0.06</v>
      </c>
    </row>
    <row r="5" spans="2:11">
      <c r="B5" s="190" t="s">
        <v>451</v>
      </c>
      <c r="C5" s="190"/>
      <c r="D5" s="190"/>
      <c r="E5" s="190"/>
      <c r="F5" s="190"/>
      <c r="G5" s="190"/>
      <c r="J5" s="213" t="s">
        <v>4</v>
      </c>
      <c r="K5" s="214">
        <v>6.5000000000000002E-2</v>
      </c>
    </row>
    <row r="6" spans="2:11">
      <c r="B6" s="149" t="s">
        <v>68</v>
      </c>
      <c r="C6" s="149"/>
      <c r="D6" s="62" t="s">
        <v>418</v>
      </c>
      <c r="E6" s="62" t="s">
        <v>2</v>
      </c>
      <c r="F6" s="62" t="s">
        <v>3</v>
      </c>
      <c r="G6" s="62" t="s">
        <v>43</v>
      </c>
    </row>
    <row r="7" spans="2:11">
      <c r="B7" s="150" t="s">
        <v>445</v>
      </c>
      <c r="C7" s="150"/>
      <c r="D7" s="19"/>
      <c r="E7" s="19">
        <f>'Analisis Financiero'!T65</f>
        <v>34319990.593857855</v>
      </c>
      <c r="F7" s="19">
        <f>'Analisis Financiero'!U65</f>
        <v>37644598.611511022</v>
      </c>
      <c r="G7" s="19">
        <f>'Analisis Financiero'!V65</f>
        <v>45553750.395988807</v>
      </c>
    </row>
    <row r="8" spans="2:11">
      <c r="B8" s="150" t="s">
        <v>447</v>
      </c>
      <c r="C8" s="150"/>
      <c r="D8" s="19">
        <f>C2*0.7</f>
        <v>17847769.271307513</v>
      </c>
      <c r="E8" s="19">
        <v>0</v>
      </c>
      <c r="F8" s="19">
        <v>0</v>
      </c>
      <c r="G8" s="19">
        <v>0</v>
      </c>
    </row>
    <row r="9" spans="2:11">
      <c r="B9" s="150" t="s">
        <v>446</v>
      </c>
      <c r="C9" s="150"/>
      <c r="D9" s="19">
        <f>C2*0.3</f>
        <v>7649043.9734175056</v>
      </c>
      <c r="E9" s="19">
        <v>0</v>
      </c>
      <c r="F9" s="19">
        <v>0</v>
      </c>
      <c r="G9" s="19">
        <v>0</v>
      </c>
    </row>
    <row r="10" spans="2:11">
      <c r="B10" s="150" t="s">
        <v>448</v>
      </c>
      <c r="C10" s="150"/>
      <c r="D10" s="19">
        <f>SUM(D8:D9)</f>
        <v>25496813.244725019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192" t="s">
        <v>449</v>
      </c>
      <c r="C11" s="192"/>
      <c r="D11" s="121">
        <f>D7-D10</f>
        <v>-25496813.244725019</v>
      </c>
      <c r="E11" s="121">
        <f t="shared" ref="E11:G11" si="1">E7-E10</f>
        <v>34319990.593857855</v>
      </c>
      <c r="F11" s="121">
        <f t="shared" si="1"/>
        <v>37644598.611511022</v>
      </c>
      <c r="G11" s="121">
        <f t="shared" si="1"/>
        <v>45553750.395988807</v>
      </c>
      <c r="H11" s="68"/>
    </row>
    <row r="13" spans="2:11">
      <c r="B13" s="191" t="s">
        <v>452</v>
      </c>
      <c r="C13" s="191"/>
      <c r="D13" s="191"/>
      <c r="E13" s="191"/>
    </row>
    <row r="14" spans="2:11">
      <c r="B14" s="62" t="s">
        <v>418</v>
      </c>
      <c r="C14" s="124" t="s">
        <v>2</v>
      </c>
      <c r="D14" s="210" t="s">
        <v>3</v>
      </c>
      <c r="E14" s="62" t="s">
        <v>43</v>
      </c>
    </row>
    <row r="15" spans="2:11">
      <c r="B15" s="19">
        <f>D11</f>
        <v>-25496813.244725019</v>
      </c>
      <c r="C15" s="122">
        <f>B15+E11</f>
        <v>8823177.3491328359</v>
      </c>
      <c r="D15" s="211">
        <f t="shared" ref="D15:E15" si="2">C15+F11</f>
        <v>46467775.960643858</v>
      </c>
      <c r="E15" s="19">
        <f t="shared" si="2"/>
        <v>92021526.356632665</v>
      </c>
    </row>
    <row r="18" spans="2:3">
      <c r="B18" s="204" t="s">
        <v>453</v>
      </c>
      <c r="C18" s="122">
        <f>-C2+(E11/(1+K3))+(F11/((1+K3)*(1+K4)))+(G11/((1+K3)*(1+K4)*(1+K5)))</f>
        <v>78944985.191494763</v>
      </c>
    </row>
    <row r="19" spans="2:3">
      <c r="B19" s="204" t="s">
        <v>454</v>
      </c>
      <c r="C19" s="205">
        <f>C27</f>
        <v>1.5878226469958019</v>
      </c>
    </row>
    <row r="21" spans="2:3">
      <c r="B21" s="20" t="s">
        <v>455</v>
      </c>
      <c r="C21" s="209">
        <f>(((E11+F11+G11)/C2)-1)/3</f>
        <v>1.2030461149972771</v>
      </c>
    </row>
    <row r="22" spans="2:3">
      <c r="B22" s="20" t="s">
        <v>456</v>
      </c>
      <c r="C22" s="20">
        <f>C21*2</f>
        <v>2.4060922299945542</v>
      </c>
    </row>
    <row r="24" spans="2:3">
      <c r="B24" s="206" t="s">
        <v>457</v>
      </c>
      <c r="C24" s="207">
        <f>-C2+(E11/(1+C21))+(F11/((1+C21)^2))+(G11/((1+C21)^3))</f>
        <v>2098358.0390458759</v>
      </c>
    </row>
    <row r="25" spans="2:3">
      <c r="B25" s="206" t="s">
        <v>458</v>
      </c>
      <c r="C25" s="207">
        <f>-C2+(E11/(1+C22))+((F11/(1+C22)^2))+((G11/(1+C22)^3))</f>
        <v>-11023136.006527178</v>
      </c>
    </row>
    <row r="26" spans="2:3">
      <c r="B26" s="206" t="s">
        <v>459</v>
      </c>
      <c r="C26" s="207">
        <f>-C25</f>
        <v>11023136.006527178</v>
      </c>
    </row>
    <row r="27" spans="2:3">
      <c r="B27" s="206" t="s">
        <v>454</v>
      </c>
      <c r="C27" s="208">
        <f>C21+((C22-D2)*(C24/(C24+C26)))</f>
        <v>1.5878226469958019</v>
      </c>
    </row>
  </sheetData>
  <mergeCells count="9">
    <mergeCell ref="B5:G5"/>
    <mergeCell ref="B13:E13"/>
    <mergeCell ref="J2:K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F24" sqref="F24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460</v>
      </c>
      <c r="C2" s="193">
        <f ca="1">'[1]Indicadores Financieros'!D9</f>
        <v>10212776.344385484</v>
      </c>
      <c r="D2" s="194"/>
      <c r="F2" s="2" t="s">
        <v>461</v>
      </c>
      <c r="G2" s="195">
        <v>12</v>
      </c>
      <c r="H2" s="194" t="s">
        <v>462</v>
      </c>
    </row>
    <row r="3" spans="2:8">
      <c r="B3" s="2" t="s">
        <v>463</v>
      </c>
      <c r="C3" s="195">
        <v>1</v>
      </c>
      <c r="D3" s="194" t="s">
        <v>462</v>
      </c>
      <c r="F3" s="2" t="s">
        <v>464</v>
      </c>
      <c r="G3" s="195">
        <v>12</v>
      </c>
      <c r="H3" s="194" t="s">
        <v>465</v>
      </c>
    </row>
    <row r="4" spans="2:8">
      <c r="B4" s="2" t="s">
        <v>466</v>
      </c>
      <c r="C4" s="196">
        <v>0.28000000000000003</v>
      </c>
      <c r="D4" s="194"/>
      <c r="F4" s="2" t="s">
        <v>467</v>
      </c>
      <c r="G4" s="195">
        <f>((1+C4)^(1/12))-1</f>
        <v>2.0784728489500193E-2</v>
      </c>
      <c r="H4" s="194"/>
    </row>
    <row r="5" spans="2:8">
      <c r="B5" s="108"/>
      <c r="C5" s="197"/>
      <c r="D5" s="108"/>
      <c r="F5" s="2" t="s">
        <v>468</v>
      </c>
      <c r="G5" s="198">
        <f ca="1">PMT(G4,G2,C2)</f>
        <v>-970376.15287790948</v>
      </c>
      <c r="H5" s="194"/>
    </row>
    <row r="6" spans="2:8">
      <c r="B6" s="108"/>
      <c r="C6" s="197"/>
      <c r="D6" s="108"/>
      <c r="F6" s="2"/>
      <c r="G6" s="198">
        <f ca="1">-G5</f>
        <v>970376.15287790948</v>
      </c>
      <c r="H6" s="194"/>
    </row>
    <row r="8" spans="2:8">
      <c r="B8" s="149" t="s">
        <v>469</v>
      </c>
      <c r="C8" s="130" t="s">
        <v>470</v>
      </c>
      <c r="D8" s="130" t="s">
        <v>471</v>
      </c>
      <c r="E8" s="130" t="s">
        <v>472</v>
      </c>
      <c r="F8" s="130" t="s">
        <v>473</v>
      </c>
      <c r="G8" s="130" t="s">
        <v>474</v>
      </c>
      <c r="H8" s="130" t="s">
        <v>475</v>
      </c>
    </row>
    <row r="9" spans="2:8">
      <c r="B9" s="149"/>
      <c r="C9" s="130"/>
      <c r="D9" s="130"/>
      <c r="E9" s="130"/>
      <c r="F9" s="130"/>
      <c r="G9" s="130"/>
      <c r="H9" s="130"/>
    </row>
    <row r="10" spans="2:8">
      <c r="B10" s="199">
        <v>1</v>
      </c>
      <c r="C10" s="200">
        <f ca="1">C2</f>
        <v>10212776.344385484</v>
      </c>
      <c r="D10" s="200">
        <f ca="1">C10*$G$4</f>
        <v>212269.78344204259</v>
      </c>
      <c r="E10" s="200">
        <v>0</v>
      </c>
      <c r="F10" s="200"/>
      <c r="G10" s="200">
        <v>0</v>
      </c>
      <c r="H10" s="200">
        <f ca="1">C10</f>
        <v>10212776.344385484</v>
      </c>
    </row>
    <row r="11" spans="2:8">
      <c r="B11" s="199">
        <v>2</v>
      </c>
      <c r="C11" s="200">
        <f ca="1">C2</f>
        <v>10212776.344385484</v>
      </c>
      <c r="D11" s="200">
        <f t="shared" ref="D11:D20" ca="1" si="0">C11*$G$4</f>
        <v>212269.78344204259</v>
      </c>
      <c r="E11" s="200">
        <f ca="1">IF((C11+D11)&gt;$G$6,$G$6,C11+D11)</f>
        <v>970376.15287790948</v>
      </c>
      <c r="F11" s="200"/>
      <c r="G11" s="200">
        <f ca="1">(E11+F11)-D11</f>
        <v>758106.36943586683</v>
      </c>
      <c r="H11" s="200">
        <f ca="1">C11-G11</f>
        <v>9454669.9749496169</v>
      </c>
    </row>
    <row r="12" spans="2:8">
      <c r="B12" s="199">
        <v>3</v>
      </c>
      <c r="C12" s="200">
        <f ca="1">H11</f>
        <v>9454669.9749496169</v>
      </c>
      <c r="D12" s="200">
        <f t="shared" ca="1" si="0"/>
        <v>196512.74838715736</v>
      </c>
      <c r="E12" s="200">
        <f t="shared" ref="E12:E21" ca="1" si="1">IF((C12+D12)&gt;$G$6,$G$6,C12+D12)</f>
        <v>970376.15287790948</v>
      </c>
      <c r="F12" s="200"/>
      <c r="G12" s="200">
        <f t="shared" ref="G12:G21" ca="1" si="2">(E12+F12)-D12</f>
        <v>773863.40449075215</v>
      </c>
      <c r="H12" s="200">
        <f t="shared" ref="H12:H21" ca="1" si="3">C12-G12</f>
        <v>8680806.5704588648</v>
      </c>
    </row>
    <row r="13" spans="2:8">
      <c r="B13" s="199">
        <v>4</v>
      </c>
      <c r="C13" s="200">
        <f t="shared" ref="C13:C21" ca="1" si="4">H12</f>
        <v>8680806.5704588648</v>
      </c>
      <c r="D13" s="200">
        <f t="shared" ca="1" si="0"/>
        <v>180428.20763685682</v>
      </c>
      <c r="E13" s="200">
        <f t="shared" ca="1" si="1"/>
        <v>970376.15287790948</v>
      </c>
      <c r="F13" s="200"/>
      <c r="G13" s="200">
        <f t="shared" ca="1" si="2"/>
        <v>789947.94524105266</v>
      </c>
      <c r="H13" s="200">
        <f t="shared" ca="1" si="3"/>
        <v>7890858.6252178121</v>
      </c>
    </row>
    <row r="14" spans="2:8">
      <c r="B14" s="199">
        <v>5</v>
      </c>
      <c r="C14" s="200">
        <f t="shared" ca="1" si="4"/>
        <v>7890858.6252178121</v>
      </c>
      <c r="D14" s="200">
        <f t="shared" ca="1" si="0"/>
        <v>164009.35407418298</v>
      </c>
      <c r="E14" s="200">
        <f t="shared" ca="1" si="1"/>
        <v>970376.15287790948</v>
      </c>
      <c r="F14" s="200"/>
      <c r="G14" s="200">
        <f t="shared" ca="1" si="2"/>
        <v>806366.79880372644</v>
      </c>
      <c r="H14" s="200">
        <f t="shared" ca="1" si="3"/>
        <v>7084491.8264140859</v>
      </c>
    </row>
    <row r="15" spans="2:8">
      <c r="B15" s="199">
        <v>6</v>
      </c>
      <c r="C15" s="200">
        <f t="shared" ca="1" si="4"/>
        <v>7084491.8264140859</v>
      </c>
      <c r="D15" s="200">
        <f t="shared" ca="1" si="0"/>
        <v>147249.23909810011</v>
      </c>
      <c r="E15" s="200">
        <f t="shared" ca="1" si="1"/>
        <v>970376.15287790948</v>
      </c>
      <c r="F15" s="200">
        <v>1500000</v>
      </c>
      <c r="G15" s="200">
        <f t="shared" ca="1" si="2"/>
        <v>2323126.9137798096</v>
      </c>
      <c r="H15" s="200">
        <f t="shared" ca="1" si="3"/>
        <v>4761364.9126342759</v>
      </c>
    </row>
    <row r="16" spans="2:8">
      <c r="B16" s="199">
        <v>7</v>
      </c>
      <c r="C16" s="200">
        <f t="shared" ca="1" si="4"/>
        <v>4761364.9126342759</v>
      </c>
      <c r="D16" s="200">
        <f t="shared" ca="1" si="0"/>
        <v>98963.676948536231</v>
      </c>
      <c r="E16" s="200">
        <f t="shared" ca="1" si="1"/>
        <v>970376.15287790948</v>
      </c>
      <c r="F16" s="200"/>
      <c r="G16" s="200">
        <f t="shared" ca="1" si="2"/>
        <v>871412.47592937329</v>
      </c>
      <c r="H16" s="200">
        <f t="shared" ca="1" si="3"/>
        <v>3889952.4367049024</v>
      </c>
    </row>
    <row r="17" spans="2:8">
      <c r="B17" s="199">
        <v>8</v>
      </c>
      <c r="C17" s="200">
        <f t="shared" ca="1" si="4"/>
        <v>3889952.4367049024</v>
      </c>
      <c r="D17" s="200">
        <f t="shared" ca="1" si="0"/>
        <v>80851.605233981085</v>
      </c>
      <c r="E17" s="200">
        <f t="shared" ca="1" si="1"/>
        <v>970376.15287790948</v>
      </c>
      <c r="F17" s="200"/>
      <c r="G17" s="200">
        <f t="shared" ca="1" si="2"/>
        <v>889524.54764392844</v>
      </c>
      <c r="H17" s="200">
        <f t="shared" ca="1" si="3"/>
        <v>3000427.8890609741</v>
      </c>
    </row>
    <row r="18" spans="2:8">
      <c r="B18" s="199">
        <v>9</v>
      </c>
      <c r="C18" s="200">
        <f t="shared" ca="1" si="4"/>
        <v>3000427.8890609741</v>
      </c>
      <c r="D18" s="200">
        <f t="shared" ca="1" si="0"/>
        <v>62363.079026456551</v>
      </c>
      <c r="E18" s="200">
        <f t="shared" ca="1" si="1"/>
        <v>970376.15287790948</v>
      </c>
      <c r="F18" s="200"/>
      <c r="G18" s="200">
        <f t="shared" ca="1" si="2"/>
        <v>908013.07385145291</v>
      </c>
      <c r="H18" s="200">
        <f t="shared" ca="1" si="3"/>
        <v>2092414.8152095212</v>
      </c>
    </row>
    <row r="19" spans="2:8">
      <c r="B19" s="199">
        <v>10</v>
      </c>
      <c r="C19" s="200">
        <f t="shared" ca="1" si="4"/>
        <v>2092414.8152095212</v>
      </c>
      <c r="D19" s="200">
        <f t="shared" ca="1" si="0"/>
        <v>43490.273821537616</v>
      </c>
      <c r="E19" s="200">
        <f t="shared" ca="1" si="1"/>
        <v>970376.15287790948</v>
      </c>
      <c r="F19" s="200"/>
      <c r="G19" s="200">
        <f t="shared" ca="1" si="2"/>
        <v>926885.87905637186</v>
      </c>
      <c r="H19" s="200">
        <f t="shared" ca="1" si="3"/>
        <v>1165528.9361531492</v>
      </c>
    </row>
    <row r="20" spans="2:8">
      <c r="B20" s="199">
        <v>11</v>
      </c>
      <c r="C20" s="200">
        <f t="shared" ca="1" si="4"/>
        <v>1165528.9361531492</v>
      </c>
      <c r="D20" s="200">
        <f t="shared" ca="1" si="0"/>
        <v>24225.202484599213</v>
      </c>
      <c r="E20" s="200">
        <f t="shared" ca="1" si="1"/>
        <v>970376.15287790948</v>
      </c>
      <c r="F20" s="200"/>
      <c r="G20" s="200">
        <f t="shared" ca="1" si="2"/>
        <v>946150.95039331028</v>
      </c>
      <c r="H20" s="200">
        <f t="shared" ca="1" si="3"/>
        <v>219377.98575983895</v>
      </c>
    </row>
    <row r="21" spans="2:8">
      <c r="B21" s="199">
        <v>12</v>
      </c>
      <c r="C21" s="200">
        <f t="shared" ca="1" si="4"/>
        <v>219377.98575983895</v>
      </c>
      <c r="D21" s="200">
        <f ca="1">C21*$G$4</f>
        <v>4559.7118705916919</v>
      </c>
      <c r="E21" s="200">
        <f t="shared" ca="1" si="1"/>
        <v>223937.69763043063</v>
      </c>
      <c r="F21" s="200"/>
      <c r="G21" s="200">
        <f t="shared" ca="1" si="2"/>
        <v>219377.98575983895</v>
      </c>
      <c r="H21" s="200">
        <f t="shared" ca="1" si="3"/>
        <v>0</v>
      </c>
    </row>
    <row r="22" spans="2:8">
      <c r="B22" s="123" t="s">
        <v>56</v>
      </c>
      <c r="C22" s="201"/>
      <c r="D22" s="202">
        <f ca="1">SUM(D10:D21)</f>
        <v>1427192.6654660846</v>
      </c>
      <c r="E22" s="202">
        <f ca="1">SUM(E10:E21)</f>
        <v>9927699.2264095265</v>
      </c>
      <c r="F22" s="202">
        <f>SUM(F10:F21)</f>
        <v>1500000</v>
      </c>
      <c r="G22" s="201"/>
      <c r="H22" s="201"/>
    </row>
    <row r="24" spans="2:8">
      <c r="D24" s="203" t="s">
        <v>127</v>
      </c>
      <c r="E24" s="121">
        <f ca="1">$C$2+D22</f>
        <v>11639969.009851569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2017-02-15T13:00:37Z</dcterms:modified>
</cp:coreProperties>
</file>